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showInkAnnotation="0" defaultThemeVersion="166925"/>
  <mc:AlternateContent xmlns:mc="http://schemas.openxmlformats.org/markup-compatibility/2006">
    <mc:Choice Requires="x15">
      <x15ac:absPath xmlns:x15ac="http://schemas.microsoft.com/office/spreadsheetml/2010/11/ac" url="https://netorgft4117119-my.sharepoint.com/personal/celia_celiajohnsonconsulting_com/Documents/IL SAG Website/SAG Website- Policy/Adjustable Savings Goals/2020 Final Adj Savings Goals/"/>
    </mc:Choice>
  </mc:AlternateContent>
  <xr:revisionPtr revIDLastSave="0" documentId="8_{E7CECB66-6356-4391-B7A0-DEADA80C2FAF}" xr6:coauthVersionLast="45" xr6:coauthVersionMax="45" xr10:uidLastSave="{00000000-0000-0000-0000-000000000000}"/>
  <bookViews>
    <workbookView xWindow="28680" yWindow="-120" windowWidth="29040" windowHeight="15840" tabRatio="836" xr2:uid="{00000000-000D-0000-FFFF-FFFF00000000}"/>
  </bookViews>
  <sheets>
    <sheet name="v8 Revisions" sheetId="20" r:id="rId1"/>
    <sheet name="Program-Level Adjustments Tab" sheetId="6" r:id="rId2"/>
    <sheet name="Measure-Level Adjustments Tab" sheetId="5" r:id="rId3"/>
    <sheet name="WAML" sheetId="19" r:id="rId4"/>
    <sheet name="Unit Savings Calculations" sheetId="10" r:id="rId5"/>
    <sheet name="Food Equipment Detail" sheetId="15" r:id="rId6"/>
    <sheet name="Pipe Insulation Detail" sheetId="12" r:id="rId7"/>
    <sheet name="Thermostat Detail" sheetId="11" r:id="rId8"/>
    <sheet name="Laundromat Boiler Detail" sheetId="13" r:id="rId9"/>
    <sheet name="Behavior" sheetId="16" r:id="rId10"/>
  </sheets>
  <externalReferences>
    <externalReference r:id="rId11"/>
    <externalReference r:id="rId12"/>
    <externalReference r:id="rId13"/>
    <externalReference r:id="rId14"/>
    <externalReference r:id="rId15"/>
    <externalReference r:id="rId16"/>
  </externalReferences>
  <definedNames>
    <definedName name="__123Graph_A" hidden="1">'[1]Func. Plt. RRF - With Earnings'!#REF!</definedName>
    <definedName name="__123Graph_B" localSheetId="9" hidden="1">'[2]Forecast Fuel'!#REF!</definedName>
    <definedName name="__123Graph_C" hidden="1">'[1]Func. Plt. RRF - With Earnings'!#REF!</definedName>
    <definedName name="__123Graph_D" hidden="1">'[1]Func. Plt. RRF - With Earnings'!#REF!</definedName>
    <definedName name="__123Graph_E" hidden="1">'[1]Func. Plt. RRF - With Earnings'!#REF!</definedName>
    <definedName name="__123Graph_F" hidden="1">'[1]Func. Plt. RRF - With Earnings'!#REF!</definedName>
    <definedName name="_bdm.FastTrackBookmark.10_4_2004_9_40_31_AM.edm" hidden="1">'[3]Adjusted Exp &amp; Rate Base'!#REF!</definedName>
    <definedName name="_bdm.FastTrackBookmark.9_15_2004_3_08_01_PM.edm" hidden="1">'[4]Stmt H'!#REF!</definedName>
    <definedName name="_bdm.FastTrackBookmark.9_15_2004_3_17_28_PM.edm" hidden="1">'[5]WACC &amp; IT'!#REF!</definedName>
    <definedName name="_bdm.FastTrackBookmark.9_15_2004_4_15_33_PM.edm" hidden="1">'[4]Stmt H'!#REF!</definedName>
    <definedName name="_xlnm._FilterDatabase" localSheetId="2" hidden="1">'Measure-Level Adjustments Tab'!$A$6:$BS$6</definedName>
    <definedName name="_xlnm._FilterDatabase" localSheetId="4" hidden="1">'Unit Savings Calculations'!$B$3:$AT$421</definedName>
    <definedName name="_xlnm._FilterDatabase" localSheetId="0" hidden="1">'v8 Revisions'!$B$6:$P$184</definedName>
    <definedName name="_Hlk514074254" localSheetId="0">'v8 Revisions'!$F$149</definedName>
    <definedName name="_Key1" localSheetId="9" hidden="1">#REF!</definedName>
    <definedName name="_Key2" localSheetId="9" hidden="1">#REF!</definedName>
    <definedName name="_Order1" hidden="1">0</definedName>
    <definedName name="_Order2" hidden="1">255</definedName>
    <definedName name="_Sort" localSheetId="9"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dfa" localSheetId="0"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fa"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sf" localSheetId="9" hidden="1">#REF!</definedName>
    <definedName name="C_BuydownRate">4</definedName>
    <definedName name="C_DecreaseLoan">1</definedName>
    <definedName name="C_IRR">1</definedName>
    <definedName name="C_KeepIt">3</definedName>
    <definedName name="C_No">2</definedName>
    <definedName name="C_PayOffFaster">2</definedName>
    <definedName name="DATA_01" localSheetId="9" hidden="1">#REF!</definedName>
    <definedName name="DATA_02" localSheetId="9" hidden="1">#REF!</definedName>
    <definedName name="DATA_03" localSheetId="9" hidden="1">#REF!</definedName>
    <definedName name="DATA_04" localSheetId="9" hidden="1">#REF!</definedName>
    <definedName name="DATA_05" localSheetId="9" hidden="1">#REF!</definedName>
    <definedName name="DATA_06" localSheetId="9" hidden="1">#REF!</definedName>
    <definedName name="DATA_07" localSheetId="9" hidden="1">#REF!</definedName>
    <definedName name="DATA_08" localSheetId="9" hidden="1">#REF!</definedName>
    <definedName name="IntroPrintArea" localSheetId="9" hidden="1">#REF!</definedName>
    <definedName name="Million">1000000</definedName>
    <definedName name="old_1" hidden="1">[6]old!$V$5</definedName>
    <definedName name="P">"P"</definedName>
    <definedName name="_xlnm.Print_Area" localSheetId="5">'Food Equipment Detail'!$A$1:$AA$64</definedName>
    <definedName name="_xlnm.Print_Area" localSheetId="8">'Laundromat Boiler Detail'!$A$1:$L$28</definedName>
    <definedName name="_xlnm.Print_Area" localSheetId="2">'Measure-Level Adjustments Tab'!$A$1:$BE$427</definedName>
    <definedName name="_xlnm.Print_Area" localSheetId="6">'Pipe Insulation Detail'!$A$1:$Y$120</definedName>
    <definedName name="_xlnm.Print_Area" localSheetId="1">'Program-Level Adjustments Tab'!$A$1:$T$27</definedName>
    <definedName name="_xlnm.Print_Area" localSheetId="7">'Thermostat Detail'!$A$1:$W$14</definedName>
    <definedName name="_xlnm.Print_Area" localSheetId="4">'Unit Savings Calculations'!$C$1:$AT$421</definedName>
    <definedName name="_xlnm.Print_Titles" localSheetId="2">'Measure-Level Adjustments Tab'!$A:$B,'Measure-Level Adjustments Tab'!$4:$7</definedName>
    <definedName name="_xlnm.Print_Titles" localSheetId="1">'Program-Level Adjustments Tab'!$A:$A</definedName>
    <definedName name="_xlnm.Print_Titles" localSheetId="4">'Unit Savings Calculations'!$C:$D,'Unit Savings Calculations'!$2:$3</definedName>
    <definedName name="saraaksdf" localSheetId="0"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raaksdf"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Thousand">1000</definedName>
    <definedName name="wrn.COST._.ALLOC._.STUDY._.1997._.CLFP." localSheetId="0"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OST._.ALLOC._.STUDY._.1997._.CLFP."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DATA._.INPUTS." localSheetId="0" hidden="1">{#N/A,#N/A,TRUE,"DATA INPUTS"}</definedName>
    <definedName name="wrn.DATA._.INPUTS." hidden="1">{#N/A,#N/A,TRUE,"DATA INPUTS"}</definedName>
    <definedName name="wrn.Other._.Schedules." localSheetId="0"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Other._.Schedules."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RAK1." localSheetId="0" hidden="1">{"RAK-1, Schedule 1",#N/A,FALSE,"Electric";"RAK-1, Schedule 2",#N/A,FALSE,"Electric";"RAK-1, Schedule 4",#N/A,FALSE,"Electric"}</definedName>
    <definedName name="wrn.RAK1." hidden="1">{"RAK-1, Schedule 1",#N/A,FALSE,"Electric";"RAK-1, Schedule 2",#N/A,FALSE,"Electric";"RAK-1, Schedule 4",#N/A,FALSE,"Electric"}</definedName>
    <definedName name="wrn.RAK2." localSheetId="0"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K2."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evReq." localSheetId="0" hidden="1">{#N/A,#N/A,FALSE,"Revenue Requirements";#N/A,#N/A,FALSE,"Capital Structure";#N/A,#N/A,FALSE,"Cost of Debt";#N/A,#N/A,FALSE,"Electric";#N/A,#N/A,FALSE,"Gas";#N/A,#N/A,FALSE,"CWC";#N/A,#N/A,FALSE,"Income Taxes"}</definedName>
    <definedName name="wrn.RevReq." hidden="1">{#N/A,#N/A,FALSE,"Revenue Requirements";#N/A,#N/A,FALSE,"Capital Structure";#N/A,#N/A,FALSE,"Cost of Debt";#N/A,#N/A,FALSE,"Electric";#N/A,#N/A,FALSE,"Gas";#N/A,#N/A,FALSE,"CWC";#N/A,#N/A,FALSE,"Income Taxes"}</definedName>
    <definedName name="wrn.Schedule._.4." localSheetId="0" hidden="1">{"ERB1",#N/A,FALSE,"Electric";"ERB2",#N/A,FALSE,"Electric";"ERB3",#N/A,FALSE,"Electric";"ERB4",#N/A,FALSE,"Electric";"ERB5",#N/A,FALSE,"Electric"}</definedName>
    <definedName name="wrn.Schedule._.4." hidden="1">{"ERB1",#N/A,FALSE,"Electric";"ERB2",#N/A,FALSE,"Electric";"ERB3",#N/A,FALSE,"Electric";"ERB4",#N/A,FALSE,"Electric";"ERB5",#N/A,FALSE,"Electric"}</definedName>
    <definedName name="wrn.Schedule._.5." localSheetId="0" hidden="1">{"EE1",#N/A,FALSE,"Electric";"EE2",#N/A,FALSE,"Electric";"EE3",#N/A,FALSE,"Electric";"EE4",#N/A,FALSE,"Electric";"EE5",#N/A,FALSE,"Electric"}</definedName>
    <definedName name="wrn.Schedule._.5." hidden="1">{"EE1",#N/A,FALSE,"Electric";"EE2",#N/A,FALSE,"Electric";"EE3",#N/A,FALSE,"Electric";"EE4",#N/A,FALSE,"Electric";"EE5",#N/A,FALSE,"Electric"}</definedName>
  </definedNames>
  <calcPr calcId="18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H369" i="5" l="1"/>
  <c r="BG369" i="5"/>
  <c r="BF369" i="5"/>
  <c r="BH368" i="5"/>
  <c r="BG368" i="5"/>
  <c r="BF368" i="5"/>
  <c r="BH367" i="5"/>
  <c r="BG367" i="5"/>
  <c r="BF367" i="5"/>
  <c r="BH366" i="5"/>
  <c r="BG366" i="5"/>
  <c r="BF366" i="5"/>
  <c r="BH365" i="5"/>
  <c r="BG365" i="5"/>
  <c r="BF365" i="5"/>
  <c r="BH364" i="5"/>
  <c r="BG364" i="5"/>
  <c r="BF364" i="5"/>
  <c r="BH363" i="5"/>
  <c r="BG363" i="5"/>
  <c r="BF363" i="5"/>
  <c r="BH362" i="5"/>
  <c r="BG362" i="5"/>
  <c r="BF362" i="5"/>
  <c r="BH361" i="5"/>
  <c r="BG361" i="5"/>
  <c r="BF361" i="5"/>
  <c r="BH360" i="5"/>
  <c r="BG360" i="5"/>
  <c r="BF360" i="5"/>
  <c r="BH359" i="5"/>
  <c r="BG359" i="5"/>
  <c r="BF359" i="5"/>
  <c r="BH358" i="5"/>
  <c r="BG358" i="5"/>
  <c r="BF358" i="5"/>
  <c r="N383" i="10" l="1"/>
  <c r="N61" i="10"/>
  <c r="AD309" i="10" l="1"/>
  <c r="AD253" i="10"/>
  <c r="AD164" i="10"/>
  <c r="AD112" i="10"/>
  <c r="AD76" i="10"/>
  <c r="R12" i="20" l="1"/>
  <c r="L12" i="20"/>
  <c r="J12" i="20"/>
  <c r="N12" i="20" l="1"/>
  <c r="M12" i="20"/>
  <c r="L8" i="20"/>
  <c r="L9" i="20"/>
  <c r="L10" i="20"/>
  <c r="L11" i="20"/>
  <c r="L13" i="20"/>
  <c r="L181" i="20"/>
  <c r="L182" i="20"/>
  <c r="L183" i="20"/>
  <c r="L184" i="20"/>
  <c r="L7" i="20"/>
  <c r="R184" i="20"/>
  <c r="R183" i="20"/>
  <c r="R182" i="20"/>
  <c r="R181" i="20"/>
  <c r="R180" i="20"/>
  <c r="R179" i="20"/>
  <c r="R178" i="20"/>
  <c r="R177" i="20"/>
  <c r="R176" i="20"/>
  <c r="R175" i="20"/>
  <c r="R174" i="20"/>
  <c r="R173" i="20"/>
  <c r="R172" i="20"/>
  <c r="R171" i="20"/>
  <c r="R170" i="20"/>
  <c r="R169" i="20"/>
  <c r="R168" i="20"/>
  <c r="R167" i="20"/>
  <c r="R166" i="20"/>
  <c r="R165" i="20"/>
  <c r="R164" i="20"/>
  <c r="R163" i="20"/>
  <c r="R162" i="20"/>
  <c r="R161" i="20"/>
  <c r="R160" i="20"/>
  <c r="R159" i="20"/>
  <c r="R158" i="20"/>
  <c r="R157" i="20"/>
  <c r="R156" i="20"/>
  <c r="R155" i="20"/>
  <c r="R154" i="20"/>
  <c r="R153" i="20"/>
  <c r="R152" i="20"/>
  <c r="R151" i="20"/>
  <c r="R150" i="20"/>
  <c r="R149" i="20"/>
  <c r="R148" i="20"/>
  <c r="R147" i="20"/>
  <c r="R146" i="20"/>
  <c r="R145" i="20"/>
  <c r="R144" i="20"/>
  <c r="R143" i="20"/>
  <c r="R142" i="20"/>
  <c r="R141" i="20"/>
  <c r="R140" i="20"/>
  <c r="R139" i="20"/>
  <c r="R138" i="20"/>
  <c r="R137" i="20"/>
  <c r="R136" i="20"/>
  <c r="R135" i="20"/>
  <c r="R134" i="20"/>
  <c r="R133" i="20"/>
  <c r="R132" i="20"/>
  <c r="R131" i="20"/>
  <c r="R130" i="20"/>
  <c r="R129" i="20"/>
  <c r="R128" i="20"/>
  <c r="R127" i="20"/>
  <c r="R126" i="20"/>
  <c r="R125" i="20"/>
  <c r="R124" i="20"/>
  <c r="R123" i="20"/>
  <c r="R122" i="20"/>
  <c r="R121" i="20"/>
  <c r="R120" i="20"/>
  <c r="R119" i="20"/>
  <c r="R118" i="20"/>
  <c r="R117" i="20"/>
  <c r="R116" i="20"/>
  <c r="R115" i="20"/>
  <c r="R114" i="20"/>
  <c r="R113" i="20"/>
  <c r="R112" i="20"/>
  <c r="R111" i="20"/>
  <c r="R110" i="20"/>
  <c r="R109" i="20"/>
  <c r="R108" i="20"/>
  <c r="R107" i="20"/>
  <c r="R106" i="20"/>
  <c r="R105" i="20"/>
  <c r="R104" i="20"/>
  <c r="R103" i="20"/>
  <c r="R102" i="20"/>
  <c r="R101" i="20"/>
  <c r="R100" i="20"/>
  <c r="R99" i="20"/>
  <c r="R98" i="20"/>
  <c r="R97" i="20"/>
  <c r="R96" i="20"/>
  <c r="R95" i="20"/>
  <c r="R94" i="20"/>
  <c r="R93" i="20"/>
  <c r="R92" i="20"/>
  <c r="R91" i="20"/>
  <c r="R90" i="20"/>
  <c r="R89" i="20"/>
  <c r="R88" i="20"/>
  <c r="R87" i="20"/>
  <c r="R86" i="20"/>
  <c r="R85" i="20"/>
  <c r="R84" i="20"/>
  <c r="R83" i="20"/>
  <c r="R82" i="20"/>
  <c r="R81" i="20"/>
  <c r="R80" i="20"/>
  <c r="R79" i="20"/>
  <c r="R78" i="20"/>
  <c r="R77" i="20"/>
  <c r="R76" i="20"/>
  <c r="R75" i="20"/>
  <c r="R74" i="20"/>
  <c r="R73" i="20"/>
  <c r="R72" i="20"/>
  <c r="R71" i="20"/>
  <c r="R70" i="20"/>
  <c r="R69" i="20"/>
  <c r="R68" i="20"/>
  <c r="R67" i="20"/>
  <c r="R66" i="20"/>
  <c r="R65" i="20"/>
  <c r="R64" i="20"/>
  <c r="R63" i="20"/>
  <c r="R62" i="20"/>
  <c r="R61" i="20"/>
  <c r="R60" i="20"/>
  <c r="R59" i="20"/>
  <c r="R58" i="20"/>
  <c r="R57" i="20"/>
  <c r="R56" i="20"/>
  <c r="R55" i="20"/>
  <c r="R54" i="20"/>
  <c r="R53" i="20"/>
  <c r="R52" i="20"/>
  <c r="R51" i="20"/>
  <c r="R50" i="20"/>
  <c r="R49" i="20"/>
  <c r="R48" i="20"/>
  <c r="R47" i="20"/>
  <c r="R46" i="20"/>
  <c r="R45" i="20"/>
  <c r="R44" i="20"/>
  <c r="R43" i="20"/>
  <c r="R42" i="20"/>
  <c r="R41" i="20"/>
  <c r="R40" i="20"/>
  <c r="R39" i="20"/>
  <c r="R38" i="20"/>
  <c r="R37" i="20"/>
  <c r="R36" i="20"/>
  <c r="R35" i="20"/>
  <c r="R34" i="20"/>
  <c r="R33" i="20"/>
  <c r="R32" i="20"/>
  <c r="R31" i="20"/>
  <c r="R30" i="20"/>
  <c r="R29" i="20"/>
  <c r="R28" i="20"/>
  <c r="R27" i="20"/>
  <c r="R26" i="20"/>
  <c r="R25" i="20"/>
  <c r="R24" i="20"/>
  <c r="R23" i="20"/>
  <c r="R22" i="20"/>
  <c r="R21" i="20"/>
  <c r="R20" i="20"/>
  <c r="R19" i="20"/>
  <c r="R18" i="20"/>
  <c r="R17" i="20"/>
  <c r="R16" i="20"/>
  <c r="R15" i="20"/>
  <c r="R14" i="20"/>
  <c r="R13" i="20"/>
  <c r="R11" i="20"/>
  <c r="R10" i="20"/>
  <c r="R9" i="20"/>
  <c r="R8" i="20"/>
  <c r="R7" i="20"/>
  <c r="J184" i="20" l="1"/>
  <c r="J183" i="20"/>
  <c r="N183" i="20" s="1"/>
  <c r="J182" i="20"/>
  <c r="J181" i="20"/>
  <c r="M181" i="20" s="1"/>
  <c r="J180" i="20"/>
  <c r="J179" i="20"/>
  <c r="K179" i="20" s="1"/>
  <c r="J178" i="20"/>
  <c r="J177" i="20"/>
  <c r="J176" i="20"/>
  <c r="J175" i="20"/>
  <c r="K175" i="20" s="1"/>
  <c r="J174" i="20"/>
  <c r="J173" i="20"/>
  <c r="J172" i="20"/>
  <c r="J171" i="20"/>
  <c r="J169" i="20"/>
  <c r="J168" i="20"/>
  <c r="K168" i="20" s="1"/>
  <c r="J167" i="20"/>
  <c r="K167" i="20" s="1"/>
  <c r="J166" i="20"/>
  <c r="J165" i="20"/>
  <c r="J164" i="20"/>
  <c r="K164" i="20" s="1"/>
  <c r="J163" i="20"/>
  <c r="K163" i="20" s="1"/>
  <c r="J162" i="20"/>
  <c r="J161" i="20"/>
  <c r="J160" i="20"/>
  <c r="J159" i="20"/>
  <c r="K159" i="20" s="1"/>
  <c r="J158" i="20"/>
  <c r="J157" i="20"/>
  <c r="J156" i="20"/>
  <c r="J155" i="20"/>
  <c r="J154" i="20"/>
  <c r="J153" i="20"/>
  <c r="J152" i="20"/>
  <c r="J151" i="20"/>
  <c r="J150" i="20"/>
  <c r="J149" i="20"/>
  <c r="J148" i="20"/>
  <c r="J147" i="20"/>
  <c r="K147" i="20" s="1"/>
  <c r="J146" i="20"/>
  <c r="J145" i="20"/>
  <c r="J144" i="20"/>
  <c r="J143" i="20"/>
  <c r="J142" i="20"/>
  <c r="J141" i="20"/>
  <c r="J140" i="20"/>
  <c r="J139" i="20"/>
  <c r="J138" i="20"/>
  <c r="K138" i="20" s="1"/>
  <c r="J137" i="20"/>
  <c r="J136" i="20"/>
  <c r="J135" i="20"/>
  <c r="J134" i="20"/>
  <c r="J133" i="20"/>
  <c r="J132" i="20"/>
  <c r="J131" i="20"/>
  <c r="J130" i="20"/>
  <c r="J129" i="20"/>
  <c r="J128" i="20"/>
  <c r="J127" i="20"/>
  <c r="K127" i="20" s="1"/>
  <c r="J126" i="20"/>
  <c r="K126" i="20" s="1"/>
  <c r="J125" i="20"/>
  <c r="J124" i="20"/>
  <c r="J123" i="20"/>
  <c r="J122" i="20"/>
  <c r="J121" i="20"/>
  <c r="J120" i="20"/>
  <c r="J119" i="20"/>
  <c r="J118" i="20"/>
  <c r="J117" i="20"/>
  <c r="J116" i="20"/>
  <c r="K116" i="20" s="1"/>
  <c r="J115" i="20"/>
  <c r="K115" i="20" s="1"/>
  <c r="J114" i="20"/>
  <c r="K114" i="20" s="1"/>
  <c r="J113" i="20"/>
  <c r="J112" i="20"/>
  <c r="J111" i="20"/>
  <c r="K111" i="20" s="1"/>
  <c r="J110" i="20"/>
  <c r="J109" i="20"/>
  <c r="J108" i="20"/>
  <c r="J107" i="20"/>
  <c r="J106" i="20"/>
  <c r="K106" i="20" s="1"/>
  <c r="J105" i="20"/>
  <c r="J104" i="20"/>
  <c r="J103" i="20"/>
  <c r="J102" i="20"/>
  <c r="J101" i="20"/>
  <c r="J100" i="20"/>
  <c r="K100" i="20" s="1"/>
  <c r="J99" i="20"/>
  <c r="J98" i="20"/>
  <c r="J97" i="20"/>
  <c r="J96" i="20"/>
  <c r="J95" i="20"/>
  <c r="J94" i="20"/>
  <c r="J93" i="20"/>
  <c r="J92" i="20"/>
  <c r="J91" i="20"/>
  <c r="K91" i="20" s="1"/>
  <c r="J90" i="20"/>
  <c r="J89" i="20"/>
  <c r="J88" i="20"/>
  <c r="J87" i="20"/>
  <c r="J86" i="20"/>
  <c r="K86" i="20" s="1"/>
  <c r="J85" i="20"/>
  <c r="J84" i="20"/>
  <c r="J83" i="20"/>
  <c r="J82" i="20"/>
  <c r="J81" i="20"/>
  <c r="J80" i="20"/>
  <c r="J79" i="20"/>
  <c r="J78" i="20"/>
  <c r="J77" i="20"/>
  <c r="J76" i="20"/>
  <c r="K76" i="20" s="1"/>
  <c r="J75" i="20"/>
  <c r="K75" i="20" s="1"/>
  <c r="J74" i="20"/>
  <c r="J73" i="20"/>
  <c r="J72" i="20"/>
  <c r="J71" i="20"/>
  <c r="K71" i="20" s="1"/>
  <c r="J70" i="20"/>
  <c r="J69" i="20"/>
  <c r="K69" i="20" s="1"/>
  <c r="J68" i="20"/>
  <c r="J67" i="20"/>
  <c r="J66" i="20"/>
  <c r="J65" i="20"/>
  <c r="J64" i="20"/>
  <c r="J63" i="20"/>
  <c r="J62" i="20"/>
  <c r="J61" i="20"/>
  <c r="K61" i="20" s="1"/>
  <c r="J60" i="20"/>
  <c r="J59" i="20"/>
  <c r="J58" i="20"/>
  <c r="J57" i="20"/>
  <c r="J56" i="20"/>
  <c r="J55" i="20"/>
  <c r="J54" i="20"/>
  <c r="J53" i="20"/>
  <c r="J52" i="20"/>
  <c r="J51" i="20"/>
  <c r="J50" i="20"/>
  <c r="J49" i="20"/>
  <c r="J48" i="20"/>
  <c r="J47" i="20"/>
  <c r="J46" i="20"/>
  <c r="J45" i="20"/>
  <c r="J44" i="20"/>
  <c r="J43" i="20"/>
  <c r="M43" i="20" s="1"/>
  <c r="J42" i="20"/>
  <c r="J41" i="20"/>
  <c r="J40" i="20"/>
  <c r="J39" i="20"/>
  <c r="J38" i="20"/>
  <c r="J37" i="20"/>
  <c r="J36" i="20"/>
  <c r="J35" i="20"/>
  <c r="J34" i="20"/>
  <c r="J33" i="20"/>
  <c r="J32" i="20"/>
  <c r="J31" i="20"/>
  <c r="J30" i="20"/>
  <c r="J29" i="20"/>
  <c r="J28" i="20"/>
  <c r="J27" i="20"/>
  <c r="J26" i="20"/>
  <c r="J25" i="20"/>
  <c r="J24" i="20"/>
  <c r="J23" i="20"/>
  <c r="J22" i="20"/>
  <c r="K22" i="20" s="1"/>
  <c r="J21" i="20"/>
  <c r="K21" i="20" s="1"/>
  <c r="J20" i="20"/>
  <c r="J19" i="20"/>
  <c r="J18" i="20"/>
  <c r="K18" i="20" s="1"/>
  <c r="J17" i="20"/>
  <c r="K17" i="20" s="1"/>
  <c r="J16" i="20"/>
  <c r="J15" i="20"/>
  <c r="J14" i="20"/>
  <c r="K14" i="20" s="1"/>
  <c r="J13" i="20"/>
  <c r="N13" i="20" s="1"/>
  <c r="J11" i="20"/>
  <c r="M11" i="20" s="1"/>
  <c r="J10" i="20"/>
  <c r="J9" i="20"/>
  <c r="N9" i="20" s="1"/>
  <c r="J8" i="20"/>
  <c r="J7" i="20"/>
  <c r="K12" i="20" l="1"/>
  <c r="K101" i="20"/>
  <c r="K50" i="20"/>
  <c r="K131" i="20"/>
  <c r="K135" i="20"/>
  <c r="K23" i="20"/>
  <c r="K34" i="20"/>
  <c r="K142" i="20"/>
  <c r="N184" i="20"/>
  <c r="M182" i="20"/>
  <c r="K99" i="20"/>
  <c r="K160" i="20"/>
  <c r="K54" i="20"/>
  <c r="K65" i="20"/>
  <c r="K68" i="20"/>
  <c r="K139" i="20"/>
  <c r="K45" i="20"/>
  <c r="K51" i="20"/>
  <c r="K19" i="20"/>
  <c r="N43" i="20"/>
  <c r="K15" i="20"/>
  <c r="K108" i="20"/>
  <c r="K30" i="20"/>
  <c r="K38" i="20"/>
  <c r="M13" i="20"/>
  <c r="K27" i="20"/>
  <c r="K98" i="20"/>
  <c r="K134" i="20"/>
  <c r="K155" i="20"/>
  <c r="K180" i="20"/>
  <c r="K56" i="20"/>
  <c r="K130" i="20"/>
  <c r="K83" i="20"/>
  <c r="K93" i="20"/>
  <c r="N42" i="20"/>
  <c r="M42" i="20"/>
  <c r="K53" i="20"/>
  <c r="K70" i="20"/>
  <c r="N10" i="20"/>
  <c r="M10" i="20"/>
  <c r="K49" i="20"/>
  <c r="K74" i="20"/>
  <c r="N8" i="20"/>
  <c r="M8" i="20"/>
  <c r="K62" i="20"/>
  <c r="K67" i="20"/>
  <c r="K107" i="20"/>
  <c r="K43" i="20"/>
  <c r="M41" i="20"/>
  <c r="K46" i="20"/>
  <c r="K52" i="20"/>
  <c r="K55" i="20"/>
  <c r="K72" i="20"/>
  <c r="K92" i="20"/>
  <c r="M9" i="20"/>
  <c r="K26" i="20"/>
  <c r="K31" i="20"/>
  <c r="K35" i="20"/>
  <c r="K39" i="20"/>
  <c r="N41" i="20"/>
  <c r="K77" i="20"/>
  <c r="K109" i="20"/>
  <c r="K119" i="20"/>
  <c r="K122" i="20"/>
  <c r="K143" i="20"/>
  <c r="K148" i="20"/>
  <c r="K172" i="20"/>
  <c r="K57" i="20"/>
  <c r="K117" i="20"/>
  <c r="K123" i="20"/>
  <c r="K156" i="20"/>
  <c r="N182" i="20"/>
  <c r="K183" i="20"/>
  <c r="K182" i="20"/>
  <c r="K181" i="20"/>
  <c r="K184" i="20"/>
  <c r="N7" i="20"/>
  <c r="K10" i="20"/>
  <c r="N11" i="20"/>
  <c r="K105" i="20"/>
  <c r="K104" i="20"/>
  <c r="K103" i="20"/>
  <c r="K110" i="20"/>
  <c r="K113" i="20"/>
  <c r="K121" i="20"/>
  <c r="K120" i="20"/>
  <c r="K129" i="20"/>
  <c r="K136" i="20"/>
  <c r="K151" i="20"/>
  <c r="K150" i="20"/>
  <c r="K157" i="20"/>
  <c r="K166" i="20"/>
  <c r="K7" i="20"/>
  <c r="K11" i="20"/>
  <c r="K16" i="20"/>
  <c r="K20" i="20"/>
  <c r="K24" i="20"/>
  <c r="K28" i="20"/>
  <c r="K82" i="20"/>
  <c r="K97" i="20"/>
  <c r="K125" i="20"/>
  <c r="K132" i="20"/>
  <c r="K141" i="20"/>
  <c r="K153" i="20"/>
  <c r="K162" i="20"/>
  <c r="K78" i="20"/>
  <c r="K79" i="20"/>
  <c r="K88" i="20"/>
  <c r="K87" i="20"/>
  <c r="K8" i="20"/>
  <c r="K13" i="20"/>
  <c r="K25" i="20"/>
  <c r="K29" i="20"/>
  <c r="K32" i="20"/>
  <c r="K36" i="20"/>
  <c r="K40" i="20"/>
  <c r="K44" i="20"/>
  <c r="K58" i="20"/>
  <c r="K59" i="20"/>
  <c r="K60" i="20"/>
  <c r="K84" i="20"/>
  <c r="K85" i="20"/>
  <c r="M7" i="20"/>
  <c r="K9" i="20"/>
  <c r="K33" i="20"/>
  <c r="K37" i="20"/>
  <c r="K41" i="20"/>
  <c r="K42" i="20"/>
  <c r="K47" i="20"/>
  <c r="K48" i="20"/>
  <c r="K63" i="20"/>
  <c r="K64" i="20"/>
  <c r="K81" i="20"/>
  <c r="K96" i="20"/>
  <c r="K112" i="20"/>
  <c r="K118" i="20"/>
  <c r="K128" i="20"/>
  <c r="K137" i="20"/>
  <c r="K144" i="20"/>
  <c r="K149" i="20"/>
  <c r="K158" i="20"/>
  <c r="K165" i="20"/>
  <c r="K66" i="20"/>
  <c r="K73" i="20"/>
  <c r="K80" i="20"/>
  <c r="K90" i="20"/>
  <c r="K89" i="20"/>
  <c r="K94" i="20"/>
  <c r="K95" i="20"/>
  <c r="K124" i="20"/>
  <c r="K133" i="20"/>
  <c r="K140" i="20"/>
  <c r="K146" i="20"/>
  <c r="K145" i="20"/>
  <c r="K152" i="20"/>
  <c r="K154" i="20"/>
  <c r="K161" i="20"/>
  <c r="K174" i="20"/>
  <c r="K176" i="20"/>
  <c r="K173" i="20"/>
  <c r="K171" i="20"/>
  <c r="K170" i="20"/>
  <c r="K178" i="20"/>
  <c r="K102" i="20"/>
  <c r="K169" i="20"/>
  <c r="K177" i="20"/>
  <c r="N181" i="20"/>
  <c r="M183" i="20"/>
  <c r="M184" i="2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34" i="10"/>
  <c r="A335" i="10"/>
  <c r="A336" i="10"/>
  <c r="A337" i="10"/>
  <c r="A338" i="10"/>
  <c r="A339" i="10"/>
  <c r="A340"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67" i="10"/>
  <c r="A368" i="10"/>
  <c r="A369" i="10"/>
  <c r="A370" i="10"/>
  <c r="A371" i="10"/>
  <c r="A372" i="10"/>
  <c r="A373"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400" i="10"/>
  <c r="A401" i="10"/>
  <c r="A402" i="10"/>
  <c r="A403" i="10"/>
  <c r="A404" i="10"/>
  <c r="A405" i="10"/>
  <c r="A406" i="10"/>
  <c r="A407" i="10"/>
  <c r="A408" i="10"/>
  <c r="A409" i="10"/>
  <c r="A410" i="10"/>
  <c r="A411" i="10"/>
  <c r="A412" i="10"/>
  <c r="A413" i="10"/>
  <c r="A414" i="10"/>
  <c r="A415" i="10"/>
  <c r="A416" i="10"/>
  <c r="A417" i="10"/>
  <c r="A418" i="10"/>
  <c r="A419" i="10"/>
  <c r="A420" i="10"/>
  <c r="A421" i="10"/>
  <c r="A4" i="10"/>
  <c r="F5" i="5" l="1"/>
  <c r="H28" i="5" l="1"/>
  <c r="AU9" i="5" l="1"/>
  <c r="AU10" i="5"/>
  <c r="AU11" i="5"/>
  <c r="AU12" i="5"/>
  <c r="AU13" i="5"/>
  <c r="AU14" i="5"/>
  <c r="AU15" i="5"/>
  <c r="AU16" i="5"/>
  <c r="AU17" i="5"/>
  <c r="AU18" i="5"/>
  <c r="AU19" i="5"/>
  <c r="AU20" i="5"/>
  <c r="AU21" i="5"/>
  <c r="AU22" i="5"/>
  <c r="AU23" i="5"/>
  <c r="AU24" i="5"/>
  <c r="AU25" i="5"/>
  <c r="AU26" i="5"/>
  <c r="AU27" i="5"/>
  <c r="AU28" i="5"/>
  <c r="AU354" i="5"/>
  <c r="AU355" i="5"/>
  <c r="AU356" i="5"/>
  <c r="AU357" i="5"/>
  <c r="AU358" i="5"/>
  <c r="AU359" i="5"/>
  <c r="AU360" i="5"/>
  <c r="AU361" i="5"/>
  <c r="AU362" i="5"/>
  <c r="AU363" i="5"/>
  <c r="AU364" i="5"/>
  <c r="AU365" i="5"/>
  <c r="AU366" i="5"/>
  <c r="AU367" i="5"/>
  <c r="AU368" i="5"/>
  <c r="AU369" i="5"/>
  <c r="AU370" i="5"/>
  <c r="AU371" i="5"/>
  <c r="AU372" i="5"/>
  <c r="AU373" i="5"/>
  <c r="AU374" i="5"/>
  <c r="AU8" i="5"/>
  <c r="AO9" i="5"/>
  <c r="AO10" i="5"/>
  <c r="AO11" i="5"/>
  <c r="AO12" i="5"/>
  <c r="AO13" i="5"/>
  <c r="AO14" i="5"/>
  <c r="AO15" i="5"/>
  <c r="AO16" i="5"/>
  <c r="AO17" i="5"/>
  <c r="AO18" i="5"/>
  <c r="AO19" i="5"/>
  <c r="AO20" i="5"/>
  <c r="AO21" i="5"/>
  <c r="AO22" i="5"/>
  <c r="AO23" i="5"/>
  <c r="AO24" i="5"/>
  <c r="AO25" i="5"/>
  <c r="AO26" i="5"/>
  <c r="AO27" i="5"/>
  <c r="AO28" i="5"/>
  <c r="AO354" i="5"/>
  <c r="AO355" i="5"/>
  <c r="AO356" i="5"/>
  <c r="AO357" i="5"/>
  <c r="AO358" i="5"/>
  <c r="AO359" i="5"/>
  <c r="AO360" i="5"/>
  <c r="AO361" i="5"/>
  <c r="AO362" i="5"/>
  <c r="AO363" i="5"/>
  <c r="AO364" i="5"/>
  <c r="AO365" i="5"/>
  <c r="AO366" i="5"/>
  <c r="AO367" i="5"/>
  <c r="AO368" i="5"/>
  <c r="AO369" i="5"/>
  <c r="AO370" i="5"/>
  <c r="AO371" i="5"/>
  <c r="AO372" i="5"/>
  <c r="AO373" i="5"/>
  <c r="AO374" i="5"/>
  <c r="AO8" i="5"/>
  <c r="N417" i="10" l="1"/>
  <c r="N390" i="10"/>
  <c r="N389" i="10"/>
  <c r="N387" i="10"/>
  <c r="N385" i="10"/>
  <c r="N117" i="10"/>
  <c r="N114" i="10"/>
  <c r="N80" i="10"/>
  <c r="N64" i="10"/>
  <c r="N54" i="10"/>
  <c r="N53" i="10"/>
  <c r="N52" i="10"/>
  <c r="N51" i="10"/>
  <c r="X418" i="10"/>
  <c r="N418" i="10" s="1"/>
  <c r="AD396" i="10"/>
  <c r="N396" i="10" s="1"/>
  <c r="AD395" i="10"/>
  <c r="AH394" i="10"/>
  <c r="AH393" i="10"/>
  <c r="X388" i="10"/>
  <c r="N388" i="10" s="1"/>
  <c r="Z386" i="10"/>
  <c r="Z384" i="10"/>
  <c r="N384" i="10" s="1"/>
  <c r="AJ375" i="10"/>
  <c r="AF375" i="10"/>
  <c r="AD375" i="10"/>
  <c r="Z375" i="10"/>
  <c r="AD374" i="10"/>
  <c r="N374" i="10" s="1"/>
  <c r="AD373" i="10"/>
  <c r="AH372" i="10"/>
  <c r="AH371" i="10"/>
  <c r="AB338" i="10"/>
  <c r="Z338" i="10"/>
  <c r="X338" i="10"/>
  <c r="AB336" i="10"/>
  <c r="Z336" i="10"/>
  <c r="X336" i="10"/>
  <c r="AJ334" i="10"/>
  <c r="AD334" i="10"/>
  <c r="AB334" i="10"/>
  <c r="AF327" i="10"/>
  <c r="AF299" i="10"/>
  <c r="AB282" i="10"/>
  <c r="Z282" i="10"/>
  <c r="X282" i="10"/>
  <c r="AB280" i="10"/>
  <c r="Z280" i="10"/>
  <c r="X280" i="10"/>
  <c r="AJ278" i="10"/>
  <c r="AD278" i="10"/>
  <c r="AB278" i="10"/>
  <c r="AF271" i="10"/>
  <c r="V245" i="10"/>
  <c r="V243" i="10"/>
  <c r="V240" i="10"/>
  <c r="V239" i="10"/>
  <c r="V238" i="10"/>
  <c r="V237" i="10"/>
  <c r="V236" i="10"/>
  <c r="V220" i="10"/>
  <c r="V219" i="10"/>
  <c r="V218" i="10"/>
  <c r="V217" i="10"/>
  <c r="V216" i="10"/>
  <c r="V215" i="10"/>
  <c r="V214" i="10"/>
  <c r="V213" i="10"/>
  <c r="V212" i="10"/>
  <c r="V211" i="10"/>
  <c r="V210" i="10"/>
  <c r="AT209" i="10"/>
  <c r="AS209" i="10"/>
  <c r="AR209" i="10"/>
  <c r="AQ209" i="10"/>
  <c r="AP209" i="10"/>
  <c r="AO209" i="10"/>
  <c r="AN209" i="10"/>
  <c r="AM209" i="10"/>
  <c r="AL209" i="10"/>
  <c r="AK209" i="10"/>
  <c r="AJ209" i="10"/>
  <c r="AI209" i="10"/>
  <c r="AH209" i="10"/>
  <c r="AG209" i="10"/>
  <c r="AF209" i="10"/>
  <c r="AE209" i="10"/>
  <c r="AD209" i="10"/>
  <c r="AC209" i="10"/>
  <c r="AB209" i="10"/>
  <c r="AA209" i="10"/>
  <c r="Z209" i="10"/>
  <c r="Y209" i="10"/>
  <c r="X209" i="10"/>
  <c r="W209" i="10"/>
  <c r="V209" i="10"/>
  <c r="V208" i="10"/>
  <c r="AJ205" i="10"/>
  <c r="AD205" i="10"/>
  <c r="AB205" i="10"/>
  <c r="AF198" i="10"/>
  <c r="AB168" i="10"/>
  <c r="Z168" i="10"/>
  <c r="X168" i="10"/>
  <c r="AB166" i="10"/>
  <c r="Z166" i="10"/>
  <c r="X166" i="10"/>
  <c r="AF151" i="10"/>
  <c r="AF145" i="10"/>
  <c r="AB104" i="10"/>
  <c r="N104" i="10" s="1"/>
  <c r="Z65" i="10"/>
  <c r="Z62" i="10"/>
  <c r="N62" i="10" s="1"/>
  <c r="AF50" i="10"/>
  <c r="AJ41" i="10"/>
  <c r="AF41" i="10"/>
  <c r="AD41" i="10"/>
  <c r="Z41" i="10"/>
  <c r="AD40" i="10"/>
  <c r="N40" i="10" s="1"/>
  <c r="AD39" i="10"/>
  <c r="AH38" i="10"/>
  <c r="AH37" i="10"/>
  <c r="AJ29" i="10"/>
  <c r="AF29" i="10"/>
  <c r="AD29" i="10"/>
  <c r="Z29" i="10"/>
  <c r="AD28" i="10"/>
  <c r="N28" i="10" s="1"/>
  <c r="AD27" i="10"/>
  <c r="AH26" i="10"/>
  <c r="AH25" i="10"/>
  <c r="B112" i="12" l="1"/>
  <c r="B105" i="12"/>
  <c r="B113" i="12" s="1"/>
  <c r="K96" i="12"/>
  <c r="L96" i="12" s="1"/>
  <c r="K95" i="12"/>
  <c r="L95" i="12" s="1"/>
  <c r="K94" i="12"/>
  <c r="L94" i="12" s="1"/>
  <c r="K93" i="12"/>
  <c r="L93" i="12" s="1"/>
  <c r="K92" i="12"/>
  <c r="L92" i="12" s="1"/>
  <c r="K91" i="12"/>
  <c r="L91" i="12" s="1"/>
  <c r="K90" i="12"/>
  <c r="L90" i="12" s="1"/>
  <c r="K89" i="12"/>
  <c r="L89" i="12" s="1"/>
  <c r="B114" i="12" l="1"/>
  <c r="C120" i="12" s="1"/>
  <c r="L97" i="12"/>
  <c r="K97" i="12"/>
  <c r="M9" i="5"/>
  <c r="BE9" i="5" s="1"/>
  <c r="M10" i="5"/>
  <c r="BE10" i="5" s="1"/>
  <c r="M11" i="5"/>
  <c r="BE11" i="5" s="1"/>
  <c r="M12" i="5"/>
  <c r="BE12" i="5" s="1"/>
  <c r="M13" i="5"/>
  <c r="BE13" i="5" s="1"/>
  <c r="M14" i="5"/>
  <c r="BE14" i="5" s="1"/>
  <c r="M15" i="5"/>
  <c r="BE15" i="5" s="1"/>
  <c r="M16" i="5"/>
  <c r="BE16" i="5" s="1"/>
  <c r="M17" i="5"/>
  <c r="BE17" i="5" s="1"/>
  <c r="M18" i="5"/>
  <c r="BE18" i="5" s="1"/>
  <c r="M19" i="5"/>
  <c r="BE19" i="5" s="1"/>
  <c r="M20" i="5"/>
  <c r="BE20" i="5" s="1"/>
  <c r="M21" i="5"/>
  <c r="BE21" i="5" s="1"/>
  <c r="M22" i="5"/>
  <c r="BE22" i="5" s="1"/>
  <c r="M23" i="5"/>
  <c r="BE23" i="5" s="1"/>
  <c r="M24" i="5"/>
  <c r="BE24" i="5" s="1"/>
  <c r="M25" i="5"/>
  <c r="BE25" i="5" s="1"/>
  <c r="M26" i="5"/>
  <c r="BE26" i="5" s="1"/>
  <c r="M27" i="5"/>
  <c r="BE27" i="5" s="1"/>
  <c r="M28" i="5"/>
  <c r="BE28" i="5" s="1"/>
  <c r="M29" i="5"/>
  <c r="BE29" i="5" s="1"/>
  <c r="M30" i="5"/>
  <c r="BE30" i="5" s="1"/>
  <c r="M31" i="5"/>
  <c r="BE31" i="5" s="1"/>
  <c r="M32" i="5"/>
  <c r="BE32" i="5" s="1"/>
  <c r="M33" i="5"/>
  <c r="BE33" i="5" s="1"/>
  <c r="M34" i="5"/>
  <c r="BE34" i="5" s="1"/>
  <c r="M35" i="5"/>
  <c r="BE35" i="5" s="1"/>
  <c r="M36" i="5"/>
  <c r="BE36" i="5" s="1"/>
  <c r="M37" i="5"/>
  <c r="BE37" i="5" s="1"/>
  <c r="M38" i="5"/>
  <c r="BE38" i="5" s="1"/>
  <c r="M39" i="5"/>
  <c r="BE39" i="5" s="1"/>
  <c r="M40" i="5"/>
  <c r="BE40" i="5" s="1"/>
  <c r="M41" i="5"/>
  <c r="BE41" i="5" s="1"/>
  <c r="M42" i="5"/>
  <c r="BE42" i="5" s="1"/>
  <c r="M43" i="5"/>
  <c r="BE43" i="5" s="1"/>
  <c r="M44" i="5"/>
  <c r="BE44" i="5" s="1"/>
  <c r="M45" i="5"/>
  <c r="BE45" i="5" s="1"/>
  <c r="M46" i="5"/>
  <c r="BE46" i="5" s="1"/>
  <c r="M47" i="5"/>
  <c r="BE47" i="5" s="1"/>
  <c r="M48" i="5"/>
  <c r="BE48" i="5" s="1"/>
  <c r="M49" i="5"/>
  <c r="BE49" i="5" s="1"/>
  <c r="M50" i="5"/>
  <c r="BE50" i="5" s="1"/>
  <c r="M51" i="5"/>
  <c r="BE51" i="5" s="1"/>
  <c r="M52" i="5"/>
  <c r="BE52" i="5" s="1"/>
  <c r="M53" i="5"/>
  <c r="BE53" i="5" s="1"/>
  <c r="M54" i="5"/>
  <c r="BE54" i="5" s="1"/>
  <c r="M55" i="5"/>
  <c r="BE55" i="5" s="1"/>
  <c r="M56" i="5"/>
  <c r="BE56" i="5" s="1"/>
  <c r="M57" i="5"/>
  <c r="BE57" i="5" s="1"/>
  <c r="M58" i="5"/>
  <c r="BE58" i="5" s="1"/>
  <c r="M59" i="5"/>
  <c r="BE59" i="5" s="1"/>
  <c r="M60" i="5"/>
  <c r="BE60" i="5" s="1"/>
  <c r="M61" i="5"/>
  <c r="BE61" i="5" s="1"/>
  <c r="M62" i="5"/>
  <c r="BE62" i="5" s="1"/>
  <c r="M63" i="5"/>
  <c r="BE63" i="5" s="1"/>
  <c r="M64" i="5"/>
  <c r="BE64" i="5" s="1"/>
  <c r="M65" i="5"/>
  <c r="BE65" i="5" s="1"/>
  <c r="M66" i="5"/>
  <c r="BE66" i="5" s="1"/>
  <c r="M67" i="5"/>
  <c r="BE67" i="5" s="1"/>
  <c r="M68" i="5"/>
  <c r="BE68" i="5" s="1"/>
  <c r="M69" i="5"/>
  <c r="BE69" i="5" s="1"/>
  <c r="M70" i="5"/>
  <c r="BE70" i="5" s="1"/>
  <c r="M71" i="5"/>
  <c r="BE71" i="5" s="1"/>
  <c r="M72" i="5"/>
  <c r="BE72" i="5" s="1"/>
  <c r="M73" i="5"/>
  <c r="BE73" i="5" s="1"/>
  <c r="M74" i="5"/>
  <c r="BE74" i="5" s="1"/>
  <c r="M75" i="5"/>
  <c r="BE75" i="5" s="1"/>
  <c r="M76" i="5"/>
  <c r="BE76" i="5" s="1"/>
  <c r="M77" i="5"/>
  <c r="BE77" i="5" s="1"/>
  <c r="M78" i="5"/>
  <c r="BE78" i="5" s="1"/>
  <c r="M79" i="5"/>
  <c r="BE79" i="5" s="1"/>
  <c r="M80" i="5"/>
  <c r="BE80" i="5" s="1"/>
  <c r="M81" i="5"/>
  <c r="BE81" i="5" s="1"/>
  <c r="M82" i="5"/>
  <c r="BE82" i="5" s="1"/>
  <c r="M83" i="5"/>
  <c r="BE83" i="5" s="1"/>
  <c r="M84" i="5"/>
  <c r="BE84" i="5" s="1"/>
  <c r="M85" i="5"/>
  <c r="BE85" i="5" s="1"/>
  <c r="M86" i="5"/>
  <c r="BE86" i="5" s="1"/>
  <c r="M87" i="5"/>
  <c r="BE87" i="5" s="1"/>
  <c r="M88" i="5"/>
  <c r="BE88" i="5" s="1"/>
  <c r="M89" i="5"/>
  <c r="BE89" i="5" s="1"/>
  <c r="M90" i="5"/>
  <c r="BE90" i="5" s="1"/>
  <c r="M91" i="5"/>
  <c r="BE91" i="5" s="1"/>
  <c r="M92" i="5"/>
  <c r="BE92" i="5" s="1"/>
  <c r="M93" i="5"/>
  <c r="BE93" i="5" s="1"/>
  <c r="M94" i="5"/>
  <c r="BE94" i="5" s="1"/>
  <c r="M95" i="5"/>
  <c r="BE95" i="5" s="1"/>
  <c r="M96" i="5"/>
  <c r="BE96" i="5" s="1"/>
  <c r="M97" i="5"/>
  <c r="BE97" i="5" s="1"/>
  <c r="M98" i="5"/>
  <c r="BE98" i="5" s="1"/>
  <c r="M99" i="5"/>
  <c r="BE99" i="5" s="1"/>
  <c r="M100" i="5"/>
  <c r="BE100" i="5" s="1"/>
  <c r="M101" i="5"/>
  <c r="BE101" i="5" s="1"/>
  <c r="M102" i="5"/>
  <c r="BE102" i="5" s="1"/>
  <c r="M103" i="5"/>
  <c r="BE103" i="5" s="1"/>
  <c r="M104" i="5"/>
  <c r="BE104" i="5" s="1"/>
  <c r="M105" i="5"/>
  <c r="BE105" i="5" s="1"/>
  <c r="M106" i="5"/>
  <c r="BE106" i="5" s="1"/>
  <c r="M107" i="5"/>
  <c r="BE107" i="5" s="1"/>
  <c r="M108" i="5"/>
  <c r="BE108" i="5" s="1"/>
  <c r="M109" i="5"/>
  <c r="BE109" i="5" s="1"/>
  <c r="M110" i="5"/>
  <c r="BE110" i="5" s="1"/>
  <c r="M111" i="5"/>
  <c r="BE111" i="5" s="1"/>
  <c r="M112" i="5"/>
  <c r="BE112" i="5" s="1"/>
  <c r="M113" i="5"/>
  <c r="BE113" i="5" s="1"/>
  <c r="M114" i="5"/>
  <c r="BE114" i="5" s="1"/>
  <c r="M115" i="5"/>
  <c r="BE115" i="5" s="1"/>
  <c r="M116" i="5"/>
  <c r="BE116" i="5" s="1"/>
  <c r="M117" i="5"/>
  <c r="BE117" i="5" s="1"/>
  <c r="M118" i="5"/>
  <c r="BE118" i="5" s="1"/>
  <c r="M119" i="5"/>
  <c r="BE119" i="5" s="1"/>
  <c r="M120" i="5"/>
  <c r="BE120" i="5" s="1"/>
  <c r="M121" i="5"/>
  <c r="BE121" i="5" s="1"/>
  <c r="M122" i="5"/>
  <c r="BE122" i="5" s="1"/>
  <c r="M123" i="5"/>
  <c r="BE123" i="5" s="1"/>
  <c r="M124" i="5"/>
  <c r="BE124" i="5" s="1"/>
  <c r="M125" i="5"/>
  <c r="BE125" i="5" s="1"/>
  <c r="M126" i="5"/>
  <c r="BE126" i="5" s="1"/>
  <c r="M127" i="5"/>
  <c r="BE127" i="5" s="1"/>
  <c r="M128" i="5"/>
  <c r="BE128" i="5" s="1"/>
  <c r="M129" i="5"/>
  <c r="BE129" i="5" s="1"/>
  <c r="M130" i="5"/>
  <c r="BE130" i="5" s="1"/>
  <c r="M131" i="5"/>
  <c r="BE131" i="5" s="1"/>
  <c r="M132" i="5"/>
  <c r="BE132" i="5" s="1"/>
  <c r="M133" i="5"/>
  <c r="BE133" i="5" s="1"/>
  <c r="M134" i="5"/>
  <c r="BE134" i="5" s="1"/>
  <c r="M135" i="5"/>
  <c r="BE135" i="5" s="1"/>
  <c r="M136" i="5"/>
  <c r="BE136" i="5" s="1"/>
  <c r="M137" i="5"/>
  <c r="BE137" i="5" s="1"/>
  <c r="M138" i="5"/>
  <c r="BE138" i="5" s="1"/>
  <c r="M139" i="5"/>
  <c r="BE139" i="5" s="1"/>
  <c r="M140" i="5"/>
  <c r="BE140" i="5" s="1"/>
  <c r="M141" i="5"/>
  <c r="BE141" i="5" s="1"/>
  <c r="M142" i="5"/>
  <c r="BE142" i="5" s="1"/>
  <c r="M143" i="5"/>
  <c r="BE143" i="5" s="1"/>
  <c r="M144" i="5"/>
  <c r="BE144" i="5" s="1"/>
  <c r="M145" i="5"/>
  <c r="BE145" i="5" s="1"/>
  <c r="M146" i="5"/>
  <c r="BE146" i="5" s="1"/>
  <c r="M147" i="5"/>
  <c r="BE147" i="5" s="1"/>
  <c r="M148" i="5"/>
  <c r="BE148" i="5" s="1"/>
  <c r="M149" i="5"/>
  <c r="BE149" i="5" s="1"/>
  <c r="M150" i="5"/>
  <c r="BE150" i="5" s="1"/>
  <c r="M151" i="5"/>
  <c r="BE151" i="5" s="1"/>
  <c r="M152" i="5"/>
  <c r="BE152" i="5" s="1"/>
  <c r="M153" i="5"/>
  <c r="BE153" i="5" s="1"/>
  <c r="M154" i="5"/>
  <c r="BE154" i="5" s="1"/>
  <c r="M155" i="5"/>
  <c r="BE155" i="5" s="1"/>
  <c r="M157" i="5"/>
  <c r="BE157" i="5" s="1"/>
  <c r="M158" i="5"/>
  <c r="BE158" i="5" s="1"/>
  <c r="M159" i="5"/>
  <c r="BE159" i="5" s="1"/>
  <c r="M160" i="5"/>
  <c r="BE160" i="5" s="1"/>
  <c r="M161" i="5"/>
  <c r="BE161" i="5" s="1"/>
  <c r="M162" i="5"/>
  <c r="BE162" i="5" s="1"/>
  <c r="M163" i="5"/>
  <c r="BE163" i="5" s="1"/>
  <c r="M164" i="5"/>
  <c r="BE164" i="5" s="1"/>
  <c r="M165" i="5"/>
  <c r="BE165" i="5" s="1"/>
  <c r="M166" i="5"/>
  <c r="BE166" i="5" s="1"/>
  <c r="M167" i="5"/>
  <c r="BE167" i="5" s="1"/>
  <c r="M168" i="5"/>
  <c r="BE168" i="5" s="1"/>
  <c r="M169" i="5"/>
  <c r="BE169" i="5" s="1"/>
  <c r="M170" i="5"/>
  <c r="BE170" i="5" s="1"/>
  <c r="M171" i="5"/>
  <c r="BE171" i="5" s="1"/>
  <c r="M172" i="5"/>
  <c r="BE172" i="5" s="1"/>
  <c r="M173" i="5"/>
  <c r="BE173" i="5" s="1"/>
  <c r="M174" i="5"/>
  <c r="BE174" i="5" s="1"/>
  <c r="M175" i="5"/>
  <c r="BE175" i="5" s="1"/>
  <c r="M176" i="5"/>
  <c r="BE176" i="5" s="1"/>
  <c r="M177" i="5"/>
  <c r="BE177" i="5" s="1"/>
  <c r="M178" i="5"/>
  <c r="BE178" i="5" s="1"/>
  <c r="M179" i="5"/>
  <c r="BE179" i="5" s="1"/>
  <c r="M180" i="5"/>
  <c r="BE180" i="5" s="1"/>
  <c r="M181" i="5"/>
  <c r="BE181" i="5" s="1"/>
  <c r="M182" i="5"/>
  <c r="BE182" i="5" s="1"/>
  <c r="M183" i="5"/>
  <c r="BE183" i="5" s="1"/>
  <c r="M184" i="5"/>
  <c r="BE184" i="5" s="1"/>
  <c r="M185" i="5"/>
  <c r="BE185" i="5" s="1"/>
  <c r="M186" i="5"/>
  <c r="BE186" i="5" s="1"/>
  <c r="M187" i="5"/>
  <c r="BE187" i="5" s="1"/>
  <c r="M188" i="5"/>
  <c r="BE188" i="5" s="1"/>
  <c r="M189" i="5"/>
  <c r="BE189" i="5" s="1"/>
  <c r="M190" i="5"/>
  <c r="BE190" i="5" s="1"/>
  <c r="M191" i="5"/>
  <c r="BE191" i="5" s="1"/>
  <c r="M192" i="5"/>
  <c r="BE192" i="5" s="1"/>
  <c r="M193" i="5"/>
  <c r="BE193" i="5" s="1"/>
  <c r="M194" i="5"/>
  <c r="BE194" i="5" s="1"/>
  <c r="M195" i="5"/>
  <c r="BE195" i="5" s="1"/>
  <c r="M196" i="5"/>
  <c r="BE196" i="5" s="1"/>
  <c r="M197" i="5"/>
  <c r="BE197" i="5" s="1"/>
  <c r="M198" i="5"/>
  <c r="BE198" i="5" s="1"/>
  <c r="M199" i="5"/>
  <c r="BE199" i="5" s="1"/>
  <c r="M200" i="5"/>
  <c r="BE200" i="5" s="1"/>
  <c r="M201" i="5"/>
  <c r="BE201" i="5" s="1"/>
  <c r="M202" i="5"/>
  <c r="BE202" i="5" s="1"/>
  <c r="M203" i="5"/>
  <c r="BE203" i="5" s="1"/>
  <c r="M204" i="5"/>
  <c r="BE204" i="5" s="1"/>
  <c r="M205" i="5"/>
  <c r="BE205" i="5" s="1"/>
  <c r="M206" i="5"/>
  <c r="BE206" i="5" s="1"/>
  <c r="M207" i="5"/>
  <c r="BE207" i="5" s="1"/>
  <c r="M208" i="5"/>
  <c r="BE208" i="5" s="1"/>
  <c r="M209" i="5"/>
  <c r="BE209" i="5" s="1"/>
  <c r="M210" i="5"/>
  <c r="BE210" i="5" s="1"/>
  <c r="M211" i="5"/>
  <c r="BE211" i="5" s="1"/>
  <c r="M250" i="5"/>
  <c r="BE250" i="5" s="1"/>
  <c r="M251" i="5"/>
  <c r="BE251" i="5" s="1"/>
  <c r="M252" i="5"/>
  <c r="BE252" i="5" s="1"/>
  <c r="M253" i="5"/>
  <c r="BE253" i="5" s="1"/>
  <c r="M254" i="5"/>
  <c r="BE254" i="5" s="1"/>
  <c r="M255" i="5"/>
  <c r="BE255" i="5" s="1"/>
  <c r="M256" i="5"/>
  <c r="BE256" i="5" s="1"/>
  <c r="M257" i="5"/>
  <c r="BE257" i="5" s="1"/>
  <c r="M258" i="5"/>
  <c r="BE258" i="5" s="1"/>
  <c r="M259" i="5"/>
  <c r="BE259" i="5" s="1"/>
  <c r="M260" i="5"/>
  <c r="BE260" i="5" s="1"/>
  <c r="M261" i="5"/>
  <c r="BE261" i="5" s="1"/>
  <c r="M262" i="5"/>
  <c r="BE262" i="5" s="1"/>
  <c r="M263" i="5"/>
  <c r="BE263" i="5" s="1"/>
  <c r="M264" i="5"/>
  <c r="BE264" i="5" s="1"/>
  <c r="M265" i="5"/>
  <c r="BE265" i="5" s="1"/>
  <c r="M266" i="5"/>
  <c r="BE266" i="5" s="1"/>
  <c r="M267" i="5"/>
  <c r="BE267" i="5" s="1"/>
  <c r="M268" i="5"/>
  <c r="BE268" i="5" s="1"/>
  <c r="M269" i="5"/>
  <c r="BE269" i="5" s="1"/>
  <c r="M270" i="5"/>
  <c r="BE270" i="5" s="1"/>
  <c r="M271" i="5"/>
  <c r="BE271" i="5" s="1"/>
  <c r="M272" i="5"/>
  <c r="BE272" i="5" s="1"/>
  <c r="M273" i="5"/>
  <c r="BE273" i="5" s="1"/>
  <c r="M274" i="5"/>
  <c r="BE274" i="5" s="1"/>
  <c r="M275" i="5"/>
  <c r="BE275" i="5" s="1"/>
  <c r="M276" i="5"/>
  <c r="BE276" i="5" s="1"/>
  <c r="M277" i="5"/>
  <c r="BE277" i="5" s="1"/>
  <c r="M278" i="5"/>
  <c r="BE278" i="5" s="1"/>
  <c r="M279" i="5"/>
  <c r="BE279" i="5" s="1"/>
  <c r="M280" i="5"/>
  <c r="BE280" i="5" s="1"/>
  <c r="M281" i="5"/>
  <c r="BE281" i="5" s="1"/>
  <c r="M282" i="5"/>
  <c r="BE282" i="5" s="1"/>
  <c r="M283" i="5"/>
  <c r="BE283" i="5" s="1"/>
  <c r="M284" i="5"/>
  <c r="BE284" i="5" s="1"/>
  <c r="M285" i="5"/>
  <c r="BE285" i="5" s="1"/>
  <c r="M286" i="5"/>
  <c r="BE286" i="5" s="1"/>
  <c r="M287" i="5"/>
  <c r="BE287" i="5" s="1"/>
  <c r="M288" i="5"/>
  <c r="BE288" i="5" s="1"/>
  <c r="M289" i="5"/>
  <c r="BE289" i="5" s="1"/>
  <c r="M290" i="5"/>
  <c r="BE290" i="5" s="1"/>
  <c r="M291" i="5"/>
  <c r="BE291" i="5" s="1"/>
  <c r="M292" i="5"/>
  <c r="BE292" i="5" s="1"/>
  <c r="M293" i="5"/>
  <c r="BE293" i="5" s="1"/>
  <c r="M294" i="5"/>
  <c r="BE294" i="5" s="1"/>
  <c r="M295" i="5"/>
  <c r="BE295" i="5" s="1"/>
  <c r="M296" i="5"/>
  <c r="BE296" i="5" s="1"/>
  <c r="M297" i="5"/>
  <c r="BE297" i="5" s="1"/>
  <c r="M298" i="5"/>
  <c r="BE298" i="5" s="1"/>
  <c r="M299" i="5"/>
  <c r="BE299" i="5" s="1"/>
  <c r="M300" i="5"/>
  <c r="BE300" i="5" s="1"/>
  <c r="M301" i="5"/>
  <c r="BE301" i="5" s="1"/>
  <c r="M302" i="5"/>
  <c r="BE302" i="5" s="1"/>
  <c r="M303" i="5"/>
  <c r="BE303" i="5" s="1"/>
  <c r="M304" i="5"/>
  <c r="BE304" i="5" s="1"/>
  <c r="M305" i="5"/>
  <c r="BE305" i="5" s="1"/>
  <c r="M306" i="5"/>
  <c r="BE306" i="5" s="1"/>
  <c r="M307" i="5"/>
  <c r="BE307" i="5" s="1"/>
  <c r="M308" i="5"/>
  <c r="BE308" i="5" s="1"/>
  <c r="M309" i="5"/>
  <c r="BE309" i="5" s="1"/>
  <c r="M310" i="5"/>
  <c r="BE310" i="5" s="1"/>
  <c r="M311" i="5"/>
  <c r="BE311" i="5" s="1"/>
  <c r="M312" i="5"/>
  <c r="BE312" i="5" s="1"/>
  <c r="M313" i="5"/>
  <c r="BE313" i="5" s="1"/>
  <c r="M314" i="5"/>
  <c r="BE314" i="5" s="1"/>
  <c r="M315" i="5"/>
  <c r="BE315" i="5" s="1"/>
  <c r="M316" i="5"/>
  <c r="BE316" i="5" s="1"/>
  <c r="M317" i="5"/>
  <c r="BE317" i="5" s="1"/>
  <c r="M318" i="5"/>
  <c r="BE318" i="5" s="1"/>
  <c r="M319" i="5"/>
  <c r="BE319" i="5" s="1"/>
  <c r="M320" i="5"/>
  <c r="BE320" i="5" s="1"/>
  <c r="M321" i="5"/>
  <c r="BE321" i="5" s="1"/>
  <c r="M322" i="5"/>
  <c r="BE322" i="5" s="1"/>
  <c r="M323" i="5"/>
  <c r="BE323" i="5" s="1"/>
  <c r="M324" i="5"/>
  <c r="BE324" i="5" s="1"/>
  <c r="M325" i="5"/>
  <c r="BE325" i="5" s="1"/>
  <c r="M326" i="5"/>
  <c r="BE326" i="5" s="1"/>
  <c r="M327" i="5"/>
  <c r="BE327" i="5" s="1"/>
  <c r="M328" i="5"/>
  <c r="BE328" i="5" s="1"/>
  <c r="M329" i="5"/>
  <c r="BE329" i="5" s="1"/>
  <c r="M330" i="5"/>
  <c r="BE330" i="5" s="1"/>
  <c r="M331" i="5"/>
  <c r="BE331" i="5" s="1"/>
  <c r="M332" i="5"/>
  <c r="BE332" i="5" s="1"/>
  <c r="M333" i="5"/>
  <c r="BE333" i="5" s="1"/>
  <c r="M334" i="5"/>
  <c r="BE334" i="5" s="1"/>
  <c r="M335" i="5"/>
  <c r="BE335" i="5" s="1"/>
  <c r="M336" i="5"/>
  <c r="BE336" i="5" s="1"/>
  <c r="M337" i="5"/>
  <c r="BE337" i="5" s="1"/>
  <c r="M338" i="5"/>
  <c r="BE338" i="5" s="1"/>
  <c r="M339" i="5"/>
  <c r="BE339" i="5" s="1"/>
  <c r="M340" i="5"/>
  <c r="BE340" i="5" s="1"/>
  <c r="M341" i="5"/>
  <c r="BE341" i="5" s="1"/>
  <c r="M342" i="5"/>
  <c r="BE342" i="5" s="1"/>
  <c r="M343" i="5"/>
  <c r="BE343" i="5" s="1"/>
  <c r="M344" i="5"/>
  <c r="BE344" i="5" s="1"/>
  <c r="M345" i="5"/>
  <c r="BE345" i="5" s="1"/>
  <c r="M346" i="5"/>
  <c r="BE346" i="5" s="1"/>
  <c r="M347" i="5"/>
  <c r="BE347" i="5" s="1"/>
  <c r="M348" i="5"/>
  <c r="BE348" i="5" s="1"/>
  <c r="M349" i="5"/>
  <c r="BE349" i="5" s="1"/>
  <c r="M350" i="5"/>
  <c r="BE350" i="5" s="1"/>
  <c r="M351" i="5"/>
  <c r="BE351" i="5" s="1"/>
  <c r="M352" i="5"/>
  <c r="BE352" i="5" s="1"/>
  <c r="M353" i="5"/>
  <c r="BE353" i="5" s="1"/>
  <c r="M354" i="5"/>
  <c r="BE354" i="5" s="1"/>
  <c r="M355" i="5"/>
  <c r="BE355" i="5" s="1"/>
  <c r="M356" i="5"/>
  <c r="BE356" i="5" s="1"/>
  <c r="M357" i="5"/>
  <c r="BE357" i="5" s="1"/>
  <c r="M358" i="5"/>
  <c r="BE358" i="5" s="1"/>
  <c r="M359" i="5"/>
  <c r="BE359" i="5" s="1"/>
  <c r="M360" i="5"/>
  <c r="BE360" i="5" s="1"/>
  <c r="M361" i="5"/>
  <c r="BE361" i="5" s="1"/>
  <c r="M362" i="5"/>
  <c r="BE362" i="5" s="1"/>
  <c r="M363" i="5"/>
  <c r="BE363" i="5" s="1"/>
  <c r="M364" i="5"/>
  <c r="BE364" i="5" s="1"/>
  <c r="M365" i="5"/>
  <c r="BE365" i="5" s="1"/>
  <c r="M366" i="5"/>
  <c r="BE366" i="5" s="1"/>
  <c r="M367" i="5"/>
  <c r="BE367" i="5" s="1"/>
  <c r="M368" i="5"/>
  <c r="BE368" i="5" s="1"/>
  <c r="M369" i="5"/>
  <c r="BE369" i="5" s="1"/>
  <c r="M370" i="5"/>
  <c r="BE370" i="5" s="1"/>
  <c r="M371" i="5"/>
  <c r="BE371" i="5" s="1"/>
  <c r="M372" i="5"/>
  <c r="BE372" i="5" s="1"/>
  <c r="M373" i="5"/>
  <c r="BE373" i="5" s="1"/>
  <c r="M374" i="5"/>
  <c r="BE374" i="5" s="1"/>
  <c r="M375" i="5"/>
  <c r="BE375" i="5" s="1"/>
  <c r="M376" i="5"/>
  <c r="BE376" i="5" s="1"/>
  <c r="M377" i="5"/>
  <c r="BE377" i="5" s="1"/>
  <c r="M378" i="5"/>
  <c r="BE378" i="5" s="1"/>
  <c r="M379" i="5"/>
  <c r="BE379" i="5" s="1"/>
  <c r="M380" i="5"/>
  <c r="BE380" i="5" s="1"/>
  <c r="M381" i="5"/>
  <c r="BE381" i="5" s="1"/>
  <c r="M382" i="5"/>
  <c r="BE382" i="5" s="1"/>
  <c r="M383" i="5"/>
  <c r="BE383" i="5" s="1"/>
  <c r="M384" i="5"/>
  <c r="BE384" i="5" s="1"/>
  <c r="M385" i="5"/>
  <c r="BE385" i="5" s="1"/>
  <c r="M386" i="5"/>
  <c r="BE386" i="5" s="1"/>
  <c r="M387" i="5"/>
  <c r="BE387" i="5" s="1"/>
  <c r="M388" i="5"/>
  <c r="BE388" i="5" s="1"/>
  <c r="M389" i="5"/>
  <c r="BE389" i="5" s="1"/>
  <c r="M390" i="5"/>
  <c r="BE390" i="5" s="1"/>
  <c r="M391" i="5"/>
  <c r="BE391" i="5" s="1"/>
  <c r="M392" i="5"/>
  <c r="BE392" i="5" s="1"/>
  <c r="M393" i="5"/>
  <c r="BE393" i="5" s="1"/>
  <c r="M394" i="5"/>
  <c r="BE394" i="5" s="1"/>
  <c r="M395" i="5"/>
  <c r="BE395" i="5" s="1"/>
  <c r="M396" i="5"/>
  <c r="BE396" i="5" s="1"/>
  <c r="M397" i="5"/>
  <c r="BE397" i="5" s="1"/>
  <c r="M398" i="5"/>
  <c r="BE398" i="5" s="1"/>
  <c r="M399" i="5"/>
  <c r="BE399" i="5" s="1"/>
  <c r="M400" i="5"/>
  <c r="BE400" i="5" s="1"/>
  <c r="M401" i="5"/>
  <c r="BE401" i="5" s="1"/>
  <c r="M402" i="5"/>
  <c r="BE402" i="5" s="1"/>
  <c r="M403" i="5"/>
  <c r="BE403" i="5" s="1"/>
  <c r="M404" i="5"/>
  <c r="BE404" i="5" s="1"/>
  <c r="M405" i="5"/>
  <c r="BE405" i="5" s="1"/>
  <c r="M406" i="5"/>
  <c r="BE406" i="5" s="1"/>
  <c r="M407" i="5"/>
  <c r="BE407" i="5" s="1"/>
  <c r="M408" i="5"/>
  <c r="BE408" i="5" s="1"/>
  <c r="M409" i="5"/>
  <c r="BE409" i="5" s="1"/>
  <c r="M410" i="5"/>
  <c r="BE410" i="5" s="1"/>
  <c r="M411" i="5"/>
  <c r="BE411" i="5" s="1"/>
  <c r="M412" i="5"/>
  <c r="BE412" i="5" s="1"/>
  <c r="M413" i="5"/>
  <c r="BE413" i="5" s="1"/>
  <c r="M414" i="5"/>
  <c r="BE414" i="5" s="1"/>
  <c r="M415" i="5"/>
  <c r="BE415" i="5" s="1"/>
  <c r="M416" i="5"/>
  <c r="BE416" i="5" s="1"/>
  <c r="M417" i="5"/>
  <c r="BE417" i="5" s="1"/>
  <c r="M418" i="5"/>
  <c r="BE418" i="5" s="1"/>
  <c r="M419" i="5"/>
  <c r="BE419" i="5" s="1"/>
  <c r="M420" i="5"/>
  <c r="BE420" i="5" s="1"/>
  <c r="M421" i="5"/>
  <c r="BE421" i="5" s="1"/>
  <c r="M422" i="5"/>
  <c r="BE422" i="5" s="1"/>
  <c r="M423" i="5"/>
  <c r="BE423" i="5" s="1"/>
  <c r="M424" i="5"/>
  <c r="BE424" i="5" s="1"/>
  <c r="M425" i="5"/>
  <c r="BE425" i="5" s="1"/>
  <c r="M220" i="5"/>
  <c r="BE220" i="5" s="1"/>
  <c r="T216" i="10"/>
  <c r="U216" i="10"/>
  <c r="M221" i="5"/>
  <c r="BE221" i="5" s="1"/>
  <c r="T217" i="10"/>
  <c r="U217" i="10"/>
  <c r="M222" i="5"/>
  <c r="BE222" i="5" s="1"/>
  <c r="T218" i="10"/>
  <c r="U218" i="10"/>
  <c r="M223" i="5"/>
  <c r="BE223" i="5" s="1"/>
  <c r="T219" i="10"/>
  <c r="U219" i="10"/>
  <c r="M224" i="5"/>
  <c r="BE224" i="5" s="1"/>
  <c r="T220" i="10"/>
  <c r="U220" i="10"/>
  <c r="M225" i="5"/>
  <c r="BE225" i="5" s="1"/>
  <c r="T221" i="10"/>
  <c r="U221" i="10"/>
  <c r="M226" i="5"/>
  <c r="BE226" i="5" s="1"/>
  <c r="T222" i="10"/>
  <c r="U222" i="10"/>
  <c r="M227" i="5"/>
  <c r="BE227" i="5" s="1"/>
  <c r="T223" i="10"/>
  <c r="U223" i="10"/>
  <c r="M228" i="5"/>
  <c r="BE228" i="5" s="1"/>
  <c r="T224" i="10"/>
  <c r="U224" i="10"/>
  <c r="M229" i="5"/>
  <c r="BE229" i="5" s="1"/>
  <c r="T225" i="10"/>
  <c r="U225" i="10"/>
  <c r="M230" i="5"/>
  <c r="BE230" i="5" s="1"/>
  <c r="T226" i="10"/>
  <c r="U226" i="10"/>
  <c r="M231" i="5"/>
  <c r="BE231" i="5" s="1"/>
  <c r="T227" i="10"/>
  <c r="U227" i="10"/>
  <c r="M232" i="5"/>
  <c r="BE232" i="5" s="1"/>
  <c r="T228" i="10"/>
  <c r="U228" i="10"/>
  <c r="M233" i="5"/>
  <c r="BE233" i="5" s="1"/>
  <c r="T229" i="10"/>
  <c r="U229" i="10"/>
  <c r="M234" i="5"/>
  <c r="BE234" i="5" s="1"/>
  <c r="T230" i="10"/>
  <c r="U230" i="10"/>
  <c r="M235" i="5"/>
  <c r="BE235" i="5" s="1"/>
  <c r="T231" i="10"/>
  <c r="U231" i="10"/>
  <c r="M236" i="5"/>
  <c r="BE236" i="5" s="1"/>
  <c r="T232" i="10"/>
  <c r="U232" i="10"/>
  <c r="M237" i="5"/>
  <c r="BE237" i="5" s="1"/>
  <c r="T233" i="10"/>
  <c r="U233" i="10"/>
  <c r="M238" i="5"/>
  <c r="BE238" i="5" s="1"/>
  <c r="T234" i="10"/>
  <c r="U234" i="10"/>
  <c r="M239" i="5"/>
  <c r="BE239" i="5" s="1"/>
  <c r="T235" i="10"/>
  <c r="U235" i="10"/>
  <c r="M240" i="5"/>
  <c r="BE240" i="5" s="1"/>
  <c r="T236" i="10"/>
  <c r="U236" i="10"/>
  <c r="M241" i="5"/>
  <c r="BE241" i="5" s="1"/>
  <c r="T237" i="10"/>
  <c r="U237" i="10"/>
  <c r="M242" i="5"/>
  <c r="BE242" i="5" s="1"/>
  <c r="T238" i="10"/>
  <c r="U238" i="10"/>
  <c r="M243" i="5"/>
  <c r="BE243" i="5" s="1"/>
  <c r="T239" i="10"/>
  <c r="U239" i="10"/>
  <c r="M244" i="5"/>
  <c r="BE244" i="5" s="1"/>
  <c r="T240" i="10"/>
  <c r="U240" i="10"/>
  <c r="R241" i="10"/>
  <c r="M245" i="5" s="1"/>
  <c r="BE245" i="5" s="1"/>
  <c r="S241" i="10"/>
  <c r="T241" i="10"/>
  <c r="U241" i="10"/>
  <c r="M246" i="5"/>
  <c r="BE246" i="5" s="1"/>
  <c r="T242" i="10"/>
  <c r="U242" i="10"/>
  <c r="M247" i="5"/>
  <c r="BE247" i="5" s="1"/>
  <c r="T243" i="10"/>
  <c r="U243" i="10"/>
  <c r="M248" i="5"/>
  <c r="BE248" i="5" s="1"/>
  <c r="S244" i="10"/>
  <c r="T244" i="10"/>
  <c r="U244" i="10"/>
  <c r="M249" i="5"/>
  <c r="BE249" i="5" s="1"/>
  <c r="S245" i="10"/>
  <c r="T245" i="10"/>
  <c r="U245" i="10"/>
  <c r="N241" i="10"/>
  <c r="R215" i="10"/>
  <c r="M219" i="5" s="1"/>
  <c r="BE219" i="5" s="1"/>
  <c r="S215" i="10"/>
  <c r="T215" i="10"/>
  <c r="U215" i="10"/>
  <c r="M213" i="5"/>
  <c r="BE213" i="5" s="1"/>
  <c r="T209" i="10"/>
  <c r="U209" i="10"/>
  <c r="M214" i="5"/>
  <c r="BE214" i="5" s="1"/>
  <c r="T210" i="10"/>
  <c r="U210" i="10"/>
  <c r="M215" i="5"/>
  <c r="BE215" i="5" s="1"/>
  <c r="T211" i="10"/>
  <c r="U211" i="10"/>
  <c r="M216" i="5"/>
  <c r="BE216" i="5" s="1"/>
  <c r="T212" i="10"/>
  <c r="U212" i="10"/>
  <c r="M217" i="5"/>
  <c r="BE217" i="5" s="1"/>
  <c r="T213" i="10"/>
  <c r="U213" i="10"/>
  <c r="M218" i="5"/>
  <c r="BE218" i="5" s="1"/>
  <c r="T214" i="10"/>
  <c r="U214" i="10"/>
  <c r="M212" i="5"/>
  <c r="BE212" i="5" s="1"/>
  <c r="T208" i="10"/>
  <c r="U208" i="10"/>
  <c r="T152" i="10"/>
  <c r="U152" i="10"/>
  <c r="M156" i="5"/>
  <c r="BE156" i="5" s="1"/>
  <c r="O38" i="16"/>
  <c r="P38" i="16"/>
  <c r="Q38" i="16"/>
  <c r="N38" i="16"/>
  <c r="C43" i="16"/>
  <c r="D43" i="16"/>
  <c r="E43" i="16"/>
  <c r="B43" i="16"/>
  <c r="B120" i="12" l="1"/>
  <c r="K418" i="10"/>
  <c r="L418" i="10" s="1"/>
  <c r="M418" i="10" s="1"/>
  <c r="K419" i="10"/>
  <c r="L419" i="10" s="1"/>
  <c r="M419" i="10" s="1"/>
  <c r="K420" i="10"/>
  <c r="L420" i="10" s="1"/>
  <c r="M420" i="10" s="1"/>
  <c r="K421" i="10"/>
  <c r="L421" i="10" s="1"/>
  <c r="M421" i="10" s="1"/>
  <c r="K417" i="10"/>
  <c r="L417" i="10" s="1"/>
  <c r="M417" i="10" s="1"/>
  <c r="C39" i="6"/>
  <c r="D39" i="6"/>
  <c r="E39" i="6"/>
  <c r="G39" i="6"/>
  <c r="H39" i="6"/>
  <c r="I39" i="6"/>
  <c r="K39" i="6"/>
  <c r="L39" i="6"/>
  <c r="M39" i="6"/>
  <c r="K292" i="10"/>
  <c r="K155" i="10"/>
  <c r="L155" i="10" s="1"/>
  <c r="M155" i="10" s="1"/>
  <c r="K154" i="10"/>
  <c r="L154" i="10" s="1"/>
  <c r="M154" i="10" s="1"/>
  <c r="K153" i="10"/>
  <c r="K146" i="10"/>
  <c r="L146" i="10" s="1"/>
  <c r="M146" i="10" s="1"/>
  <c r="K145" i="10"/>
  <c r="L145" i="10" s="1"/>
  <c r="M145" i="10" s="1"/>
  <c r="K144" i="10"/>
  <c r="L144" i="10" s="1"/>
  <c r="M144" i="10" s="1"/>
  <c r="K143" i="10"/>
  <c r="L143" i="10" s="1"/>
  <c r="M143" i="10" s="1"/>
  <c r="K142" i="10"/>
  <c r="L142" i="10" s="1"/>
  <c r="M142" i="10" s="1"/>
  <c r="K294" i="10"/>
  <c r="L294" i="10" s="1"/>
  <c r="M294" i="10" s="1"/>
  <c r="K293" i="10"/>
  <c r="K291" i="10"/>
  <c r="L291" i="10" s="1"/>
  <c r="M291" i="10" s="1"/>
  <c r="K290" i="10"/>
  <c r="L290" i="10" s="1"/>
  <c r="M290" i="10" s="1"/>
  <c r="K289" i="10"/>
  <c r="L289" i="10" s="1"/>
  <c r="M289" i="10" s="1"/>
  <c r="K288" i="10"/>
  <c r="L288" i="10" s="1"/>
  <c r="M288" i="10" s="1"/>
  <c r="K287" i="10"/>
  <c r="L287" i="10" s="1"/>
  <c r="M287" i="10" s="1"/>
  <c r="K286" i="10"/>
  <c r="L286" i="10" s="1"/>
  <c r="M286" i="10" s="1"/>
  <c r="K285" i="10"/>
  <c r="L285" i="10" s="1"/>
  <c r="M285" i="10" s="1"/>
  <c r="K284" i="10"/>
  <c r="L284" i="10" s="1"/>
  <c r="M284" i="10" s="1"/>
  <c r="K283" i="10"/>
  <c r="L283" i="10" s="1"/>
  <c r="M283" i="10" s="1"/>
  <c r="K282" i="10"/>
  <c r="L282" i="10" s="1"/>
  <c r="M282" i="10" s="1"/>
  <c r="K281" i="10"/>
  <c r="L281" i="10" s="1"/>
  <c r="M281" i="10" s="1"/>
  <c r="K280" i="10"/>
  <c r="L280" i="10" s="1"/>
  <c r="M280" i="10" s="1"/>
  <c r="K279" i="10"/>
  <c r="L279" i="10" s="1"/>
  <c r="M279" i="10" s="1"/>
  <c r="K278" i="10"/>
  <c r="L278" i="10" s="1"/>
  <c r="M278" i="10" s="1"/>
  <c r="K277" i="10"/>
  <c r="L277" i="10" s="1"/>
  <c r="M277" i="10" s="1"/>
  <c r="K276" i="10"/>
  <c r="L276" i="10" s="1"/>
  <c r="M276" i="10" s="1"/>
  <c r="K275" i="10"/>
  <c r="L275" i="10" s="1"/>
  <c r="M275" i="10" s="1"/>
  <c r="K274" i="10"/>
  <c r="L274" i="10" s="1"/>
  <c r="M274" i="10" s="1"/>
  <c r="K273" i="10"/>
  <c r="L273" i="10" s="1"/>
  <c r="M273" i="10" s="1"/>
  <c r="K272" i="10"/>
  <c r="L272" i="10" s="1"/>
  <c r="M272" i="10" s="1"/>
  <c r="K271" i="10"/>
  <c r="L271" i="10" s="1"/>
  <c r="M271" i="10" s="1"/>
  <c r="K270" i="10"/>
  <c r="L270" i="10" s="1"/>
  <c r="M270" i="10" s="1"/>
  <c r="K269" i="10"/>
  <c r="L269" i="10" s="1"/>
  <c r="M269" i="10" s="1"/>
  <c r="K268" i="10"/>
  <c r="L268" i="10" s="1"/>
  <c r="M268" i="10" s="1"/>
  <c r="K267" i="10"/>
  <c r="L267" i="10" s="1"/>
  <c r="M267" i="10" s="1"/>
  <c r="K266" i="10"/>
  <c r="L266" i="10" s="1"/>
  <c r="M266" i="10" s="1"/>
  <c r="K265" i="10"/>
  <c r="L265" i="10" s="1"/>
  <c r="M265" i="10" s="1"/>
  <c r="K264" i="10"/>
  <c r="L264" i="10" s="1"/>
  <c r="M264" i="10" s="1"/>
  <c r="K263" i="10"/>
  <c r="L263" i="10" s="1"/>
  <c r="M263" i="10" s="1"/>
  <c r="K262" i="10"/>
  <c r="L262" i="10" s="1"/>
  <c r="M262" i="10" s="1"/>
  <c r="K261" i="10"/>
  <c r="L261" i="10" s="1"/>
  <c r="M261" i="10" s="1"/>
  <c r="K260" i="10"/>
  <c r="L260" i="10" s="1"/>
  <c r="M260" i="10" s="1"/>
  <c r="K259" i="10"/>
  <c r="L259" i="10" s="1"/>
  <c r="M259" i="10" s="1"/>
  <c r="K258" i="10"/>
  <c r="L258" i="10" s="1"/>
  <c r="M258" i="10" s="1"/>
  <c r="K257" i="10"/>
  <c r="L257" i="10" s="1"/>
  <c r="M257" i="10" s="1"/>
  <c r="K256" i="10"/>
  <c r="L256" i="10" s="1"/>
  <c r="M256" i="10" s="1"/>
  <c r="K255" i="10"/>
  <c r="L255" i="10" s="1"/>
  <c r="M255" i="10" s="1"/>
  <c r="K254" i="10"/>
  <c r="L254" i="10" s="1"/>
  <c r="M254" i="10" s="1"/>
  <c r="K253" i="10"/>
  <c r="L253" i="10" s="1"/>
  <c r="M253" i="10" s="1"/>
  <c r="K252" i="10"/>
  <c r="L252" i="10" s="1"/>
  <c r="M252" i="10" s="1"/>
  <c r="K251" i="10"/>
  <c r="L251" i="10" s="1"/>
  <c r="M251" i="10" s="1"/>
  <c r="K250" i="10"/>
  <c r="L250" i="10" s="1"/>
  <c r="M250" i="10" s="1"/>
  <c r="K249" i="10"/>
  <c r="L249" i="10" s="1"/>
  <c r="M249" i="10" s="1"/>
  <c r="K248" i="10"/>
  <c r="L248" i="10" s="1"/>
  <c r="M248" i="10" s="1"/>
  <c r="K247" i="10"/>
  <c r="L247" i="10" s="1"/>
  <c r="M247" i="10" s="1"/>
  <c r="K246" i="10"/>
  <c r="L246" i="10" s="1"/>
  <c r="M246" i="10" s="1"/>
  <c r="K296" i="10"/>
  <c r="L296" i="10" s="1"/>
  <c r="M296" i="10" s="1"/>
  <c r="K297" i="10"/>
  <c r="L297" i="10" s="1"/>
  <c r="M297" i="10" s="1"/>
  <c r="K298" i="10"/>
  <c r="L298" i="10" s="1"/>
  <c r="M298" i="10" s="1"/>
  <c r="K299" i="10"/>
  <c r="L299" i="10" s="1"/>
  <c r="M299" i="10" s="1"/>
  <c r="K300" i="10"/>
  <c r="L300" i="10" s="1"/>
  <c r="M300" i="10" s="1"/>
  <c r="K301" i="10"/>
  <c r="L301" i="10" s="1"/>
  <c r="M301" i="10" s="1"/>
  <c r="K295" i="10"/>
  <c r="L295" i="10" s="1"/>
  <c r="M295" i="10" s="1"/>
  <c r="K349" i="10"/>
  <c r="L349" i="10" s="1"/>
  <c r="M349" i="10" s="1"/>
  <c r="K348" i="10"/>
  <c r="L348" i="10" s="1"/>
  <c r="M348" i="10" s="1"/>
  <c r="K303" i="10"/>
  <c r="L303" i="10" s="1"/>
  <c r="M303" i="10" s="1"/>
  <c r="K304" i="10"/>
  <c r="L304" i="10" s="1"/>
  <c r="M304" i="10" s="1"/>
  <c r="K305" i="10"/>
  <c r="L305" i="10" s="1"/>
  <c r="M305" i="10" s="1"/>
  <c r="K306" i="10"/>
  <c r="L306" i="10" s="1"/>
  <c r="M306" i="10" s="1"/>
  <c r="K307" i="10"/>
  <c r="L307" i="10" s="1"/>
  <c r="M307" i="10" s="1"/>
  <c r="K308" i="10"/>
  <c r="L308" i="10" s="1"/>
  <c r="M308" i="10" s="1"/>
  <c r="K309" i="10"/>
  <c r="L309" i="10" s="1"/>
  <c r="M309" i="10" s="1"/>
  <c r="K310" i="10"/>
  <c r="L310" i="10" s="1"/>
  <c r="M310" i="10" s="1"/>
  <c r="K311" i="10"/>
  <c r="L311" i="10" s="1"/>
  <c r="M311" i="10" s="1"/>
  <c r="K312" i="10"/>
  <c r="L312" i="10" s="1"/>
  <c r="M312" i="10" s="1"/>
  <c r="K313" i="10"/>
  <c r="L313" i="10" s="1"/>
  <c r="M313" i="10" s="1"/>
  <c r="K314" i="10"/>
  <c r="L314" i="10" s="1"/>
  <c r="M314" i="10" s="1"/>
  <c r="K315" i="10"/>
  <c r="L315" i="10" s="1"/>
  <c r="M315" i="10" s="1"/>
  <c r="K316" i="10"/>
  <c r="L316" i="10" s="1"/>
  <c r="M316" i="10" s="1"/>
  <c r="K317" i="10"/>
  <c r="L317" i="10" s="1"/>
  <c r="M317" i="10" s="1"/>
  <c r="K318" i="10"/>
  <c r="L318" i="10" s="1"/>
  <c r="M318" i="10" s="1"/>
  <c r="K319" i="10"/>
  <c r="L319" i="10" s="1"/>
  <c r="M319" i="10" s="1"/>
  <c r="K320" i="10"/>
  <c r="L320" i="10" s="1"/>
  <c r="M320" i="10" s="1"/>
  <c r="K321" i="10"/>
  <c r="L321" i="10" s="1"/>
  <c r="M321" i="10" s="1"/>
  <c r="K322" i="10"/>
  <c r="L322" i="10" s="1"/>
  <c r="M322" i="10" s="1"/>
  <c r="K323" i="10"/>
  <c r="L323" i="10" s="1"/>
  <c r="M323" i="10" s="1"/>
  <c r="K324" i="10"/>
  <c r="L324" i="10" s="1"/>
  <c r="M324" i="10" s="1"/>
  <c r="K325" i="10"/>
  <c r="L325" i="10" s="1"/>
  <c r="M325" i="10" s="1"/>
  <c r="K326" i="10"/>
  <c r="L326" i="10" s="1"/>
  <c r="M326" i="10" s="1"/>
  <c r="K327" i="10"/>
  <c r="L327" i="10" s="1"/>
  <c r="M327" i="10" s="1"/>
  <c r="K328" i="10"/>
  <c r="L328" i="10" s="1"/>
  <c r="M328" i="10" s="1"/>
  <c r="K329" i="10"/>
  <c r="L329" i="10" s="1"/>
  <c r="M329" i="10" s="1"/>
  <c r="K330" i="10"/>
  <c r="L330" i="10" s="1"/>
  <c r="M330" i="10" s="1"/>
  <c r="K331" i="10"/>
  <c r="L331" i="10" s="1"/>
  <c r="M331" i="10" s="1"/>
  <c r="K332" i="10"/>
  <c r="L332" i="10" s="1"/>
  <c r="M332" i="10" s="1"/>
  <c r="K333" i="10"/>
  <c r="L333" i="10" s="1"/>
  <c r="M333" i="10" s="1"/>
  <c r="K302" i="10"/>
  <c r="L302" i="10" s="1"/>
  <c r="M302" i="10" s="1"/>
  <c r="K148" i="10" l="1"/>
  <c r="K149" i="10"/>
  <c r="K150" i="10"/>
  <c r="K151" i="10"/>
  <c r="K152" i="10"/>
  <c r="K147" i="10"/>
  <c r="K179" i="10"/>
  <c r="L179" i="10" s="1"/>
  <c r="M179" i="10" s="1"/>
  <c r="K180" i="10"/>
  <c r="L180" i="10" s="1"/>
  <c r="M180" i="10" s="1"/>
  <c r="K181" i="10"/>
  <c r="L181" i="10" s="1"/>
  <c r="M181" i="10" s="1"/>
  <c r="K182" i="10"/>
  <c r="L182" i="10" s="1"/>
  <c r="M182" i="10" s="1"/>
  <c r="K183" i="10"/>
  <c r="L183" i="10" s="1"/>
  <c r="M183" i="10" s="1"/>
  <c r="K184" i="10"/>
  <c r="L184" i="10" s="1"/>
  <c r="M184" i="10" s="1"/>
  <c r="K185" i="10"/>
  <c r="L185" i="10" s="1"/>
  <c r="M185" i="10" s="1"/>
  <c r="K186" i="10"/>
  <c r="L186" i="10" s="1"/>
  <c r="M186" i="10" s="1"/>
  <c r="K187" i="10"/>
  <c r="L187" i="10" s="1"/>
  <c r="M187" i="10" s="1"/>
  <c r="K188" i="10"/>
  <c r="L188" i="10" s="1"/>
  <c r="M188" i="10" s="1"/>
  <c r="K189" i="10"/>
  <c r="L189" i="10" s="1"/>
  <c r="M189" i="10" s="1"/>
  <c r="K190" i="10"/>
  <c r="L190" i="10" s="1"/>
  <c r="M190" i="10" s="1"/>
  <c r="K191" i="10"/>
  <c r="L191" i="10" s="1"/>
  <c r="M191" i="10" s="1"/>
  <c r="K192" i="10"/>
  <c r="L192" i="10" s="1"/>
  <c r="M192" i="10" s="1"/>
  <c r="K193" i="10"/>
  <c r="L193" i="10" s="1"/>
  <c r="M193" i="10" s="1"/>
  <c r="K194" i="10"/>
  <c r="L194" i="10" s="1"/>
  <c r="M194" i="10" s="1"/>
  <c r="K195" i="10"/>
  <c r="L195" i="10" s="1"/>
  <c r="M195" i="10" s="1"/>
  <c r="K196" i="10"/>
  <c r="L196" i="10" s="1"/>
  <c r="M196" i="10" s="1"/>
  <c r="K197" i="10"/>
  <c r="L197" i="10" s="1"/>
  <c r="M197" i="10" s="1"/>
  <c r="K198" i="10"/>
  <c r="L198" i="10" s="1"/>
  <c r="M198" i="10" s="1"/>
  <c r="K199" i="10"/>
  <c r="L199" i="10" s="1"/>
  <c r="M199" i="10" s="1"/>
  <c r="K200" i="10"/>
  <c r="L200" i="10" s="1"/>
  <c r="M200" i="10" s="1"/>
  <c r="K201" i="10"/>
  <c r="L201" i="10" s="1"/>
  <c r="M201" i="10" s="1"/>
  <c r="K202" i="10"/>
  <c r="L202" i="10" s="1"/>
  <c r="M202" i="10" s="1"/>
  <c r="K203" i="10"/>
  <c r="L203" i="10" s="1"/>
  <c r="M203" i="10" s="1"/>
  <c r="K204" i="10"/>
  <c r="L204" i="10" s="1"/>
  <c r="M204" i="10" s="1"/>
  <c r="K178" i="10"/>
  <c r="L178" i="10" s="1"/>
  <c r="M178" i="10" s="1"/>
  <c r="L151" i="10" l="1"/>
  <c r="M151" i="10"/>
  <c r="L150" i="10"/>
  <c r="M150" i="10"/>
  <c r="L147" i="10"/>
  <c r="M147" i="10"/>
  <c r="L149" i="10"/>
  <c r="M149" i="10"/>
  <c r="L152" i="10"/>
  <c r="M152" i="10"/>
  <c r="L148" i="10"/>
  <c r="M148" i="10"/>
  <c r="K209" i="10"/>
  <c r="L209" i="10" s="1"/>
  <c r="M209" i="10" s="1"/>
  <c r="K210" i="10"/>
  <c r="L210" i="10" s="1"/>
  <c r="M210" i="10" s="1"/>
  <c r="K211" i="10"/>
  <c r="L211" i="10" s="1"/>
  <c r="M211" i="10" s="1"/>
  <c r="K212" i="10"/>
  <c r="L212" i="10" s="1"/>
  <c r="M212" i="10" s="1"/>
  <c r="K213" i="10"/>
  <c r="L213" i="10" s="1"/>
  <c r="M213" i="10" s="1"/>
  <c r="K214" i="10"/>
  <c r="L214" i="10" s="1"/>
  <c r="M214" i="10" s="1"/>
  <c r="K215" i="10"/>
  <c r="L215" i="10" s="1"/>
  <c r="M215" i="10" s="1"/>
  <c r="K216" i="10"/>
  <c r="L216" i="10" s="1"/>
  <c r="M216" i="10" s="1"/>
  <c r="K217" i="10"/>
  <c r="L217" i="10" s="1"/>
  <c r="M217" i="10" s="1"/>
  <c r="K218" i="10"/>
  <c r="L218" i="10" s="1"/>
  <c r="M218" i="10" s="1"/>
  <c r="K219" i="10"/>
  <c r="L219" i="10" s="1"/>
  <c r="M219" i="10" s="1"/>
  <c r="K220" i="10"/>
  <c r="L220" i="10" s="1"/>
  <c r="M220" i="10" s="1"/>
  <c r="K221" i="10"/>
  <c r="L221" i="10" s="1"/>
  <c r="M221" i="10" s="1"/>
  <c r="K222" i="10"/>
  <c r="L222" i="10" s="1"/>
  <c r="M222" i="10" s="1"/>
  <c r="K223" i="10"/>
  <c r="L223" i="10" s="1"/>
  <c r="M223" i="10" s="1"/>
  <c r="K224" i="10"/>
  <c r="L224" i="10" s="1"/>
  <c r="M224" i="10" s="1"/>
  <c r="K225" i="10"/>
  <c r="L225" i="10" s="1"/>
  <c r="M225" i="10" s="1"/>
  <c r="K226" i="10"/>
  <c r="L226" i="10" s="1"/>
  <c r="M226" i="10" s="1"/>
  <c r="K227" i="10"/>
  <c r="L227" i="10" s="1"/>
  <c r="M227" i="10" s="1"/>
  <c r="K228" i="10"/>
  <c r="L228" i="10" s="1"/>
  <c r="M228" i="10" s="1"/>
  <c r="K229" i="10"/>
  <c r="L229" i="10" s="1"/>
  <c r="M229" i="10" s="1"/>
  <c r="K230" i="10"/>
  <c r="L230" i="10" s="1"/>
  <c r="M230" i="10" s="1"/>
  <c r="K231" i="10"/>
  <c r="L231" i="10" s="1"/>
  <c r="M231" i="10" s="1"/>
  <c r="K232" i="10"/>
  <c r="L232" i="10" s="1"/>
  <c r="M232" i="10" s="1"/>
  <c r="K233" i="10"/>
  <c r="L233" i="10" s="1"/>
  <c r="M233" i="10" s="1"/>
  <c r="K234" i="10"/>
  <c r="L234" i="10" s="1"/>
  <c r="M234" i="10" s="1"/>
  <c r="K235" i="10"/>
  <c r="L235" i="10" s="1"/>
  <c r="M235" i="10" s="1"/>
  <c r="K236" i="10"/>
  <c r="L236" i="10" s="1"/>
  <c r="M236" i="10" s="1"/>
  <c r="K237" i="10"/>
  <c r="L237" i="10" s="1"/>
  <c r="M237" i="10" s="1"/>
  <c r="K238" i="10"/>
  <c r="L238" i="10" s="1"/>
  <c r="M238" i="10" s="1"/>
  <c r="K239" i="10"/>
  <c r="L239" i="10" s="1"/>
  <c r="M239" i="10" s="1"/>
  <c r="K240" i="10"/>
  <c r="L240" i="10" s="1"/>
  <c r="M240" i="10" s="1"/>
  <c r="K241" i="10"/>
  <c r="L241" i="10" s="1"/>
  <c r="M241" i="10" s="1"/>
  <c r="K242" i="10"/>
  <c r="L242" i="10" s="1"/>
  <c r="M242" i="10" s="1"/>
  <c r="K243" i="10"/>
  <c r="L243" i="10" s="1"/>
  <c r="M243" i="10" s="1"/>
  <c r="K244" i="10"/>
  <c r="L244" i="10" s="1"/>
  <c r="M244" i="10" s="1"/>
  <c r="K245" i="10"/>
  <c r="L245" i="10" s="1"/>
  <c r="M245" i="10" s="1"/>
  <c r="K208" i="10"/>
  <c r="L208" i="10" s="1"/>
  <c r="M208" i="10" s="1"/>
  <c r="K399" i="10"/>
  <c r="L399" i="10" s="1"/>
  <c r="M399" i="10" s="1"/>
  <c r="K410" i="10"/>
  <c r="L410" i="10" s="1"/>
  <c r="M410" i="10" s="1"/>
  <c r="K411" i="10"/>
  <c r="L411" i="10" s="1"/>
  <c r="M411" i="10" s="1"/>
  <c r="K412" i="10"/>
  <c r="L412" i="10" s="1"/>
  <c r="M412" i="10" s="1"/>
  <c r="K413" i="10"/>
  <c r="L413" i="10" s="1"/>
  <c r="M413" i="10" s="1"/>
  <c r="K414" i="10"/>
  <c r="L414" i="10" s="1"/>
  <c r="M414" i="10" s="1"/>
  <c r="K415" i="10"/>
  <c r="L415" i="10" s="1"/>
  <c r="M415" i="10" s="1"/>
  <c r="K416" i="10"/>
  <c r="L416" i="10" s="1"/>
  <c r="M416" i="10" s="1"/>
  <c r="K43" i="10"/>
  <c r="M43" i="10" s="1"/>
  <c r="K45" i="10"/>
  <c r="M45" i="10" s="1"/>
  <c r="K47" i="10"/>
  <c r="M47" i="10" s="1"/>
  <c r="K49" i="10"/>
  <c r="K105" i="10"/>
  <c r="L105" i="10" s="1"/>
  <c r="M105" i="10" s="1"/>
  <c r="K106" i="10"/>
  <c r="L106" i="10" s="1"/>
  <c r="M106" i="10" s="1"/>
  <c r="K107" i="10"/>
  <c r="L107" i="10" s="1"/>
  <c r="M107" i="10" s="1"/>
  <c r="K111" i="10"/>
  <c r="L111" i="10" s="1"/>
  <c r="M111" i="10" s="1"/>
  <c r="K112" i="10"/>
  <c r="L112" i="10" s="1"/>
  <c r="M112" i="10" s="1"/>
  <c r="K114" i="10"/>
  <c r="L114" i="10" s="1"/>
  <c r="M114" i="10" s="1"/>
  <c r="K115" i="10"/>
  <c r="L115" i="10" s="1"/>
  <c r="M115" i="10" s="1"/>
  <c r="K116" i="10"/>
  <c r="L116" i="10" s="1"/>
  <c r="M116" i="10" s="1"/>
  <c r="K117" i="10"/>
  <c r="L117" i="10" s="1"/>
  <c r="M117" i="10" s="1"/>
  <c r="K118" i="10"/>
  <c r="L118" i="10" s="1"/>
  <c r="M118" i="10" s="1"/>
  <c r="K119" i="10"/>
  <c r="L119" i="10" s="1"/>
  <c r="M119" i="10" s="1"/>
  <c r="K122" i="10"/>
  <c r="L122" i="10" s="1"/>
  <c r="M122" i="10" s="1"/>
  <c r="K123" i="10"/>
  <c r="L123" i="10" s="1"/>
  <c r="M123" i="10" s="1"/>
  <c r="K126" i="10"/>
  <c r="L126" i="10" s="1"/>
  <c r="M126" i="10" s="1"/>
  <c r="K127" i="10"/>
  <c r="L127" i="10" s="1"/>
  <c r="M127" i="10" s="1"/>
  <c r="K128" i="10"/>
  <c r="L128" i="10" s="1"/>
  <c r="M128" i="10" s="1"/>
  <c r="K129" i="10"/>
  <c r="L129" i="10" s="1"/>
  <c r="M129" i="10" s="1"/>
  <c r="K130" i="10"/>
  <c r="L130" i="10" s="1"/>
  <c r="M130" i="10" s="1"/>
  <c r="K131" i="10"/>
  <c r="L131" i="10" s="1"/>
  <c r="M131" i="10" s="1"/>
  <c r="K132" i="10"/>
  <c r="L132" i="10" s="1"/>
  <c r="M132" i="10" s="1"/>
  <c r="K133" i="10"/>
  <c r="L133" i="10" s="1"/>
  <c r="M133" i="10" s="1"/>
  <c r="K134" i="10"/>
  <c r="L134" i="10" s="1"/>
  <c r="M134" i="10" s="1"/>
  <c r="K135" i="10"/>
  <c r="L135" i="10" s="1"/>
  <c r="M135" i="10" s="1"/>
  <c r="K136" i="10"/>
  <c r="L136" i="10" s="1"/>
  <c r="M136" i="10" s="1"/>
  <c r="K137" i="10"/>
  <c r="L137" i="10" s="1"/>
  <c r="M137" i="10" s="1"/>
  <c r="K138" i="10"/>
  <c r="L138" i="10" s="1"/>
  <c r="M138" i="10" s="1"/>
  <c r="K139" i="10"/>
  <c r="L139" i="10" s="1"/>
  <c r="M139" i="10" s="1"/>
  <c r="K140" i="10"/>
  <c r="L140" i="10" s="1"/>
  <c r="M140" i="10" s="1"/>
  <c r="K104" i="10"/>
  <c r="L104" i="10" s="1"/>
  <c r="M104" i="10" s="1"/>
  <c r="K141" i="10"/>
  <c r="K71" i="10"/>
  <c r="L71" i="10" s="1"/>
  <c r="M71" i="10" s="1"/>
  <c r="K72" i="10"/>
  <c r="L72" i="10" s="1"/>
  <c r="M72" i="10" s="1"/>
  <c r="K73" i="10"/>
  <c r="L73" i="10" s="1"/>
  <c r="M73" i="10" s="1"/>
  <c r="K74" i="10"/>
  <c r="L74" i="10" s="1"/>
  <c r="M74" i="10" s="1"/>
  <c r="K75" i="10"/>
  <c r="L75" i="10" s="1"/>
  <c r="M75" i="10" s="1"/>
  <c r="K76" i="10"/>
  <c r="L76" i="10" s="1"/>
  <c r="M76" i="10" s="1"/>
  <c r="K77" i="10"/>
  <c r="L77" i="10" s="1"/>
  <c r="M77" i="10" s="1"/>
  <c r="K78" i="10"/>
  <c r="L78" i="10" s="1"/>
  <c r="M78" i="10" s="1"/>
  <c r="K79" i="10"/>
  <c r="L79" i="10" s="1"/>
  <c r="M79" i="10" s="1"/>
  <c r="K80" i="10"/>
  <c r="L80" i="10" s="1"/>
  <c r="M80" i="10" s="1"/>
  <c r="K81" i="10"/>
  <c r="L81" i="10" s="1"/>
  <c r="M81" i="10" s="1"/>
  <c r="K82" i="10"/>
  <c r="L82" i="10" s="1"/>
  <c r="M82" i="10" s="1"/>
  <c r="K83" i="10"/>
  <c r="L83" i="10" s="1"/>
  <c r="M83" i="10" s="1"/>
  <c r="K84" i="10"/>
  <c r="L84" i="10" s="1"/>
  <c r="M84" i="10" s="1"/>
  <c r="K85" i="10"/>
  <c r="L85" i="10" s="1"/>
  <c r="M85" i="10" s="1"/>
  <c r="K86" i="10"/>
  <c r="L86" i="10" s="1"/>
  <c r="M86" i="10" s="1"/>
  <c r="K87" i="10"/>
  <c r="L87" i="10" s="1"/>
  <c r="M87" i="10" s="1"/>
  <c r="K88" i="10"/>
  <c r="L88" i="10" s="1"/>
  <c r="M88" i="10" s="1"/>
  <c r="K89" i="10"/>
  <c r="L89" i="10" s="1"/>
  <c r="M89" i="10" s="1"/>
  <c r="K90" i="10"/>
  <c r="L90" i="10" s="1"/>
  <c r="M90" i="10" s="1"/>
  <c r="K91" i="10"/>
  <c r="L91" i="10" s="1"/>
  <c r="M91" i="10" s="1"/>
  <c r="K92" i="10"/>
  <c r="L92" i="10" s="1"/>
  <c r="M92" i="10" s="1"/>
  <c r="K93" i="10"/>
  <c r="L93" i="10" s="1"/>
  <c r="M93" i="10" s="1"/>
  <c r="K94" i="10"/>
  <c r="L94" i="10" s="1"/>
  <c r="M94" i="10" s="1"/>
  <c r="K95" i="10"/>
  <c r="L95" i="10" s="1"/>
  <c r="M95" i="10" s="1"/>
  <c r="K96" i="10"/>
  <c r="L96" i="10" s="1"/>
  <c r="M96" i="10" s="1"/>
  <c r="K97" i="10"/>
  <c r="L97" i="10" s="1"/>
  <c r="M97" i="10" s="1"/>
  <c r="K98" i="10"/>
  <c r="L98" i="10" s="1"/>
  <c r="M98" i="10" s="1"/>
  <c r="K99" i="10"/>
  <c r="L99" i="10" s="1"/>
  <c r="M99" i="10" s="1"/>
  <c r="K100" i="10"/>
  <c r="L100" i="10" s="1"/>
  <c r="M100" i="10" s="1"/>
  <c r="K101" i="10"/>
  <c r="L101" i="10" s="1"/>
  <c r="M101" i="10" s="1"/>
  <c r="K102" i="10"/>
  <c r="L102" i="10" s="1"/>
  <c r="M102" i="10" s="1"/>
  <c r="K103" i="10"/>
  <c r="L103" i="10" s="1"/>
  <c r="M103" i="10" s="1"/>
  <c r="K70" i="10"/>
  <c r="L70" i="10" s="1"/>
  <c r="M70" i="10" s="1"/>
  <c r="K51" i="10"/>
  <c r="L51" i="10" s="1"/>
  <c r="M51" i="10" s="1"/>
  <c r="K52" i="10"/>
  <c r="L52" i="10" s="1"/>
  <c r="M52" i="10" s="1"/>
  <c r="K55" i="10"/>
  <c r="L55" i="10" s="1"/>
  <c r="M55" i="10" s="1"/>
  <c r="K56" i="10"/>
  <c r="L56" i="10" s="1"/>
  <c r="M56" i="10" s="1"/>
  <c r="K66" i="10"/>
  <c r="L66" i="10" s="1"/>
  <c r="M66" i="10" s="1"/>
  <c r="K67" i="10"/>
  <c r="L67" i="10" s="1"/>
  <c r="M67" i="10" s="1"/>
  <c r="K68" i="10"/>
  <c r="L68" i="10" s="1"/>
  <c r="M68" i="10" s="1"/>
  <c r="K69" i="10"/>
  <c r="L69" i="10" s="1"/>
  <c r="M69" i="10" s="1"/>
  <c r="K50" i="10"/>
  <c r="L50" i="10" s="1"/>
  <c r="M50" i="10" s="1"/>
  <c r="L49" i="10" l="1"/>
  <c r="M49" i="10"/>
  <c r="A156" i="5"/>
  <c r="B156" i="5"/>
  <c r="D156" i="5"/>
  <c r="G156" i="5"/>
  <c r="H156" i="5"/>
  <c r="I156" i="5"/>
  <c r="J156" i="5"/>
  <c r="K156" i="5"/>
  <c r="L156" i="5"/>
  <c r="R156" i="5"/>
  <c r="S156" i="5"/>
  <c r="T156" i="5"/>
  <c r="U156" i="5"/>
  <c r="AH156" i="5"/>
  <c r="K5" i="11"/>
  <c r="L5" i="11" s="1"/>
  <c r="K6" i="11"/>
  <c r="L6" i="11" s="1"/>
  <c r="K7" i="11"/>
  <c r="L7" i="11" s="1"/>
  <c r="K8" i="11"/>
  <c r="L8" i="11" s="1"/>
  <c r="K9" i="11"/>
  <c r="L9" i="11" s="1"/>
  <c r="K10" i="11"/>
  <c r="L10" i="11" s="1"/>
  <c r="K11" i="11"/>
  <c r="L11" i="11" s="1"/>
  <c r="K12" i="11"/>
  <c r="L12" i="11" s="1"/>
  <c r="A12" i="5"/>
  <c r="BM12" i="5" s="1"/>
  <c r="BN12" i="5" s="1"/>
  <c r="B12" i="5"/>
  <c r="D12" i="5"/>
  <c r="G12" i="5"/>
  <c r="K12" i="5"/>
  <c r="L12" i="5"/>
  <c r="R12" i="5"/>
  <c r="S12" i="5"/>
  <c r="T12" i="5"/>
  <c r="U12" i="5"/>
  <c r="AH12" i="5"/>
  <c r="A13" i="5"/>
  <c r="B13" i="5"/>
  <c r="D13" i="5"/>
  <c r="G13" i="5"/>
  <c r="K13" i="5"/>
  <c r="L13" i="5"/>
  <c r="R13" i="5"/>
  <c r="S13" i="5"/>
  <c r="T13" i="5"/>
  <c r="U13" i="5"/>
  <c r="AH13" i="5"/>
  <c r="A14" i="5"/>
  <c r="B14" i="5"/>
  <c r="D14" i="5"/>
  <c r="G14" i="5"/>
  <c r="K14" i="5"/>
  <c r="L14" i="5"/>
  <c r="R14" i="5"/>
  <c r="S14" i="5"/>
  <c r="T14" i="5"/>
  <c r="U14" i="5"/>
  <c r="AH14" i="5"/>
  <c r="A15" i="5"/>
  <c r="B15" i="5"/>
  <c r="D15" i="5"/>
  <c r="G15" i="5"/>
  <c r="K15" i="5"/>
  <c r="L15" i="5"/>
  <c r="R15" i="5"/>
  <c r="S15" i="5"/>
  <c r="T15" i="5"/>
  <c r="U15" i="5"/>
  <c r="AH15" i="5"/>
  <c r="A16" i="5"/>
  <c r="B16" i="5"/>
  <c r="D16" i="5"/>
  <c r="G16" i="5"/>
  <c r="K16" i="5"/>
  <c r="L16" i="5"/>
  <c r="R16" i="5"/>
  <c r="S16" i="5"/>
  <c r="AK16" i="5" s="1"/>
  <c r="T16" i="5"/>
  <c r="U16" i="5"/>
  <c r="AH16" i="5"/>
  <c r="A17" i="5"/>
  <c r="B17" i="5"/>
  <c r="D17" i="5"/>
  <c r="G17" i="5"/>
  <c r="K17" i="5"/>
  <c r="L17" i="5"/>
  <c r="R17" i="5"/>
  <c r="V17" i="5" s="1"/>
  <c r="BF17" i="5" s="1"/>
  <c r="S17" i="5"/>
  <c r="W17" i="5" s="1"/>
  <c r="BG17" i="5" s="1"/>
  <c r="T17" i="5"/>
  <c r="U17" i="5"/>
  <c r="AH17" i="5"/>
  <c r="A18" i="5"/>
  <c r="B18" i="5"/>
  <c r="D18" i="5"/>
  <c r="G18" i="5"/>
  <c r="K18" i="5"/>
  <c r="L18" i="5"/>
  <c r="R18" i="5"/>
  <c r="S18" i="5"/>
  <c r="T18" i="5"/>
  <c r="U18" i="5"/>
  <c r="AH18" i="5"/>
  <c r="A19" i="5"/>
  <c r="B19" i="5"/>
  <c r="D19" i="5"/>
  <c r="G19" i="5"/>
  <c r="K19" i="5"/>
  <c r="L19" i="5"/>
  <c r="R19" i="5"/>
  <c r="S19" i="5"/>
  <c r="T19" i="5"/>
  <c r="U19" i="5"/>
  <c r="AH19" i="5"/>
  <c r="A20" i="5"/>
  <c r="BM20" i="5" s="1"/>
  <c r="BN20" i="5" s="1"/>
  <c r="B20" i="5"/>
  <c r="D20" i="5"/>
  <c r="G20" i="5"/>
  <c r="K20" i="5"/>
  <c r="L20" i="5"/>
  <c r="R20" i="5"/>
  <c r="S20" i="5"/>
  <c r="T20" i="5"/>
  <c r="U20" i="5"/>
  <c r="AH20" i="5"/>
  <c r="A21" i="5"/>
  <c r="B21" i="5"/>
  <c r="D21" i="5"/>
  <c r="G21" i="5"/>
  <c r="K21" i="5"/>
  <c r="L21" i="5"/>
  <c r="R21" i="5"/>
  <c r="S21" i="5"/>
  <c r="T21" i="5"/>
  <c r="U21" i="5"/>
  <c r="AH21" i="5"/>
  <c r="A22" i="5"/>
  <c r="B22" i="5"/>
  <c r="D22" i="5"/>
  <c r="G22" i="5"/>
  <c r="K22" i="5"/>
  <c r="L22" i="5"/>
  <c r="R22" i="5"/>
  <c r="S22" i="5"/>
  <c r="T22" i="5"/>
  <c r="U22" i="5"/>
  <c r="AH22" i="5"/>
  <c r="A23" i="5"/>
  <c r="B23" i="5"/>
  <c r="D23" i="5"/>
  <c r="G23" i="5"/>
  <c r="K23" i="5"/>
  <c r="L23" i="5"/>
  <c r="R23" i="5"/>
  <c r="S23" i="5"/>
  <c r="T23" i="5"/>
  <c r="U23" i="5"/>
  <c r="AH23" i="5"/>
  <c r="A24" i="5"/>
  <c r="B24" i="5"/>
  <c r="D24" i="5"/>
  <c r="G24" i="5"/>
  <c r="L24" i="5"/>
  <c r="R24" i="5"/>
  <c r="S24" i="5"/>
  <c r="T24" i="5"/>
  <c r="U24" i="5"/>
  <c r="AH24" i="5"/>
  <c r="A25" i="5"/>
  <c r="B25" i="5"/>
  <c r="D25" i="5"/>
  <c r="G25" i="5"/>
  <c r="L25" i="5"/>
  <c r="R25" i="5"/>
  <c r="S25" i="5"/>
  <c r="T25" i="5"/>
  <c r="U25" i="5"/>
  <c r="AH25" i="5"/>
  <c r="A26" i="5"/>
  <c r="BM26" i="5" s="1"/>
  <c r="BN26" i="5" s="1"/>
  <c r="B26" i="5"/>
  <c r="D26" i="5"/>
  <c r="G26" i="5"/>
  <c r="L26" i="5"/>
  <c r="R26" i="5"/>
  <c r="S26" i="5"/>
  <c r="T26" i="5"/>
  <c r="U26" i="5"/>
  <c r="AH26" i="5"/>
  <c r="A27" i="5"/>
  <c r="B27" i="5"/>
  <c r="D27" i="5"/>
  <c r="G27" i="5"/>
  <c r="L27" i="5"/>
  <c r="R27" i="5"/>
  <c r="S27" i="5"/>
  <c r="T27" i="5"/>
  <c r="U27" i="5"/>
  <c r="AH27" i="5"/>
  <c r="A28" i="5"/>
  <c r="B28" i="5"/>
  <c r="D28" i="5"/>
  <c r="G28" i="5"/>
  <c r="I28" i="5"/>
  <c r="J28" i="5"/>
  <c r="K28" i="5"/>
  <c r="L28" i="5"/>
  <c r="R28" i="5"/>
  <c r="S28" i="5"/>
  <c r="T28" i="5"/>
  <c r="U28" i="5"/>
  <c r="AH28" i="5"/>
  <c r="N25" i="10"/>
  <c r="N26" i="10"/>
  <c r="N27" i="10"/>
  <c r="O28" i="10"/>
  <c r="N30" i="10"/>
  <c r="N31" i="10"/>
  <c r="N32" i="10"/>
  <c r="N33" i="10"/>
  <c r="N34" i="10"/>
  <c r="N35" i="10"/>
  <c r="N36" i="10"/>
  <c r="N37" i="10"/>
  <c r="N38" i="10"/>
  <c r="N39" i="10"/>
  <c r="O40" i="10"/>
  <c r="N42" i="10"/>
  <c r="N43" i="10"/>
  <c r="N44" i="10"/>
  <c r="N45" i="10"/>
  <c r="N46" i="10"/>
  <c r="N47" i="10"/>
  <c r="N48" i="10"/>
  <c r="O49" i="10"/>
  <c r="N50" i="10"/>
  <c r="O51" i="10"/>
  <c r="O52" i="10"/>
  <c r="O53" i="10"/>
  <c r="O54" i="10"/>
  <c r="N55" i="10"/>
  <c r="N56" i="10"/>
  <c r="N57" i="10"/>
  <c r="N58" i="10"/>
  <c r="N59" i="10"/>
  <c r="N60" i="10"/>
  <c r="O61" i="10"/>
  <c r="O62" i="10"/>
  <c r="N63" i="10"/>
  <c r="O64" i="10"/>
  <c r="N65" i="10"/>
  <c r="N66" i="10"/>
  <c r="N67" i="10"/>
  <c r="N68" i="10"/>
  <c r="N69" i="10"/>
  <c r="N70" i="10"/>
  <c r="N71" i="10"/>
  <c r="N72" i="10"/>
  <c r="N73" i="10"/>
  <c r="N74" i="10"/>
  <c r="N75" i="10"/>
  <c r="N76" i="10"/>
  <c r="N77" i="10"/>
  <c r="N78" i="10"/>
  <c r="N79" i="10"/>
  <c r="O80" i="10"/>
  <c r="N97" i="10"/>
  <c r="N98" i="10"/>
  <c r="N99" i="10"/>
  <c r="N100" i="10"/>
  <c r="N101" i="10"/>
  <c r="O102" i="10"/>
  <c r="O104" i="10"/>
  <c r="N105" i="10"/>
  <c r="N106" i="10"/>
  <c r="N107" i="10"/>
  <c r="N108" i="10"/>
  <c r="N109" i="10"/>
  <c r="N110" i="10"/>
  <c r="N111" i="10"/>
  <c r="N112" i="10"/>
  <c r="N113" i="10"/>
  <c r="O114" i="10"/>
  <c r="N115" i="10"/>
  <c r="N116" i="10"/>
  <c r="O117" i="10"/>
  <c r="N134" i="10"/>
  <c r="N135" i="10"/>
  <c r="N136" i="10"/>
  <c r="N137" i="10"/>
  <c r="N138" i="10"/>
  <c r="O139" i="10"/>
  <c r="O141" i="10"/>
  <c r="N142" i="10"/>
  <c r="N143" i="10"/>
  <c r="N144" i="10"/>
  <c r="N145" i="10"/>
  <c r="N146" i="10"/>
  <c r="N147" i="10"/>
  <c r="N148" i="10"/>
  <c r="N149" i="10"/>
  <c r="N151" i="10"/>
  <c r="O153" i="10"/>
  <c r="O154" i="10"/>
  <c r="O155" i="10"/>
  <c r="O156" i="10"/>
  <c r="N157" i="10"/>
  <c r="N158" i="10"/>
  <c r="N159" i="10"/>
  <c r="N160" i="10"/>
  <c r="N161" i="10"/>
  <c r="N162" i="10"/>
  <c r="N163" i="10"/>
  <c r="N164" i="10"/>
  <c r="O165" i="10"/>
  <c r="O167" i="10"/>
  <c r="N173" i="10"/>
  <c r="N174" i="10"/>
  <c r="N175" i="10"/>
  <c r="N176" i="10"/>
  <c r="N177" i="10"/>
  <c r="N178" i="10"/>
  <c r="N179" i="10"/>
  <c r="N180" i="10"/>
  <c r="N181" i="10"/>
  <c r="N182" i="10"/>
  <c r="N199" i="10"/>
  <c r="N200" i="10"/>
  <c r="N201" i="10"/>
  <c r="N202" i="10"/>
  <c r="O203" i="10"/>
  <c r="N246" i="10"/>
  <c r="N247" i="10"/>
  <c r="N248" i="10"/>
  <c r="N249" i="10"/>
  <c r="N250" i="10"/>
  <c r="N251" i="10"/>
  <c r="N252" i="10"/>
  <c r="N253" i="10"/>
  <c r="N254" i="10"/>
  <c r="N255" i="10"/>
  <c r="N256" i="10"/>
  <c r="N257" i="10"/>
  <c r="N271" i="10"/>
  <c r="N272" i="10"/>
  <c r="N273" i="10"/>
  <c r="N274" i="10"/>
  <c r="N275" i="10"/>
  <c r="O276" i="10"/>
  <c r="O279" i="10"/>
  <c r="O281" i="10"/>
  <c r="N287" i="10"/>
  <c r="N288" i="10"/>
  <c r="N289" i="10"/>
  <c r="N290" i="10"/>
  <c r="N291" i="10"/>
  <c r="O292" i="10"/>
  <c r="O293" i="10"/>
  <c r="O294" i="10"/>
  <c r="N295" i="10"/>
  <c r="N296" i="10"/>
  <c r="N297" i="10"/>
  <c r="N299" i="10"/>
  <c r="O300" i="10"/>
  <c r="O301" i="10"/>
  <c r="N302" i="10"/>
  <c r="N303" i="10"/>
  <c r="N304" i="10"/>
  <c r="N305" i="10"/>
  <c r="N306" i="10"/>
  <c r="N307" i="10"/>
  <c r="N308" i="10"/>
  <c r="N309" i="10"/>
  <c r="N310" i="10"/>
  <c r="N311" i="10"/>
  <c r="N312" i="10"/>
  <c r="N313" i="10"/>
  <c r="N327" i="10"/>
  <c r="N328" i="10"/>
  <c r="N329" i="10"/>
  <c r="N330" i="10"/>
  <c r="N331" i="10"/>
  <c r="O332" i="10"/>
  <c r="O335" i="10"/>
  <c r="O337" i="10"/>
  <c r="N343" i="10"/>
  <c r="N344" i="10"/>
  <c r="N345" i="10"/>
  <c r="N346" i="10"/>
  <c r="N347" i="10"/>
  <c r="O348" i="10"/>
  <c r="O349" i="10"/>
  <c r="N371" i="10"/>
  <c r="N372" i="10"/>
  <c r="N373" i="10"/>
  <c r="O374" i="10"/>
  <c r="N376" i="10"/>
  <c r="N377" i="10"/>
  <c r="N378" i="10"/>
  <c r="N379" i="10"/>
  <c r="N380" i="10"/>
  <c r="N381" i="10"/>
  <c r="N382" i="10"/>
  <c r="O383" i="10"/>
  <c r="O384" i="10"/>
  <c r="O385" i="10"/>
  <c r="N386" i="10"/>
  <c r="O387" i="10"/>
  <c r="O388" i="10"/>
  <c r="O389" i="10"/>
  <c r="O390" i="10"/>
  <c r="N391" i="10"/>
  <c r="O392" i="10"/>
  <c r="N393" i="10"/>
  <c r="N394" i="10"/>
  <c r="N395" i="10"/>
  <c r="O396" i="10"/>
  <c r="N397" i="10"/>
  <c r="N398" i="10"/>
  <c r="N399" i="10"/>
  <c r="N400" i="10"/>
  <c r="N401" i="10"/>
  <c r="N402" i="10"/>
  <c r="N403" i="10"/>
  <c r="O404" i="10"/>
  <c r="O405" i="10"/>
  <c r="O406" i="10"/>
  <c r="O407" i="10"/>
  <c r="O408" i="10"/>
  <c r="O409" i="10"/>
  <c r="O410" i="10"/>
  <c r="O411" i="10"/>
  <c r="O412" i="10"/>
  <c r="O413" i="10"/>
  <c r="O414" i="10"/>
  <c r="O415" i="10"/>
  <c r="O416" i="10"/>
  <c r="O417" i="10"/>
  <c r="O418" i="10"/>
  <c r="N419" i="10"/>
  <c r="N420" i="10"/>
  <c r="O421" i="10"/>
  <c r="BM27" i="5" l="1"/>
  <c r="BN27" i="5" s="1"/>
  <c r="BM18" i="5"/>
  <c r="BN18" i="5" s="1"/>
  <c r="BM156" i="5"/>
  <c r="BN156" i="5" s="1"/>
  <c r="BM25" i="5"/>
  <c r="BN25" i="5" s="1"/>
  <c r="BM22" i="5"/>
  <c r="BN22" i="5" s="1"/>
  <c r="BM14" i="5"/>
  <c r="BN14" i="5" s="1"/>
  <c r="BM21" i="5"/>
  <c r="BN21" i="5" s="1"/>
  <c r="BM13" i="5"/>
  <c r="BN13" i="5" s="1"/>
  <c r="BM17" i="5"/>
  <c r="BN17" i="5" s="1"/>
  <c r="BM19" i="5"/>
  <c r="BN19" i="5" s="1"/>
  <c r="BM28" i="5"/>
  <c r="BN28" i="5" s="1"/>
  <c r="BM24" i="5"/>
  <c r="BN24" i="5" s="1"/>
  <c r="BM16" i="5"/>
  <c r="BN16" i="5" s="1"/>
  <c r="BM23" i="5"/>
  <c r="BN23" i="5" s="1"/>
  <c r="BM15" i="5"/>
  <c r="BN15" i="5" s="1"/>
  <c r="C23" i="5"/>
  <c r="AV23" i="5"/>
  <c r="C19" i="5"/>
  <c r="AV19" i="5"/>
  <c r="C15" i="5"/>
  <c r="AV15" i="5"/>
  <c r="C28" i="5"/>
  <c r="AV28" i="5"/>
  <c r="C26" i="5"/>
  <c r="AV26" i="5"/>
  <c r="C24" i="5"/>
  <c r="AV24" i="5"/>
  <c r="C20" i="5"/>
  <c r="AV20" i="5"/>
  <c r="C16" i="5"/>
  <c r="AZ16" i="5" s="1"/>
  <c r="BP16" i="5" s="1"/>
  <c r="AV16" i="5"/>
  <c r="C12" i="5"/>
  <c r="AV12" i="5"/>
  <c r="C21" i="5"/>
  <c r="AV21" i="5"/>
  <c r="C17" i="5"/>
  <c r="AV17" i="5"/>
  <c r="C13" i="5"/>
  <c r="AV13" i="5"/>
  <c r="C27" i="5"/>
  <c r="AV27" i="5"/>
  <c r="C25" i="5"/>
  <c r="AV25" i="5"/>
  <c r="C22" i="5"/>
  <c r="AV22" i="5"/>
  <c r="C18" i="5"/>
  <c r="AV18" i="5"/>
  <c r="C14" i="5"/>
  <c r="AV14" i="5"/>
  <c r="C156" i="5"/>
  <c r="AV156" i="5"/>
  <c r="K13" i="11"/>
  <c r="O312" i="10"/>
  <c r="P312" i="10" s="1"/>
  <c r="O66" i="10"/>
  <c r="P66" i="10" s="1"/>
  <c r="O67" i="10"/>
  <c r="P67" i="10" s="1"/>
  <c r="O69" i="10"/>
  <c r="P69" i="10" s="1"/>
  <c r="O256" i="10"/>
  <c r="P256" i="10" s="1"/>
  <c r="O146" i="10"/>
  <c r="P146" i="10" s="1"/>
  <c r="O68" i="10"/>
  <c r="P68" i="10" s="1"/>
  <c r="P412" i="10"/>
  <c r="O400" i="10"/>
  <c r="P388" i="10"/>
  <c r="O380" i="10"/>
  <c r="O346" i="10"/>
  <c r="P337" i="10"/>
  <c r="O309" i="10"/>
  <c r="O288" i="10"/>
  <c r="O173" i="10"/>
  <c r="O145" i="10"/>
  <c r="O112" i="10"/>
  <c r="P104" i="10"/>
  <c r="O71" i="10"/>
  <c r="O55" i="10"/>
  <c r="O38" i="10"/>
  <c r="O30" i="10"/>
  <c r="P415" i="10"/>
  <c r="P411" i="10"/>
  <c r="P407" i="10"/>
  <c r="O399" i="10"/>
  <c r="O391" i="10"/>
  <c r="O379" i="10"/>
  <c r="O345" i="10"/>
  <c r="P335" i="10"/>
  <c r="O304" i="10"/>
  <c r="O295" i="10"/>
  <c r="O291" i="10"/>
  <c r="O287" i="10"/>
  <c r="O275" i="10"/>
  <c r="O271" i="10"/>
  <c r="O254" i="10"/>
  <c r="O250" i="10"/>
  <c r="O246" i="10"/>
  <c r="O176" i="10"/>
  <c r="P167" i="10"/>
  <c r="P154" i="10"/>
  <c r="O148" i="10"/>
  <c r="O144" i="10"/>
  <c r="P139" i="10"/>
  <c r="O135" i="10"/>
  <c r="O115" i="10"/>
  <c r="O111" i="10"/>
  <c r="O107" i="10"/>
  <c r="P102" i="10"/>
  <c r="O98" i="10"/>
  <c r="O78" i="10"/>
  <c r="O74" i="10"/>
  <c r="O70" i="10"/>
  <c r="P62" i="10"/>
  <c r="O58" i="10"/>
  <c r="P54" i="10"/>
  <c r="O50" i="10"/>
  <c r="O46" i="10"/>
  <c r="O42" i="10"/>
  <c r="O37" i="10"/>
  <c r="O33" i="10"/>
  <c r="P28" i="10"/>
  <c r="O420" i="10"/>
  <c r="P408" i="10"/>
  <c r="P404" i="10"/>
  <c r="P392" i="10"/>
  <c r="P384" i="10"/>
  <c r="O376" i="10"/>
  <c r="O330" i="10"/>
  <c r="O305" i="10"/>
  <c r="P301" i="10"/>
  <c r="O272" i="10"/>
  <c r="O247" i="10"/>
  <c r="O149" i="10"/>
  <c r="P141" i="10"/>
  <c r="O116" i="10"/>
  <c r="O108" i="10"/>
  <c r="O79" i="10"/>
  <c r="O75" i="10"/>
  <c r="O59" i="10"/>
  <c r="O47" i="10"/>
  <c r="O25" i="10"/>
  <c r="O419" i="10"/>
  <c r="O403" i="10"/>
  <c r="O395" i="10"/>
  <c r="P387" i="10"/>
  <c r="P383" i="10"/>
  <c r="P374" i="10"/>
  <c r="P349" i="10"/>
  <c r="O329" i="10"/>
  <c r="O308" i="10"/>
  <c r="P300" i="10"/>
  <c r="P418" i="10"/>
  <c r="P414" i="10"/>
  <c r="P410" i="10"/>
  <c r="P406" i="10"/>
  <c r="O402" i="10"/>
  <c r="O398" i="10"/>
  <c r="O394" i="10"/>
  <c r="P390" i="10"/>
  <c r="O386" i="10"/>
  <c r="O382" i="10"/>
  <c r="O378" i="10"/>
  <c r="O373" i="10"/>
  <c r="P348" i="10"/>
  <c r="O344" i="10"/>
  <c r="P332" i="10"/>
  <c r="O328" i="10"/>
  <c r="O311" i="10"/>
  <c r="O307" i="10"/>
  <c r="O303" i="10"/>
  <c r="O299" i="10"/>
  <c r="P294" i="10"/>
  <c r="O290" i="10"/>
  <c r="P281" i="10"/>
  <c r="O274" i="10"/>
  <c r="O257" i="10"/>
  <c r="O253" i="10"/>
  <c r="O249" i="10"/>
  <c r="O175" i="10"/>
  <c r="P165" i="10"/>
  <c r="P153" i="10"/>
  <c r="O147" i="10"/>
  <c r="O143" i="10"/>
  <c r="O138" i="10"/>
  <c r="O134" i="10"/>
  <c r="P114" i="10"/>
  <c r="O110" i="10"/>
  <c r="O106" i="10"/>
  <c r="O101" i="10"/>
  <c r="O97" i="10"/>
  <c r="O77" i="10"/>
  <c r="O73" i="10"/>
  <c r="O65" i="10"/>
  <c r="P61" i="10"/>
  <c r="O57" i="10"/>
  <c r="P53" i="10"/>
  <c r="P49" i="10"/>
  <c r="O45" i="10"/>
  <c r="P40" i="10"/>
  <c r="O36" i="10"/>
  <c r="O32" i="10"/>
  <c r="O27" i="10"/>
  <c r="P416" i="10"/>
  <c r="P396" i="10"/>
  <c r="O371" i="10"/>
  <c r="O313" i="10"/>
  <c r="O296" i="10"/>
  <c r="P292" i="10"/>
  <c r="P276" i="10"/>
  <c r="O255" i="10"/>
  <c r="O251" i="10"/>
  <c r="O177" i="10"/>
  <c r="P155" i="10"/>
  <c r="O136" i="10"/>
  <c r="O99" i="10"/>
  <c r="O63" i="10"/>
  <c r="P51" i="10"/>
  <c r="O43" i="10"/>
  <c r="O34" i="10"/>
  <c r="P421" i="10"/>
  <c r="P417" i="10"/>
  <c r="P413" i="10"/>
  <c r="P409" i="10"/>
  <c r="P405" i="10"/>
  <c r="O401" i="10"/>
  <c r="O397" i="10"/>
  <c r="O393" i="10"/>
  <c r="P389" i="10"/>
  <c r="P385" i="10"/>
  <c r="O381" i="10"/>
  <c r="O377" i="10"/>
  <c r="O372" i="10"/>
  <c r="O347" i="10"/>
  <c r="O343" i="10"/>
  <c r="O331" i="10"/>
  <c r="O327" i="10"/>
  <c r="O310" i="10"/>
  <c r="O306" i="10"/>
  <c r="O302" i="10"/>
  <c r="O297" i="10"/>
  <c r="P293" i="10"/>
  <c r="O289" i="10"/>
  <c r="P279" i="10"/>
  <c r="O273" i="10"/>
  <c r="O252" i="10"/>
  <c r="O248" i="10"/>
  <c r="O174" i="10"/>
  <c r="P156" i="10"/>
  <c r="O151" i="10"/>
  <c r="O142" i="10"/>
  <c r="O137" i="10"/>
  <c r="P117" i="10"/>
  <c r="O113" i="10"/>
  <c r="O109" i="10"/>
  <c r="O105" i="10"/>
  <c r="O100" i="10"/>
  <c r="P80" i="10"/>
  <c r="O76" i="10"/>
  <c r="O72" i="10"/>
  <c r="P64" i="10"/>
  <c r="O60" i="10"/>
  <c r="O56" i="10"/>
  <c r="P52" i="10"/>
  <c r="O48" i="10"/>
  <c r="O44" i="10"/>
  <c r="O39" i="10"/>
  <c r="O35" i="10"/>
  <c r="O31" i="10"/>
  <c r="O26" i="10"/>
  <c r="L13" i="11"/>
  <c r="N152" i="10" s="1"/>
  <c r="N29" i="10"/>
  <c r="N166" i="10"/>
  <c r="N41" i="10"/>
  <c r="N334" i="10"/>
  <c r="O181" i="10"/>
  <c r="N219" i="10"/>
  <c r="O201" i="10"/>
  <c r="N239" i="10"/>
  <c r="O163" i="10"/>
  <c r="N214" i="10"/>
  <c r="O159" i="10"/>
  <c r="N210" i="10"/>
  <c r="O180" i="10"/>
  <c r="N218" i="10"/>
  <c r="O162" i="10"/>
  <c r="N213" i="10"/>
  <c r="P203" i="10"/>
  <c r="AO207" i="5" s="1"/>
  <c r="O241" i="10"/>
  <c r="O199" i="10"/>
  <c r="N237" i="10"/>
  <c r="O179" i="10"/>
  <c r="N217" i="10"/>
  <c r="O161" i="10"/>
  <c r="N212" i="10"/>
  <c r="O157" i="10"/>
  <c r="N208" i="10"/>
  <c r="O200" i="10"/>
  <c r="N238" i="10"/>
  <c r="O158" i="10"/>
  <c r="N209" i="10"/>
  <c r="O202" i="10"/>
  <c r="N240" i="10"/>
  <c r="N198" i="10"/>
  <c r="O182" i="10"/>
  <c r="N220" i="10"/>
  <c r="O178" i="10"/>
  <c r="N216" i="10"/>
  <c r="O164" i="10"/>
  <c r="N215" i="10"/>
  <c r="O160" i="10"/>
  <c r="N211" i="10"/>
  <c r="AK13" i="5"/>
  <c r="AK25" i="5"/>
  <c r="W12" i="5"/>
  <c r="BG12" i="5" s="1"/>
  <c r="V12" i="5"/>
  <c r="BF12" i="5" s="1"/>
  <c r="V28" i="5"/>
  <c r="BF28" i="5" s="1"/>
  <c r="AQ12" i="5"/>
  <c r="BA12" i="5" s="1"/>
  <c r="BQ12" i="5" s="1"/>
  <c r="Y22" i="5"/>
  <c r="BI22" i="5" s="1"/>
  <c r="Y18" i="5"/>
  <c r="BI18" i="5" s="1"/>
  <c r="AW14" i="5"/>
  <c r="AE25" i="5"/>
  <c r="AE24" i="5"/>
  <c r="AK15" i="5"/>
  <c r="X27" i="5"/>
  <c r="BH27" i="5" s="1"/>
  <c r="AE26" i="5"/>
  <c r="AY26" i="5" s="1"/>
  <c r="BO26" i="5" s="1"/>
  <c r="Y14" i="5"/>
  <c r="BI14" i="5" s="1"/>
  <c r="W16" i="5"/>
  <c r="W15" i="5"/>
  <c r="BG15" i="5" s="1"/>
  <c r="AK14" i="5"/>
  <c r="X22" i="5"/>
  <c r="BH22" i="5" s="1"/>
  <c r="X18" i="5"/>
  <c r="BH18" i="5" s="1"/>
  <c r="AW15" i="5"/>
  <c r="W13" i="5"/>
  <c r="BG13" i="5" s="1"/>
  <c r="X21" i="5"/>
  <c r="BH21" i="5" s="1"/>
  <c r="W21" i="5"/>
  <c r="BG21" i="5" s="1"/>
  <c r="Y19" i="5"/>
  <c r="BI19" i="5" s="1"/>
  <c r="AW26" i="5"/>
  <c r="Y26" i="5"/>
  <c r="BI26" i="5" s="1"/>
  <c r="AQ24" i="5"/>
  <c r="X24" i="5"/>
  <c r="BH24" i="5" s="1"/>
  <c r="AK22" i="5"/>
  <c r="AW21" i="5"/>
  <c r="Y21" i="5"/>
  <c r="BI21" i="5" s="1"/>
  <c r="AK19" i="5"/>
  <c r="W19" i="5"/>
  <c r="BG19" i="5" s="1"/>
  <c r="AW16" i="5"/>
  <c r="AQ26" i="5"/>
  <c r="X26" i="5"/>
  <c r="BH26" i="5" s="1"/>
  <c r="AQ23" i="5"/>
  <c r="BA23" i="5" s="1"/>
  <c r="X23" i="5"/>
  <c r="BH23" i="5" s="1"/>
  <c r="AE22" i="5"/>
  <c r="W22" i="5"/>
  <c r="BG22" i="5" s="1"/>
  <c r="AW20" i="5"/>
  <c r="BB20" i="5" s="1"/>
  <c r="BR20" i="5" s="1"/>
  <c r="Y20" i="5"/>
  <c r="BI20" i="5" s="1"/>
  <c r="AK23" i="5"/>
  <c r="W23" i="5"/>
  <c r="BG23" i="5" s="1"/>
  <c r="AQ20" i="5"/>
  <c r="X20" i="5"/>
  <c r="BH20" i="5" s="1"/>
  <c r="AK18" i="5"/>
  <c r="W18" i="5"/>
  <c r="BG18" i="5" s="1"/>
  <c r="V15" i="5"/>
  <c r="BF15" i="5" s="1"/>
  <c r="AQ14" i="5"/>
  <c r="X14" i="5"/>
  <c r="BH14" i="5" s="1"/>
  <c r="AW13" i="5"/>
  <c r="AK28" i="5"/>
  <c r="AE27" i="5"/>
  <c r="AQ25" i="5"/>
  <c r="BA25" i="5" s="1"/>
  <c r="X25" i="5"/>
  <c r="BH25" i="5" s="1"/>
  <c r="AW24" i="5"/>
  <c r="Y24" i="5"/>
  <c r="BI24" i="5" s="1"/>
  <c r="AE21" i="5"/>
  <c r="AQ19" i="5"/>
  <c r="X19" i="5"/>
  <c r="BH19" i="5" s="1"/>
  <c r="AE18" i="5"/>
  <c r="AK17" i="5"/>
  <c r="AL17" i="5" s="1"/>
  <c r="Y27" i="5"/>
  <c r="BI27" i="5" s="1"/>
  <c r="AK26" i="5"/>
  <c r="AK24" i="5"/>
  <c r="AE23" i="5"/>
  <c r="AW22" i="5"/>
  <c r="AK20" i="5"/>
  <c r="AE19" i="5"/>
  <c r="AW18" i="5"/>
  <c r="X16" i="5"/>
  <c r="BH16" i="5" s="1"/>
  <c r="Y16" i="5"/>
  <c r="BI16" i="5" s="1"/>
  <c r="W14" i="5"/>
  <c r="BG14" i="5" s="1"/>
  <c r="V14" i="5"/>
  <c r="BF14" i="5" s="1"/>
  <c r="X13" i="5"/>
  <c r="BH13" i="5" s="1"/>
  <c r="Y13" i="5"/>
  <c r="BI13" i="5" s="1"/>
  <c r="W26" i="5"/>
  <c r="BG26" i="5" s="1"/>
  <c r="W25" i="5"/>
  <c r="BG25" i="5" s="1"/>
  <c r="W24" i="5"/>
  <c r="BG24" i="5" s="1"/>
  <c r="AW23" i="5"/>
  <c r="AK21" i="5"/>
  <c r="AE20" i="5"/>
  <c r="W20" i="5"/>
  <c r="BG20" i="5" s="1"/>
  <c r="AW19" i="5"/>
  <c r="V16" i="5"/>
  <c r="BF16" i="5" s="1"/>
  <c r="X15" i="5"/>
  <c r="BH15" i="5" s="1"/>
  <c r="Y15" i="5"/>
  <c r="BI15" i="5" s="1"/>
  <c r="V13" i="5"/>
  <c r="BF13" i="5" s="1"/>
  <c r="AK12" i="5"/>
  <c r="Y12" i="5"/>
  <c r="BI12" i="5" s="1"/>
  <c r="AW17" i="5"/>
  <c r="W27" i="5"/>
  <c r="BG27" i="5" s="1"/>
  <c r="AK27" i="5"/>
  <c r="AW25" i="5"/>
  <c r="BB25" i="5" s="1"/>
  <c r="AW27" i="5"/>
  <c r="Y25" i="5"/>
  <c r="BI25" i="5" s="1"/>
  <c r="AE17" i="5"/>
  <c r="AF17" i="5" s="1"/>
  <c r="AQ17" i="5"/>
  <c r="AW12" i="5"/>
  <c r="AE12" i="5"/>
  <c r="Y23" i="5"/>
  <c r="BI23" i="5" s="1"/>
  <c r="AE28" i="5"/>
  <c r="Y17" i="5"/>
  <c r="BI17" i="5" s="1"/>
  <c r="AE16" i="5"/>
  <c r="AQ16" i="5"/>
  <c r="AE15" i="5"/>
  <c r="AQ15" i="5"/>
  <c r="AE14" i="5"/>
  <c r="AY14" i="5" s="1"/>
  <c r="BO14" i="5" s="1"/>
  <c r="AE13" i="5"/>
  <c r="AQ13" i="5"/>
  <c r="V27" i="5"/>
  <c r="BF27" i="5" s="1"/>
  <c r="V26" i="5"/>
  <c r="BF26" i="5" s="1"/>
  <c r="V25" i="5"/>
  <c r="BF25" i="5" s="1"/>
  <c r="V24" i="5"/>
  <c r="BF24" i="5" s="1"/>
  <c r="V23" i="5"/>
  <c r="BF23" i="5" s="1"/>
  <c r="V22" i="5"/>
  <c r="BF22" i="5" s="1"/>
  <c r="V21" i="5"/>
  <c r="BF21" i="5" s="1"/>
  <c r="V20" i="5"/>
  <c r="BF20" i="5" s="1"/>
  <c r="V19" i="5"/>
  <c r="BF19" i="5" s="1"/>
  <c r="V18" i="5"/>
  <c r="BF18" i="5" s="1"/>
  <c r="X17" i="5"/>
  <c r="BH17" i="5" s="1"/>
  <c r="X12" i="5"/>
  <c r="BH12" i="5" s="1"/>
  <c r="AQ27" i="5"/>
  <c r="AQ21" i="5"/>
  <c r="AQ22" i="5"/>
  <c r="AQ18" i="5"/>
  <c r="N282" i="10"/>
  <c r="N336" i="10"/>
  <c r="N280" i="10"/>
  <c r="N205" i="10"/>
  <c r="N168" i="10"/>
  <c r="N375" i="10"/>
  <c r="N338" i="10"/>
  <c r="N278" i="10"/>
  <c r="BA22" i="5" l="1"/>
  <c r="BQ22" i="5" s="1"/>
  <c r="AZ20" i="5"/>
  <c r="BP20" i="5" s="1"/>
  <c r="BA20" i="5"/>
  <c r="BQ20" i="5" s="1"/>
  <c r="BA27" i="5"/>
  <c r="BQ27" i="5" s="1"/>
  <c r="BA15" i="5"/>
  <c r="BB12" i="5"/>
  <c r="BR12" i="5" s="1"/>
  <c r="BB17" i="5"/>
  <c r="BR17" i="5" s="1"/>
  <c r="BB22" i="5"/>
  <c r="BR22" i="5" s="1"/>
  <c r="AY15" i="5"/>
  <c r="BO15" i="5" s="1"/>
  <c r="AY20" i="5"/>
  <c r="BO20" i="5" s="1"/>
  <c r="AZ15" i="5"/>
  <c r="BP15" i="5" s="1"/>
  <c r="BA17" i="5"/>
  <c r="BQ17" i="5" s="1"/>
  <c r="BR25" i="5"/>
  <c r="BQ25" i="5"/>
  <c r="BA26" i="5"/>
  <c r="BQ26" i="5" s="1"/>
  <c r="AZ12" i="5"/>
  <c r="BP12" i="5" s="1"/>
  <c r="BA14" i="5"/>
  <c r="BQ14" i="5" s="1"/>
  <c r="AY23" i="5"/>
  <c r="BO23" i="5" s="1"/>
  <c r="AZ23" i="5"/>
  <c r="BP23" i="5" s="1"/>
  <c r="BJ13" i="5"/>
  <c r="BB23" i="5"/>
  <c r="BR23" i="5" s="1"/>
  <c r="AZ26" i="5"/>
  <c r="BP26" i="5" s="1"/>
  <c r="BB26" i="5"/>
  <c r="BR26" i="5" s="1"/>
  <c r="AZ14" i="5"/>
  <c r="BP14" i="5" s="1"/>
  <c r="BJ19" i="5"/>
  <c r="BB27" i="5"/>
  <c r="BR27" i="5" s="1"/>
  <c r="BJ27" i="5"/>
  <c r="BB14" i="5"/>
  <c r="BR14" i="5" s="1"/>
  <c r="AZ27" i="5"/>
  <c r="BP27" i="5" s="1"/>
  <c r="AY27" i="5"/>
  <c r="BO27" i="5" s="1"/>
  <c r="AY19" i="5"/>
  <c r="BO19" i="5" s="1"/>
  <c r="BB21" i="5"/>
  <c r="BR21" i="5" s="1"/>
  <c r="BJ21" i="5"/>
  <c r="BJ24" i="5"/>
  <c r="AY21" i="5"/>
  <c r="BO21" i="5" s="1"/>
  <c r="BA24" i="5"/>
  <c r="BQ24" i="5" s="1"/>
  <c r="BJ17" i="5"/>
  <c r="AZ21" i="5"/>
  <c r="BP21" i="5" s="1"/>
  <c r="AZ24" i="5"/>
  <c r="BP24" i="5" s="1"/>
  <c r="AY24" i="5"/>
  <c r="BO24" i="5" s="1"/>
  <c r="BQ15" i="5"/>
  <c r="BJ14" i="5"/>
  <c r="AY13" i="5"/>
  <c r="BO13" i="5" s="1"/>
  <c r="BJ23" i="5"/>
  <c r="BB15" i="5"/>
  <c r="BR15" i="5" s="1"/>
  <c r="BJ25" i="5"/>
  <c r="BA16" i="5"/>
  <c r="BQ16" i="5" s="1"/>
  <c r="BB16" i="5"/>
  <c r="BR16" i="5" s="1"/>
  <c r="BJ22" i="5"/>
  <c r="BJ12" i="5"/>
  <c r="BJ18" i="5"/>
  <c r="BJ26" i="5"/>
  <c r="BJ15" i="5"/>
  <c r="BA18" i="5"/>
  <c r="BQ18" i="5" s="1"/>
  <c r="BJ20" i="5"/>
  <c r="BA13" i="5"/>
  <c r="BQ13" i="5" s="1"/>
  <c r="BB18" i="5"/>
  <c r="BR18" i="5" s="1"/>
  <c r="AZ18" i="5"/>
  <c r="BP18" i="5" s="1"/>
  <c r="AY22" i="5"/>
  <c r="BO22" i="5" s="1"/>
  <c r="AL16" i="5"/>
  <c r="BG16" i="5"/>
  <c r="BJ16" i="5" s="1"/>
  <c r="BQ23" i="5"/>
  <c r="AZ22" i="5"/>
  <c r="BP22" i="5" s="1"/>
  <c r="AZ13" i="5"/>
  <c r="BP13" i="5" s="1"/>
  <c r="AY18" i="5"/>
  <c r="BO18" i="5" s="1"/>
  <c r="AY16" i="5"/>
  <c r="BO16" i="5" s="1"/>
  <c r="BB24" i="5"/>
  <c r="BA21" i="5"/>
  <c r="BB19" i="5"/>
  <c r="BR19" i="5" s="1"/>
  <c r="AY25" i="5"/>
  <c r="BO25" i="5" s="1"/>
  <c r="BA19" i="5"/>
  <c r="BQ19" i="5" s="1"/>
  <c r="BB13" i="5"/>
  <c r="BR13" i="5" s="1"/>
  <c r="AZ19" i="5"/>
  <c r="BP19" i="5" s="1"/>
  <c r="AZ25" i="5"/>
  <c r="BP25" i="5" s="1"/>
  <c r="AY28" i="5"/>
  <c r="BO28" i="5" s="1"/>
  <c r="O152" i="10"/>
  <c r="P152" i="10" s="1"/>
  <c r="AE156" i="5"/>
  <c r="AY156" i="5" s="1"/>
  <c r="BO156" i="5" s="1"/>
  <c r="O280" i="10"/>
  <c r="O166" i="10"/>
  <c r="P26" i="10"/>
  <c r="P35" i="10"/>
  <c r="P44" i="10"/>
  <c r="Q52" i="10"/>
  <c r="AU56" i="5" s="1"/>
  <c r="AO56" i="5"/>
  <c r="P60" i="10"/>
  <c r="Q68" i="10"/>
  <c r="AU72" i="5" s="1"/>
  <c r="AO72" i="5"/>
  <c r="P76" i="10"/>
  <c r="P100" i="10"/>
  <c r="P109" i="10"/>
  <c r="Q117" i="10"/>
  <c r="AU121" i="5" s="1"/>
  <c r="AO121" i="5"/>
  <c r="P142" i="10"/>
  <c r="P151" i="10"/>
  <c r="P174" i="10"/>
  <c r="P252" i="10"/>
  <c r="P273" i="10"/>
  <c r="P289" i="10"/>
  <c r="P297" i="10"/>
  <c r="P306" i="10"/>
  <c r="P327" i="10"/>
  <c r="P343" i="10"/>
  <c r="P372" i="10"/>
  <c r="P381" i="10"/>
  <c r="Q389" i="10"/>
  <c r="AU393" i="5" s="1"/>
  <c r="AO393" i="5"/>
  <c r="P397" i="10"/>
  <c r="Q405" i="10"/>
  <c r="AU409" i="5" s="1"/>
  <c r="AO409" i="5"/>
  <c r="Q413" i="10"/>
  <c r="AU417" i="5" s="1"/>
  <c r="AO417" i="5"/>
  <c r="Q421" i="10"/>
  <c r="AU425" i="5" s="1"/>
  <c r="AO425" i="5"/>
  <c r="P43" i="10"/>
  <c r="P63" i="10"/>
  <c r="P136" i="10"/>
  <c r="P177" i="10"/>
  <c r="P255" i="10"/>
  <c r="Q292" i="10"/>
  <c r="AU296" i="5" s="1"/>
  <c r="AO296" i="5"/>
  <c r="P313" i="10"/>
  <c r="Q396" i="10"/>
  <c r="AU400" i="5" s="1"/>
  <c r="AO400" i="5"/>
  <c r="P27" i="10"/>
  <c r="P36" i="10"/>
  <c r="P45" i="10"/>
  <c r="Q53" i="10"/>
  <c r="AU57" i="5" s="1"/>
  <c r="AO57" i="5"/>
  <c r="Q61" i="10"/>
  <c r="AU65" i="5" s="1"/>
  <c r="AO65" i="5"/>
  <c r="Q69" i="10"/>
  <c r="AU73" i="5" s="1"/>
  <c r="AO73" i="5"/>
  <c r="P77" i="10"/>
  <c r="P101" i="10"/>
  <c r="P110" i="10"/>
  <c r="P134" i="10"/>
  <c r="P143" i="10"/>
  <c r="Q153" i="10"/>
  <c r="AU157" i="5" s="1"/>
  <c r="AO157" i="5"/>
  <c r="P175" i="10"/>
  <c r="P253" i="10"/>
  <c r="P274" i="10"/>
  <c r="P290" i="10"/>
  <c r="P299" i="10"/>
  <c r="P307" i="10"/>
  <c r="P328" i="10"/>
  <c r="P344" i="10"/>
  <c r="P373" i="10"/>
  <c r="P382" i="10"/>
  <c r="Q390" i="10"/>
  <c r="AU394" i="5" s="1"/>
  <c r="AO394" i="5"/>
  <c r="P398" i="10"/>
  <c r="Q406" i="10"/>
  <c r="AU410" i="5" s="1"/>
  <c r="AO410" i="5"/>
  <c r="Q414" i="10"/>
  <c r="AU418" i="5" s="1"/>
  <c r="AO418" i="5"/>
  <c r="Q300" i="10"/>
  <c r="AU304" i="5" s="1"/>
  <c r="AO304" i="5"/>
  <c r="P329" i="10"/>
  <c r="Q374" i="10"/>
  <c r="AU378" i="5" s="1"/>
  <c r="AO378" i="5"/>
  <c r="Q387" i="10"/>
  <c r="AU391" i="5" s="1"/>
  <c r="AO391" i="5"/>
  <c r="P403" i="10"/>
  <c r="P25" i="10"/>
  <c r="P59" i="10"/>
  <c r="P75" i="10"/>
  <c r="P108" i="10"/>
  <c r="Q141" i="10"/>
  <c r="AU145" i="5" s="1"/>
  <c r="AO145" i="5"/>
  <c r="P247" i="10"/>
  <c r="Q301" i="10"/>
  <c r="AU305" i="5" s="1"/>
  <c r="AO305" i="5"/>
  <c r="P330" i="10"/>
  <c r="Q384" i="10"/>
  <c r="AU388" i="5" s="1"/>
  <c r="AO388" i="5"/>
  <c r="Q404" i="10"/>
  <c r="AU408" i="5" s="1"/>
  <c r="AO408" i="5"/>
  <c r="P420" i="10"/>
  <c r="P33" i="10"/>
  <c r="P42" i="10"/>
  <c r="P50" i="10"/>
  <c r="P58" i="10"/>
  <c r="Q66" i="10"/>
  <c r="AU70" i="5" s="1"/>
  <c r="AO70" i="5"/>
  <c r="P74" i="10"/>
  <c r="P98" i="10"/>
  <c r="P107" i="10"/>
  <c r="P115" i="10"/>
  <c r="Q139" i="10"/>
  <c r="AU143" i="5" s="1"/>
  <c r="AO143" i="5"/>
  <c r="P148" i="10"/>
  <c r="Q167" i="10"/>
  <c r="AU171" i="5" s="1"/>
  <c r="AO171" i="5"/>
  <c r="P246" i="10"/>
  <c r="P254" i="10"/>
  <c r="P275" i="10"/>
  <c r="P291" i="10"/>
  <c r="P304" i="10"/>
  <c r="Q335" i="10"/>
  <c r="AU339" i="5" s="1"/>
  <c r="AO339" i="5"/>
  <c r="P379" i="10"/>
  <c r="P399" i="10"/>
  <c r="Q411" i="10"/>
  <c r="AU415" i="5" s="1"/>
  <c r="AO415" i="5"/>
  <c r="P30" i="10"/>
  <c r="P55" i="10"/>
  <c r="Q104" i="10"/>
  <c r="AU108" i="5" s="1"/>
  <c r="AO108" i="5"/>
  <c r="P145" i="10"/>
  <c r="P288" i="10"/>
  <c r="Q337" i="10"/>
  <c r="AU341" i="5" s="1"/>
  <c r="AO341" i="5"/>
  <c r="P380" i="10"/>
  <c r="P400" i="10"/>
  <c r="O338" i="10"/>
  <c r="O41" i="10"/>
  <c r="O375" i="10"/>
  <c r="O336" i="10"/>
  <c r="O168" i="10"/>
  <c r="O282" i="10"/>
  <c r="P181" i="10"/>
  <c r="AO185" i="5" s="1"/>
  <c r="O29" i="10"/>
  <c r="O278" i="10"/>
  <c r="O334" i="10"/>
  <c r="P31" i="10"/>
  <c r="P39" i="10"/>
  <c r="P48" i="10"/>
  <c r="P56" i="10"/>
  <c r="Q64" i="10"/>
  <c r="AU68" i="5" s="1"/>
  <c r="AO68" i="5"/>
  <c r="P72" i="10"/>
  <c r="Q80" i="10"/>
  <c r="AU84" i="5" s="1"/>
  <c r="AO84" i="5"/>
  <c r="P105" i="10"/>
  <c r="P113" i="10"/>
  <c r="P137" i="10"/>
  <c r="Q146" i="10"/>
  <c r="AU150" i="5" s="1"/>
  <c r="AO150" i="5"/>
  <c r="Q156" i="10"/>
  <c r="AU160" i="5" s="1"/>
  <c r="AO160" i="5"/>
  <c r="P248" i="10"/>
  <c r="Q256" i="10"/>
  <c r="AU260" i="5" s="1"/>
  <c r="AO260" i="5"/>
  <c r="Q279" i="10"/>
  <c r="AU283" i="5" s="1"/>
  <c r="AO283" i="5"/>
  <c r="Q293" i="10"/>
  <c r="AU297" i="5" s="1"/>
  <c r="AO297" i="5"/>
  <c r="P302" i="10"/>
  <c r="P310" i="10"/>
  <c r="P331" i="10"/>
  <c r="P347" i="10"/>
  <c r="P377" i="10"/>
  <c r="Q385" i="10"/>
  <c r="AU389" i="5" s="1"/>
  <c r="AO389" i="5"/>
  <c r="P393" i="10"/>
  <c r="P401" i="10"/>
  <c r="Q409" i="10"/>
  <c r="AU413" i="5" s="1"/>
  <c r="AO413" i="5"/>
  <c r="Q417" i="10"/>
  <c r="AU421" i="5" s="1"/>
  <c r="AO421" i="5"/>
  <c r="P34" i="10"/>
  <c r="Q51" i="10"/>
  <c r="AU55" i="5" s="1"/>
  <c r="AO55" i="5"/>
  <c r="P99" i="10"/>
  <c r="Q155" i="10"/>
  <c r="AU159" i="5" s="1"/>
  <c r="AO159" i="5"/>
  <c r="P251" i="10"/>
  <c r="Q276" i="10"/>
  <c r="AU280" i="5" s="1"/>
  <c r="AO280" i="5"/>
  <c r="P296" i="10"/>
  <c r="P371" i="10"/>
  <c r="Q416" i="10"/>
  <c r="AU420" i="5" s="1"/>
  <c r="AO420" i="5"/>
  <c r="P32" i="10"/>
  <c r="Q40" i="10"/>
  <c r="AU44" i="5" s="1"/>
  <c r="AO44" i="5"/>
  <c r="Q49" i="10"/>
  <c r="AU53" i="5" s="1"/>
  <c r="AO53" i="5"/>
  <c r="P57" i="10"/>
  <c r="P65" i="10"/>
  <c r="P73" i="10"/>
  <c r="P97" i="10"/>
  <c r="P106" i="10"/>
  <c r="Q114" i="10"/>
  <c r="AU118" i="5" s="1"/>
  <c r="AO118" i="5"/>
  <c r="P138" i="10"/>
  <c r="P147" i="10"/>
  <c r="Q165" i="10"/>
  <c r="AU169" i="5" s="1"/>
  <c r="AO169" i="5"/>
  <c r="P249" i="10"/>
  <c r="P257" i="10"/>
  <c r="Q281" i="10"/>
  <c r="AU285" i="5" s="1"/>
  <c r="AO285" i="5"/>
  <c r="Q294" i="10"/>
  <c r="AU298" i="5" s="1"/>
  <c r="AO298" i="5"/>
  <c r="P303" i="10"/>
  <c r="P311" i="10"/>
  <c r="Q332" i="10"/>
  <c r="AU336" i="5" s="1"/>
  <c r="AO336" i="5"/>
  <c r="Q348" i="10"/>
  <c r="AU352" i="5" s="1"/>
  <c r="AO352" i="5"/>
  <c r="P378" i="10"/>
  <c r="P386" i="10"/>
  <c r="P394" i="10"/>
  <c r="P402" i="10"/>
  <c r="Q410" i="10"/>
  <c r="AU414" i="5" s="1"/>
  <c r="AO414" i="5"/>
  <c r="Q418" i="10"/>
  <c r="AU422" i="5" s="1"/>
  <c r="AO422" i="5"/>
  <c r="P308" i="10"/>
  <c r="Q349" i="10"/>
  <c r="AU353" i="5" s="1"/>
  <c r="AO353" i="5"/>
  <c r="Q383" i="10"/>
  <c r="AU387" i="5" s="1"/>
  <c r="AO387" i="5"/>
  <c r="P395" i="10"/>
  <c r="P419" i="10"/>
  <c r="P47" i="10"/>
  <c r="Q67" i="10"/>
  <c r="AU71" i="5" s="1"/>
  <c r="AO71" i="5"/>
  <c r="P79" i="10"/>
  <c r="P116" i="10"/>
  <c r="P149" i="10"/>
  <c r="P272" i="10"/>
  <c r="P305" i="10"/>
  <c r="P376" i="10"/>
  <c r="Q392" i="10"/>
  <c r="AU396" i="5" s="1"/>
  <c r="AO396" i="5"/>
  <c r="Q408" i="10"/>
  <c r="AU412" i="5" s="1"/>
  <c r="AO412" i="5"/>
  <c r="Q28" i="10"/>
  <c r="AU32" i="5" s="1"/>
  <c r="AO32" i="5"/>
  <c r="P37" i="10"/>
  <c r="P46" i="10"/>
  <c r="Q54" i="10"/>
  <c r="AU58" i="5" s="1"/>
  <c r="AO58" i="5"/>
  <c r="Q62" i="10"/>
  <c r="AU66" i="5" s="1"/>
  <c r="AO66" i="5"/>
  <c r="P70" i="10"/>
  <c r="P78" i="10"/>
  <c r="Q102" i="10"/>
  <c r="AU106" i="5" s="1"/>
  <c r="AO106" i="5"/>
  <c r="P111" i="10"/>
  <c r="P135" i="10"/>
  <c r="P144" i="10"/>
  <c r="Q154" i="10"/>
  <c r="AU158" i="5" s="1"/>
  <c r="AO158" i="5"/>
  <c r="P176" i="10"/>
  <c r="P250" i="10"/>
  <c r="P271" i="10"/>
  <c r="P287" i="10"/>
  <c r="P295" i="10"/>
  <c r="Q312" i="10"/>
  <c r="AU316" i="5" s="1"/>
  <c r="AO316" i="5"/>
  <c r="P345" i="10"/>
  <c r="P391" i="10"/>
  <c r="Q407" i="10"/>
  <c r="AU411" i="5" s="1"/>
  <c r="AO411" i="5"/>
  <c r="Q415" i="10"/>
  <c r="AU419" i="5" s="1"/>
  <c r="AO419" i="5"/>
  <c r="P38" i="10"/>
  <c r="P71" i="10"/>
  <c r="P112" i="10"/>
  <c r="P173" i="10"/>
  <c r="P309" i="10"/>
  <c r="P346" i="10"/>
  <c r="Q388" i="10"/>
  <c r="AU392" i="5" s="1"/>
  <c r="AO392" i="5"/>
  <c r="Q412" i="10"/>
  <c r="AU416" i="5" s="1"/>
  <c r="AO416" i="5"/>
  <c r="Y156" i="5"/>
  <c r="BI156" i="5" s="1"/>
  <c r="O219" i="10"/>
  <c r="AL13" i="5"/>
  <c r="P160" i="10"/>
  <c r="AO164" i="5" s="1"/>
  <c r="O211" i="10"/>
  <c r="P202" i="10"/>
  <c r="AO206" i="5" s="1"/>
  <c r="O240" i="10"/>
  <c r="P161" i="10"/>
  <c r="AO165" i="5" s="1"/>
  <c r="O212" i="10"/>
  <c r="O205" i="10"/>
  <c r="N243" i="10"/>
  <c r="P178" i="10"/>
  <c r="AO182" i="5" s="1"/>
  <c r="O216" i="10"/>
  <c r="P199" i="10"/>
  <c r="AO203" i="5" s="1"/>
  <c r="O237" i="10"/>
  <c r="P180" i="10"/>
  <c r="AO184" i="5" s="1"/>
  <c r="O218" i="10"/>
  <c r="P159" i="10"/>
  <c r="AO163" i="5" s="1"/>
  <c r="O210" i="10"/>
  <c r="P164" i="10"/>
  <c r="AO168" i="5" s="1"/>
  <c r="O215" i="10"/>
  <c r="P182" i="10"/>
  <c r="AO186" i="5" s="1"/>
  <c r="O220" i="10"/>
  <c r="O198" i="10"/>
  <c r="N236" i="10"/>
  <c r="P158" i="10"/>
  <c r="AO162" i="5" s="1"/>
  <c r="O209" i="10"/>
  <c r="P200" i="10"/>
  <c r="AO204" i="5" s="1"/>
  <c r="O238" i="10"/>
  <c r="P157" i="10"/>
  <c r="AO161" i="5" s="1"/>
  <c r="O208" i="10"/>
  <c r="P179" i="10"/>
  <c r="AO183" i="5" s="1"/>
  <c r="O217" i="10"/>
  <c r="Q203" i="10"/>
  <c r="P241" i="10"/>
  <c r="AO245" i="5" s="1"/>
  <c r="P162" i="10"/>
  <c r="AO166" i="5" s="1"/>
  <c r="O213" i="10"/>
  <c r="P163" i="10"/>
  <c r="AO167" i="5" s="1"/>
  <c r="O214" i="10"/>
  <c r="P201" i="10"/>
  <c r="AO205" i="5" s="1"/>
  <c r="O239" i="10"/>
  <c r="V156" i="5"/>
  <c r="BF156" i="5" s="1"/>
  <c r="AL25" i="5"/>
  <c r="AF28" i="5"/>
  <c r="AF12" i="5"/>
  <c r="AZ17" i="5"/>
  <c r="BP17" i="5" s="1"/>
  <c r="AY17" i="5"/>
  <c r="BO17" i="5" s="1"/>
  <c r="AY12" i="5"/>
  <c r="AR12" i="5"/>
  <c r="AL14" i="5"/>
  <c r="AX22" i="5"/>
  <c r="AL24" i="5"/>
  <c r="AF13" i="5"/>
  <c r="AX23" i="5"/>
  <c r="AX18" i="5"/>
  <c r="AL22" i="5"/>
  <c r="AX14" i="5"/>
  <c r="Z22" i="5"/>
  <c r="Z26" i="5"/>
  <c r="AF16" i="5"/>
  <c r="AL12" i="5"/>
  <c r="AX19" i="5"/>
  <c r="AL18" i="5"/>
  <c r="AL21" i="5"/>
  <c r="Z19" i="5"/>
  <c r="AX15" i="5"/>
  <c r="Z12" i="5"/>
  <c r="Z14" i="5"/>
  <c r="Z18" i="5"/>
  <c r="AF14" i="5"/>
  <c r="Z13" i="5"/>
  <c r="Z16" i="5"/>
  <c r="AX24" i="5"/>
  <c r="AX20" i="5"/>
  <c r="AX12" i="5"/>
  <c r="AF15" i="5"/>
  <c r="AL15" i="5"/>
  <c r="AF27" i="5"/>
  <c r="AR14" i="5"/>
  <c r="AX21" i="5"/>
  <c r="Z17" i="5"/>
  <c r="Z21" i="5"/>
  <c r="AR16" i="5"/>
  <c r="AL26" i="5"/>
  <c r="AX26" i="5"/>
  <c r="AL20" i="5"/>
  <c r="Z23" i="5"/>
  <c r="AX16" i="5"/>
  <c r="Z15" i="5"/>
  <c r="Z20" i="5"/>
  <c r="Z24" i="5"/>
  <c r="AX13" i="5"/>
  <c r="AL19" i="5"/>
  <c r="AR13" i="5"/>
  <c r="AR15" i="5"/>
  <c r="AX17" i="5"/>
  <c r="AX27" i="5"/>
  <c r="W28" i="5"/>
  <c r="BG28" i="5" s="1"/>
  <c r="AL23" i="5"/>
  <c r="AL27" i="5"/>
  <c r="AR17" i="5"/>
  <c r="AF20" i="5"/>
  <c r="AF24" i="5"/>
  <c r="Z27" i="5"/>
  <c r="AF19" i="5"/>
  <c r="AF23" i="5"/>
  <c r="Z25" i="5"/>
  <c r="AF21" i="5"/>
  <c r="AF25" i="5"/>
  <c r="AF18" i="5"/>
  <c r="AF22" i="5"/>
  <c r="AF26" i="5"/>
  <c r="AX25" i="5"/>
  <c r="AR19" i="5"/>
  <c r="AR25" i="5"/>
  <c r="AR18" i="5"/>
  <c r="AR26" i="5"/>
  <c r="AR23" i="5"/>
  <c r="AR22" i="5"/>
  <c r="AR27" i="5"/>
  <c r="AR20" i="5"/>
  <c r="AR24" i="5"/>
  <c r="AR21" i="5"/>
  <c r="BC26" i="5" l="1"/>
  <c r="BC14" i="5"/>
  <c r="BS20" i="5"/>
  <c r="BC15" i="5"/>
  <c r="BS14" i="5"/>
  <c r="BS26" i="5"/>
  <c r="BC20" i="5"/>
  <c r="BC23" i="5"/>
  <c r="BC16" i="5"/>
  <c r="BS27" i="5"/>
  <c r="BC27" i="5"/>
  <c r="BC13" i="5"/>
  <c r="BC18" i="5"/>
  <c r="BS22" i="5"/>
  <c r="BC25" i="5"/>
  <c r="BS15" i="5"/>
  <c r="BS16" i="5"/>
  <c r="BS19" i="5"/>
  <c r="BS18" i="5"/>
  <c r="BS23" i="5"/>
  <c r="BS25" i="5"/>
  <c r="BC21" i="5"/>
  <c r="BQ21" i="5"/>
  <c r="BS21" i="5" s="1"/>
  <c r="BC22" i="5"/>
  <c r="BC24" i="5"/>
  <c r="BR24" i="5"/>
  <c r="BS24" i="5" s="1"/>
  <c r="BS13" i="5"/>
  <c r="BS17" i="5"/>
  <c r="BC12" i="5"/>
  <c r="BO12" i="5"/>
  <c r="BC19" i="5"/>
  <c r="P219" i="10"/>
  <c r="AO223" i="5" s="1"/>
  <c r="Q181" i="10"/>
  <c r="Q219" i="10" s="1"/>
  <c r="AU223" i="5" s="1"/>
  <c r="AF156" i="5"/>
  <c r="AK156" i="5"/>
  <c r="AZ156" i="5" s="1"/>
  <c r="BP156" i="5" s="1"/>
  <c r="Q309" i="10"/>
  <c r="AU313" i="5" s="1"/>
  <c r="AO313" i="5"/>
  <c r="Q112" i="10"/>
  <c r="AU116" i="5" s="1"/>
  <c r="AO116" i="5"/>
  <c r="Q38" i="10"/>
  <c r="AU42" i="5" s="1"/>
  <c r="AO42" i="5"/>
  <c r="Q345" i="10"/>
  <c r="AU349" i="5" s="1"/>
  <c r="AO349" i="5"/>
  <c r="Q295" i="10"/>
  <c r="AU299" i="5" s="1"/>
  <c r="AO299" i="5"/>
  <c r="Q271" i="10"/>
  <c r="AU275" i="5" s="1"/>
  <c r="AO275" i="5"/>
  <c r="Q176" i="10"/>
  <c r="AU180" i="5" s="1"/>
  <c r="AO180" i="5"/>
  <c r="Q144" i="10"/>
  <c r="AU148" i="5" s="1"/>
  <c r="AO148" i="5"/>
  <c r="Q111" i="10"/>
  <c r="AU115" i="5" s="1"/>
  <c r="AO115" i="5"/>
  <c r="Q78" i="10"/>
  <c r="AU82" i="5" s="1"/>
  <c r="AO82" i="5"/>
  <c r="Q46" i="10"/>
  <c r="AU50" i="5" s="1"/>
  <c r="AO50" i="5"/>
  <c r="Q305" i="10"/>
  <c r="AU309" i="5" s="1"/>
  <c r="AO309" i="5"/>
  <c r="Q149" i="10"/>
  <c r="AU153" i="5" s="1"/>
  <c r="AO153" i="5"/>
  <c r="Q79" i="10"/>
  <c r="AU83" i="5" s="1"/>
  <c r="AO83" i="5"/>
  <c r="Q47" i="10"/>
  <c r="AU51" i="5" s="1"/>
  <c r="AO51" i="5"/>
  <c r="Q395" i="10"/>
  <c r="AU399" i="5" s="1"/>
  <c r="AO399" i="5"/>
  <c r="Q402" i="10"/>
  <c r="AU406" i="5" s="1"/>
  <c r="AO406" i="5"/>
  <c r="Q386" i="10"/>
  <c r="AU390" i="5" s="1"/>
  <c r="AO390" i="5"/>
  <c r="Q311" i="10"/>
  <c r="AU315" i="5" s="1"/>
  <c r="AO315" i="5"/>
  <c r="Q257" i="10"/>
  <c r="AU261" i="5" s="1"/>
  <c r="AO261" i="5"/>
  <c r="Q138" i="10"/>
  <c r="AU142" i="5" s="1"/>
  <c r="AO142" i="5"/>
  <c r="Q106" i="10"/>
  <c r="AU110" i="5" s="1"/>
  <c r="AO110" i="5"/>
  <c r="Q73" i="10"/>
  <c r="AU77" i="5" s="1"/>
  <c r="AO77" i="5"/>
  <c r="Q57" i="10"/>
  <c r="AU61" i="5" s="1"/>
  <c r="AO61" i="5"/>
  <c r="Q296" i="10"/>
  <c r="AU300" i="5" s="1"/>
  <c r="AO300" i="5"/>
  <c r="Q251" i="10"/>
  <c r="AU255" i="5" s="1"/>
  <c r="AO255" i="5"/>
  <c r="Q99" i="10"/>
  <c r="AU103" i="5" s="1"/>
  <c r="AO103" i="5"/>
  <c r="Q34" i="10"/>
  <c r="AU38" i="5" s="1"/>
  <c r="AO38" i="5"/>
  <c r="Q393" i="10"/>
  <c r="AU397" i="5" s="1"/>
  <c r="AO397" i="5"/>
  <c r="Q377" i="10"/>
  <c r="AU381" i="5" s="1"/>
  <c r="AO381" i="5"/>
  <c r="Q331" i="10"/>
  <c r="AU335" i="5" s="1"/>
  <c r="AO335" i="5"/>
  <c r="Q302" i="10"/>
  <c r="AU306" i="5" s="1"/>
  <c r="AO306" i="5"/>
  <c r="Q248" i="10"/>
  <c r="AU252" i="5" s="1"/>
  <c r="AO252" i="5"/>
  <c r="Q113" i="10"/>
  <c r="AU117" i="5" s="1"/>
  <c r="AO117" i="5"/>
  <c r="Q48" i="10"/>
  <c r="AU52" i="5" s="1"/>
  <c r="AO52" i="5"/>
  <c r="Q31" i="10"/>
  <c r="AU35" i="5" s="1"/>
  <c r="AO35" i="5"/>
  <c r="P334" i="10"/>
  <c r="P29" i="10"/>
  <c r="P282" i="10"/>
  <c r="P336" i="10"/>
  <c r="P41" i="10"/>
  <c r="Q400" i="10"/>
  <c r="AU404" i="5" s="1"/>
  <c r="AO404" i="5"/>
  <c r="Q145" i="10"/>
  <c r="AU149" i="5" s="1"/>
  <c r="AO149" i="5"/>
  <c r="Q55" i="10"/>
  <c r="AU59" i="5" s="1"/>
  <c r="AO59" i="5"/>
  <c r="Q379" i="10"/>
  <c r="AU383" i="5" s="1"/>
  <c r="AO383" i="5"/>
  <c r="Q304" i="10"/>
  <c r="AU308" i="5" s="1"/>
  <c r="AO308" i="5"/>
  <c r="Q275" i="10"/>
  <c r="AU279" i="5" s="1"/>
  <c r="AO279" i="5"/>
  <c r="Q246" i="10"/>
  <c r="AU250" i="5" s="1"/>
  <c r="AO250" i="5"/>
  <c r="Q148" i="10"/>
  <c r="AU152" i="5" s="1"/>
  <c r="AO152" i="5"/>
  <c r="Q115" i="10"/>
  <c r="AU119" i="5" s="1"/>
  <c r="AO119" i="5"/>
  <c r="Q98" i="10"/>
  <c r="AU102" i="5" s="1"/>
  <c r="AO102" i="5"/>
  <c r="Q50" i="10"/>
  <c r="AU54" i="5" s="1"/>
  <c r="AO54" i="5"/>
  <c r="Q33" i="10"/>
  <c r="AU37" i="5" s="1"/>
  <c r="AO37" i="5"/>
  <c r="Q330" i="10"/>
  <c r="AU334" i="5" s="1"/>
  <c r="AO334" i="5"/>
  <c r="Q247" i="10"/>
  <c r="AU251" i="5" s="1"/>
  <c r="AO251" i="5"/>
  <c r="Q108" i="10"/>
  <c r="AU112" i="5" s="1"/>
  <c r="AO112" i="5"/>
  <c r="Q59" i="10"/>
  <c r="AU63" i="5" s="1"/>
  <c r="AO63" i="5"/>
  <c r="Q403" i="10"/>
  <c r="AU407" i="5" s="1"/>
  <c r="AO407" i="5"/>
  <c r="Q373" i="10"/>
  <c r="AU377" i="5" s="1"/>
  <c r="AO377" i="5"/>
  <c r="Q328" i="10"/>
  <c r="AU332" i="5" s="1"/>
  <c r="AO332" i="5"/>
  <c r="Q299" i="10"/>
  <c r="AU303" i="5" s="1"/>
  <c r="AO303" i="5"/>
  <c r="Q274" i="10"/>
  <c r="AU278" i="5" s="1"/>
  <c r="AO278" i="5"/>
  <c r="Q175" i="10"/>
  <c r="AU179" i="5" s="1"/>
  <c r="AO179" i="5"/>
  <c r="Q143" i="10"/>
  <c r="AU147" i="5" s="1"/>
  <c r="AO147" i="5"/>
  <c r="Q110" i="10"/>
  <c r="AU114" i="5" s="1"/>
  <c r="AO114" i="5"/>
  <c r="Q77" i="10"/>
  <c r="AU81" i="5" s="1"/>
  <c r="AO81" i="5"/>
  <c r="Q45" i="10"/>
  <c r="AU49" i="5" s="1"/>
  <c r="AO49" i="5"/>
  <c r="Q27" i="10"/>
  <c r="AU31" i="5" s="1"/>
  <c r="AO31" i="5"/>
  <c r="Q313" i="10"/>
  <c r="AU317" i="5" s="1"/>
  <c r="AO317" i="5"/>
  <c r="Q255" i="10"/>
  <c r="AU259" i="5" s="1"/>
  <c r="AO259" i="5"/>
  <c r="Q136" i="10"/>
  <c r="AU140" i="5" s="1"/>
  <c r="AO140" i="5"/>
  <c r="Q43" i="10"/>
  <c r="AU47" i="5" s="1"/>
  <c r="AO47" i="5"/>
  <c r="Q397" i="10"/>
  <c r="AU401" i="5" s="1"/>
  <c r="AO401" i="5"/>
  <c r="Q381" i="10"/>
  <c r="AU385" i="5" s="1"/>
  <c r="AO385" i="5"/>
  <c r="Q343" i="10"/>
  <c r="AU347" i="5" s="1"/>
  <c r="AO347" i="5"/>
  <c r="Q306" i="10"/>
  <c r="AU310" i="5" s="1"/>
  <c r="AO310" i="5"/>
  <c r="Q289" i="10"/>
  <c r="AU293" i="5" s="1"/>
  <c r="AO293" i="5"/>
  <c r="Q252" i="10"/>
  <c r="AU256" i="5" s="1"/>
  <c r="AO256" i="5"/>
  <c r="Q151" i="10"/>
  <c r="AU155" i="5" s="1"/>
  <c r="AO155" i="5"/>
  <c r="Q100" i="10"/>
  <c r="AU104" i="5" s="1"/>
  <c r="AO104" i="5"/>
  <c r="Q35" i="10"/>
  <c r="AU39" i="5" s="1"/>
  <c r="AO39" i="5"/>
  <c r="P166" i="10"/>
  <c r="Q241" i="10"/>
  <c r="AU245" i="5" s="1"/>
  <c r="AU207" i="5"/>
  <c r="Q346" i="10"/>
  <c r="AU350" i="5" s="1"/>
  <c r="AO350" i="5"/>
  <c r="Q173" i="10"/>
  <c r="AU177" i="5" s="1"/>
  <c r="AO177" i="5"/>
  <c r="Q71" i="10"/>
  <c r="AU75" i="5" s="1"/>
  <c r="AO75" i="5"/>
  <c r="Q391" i="10"/>
  <c r="AU395" i="5" s="1"/>
  <c r="AO395" i="5"/>
  <c r="Q287" i="10"/>
  <c r="AU291" i="5" s="1"/>
  <c r="AO291" i="5"/>
  <c r="Q250" i="10"/>
  <c r="AU254" i="5" s="1"/>
  <c r="AO254" i="5"/>
  <c r="Q135" i="10"/>
  <c r="AU139" i="5" s="1"/>
  <c r="AO139" i="5"/>
  <c r="Q70" i="10"/>
  <c r="AU74" i="5" s="1"/>
  <c r="AO74" i="5"/>
  <c r="Q37" i="10"/>
  <c r="AU41" i="5" s="1"/>
  <c r="AO41" i="5"/>
  <c r="Q376" i="10"/>
  <c r="AU380" i="5" s="1"/>
  <c r="AO380" i="5"/>
  <c r="Q272" i="10"/>
  <c r="AU276" i="5" s="1"/>
  <c r="AO276" i="5"/>
  <c r="Q116" i="10"/>
  <c r="AU120" i="5" s="1"/>
  <c r="AO120" i="5"/>
  <c r="Q419" i="10"/>
  <c r="AU423" i="5" s="1"/>
  <c r="AO423" i="5"/>
  <c r="Q308" i="10"/>
  <c r="AU312" i="5" s="1"/>
  <c r="AO312" i="5"/>
  <c r="Q394" i="10"/>
  <c r="AU398" i="5" s="1"/>
  <c r="AO398" i="5"/>
  <c r="Q378" i="10"/>
  <c r="AU382" i="5" s="1"/>
  <c r="AO382" i="5"/>
  <c r="Q303" i="10"/>
  <c r="AU307" i="5" s="1"/>
  <c r="AO307" i="5"/>
  <c r="Q249" i="10"/>
  <c r="AU253" i="5" s="1"/>
  <c r="AO253" i="5"/>
  <c r="Q147" i="10"/>
  <c r="AU151" i="5" s="1"/>
  <c r="AO151" i="5"/>
  <c r="Q97" i="10"/>
  <c r="AU101" i="5" s="1"/>
  <c r="AO101" i="5"/>
  <c r="Q65" i="10"/>
  <c r="AU69" i="5" s="1"/>
  <c r="AO69" i="5"/>
  <c r="Q32" i="10"/>
  <c r="AU36" i="5" s="1"/>
  <c r="AO36" i="5"/>
  <c r="Q371" i="10"/>
  <c r="AU375" i="5" s="1"/>
  <c r="AO375" i="5"/>
  <c r="Q401" i="10"/>
  <c r="AU405" i="5" s="1"/>
  <c r="AO405" i="5"/>
  <c r="Q347" i="10"/>
  <c r="AU351" i="5" s="1"/>
  <c r="AO351" i="5"/>
  <c r="Q310" i="10"/>
  <c r="AU314" i="5" s="1"/>
  <c r="AO314" i="5"/>
  <c r="Q137" i="10"/>
  <c r="AU141" i="5" s="1"/>
  <c r="AO141" i="5"/>
  <c r="Q105" i="10"/>
  <c r="AU109" i="5" s="1"/>
  <c r="AO109" i="5"/>
  <c r="Q72" i="10"/>
  <c r="AU76" i="5" s="1"/>
  <c r="AO76" i="5"/>
  <c r="Q56" i="10"/>
  <c r="AU60" i="5" s="1"/>
  <c r="AO60" i="5"/>
  <c r="Q39" i="10"/>
  <c r="AU43" i="5" s="1"/>
  <c r="AO43" i="5"/>
  <c r="Q152" i="10"/>
  <c r="AU156" i="5" s="1"/>
  <c r="AW156" i="5" s="1"/>
  <c r="BB156" i="5" s="1"/>
  <c r="BR156" i="5" s="1"/>
  <c r="AO156" i="5"/>
  <c r="AQ156" i="5" s="1"/>
  <c r="BA156" i="5" s="1"/>
  <c r="BQ156" i="5" s="1"/>
  <c r="P278" i="10"/>
  <c r="P168" i="10"/>
  <c r="P375" i="10"/>
  <c r="P338" i="10"/>
  <c r="Q380" i="10"/>
  <c r="AU384" i="5" s="1"/>
  <c r="AO384" i="5"/>
  <c r="Q288" i="10"/>
  <c r="AU292" i="5" s="1"/>
  <c r="AO292" i="5"/>
  <c r="Q30" i="10"/>
  <c r="AU34" i="5" s="1"/>
  <c r="AO34" i="5"/>
  <c r="Q399" i="10"/>
  <c r="AU403" i="5" s="1"/>
  <c r="AO403" i="5"/>
  <c r="Q291" i="10"/>
  <c r="AU295" i="5" s="1"/>
  <c r="AO295" i="5"/>
  <c r="Q254" i="10"/>
  <c r="AU258" i="5" s="1"/>
  <c r="AO258" i="5"/>
  <c r="Q107" i="10"/>
  <c r="AU111" i="5" s="1"/>
  <c r="AO111" i="5"/>
  <c r="Q74" i="10"/>
  <c r="AU78" i="5" s="1"/>
  <c r="AO78" i="5"/>
  <c r="Q58" i="10"/>
  <c r="AU62" i="5" s="1"/>
  <c r="AO62" i="5"/>
  <c r="Q42" i="10"/>
  <c r="AU46" i="5" s="1"/>
  <c r="AO46" i="5"/>
  <c r="Q420" i="10"/>
  <c r="AU424" i="5" s="1"/>
  <c r="AO424" i="5"/>
  <c r="Q75" i="10"/>
  <c r="AU79" i="5" s="1"/>
  <c r="AO79" i="5"/>
  <c r="Q25" i="10"/>
  <c r="AU29" i="5" s="1"/>
  <c r="AO29" i="5"/>
  <c r="Q329" i="10"/>
  <c r="AU333" i="5" s="1"/>
  <c r="AO333" i="5"/>
  <c r="Q398" i="10"/>
  <c r="AU402" i="5" s="1"/>
  <c r="AO402" i="5"/>
  <c r="Q382" i="10"/>
  <c r="AU386" i="5" s="1"/>
  <c r="AO386" i="5"/>
  <c r="Q344" i="10"/>
  <c r="AU348" i="5" s="1"/>
  <c r="AO348" i="5"/>
  <c r="Q307" i="10"/>
  <c r="AU311" i="5" s="1"/>
  <c r="AO311" i="5"/>
  <c r="Q290" i="10"/>
  <c r="AU294" i="5" s="1"/>
  <c r="AO294" i="5"/>
  <c r="Q253" i="10"/>
  <c r="AU257" i="5" s="1"/>
  <c r="AO257" i="5"/>
  <c r="Q134" i="10"/>
  <c r="AU138" i="5" s="1"/>
  <c r="AO138" i="5"/>
  <c r="Q101" i="10"/>
  <c r="AU105" i="5" s="1"/>
  <c r="AO105" i="5"/>
  <c r="Q36" i="10"/>
  <c r="AU40" i="5" s="1"/>
  <c r="AO40" i="5"/>
  <c r="Q177" i="10"/>
  <c r="AU181" i="5" s="1"/>
  <c r="AO181" i="5"/>
  <c r="Q63" i="10"/>
  <c r="AU67" i="5" s="1"/>
  <c r="AO67" i="5"/>
  <c r="Q372" i="10"/>
  <c r="AU376" i="5" s="1"/>
  <c r="AO376" i="5"/>
  <c r="Q327" i="10"/>
  <c r="AU331" i="5" s="1"/>
  <c r="AO331" i="5"/>
  <c r="Q297" i="10"/>
  <c r="AU301" i="5" s="1"/>
  <c r="AO301" i="5"/>
  <c r="Q273" i="10"/>
  <c r="AU277" i="5" s="1"/>
  <c r="AO277" i="5"/>
  <c r="Q174" i="10"/>
  <c r="AU178" i="5" s="1"/>
  <c r="AO178" i="5"/>
  <c r="Q142" i="10"/>
  <c r="AU146" i="5" s="1"/>
  <c r="AO146" i="5"/>
  <c r="Q109" i="10"/>
  <c r="AU113" i="5" s="1"/>
  <c r="AO113" i="5"/>
  <c r="Q76" i="10"/>
  <c r="AU80" i="5" s="1"/>
  <c r="AO80" i="5"/>
  <c r="Q60" i="10"/>
  <c r="AU64" i="5" s="1"/>
  <c r="AO64" i="5"/>
  <c r="Q44" i="10"/>
  <c r="AU48" i="5" s="1"/>
  <c r="AO48" i="5"/>
  <c r="Q26" i="10"/>
  <c r="AU30" i="5" s="1"/>
  <c r="AO30" i="5"/>
  <c r="P280" i="10"/>
  <c r="X156" i="5"/>
  <c r="BH156" i="5" s="1"/>
  <c r="W156" i="5"/>
  <c r="BG156" i="5" s="1"/>
  <c r="Q162" i="10"/>
  <c r="P213" i="10"/>
  <c r="AO217" i="5" s="1"/>
  <c r="Q157" i="10"/>
  <c r="P208" i="10"/>
  <c r="AO212" i="5" s="1"/>
  <c r="P198" i="10"/>
  <c r="AO202" i="5" s="1"/>
  <c r="O236" i="10"/>
  <c r="Q164" i="10"/>
  <c r="P215" i="10"/>
  <c r="AO219" i="5" s="1"/>
  <c r="Q159" i="10"/>
  <c r="P210" i="10"/>
  <c r="AO214" i="5" s="1"/>
  <c r="Q199" i="10"/>
  <c r="P237" i="10"/>
  <c r="AO241" i="5" s="1"/>
  <c r="P205" i="10"/>
  <c r="AO209" i="5" s="1"/>
  <c r="O243" i="10"/>
  <c r="Q201" i="10"/>
  <c r="P239" i="10"/>
  <c r="AO243" i="5" s="1"/>
  <c r="Q163" i="10"/>
  <c r="P214" i="10"/>
  <c r="AO218" i="5" s="1"/>
  <c r="Q179" i="10"/>
  <c r="P217" i="10"/>
  <c r="AO221" i="5" s="1"/>
  <c r="Q200" i="10"/>
  <c r="P238" i="10"/>
  <c r="AO242" i="5" s="1"/>
  <c r="Q158" i="10"/>
  <c r="P209" i="10"/>
  <c r="AO213" i="5" s="1"/>
  <c r="Q182" i="10"/>
  <c r="P220" i="10"/>
  <c r="AO224" i="5" s="1"/>
  <c r="Q180" i="10"/>
  <c r="P218" i="10"/>
  <c r="AO222" i="5" s="1"/>
  <c r="Q178" i="10"/>
  <c r="P216" i="10"/>
  <c r="AO220" i="5" s="1"/>
  <c r="Q161" i="10"/>
  <c r="P212" i="10"/>
  <c r="AO216" i="5" s="1"/>
  <c r="Q202" i="10"/>
  <c r="P240" i="10"/>
  <c r="AO244" i="5" s="1"/>
  <c r="Q160" i="10"/>
  <c r="P211" i="10"/>
  <c r="AO215" i="5" s="1"/>
  <c r="BC17" i="5"/>
  <c r="AL28" i="5"/>
  <c r="AZ28" i="5"/>
  <c r="BP28" i="5" s="1"/>
  <c r="AQ28" i="5"/>
  <c r="X28" i="5"/>
  <c r="AW28" i="5"/>
  <c r="Y28" i="5"/>
  <c r="BS12" i="5" l="1"/>
  <c r="BJ156" i="5"/>
  <c r="BA28" i="5"/>
  <c r="BQ28" i="5" s="1"/>
  <c r="BH28" i="5"/>
  <c r="BS156" i="5"/>
  <c r="BB28" i="5"/>
  <c r="BR28" i="5" s="1"/>
  <c r="BI28" i="5"/>
  <c r="AL156" i="5"/>
  <c r="AU185" i="5"/>
  <c r="BC156" i="5"/>
  <c r="AR156" i="5"/>
  <c r="Q338" i="10"/>
  <c r="AU342" i="5" s="1"/>
  <c r="AO342" i="5"/>
  <c r="Q168" i="10"/>
  <c r="AU172" i="5" s="1"/>
  <c r="AO172" i="5"/>
  <c r="Q336" i="10"/>
  <c r="AU340" i="5" s="1"/>
  <c r="AO340" i="5"/>
  <c r="Q240" i="10"/>
  <c r="AU244" i="5" s="1"/>
  <c r="AU206" i="5"/>
  <c r="Q216" i="10"/>
  <c r="AU220" i="5" s="1"/>
  <c r="AU182" i="5"/>
  <c r="Q220" i="10"/>
  <c r="AU224" i="5" s="1"/>
  <c r="AU186" i="5"/>
  <c r="Q238" i="10"/>
  <c r="AU242" i="5" s="1"/>
  <c r="AU204" i="5"/>
  <c r="Q214" i="10"/>
  <c r="AU218" i="5" s="1"/>
  <c r="AU167" i="5"/>
  <c r="Q210" i="10"/>
  <c r="AU214" i="5" s="1"/>
  <c r="AU163" i="5"/>
  <c r="Q213" i="10"/>
  <c r="AU217" i="5" s="1"/>
  <c r="AU166" i="5"/>
  <c r="Q29" i="10"/>
  <c r="AU33" i="5" s="1"/>
  <c r="AO33" i="5"/>
  <c r="Q375" i="10"/>
  <c r="AU379" i="5" s="1"/>
  <c r="AO379" i="5"/>
  <c r="Q278" i="10"/>
  <c r="AU282" i="5" s="1"/>
  <c r="AO282" i="5"/>
  <c r="Q41" i="10"/>
  <c r="AU45" i="5" s="1"/>
  <c r="AO45" i="5"/>
  <c r="Q282" i="10"/>
  <c r="AU286" i="5" s="1"/>
  <c r="AO286" i="5"/>
  <c r="Q334" i="10"/>
  <c r="AU338" i="5" s="1"/>
  <c r="AO338" i="5"/>
  <c r="Q166" i="10"/>
  <c r="AU170" i="5" s="1"/>
  <c r="AO170" i="5"/>
  <c r="Q280" i="10"/>
  <c r="AU284" i="5" s="1"/>
  <c r="AO284" i="5"/>
  <c r="Q211" i="10"/>
  <c r="AU215" i="5" s="1"/>
  <c r="AU164" i="5"/>
  <c r="Q212" i="10"/>
  <c r="AU216" i="5" s="1"/>
  <c r="AU165" i="5"/>
  <c r="Q218" i="10"/>
  <c r="AU222" i="5" s="1"/>
  <c r="AU184" i="5"/>
  <c r="Q209" i="10"/>
  <c r="AU213" i="5" s="1"/>
  <c r="AU162" i="5"/>
  <c r="Q217" i="10"/>
  <c r="AU221" i="5" s="1"/>
  <c r="AU183" i="5"/>
  <c r="Q239" i="10"/>
  <c r="AU243" i="5" s="1"/>
  <c r="AU205" i="5"/>
  <c r="Q237" i="10"/>
  <c r="AU241" i="5" s="1"/>
  <c r="AU203" i="5"/>
  <c r="Q215" i="10"/>
  <c r="AU219" i="5" s="1"/>
  <c r="AU168" i="5"/>
  <c r="Q208" i="10"/>
  <c r="AU212" i="5" s="1"/>
  <c r="AU161" i="5"/>
  <c r="AX156" i="5"/>
  <c r="Z156" i="5"/>
  <c r="Q205" i="10"/>
  <c r="P243" i="10"/>
  <c r="AO247" i="5" s="1"/>
  <c r="Q198" i="10"/>
  <c r="P236" i="10"/>
  <c r="AO240" i="5" s="1"/>
  <c r="AR28" i="5"/>
  <c r="AX28" i="5"/>
  <c r="Z28" i="5"/>
  <c r="BS28" i="5" l="1"/>
  <c r="BC28" i="5"/>
  <c r="BJ28" i="5"/>
  <c r="Q236" i="10"/>
  <c r="AU240" i="5" s="1"/>
  <c r="AU202" i="5"/>
  <c r="Q243" i="10"/>
  <c r="AU247" i="5" s="1"/>
  <c r="AU209" i="5"/>
  <c r="AH425" i="5"/>
  <c r="AH424" i="5"/>
  <c r="AH423" i="5"/>
  <c r="AH422" i="5"/>
  <c r="AH421" i="5"/>
  <c r="AH420" i="5"/>
  <c r="AH419" i="5"/>
  <c r="AH418" i="5"/>
  <c r="AH417" i="5"/>
  <c r="AH416" i="5"/>
  <c r="AH415" i="5"/>
  <c r="AH414" i="5"/>
  <c r="AH413" i="5"/>
  <c r="AH412" i="5"/>
  <c r="AH411" i="5"/>
  <c r="AH410" i="5"/>
  <c r="AH409" i="5"/>
  <c r="AH408" i="5"/>
  <c r="AH407" i="5"/>
  <c r="AH406" i="5"/>
  <c r="AH405" i="5"/>
  <c r="AH404" i="5"/>
  <c r="AH403" i="5"/>
  <c r="AH402" i="5"/>
  <c r="AH401" i="5"/>
  <c r="AH400" i="5"/>
  <c r="AH399" i="5"/>
  <c r="AH398" i="5"/>
  <c r="AH397" i="5"/>
  <c r="AH396" i="5"/>
  <c r="AH395" i="5"/>
  <c r="AH394" i="5"/>
  <c r="AH393" i="5"/>
  <c r="AH392" i="5"/>
  <c r="AH391" i="5"/>
  <c r="AH390" i="5"/>
  <c r="AH389" i="5"/>
  <c r="AH388" i="5"/>
  <c r="AH387" i="5"/>
  <c r="AH386" i="5"/>
  <c r="AH385" i="5"/>
  <c r="AH384" i="5"/>
  <c r="AH383" i="5"/>
  <c r="AH382" i="5"/>
  <c r="AH381" i="5"/>
  <c r="AH380" i="5"/>
  <c r="AH379" i="5"/>
  <c r="AH378" i="5"/>
  <c r="AH377" i="5"/>
  <c r="AH376"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H348" i="5"/>
  <c r="AH347" i="5"/>
  <c r="AH346" i="5"/>
  <c r="AH345" i="5"/>
  <c r="AH344" i="5"/>
  <c r="AH343" i="5"/>
  <c r="AH342" i="5"/>
  <c r="AH341" i="5"/>
  <c r="AH340" i="5"/>
  <c r="AH339" i="5"/>
  <c r="AH338" i="5"/>
  <c r="AH337" i="5"/>
  <c r="AH336" i="5"/>
  <c r="AH335" i="5"/>
  <c r="AH334" i="5"/>
  <c r="AH333" i="5"/>
  <c r="AH332"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H259" i="5"/>
  <c r="AH258" i="5"/>
  <c r="AH257" i="5"/>
  <c r="AH256" i="5"/>
  <c r="AH255" i="5"/>
  <c r="AH254" i="5"/>
  <c r="AH253" i="5"/>
  <c r="AH252" i="5"/>
  <c r="AH251" i="5"/>
  <c r="AH250" i="5"/>
  <c r="AH249" i="5"/>
  <c r="AH248" i="5"/>
  <c r="AH247" i="5"/>
  <c r="AH246" i="5"/>
  <c r="AH245" i="5"/>
  <c r="AH244" i="5"/>
  <c r="AH243" i="5"/>
  <c r="AH242" i="5"/>
  <c r="AH241" i="5"/>
  <c r="AH240" i="5"/>
  <c r="AH239" i="5"/>
  <c r="AH238" i="5"/>
  <c r="AH237" i="5"/>
  <c r="AH236" i="5"/>
  <c r="AH235" i="5"/>
  <c r="AH234" i="5"/>
  <c r="AH233" i="5"/>
  <c r="AH232" i="5"/>
  <c r="AH231" i="5"/>
  <c r="AH230" i="5"/>
  <c r="AH229" i="5"/>
  <c r="AH228" i="5"/>
  <c r="AH227" i="5"/>
  <c r="AH226" i="5"/>
  <c r="AH225" i="5"/>
  <c r="AH224" i="5"/>
  <c r="AH223" i="5"/>
  <c r="AH222" i="5"/>
  <c r="AH221" i="5"/>
  <c r="AH220" i="5"/>
  <c r="AH219" i="5"/>
  <c r="AH218" i="5"/>
  <c r="AH217" i="5"/>
  <c r="AH216" i="5"/>
  <c r="AH215" i="5"/>
  <c r="AH214" i="5"/>
  <c r="AH213" i="5"/>
  <c r="AH212" i="5"/>
  <c r="AH211" i="5"/>
  <c r="AH210" i="5"/>
  <c r="AH209" i="5"/>
  <c r="AH208" i="5"/>
  <c r="AH207" i="5"/>
  <c r="AH206" i="5"/>
  <c r="AH205" i="5"/>
  <c r="AH204" i="5"/>
  <c r="AH203" i="5"/>
  <c r="AH202" i="5"/>
  <c r="AH201" i="5"/>
  <c r="AH200" i="5"/>
  <c r="AH199" i="5"/>
  <c r="AH198" i="5"/>
  <c r="AH197" i="5"/>
  <c r="AH196" i="5"/>
  <c r="AH195" i="5"/>
  <c r="AH194" i="5"/>
  <c r="AH193" i="5"/>
  <c r="AH192" i="5"/>
  <c r="AH191" i="5"/>
  <c r="AH190" i="5"/>
  <c r="AH189" i="5"/>
  <c r="AH188" i="5"/>
  <c r="AH187" i="5"/>
  <c r="AH186" i="5"/>
  <c r="AH185" i="5"/>
  <c r="AH184" i="5"/>
  <c r="AH183" i="5"/>
  <c r="AH182" i="5"/>
  <c r="AH181" i="5"/>
  <c r="AH180" i="5"/>
  <c r="AH179" i="5"/>
  <c r="AH178" i="5"/>
  <c r="AH177" i="5"/>
  <c r="AH176" i="5"/>
  <c r="AH175" i="5"/>
  <c r="AH174" i="5"/>
  <c r="AH173" i="5"/>
  <c r="AH172" i="5"/>
  <c r="AH171" i="5"/>
  <c r="AH170" i="5"/>
  <c r="AH169" i="5"/>
  <c r="AH168" i="5"/>
  <c r="AH167" i="5"/>
  <c r="AH166" i="5"/>
  <c r="AH165" i="5"/>
  <c r="AH164" i="5"/>
  <c r="AH163" i="5"/>
  <c r="AH162" i="5"/>
  <c r="AH161" i="5"/>
  <c r="AH160" i="5"/>
  <c r="AH159" i="5"/>
  <c r="AH158" i="5"/>
  <c r="AH157" i="5"/>
  <c r="AH155" i="5"/>
  <c r="AH154" i="5"/>
  <c r="AH153" i="5"/>
  <c r="AH152" i="5"/>
  <c r="AH151" i="5"/>
  <c r="AH150" i="5"/>
  <c r="AH149" i="5"/>
  <c r="AH148" i="5"/>
  <c r="AH147" i="5"/>
  <c r="AH146" i="5"/>
  <c r="AH145" i="5"/>
  <c r="AH144" i="5"/>
  <c r="AH143" i="5"/>
  <c r="AH142" i="5"/>
  <c r="AH141" i="5"/>
  <c r="AH140" i="5"/>
  <c r="AH139" i="5"/>
  <c r="AH138" i="5"/>
  <c r="AH137" i="5"/>
  <c r="AH136" i="5"/>
  <c r="AH135" i="5"/>
  <c r="AH134" i="5"/>
  <c r="AH133" i="5"/>
  <c r="AH132" i="5"/>
  <c r="AH131" i="5"/>
  <c r="AH130" i="5"/>
  <c r="AH129" i="5"/>
  <c r="AH128" i="5"/>
  <c r="AH127" i="5"/>
  <c r="AH126" i="5"/>
  <c r="AH125" i="5"/>
  <c r="AH124" i="5"/>
  <c r="AH123" i="5"/>
  <c r="AH122" i="5"/>
  <c r="AH121" i="5"/>
  <c r="AH120" i="5"/>
  <c r="AH119" i="5"/>
  <c r="AH118" i="5"/>
  <c r="AH117" i="5"/>
  <c r="AH116" i="5"/>
  <c r="AH115" i="5"/>
  <c r="AH114" i="5"/>
  <c r="AH113" i="5"/>
  <c r="AH112" i="5"/>
  <c r="AH111" i="5"/>
  <c r="AH110" i="5"/>
  <c r="AH109" i="5"/>
  <c r="AH108" i="5"/>
  <c r="AH107" i="5"/>
  <c r="AH106" i="5"/>
  <c r="AH105" i="5"/>
  <c r="AH104" i="5"/>
  <c r="AH103" i="5"/>
  <c r="AH102" i="5"/>
  <c r="AH101" i="5"/>
  <c r="AH100" i="5"/>
  <c r="AH99" i="5"/>
  <c r="AH98" i="5"/>
  <c r="AH97" i="5"/>
  <c r="AH96" i="5"/>
  <c r="AH95" i="5"/>
  <c r="AH94" i="5"/>
  <c r="AH93" i="5"/>
  <c r="AH92" i="5"/>
  <c r="AH91" i="5"/>
  <c r="AH90" i="5"/>
  <c r="AH89" i="5"/>
  <c r="AH88" i="5"/>
  <c r="AH87" i="5"/>
  <c r="AH86" i="5"/>
  <c r="AH85" i="5"/>
  <c r="AH84" i="5"/>
  <c r="AH83" i="5"/>
  <c r="AH82" i="5"/>
  <c r="AH81" i="5"/>
  <c r="AH80" i="5"/>
  <c r="AH79" i="5"/>
  <c r="AH78" i="5"/>
  <c r="AH77" i="5"/>
  <c r="AH76" i="5"/>
  <c r="AH75" i="5"/>
  <c r="AH74" i="5"/>
  <c r="AH73" i="5"/>
  <c r="AH72" i="5"/>
  <c r="AH71" i="5"/>
  <c r="AH70" i="5"/>
  <c r="AH69" i="5"/>
  <c r="AH68" i="5"/>
  <c r="AH67" i="5"/>
  <c r="AH66" i="5"/>
  <c r="AH65" i="5"/>
  <c r="AH64" i="5"/>
  <c r="AH63" i="5"/>
  <c r="AH62" i="5"/>
  <c r="AH61" i="5"/>
  <c r="AH60" i="5"/>
  <c r="AH59" i="5"/>
  <c r="AH58" i="5"/>
  <c r="AH57" i="5"/>
  <c r="AH56" i="5"/>
  <c r="AH55" i="5"/>
  <c r="AH54" i="5"/>
  <c r="AH53" i="5"/>
  <c r="AH52" i="5"/>
  <c r="AH51" i="5"/>
  <c r="AH50" i="5"/>
  <c r="AH49" i="5"/>
  <c r="AH48" i="5"/>
  <c r="AH47" i="5"/>
  <c r="AH46" i="5"/>
  <c r="AH45" i="5"/>
  <c r="AH44" i="5"/>
  <c r="AH43" i="5"/>
  <c r="AH42" i="5"/>
  <c r="AH41" i="5"/>
  <c r="AH40" i="5"/>
  <c r="AH39" i="5"/>
  <c r="AH38" i="5"/>
  <c r="AH37" i="5"/>
  <c r="AH36" i="5"/>
  <c r="AH35" i="5"/>
  <c r="AH34" i="5"/>
  <c r="AH33" i="5"/>
  <c r="AH32" i="5"/>
  <c r="AH31" i="5"/>
  <c r="AH30" i="5"/>
  <c r="AH29" i="5"/>
  <c r="AH11" i="5"/>
  <c r="AH10" i="5"/>
  <c r="AH9" i="5"/>
  <c r="S8" i="5"/>
  <c r="T8" i="5"/>
  <c r="U8" i="5"/>
  <c r="S9" i="5"/>
  <c r="T9" i="5"/>
  <c r="U9" i="5"/>
  <c r="S10" i="5"/>
  <c r="T10" i="5"/>
  <c r="U10" i="5"/>
  <c r="S11" i="5"/>
  <c r="T11" i="5"/>
  <c r="U11" i="5"/>
  <c r="S29" i="5"/>
  <c r="T29" i="5"/>
  <c r="U29" i="5"/>
  <c r="S30" i="5"/>
  <c r="T30" i="5"/>
  <c r="U30" i="5"/>
  <c r="S31" i="5"/>
  <c r="T31" i="5"/>
  <c r="U31" i="5"/>
  <c r="S32" i="5"/>
  <c r="T32" i="5"/>
  <c r="U32" i="5"/>
  <c r="S33" i="5"/>
  <c r="T33" i="5"/>
  <c r="U33" i="5"/>
  <c r="S34" i="5"/>
  <c r="T34" i="5"/>
  <c r="U34" i="5"/>
  <c r="S35" i="5"/>
  <c r="T35" i="5"/>
  <c r="U35" i="5"/>
  <c r="S36" i="5"/>
  <c r="T36" i="5"/>
  <c r="U36" i="5"/>
  <c r="S37" i="5"/>
  <c r="T37" i="5"/>
  <c r="U37" i="5"/>
  <c r="S38" i="5"/>
  <c r="T38" i="5"/>
  <c r="U38" i="5"/>
  <c r="S39" i="5"/>
  <c r="T39" i="5"/>
  <c r="U39" i="5"/>
  <c r="S40" i="5"/>
  <c r="T40" i="5"/>
  <c r="U40" i="5"/>
  <c r="S41" i="5"/>
  <c r="T41" i="5"/>
  <c r="U41" i="5"/>
  <c r="S42" i="5"/>
  <c r="T42" i="5"/>
  <c r="U42" i="5"/>
  <c r="S43" i="5"/>
  <c r="T43" i="5"/>
  <c r="U43" i="5"/>
  <c r="S44" i="5"/>
  <c r="T44" i="5"/>
  <c r="U44" i="5"/>
  <c r="S45" i="5"/>
  <c r="T45" i="5"/>
  <c r="U45" i="5"/>
  <c r="S46" i="5"/>
  <c r="T46" i="5"/>
  <c r="U46" i="5"/>
  <c r="S47" i="5"/>
  <c r="T47" i="5"/>
  <c r="U47" i="5"/>
  <c r="S48" i="5"/>
  <c r="T48" i="5"/>
  <c r="U48" i="5"/>
  <c r="S49" i="5"/>
  <c r="T49" i="5"/>
  <c r="U49" i="5"/>
  <c r="S50" i="5"/>
  <c r="T50" i="5"/>
  <c r="U50" i="5"/>
  <c r="S51" i="5"/>
  <c r="T51" i="5"/>
  <c r="U51" i="5"/>
  <c r="S52" i="5"/>
  <c r="T52" i="5"/>
  <c r="U52" i="5"/>
  <c r="S53" i="5"/>
  <c r="T53" i="5"/>
  <c r="U53" i="5"/>
  <c r="S54" i="5"/>
  <c r="T54" i="5"/>
  <c r="U54" i="5"/>
  <c r="S55" i="5"/>
  <c r="T55" i="5"/>
  <c r="U55" i="5"/>
  <c r="S56" i="5"/>
  <c r="T56" i="5"/>
  <c r="U56" i="5"/>
  <c r="S57" i="5"/>
  <c r="T57" i="5"/>
  <c r="U57" i="5"/>
  <c r="S58" i="5"/>
  <c r="T58" i="5"/>
  <c r="U58" i="5"/>
  <c r="S59" i="5"/>
  <c r="T59" i="5"/>
  <c r="U59" i="5"/>
  <c r="S60" i="5"/>
  <c r="T60" i="5"/>
  <c r="U60" i="5"/>
  <c r="S61" i="5"/>
  <c r="T61" i="5"/>
  <c r="U61" i="5"/>
  <c r="S62" i="5"/>
  <c r="T62" i="5"/>
  <c r="U62" i="5"/>
  <c r="S63" i="5"/>
  <c r="T63" i="5"/>
  <c r="U63" i="5"/>
  <c r="S64" i="5"/>
  <c r="T64" i="5"/>
  <c r="U64" i="5"/>
  <c r="S65" i="5"/>
  <c r="T65" i="5"/>
  <c r="U65" i="5"/>
  <c r="S66" i="5"/>
  <c r="T66" i="5"/>
  <c r="U66" i="5"/>
  <c r="S67" i="5"/>
  <c r="T67" i="5"/>
  <c r="U67" i="5"/>
  <c r="S68" i="5"/>
  <c r="T68" i="5"/>
  <c r="U68" i="5"/>
  <c r="S69" i="5"/>
  <c r="T69" i="5"/>
  <c r="U69" i="5"/>
  <c r="S70" i="5"/>
  <c r="T70" i="5"/>
  <c r="U70" i="5"/>
  <c r="S71" i="5"/>
  <c r="T71" i="5"/>
  <c r="U71" i="5"/>
  <c r="S72" i="5"/>
  <c r="T72" i="5"/>
  <c r="U72" i="5"/>
  <c r="S73" i="5"/>
  <c r="T73" i="5"/>
  <c r="U73" i="5"/>
  <c r="S74" i="5"/>
  <c r="T74" i="5"/>
  <c r="U74" i="5"/>
  <c r="S75" i="5"/>
  <c r="T75" i="5"/>
  <c r="U75" i="5"/>
  <c r="S76" i="5"/>
  <c r="T76" i="5"/>
  <c r="U76" i="5"/>
  <c r="S77" i="5"/>
  <c r="T77" i="5"/>
  <c r="U77" i="5"/>
  <c r="S78" i="5"/>
  <c r="T78" i="5"/>
  <c r="U78" i="5"/>
  <c r="S79" i="5"/>
  <c r="T79" i="5"/>
  <c r="U79" i="5"/>
  <c r="S80" i="5"/>
  <c r="T80" i="5"/>
  <c r="U80" i="5"/>
  <c r="S81" i="5"/>
  <c r="T81" i="5"/>
  <c r="U81" i="5"/>
  <c r="S82" i="5"/>
  <c r="T82" i="5"/>
  <c r="U82" i="5"/>
  <c r="S83" i="5"/>
  <c r="T83" i="5"/>
  <c r="U83" i="5"/>
  <c r="S84" i="5"/>
  <c r="T84" i="5"/>
  <c r="U84" i="5"/>
  <c r="S85" i="5"/>
  <c r="T85" i="5"/>
  <c r="U85" i="5"/>
  <c r="S86" i="5"/>
  <c r="T86" i="5"/>
  <c r="U86" i="5"/>
  <c r="S87" i="5"/>
  <c r="T87" i="5"/>
  <c r="U87" i="5"/>
  <c r="S88" i="5"/>
  <c r="T88" i="5"/>
  <c r="U88" i="5"/>
  <c r="S89" i="5"/>
  <c r="T89" i="5"/>
  <c r="U89" i="5"/>
  <c r="S90" i="5"/>
  <c r="T90" i="5"/>
  <c r="U90" i="5"/>
  <c r="S91" i="5"/>
  <c r="T91" i="5"/>
  <c r="U91" i="5"/>
  <c r="S92" i="5"/>
  <c r="T92" i="5"/>
  <c r="U92" i="5"/>
  <c r="S93" i="5"/>
  <c r="T93" i="5"/>
  <c r="U93" i="5"/>
  <c r="S94" i="5"/>
  <c r="T94" i="5"/>
  <c r="U94" i="5"/>
  <c r="S95" i="5"/>
  <c r="T95" i="5"/>
  <c r="U95" i="5"/>
  <c r="S96" i="5"/>
  <c r="T96" i="5"/>
  <c r="U96" i="5"/>
  <c r="S97" i="5"/>
  <c r="T97" i="5"/>
  <c r="U97" i="5"/>
  <c r="S98" i="5"/>
  <c r="T98" i="5"/>
  <c r="U98" i="5"/>
  <c r="S99" i="5"/>
  <c r="T99" i="5"/>
  <c r="U99" i="5"/>
  <c r="S100" i="5"/>
  <c r="T100" i="5"/>
  <c r="U100" i="5"/>
  <c r="S101" i="5"/>
  <c r="T101" i="5"/>
  <c r="U101" i="5"/>
  <c r="S102" i="5"/>
  <c r="T102" i="5"/>
  <c r="U102" i="5"/>
  <c r="S103" i="5"/>
  <c r="T103" i="5"/>
  <c r="U103" i="5"/>
  <c r="S104" i="5"/>
  <c r="T104" i="5"/>
  <c r="U104" i="5"/>
  <c r="S105" i="5"/>
  <c r="T105" i="5"/>
  <c r="U105" i="5"/>
  <c r="S106" i="5"/>
  <c r="T106" i="5"/>
  <c r="U106" i="5"/>
  <c r="S107" i="5"/>
  <c r="T107" i="5"/>
  <c r="U107" i="5"/>
  <c r="S108" i="5"/>
  <c r="T108" i="5"/>
  <c r="U108" i="5"/>
  <c r="S109" i="5"/>
  <c r="T109" i="5"/>
  <c r="U109" i="5"/>
  <c r="S110" i="5"/>
  <c r="T110" i="5"/>
  <c r="U110" i="5"/>
  <c r="S111" i="5"/>
  <c r="T111" i="5"/>
  <c r="U111" i="5"/>
  <c r="S112" i="5"/>
  <c r="T112" i="5"/>
  <c r="U112" i="5"/>
  <c r="S113" i="5"/>
  <c r="T113" i="5"/>
  <c r="U113" i="5"/>
  <c r="S114" i="5"/>
  <c r="T114" i="5"/>
  <c r="U114" i="5"/>
  <c r="S115" i="5"/>
  <c r="T115" i="5"/>
  <c r="U115" i="5"/>
  <c r="S116" i="5"/>
  <c r="T116" i="5"/>
  <c r="U116" i="5"/>
  <c r="S117" i="5"/>
  <c r="T117" i="5"/>
  <c r="U117" i="5"/>
  <c r="S118" i="5"/>
  <c r="T118" i="5"/>
  <c r="U118" i="5"/>
  <c r="S119" i="5"/>
  <c r="T119" i="5"/>
  <c r="U119" i="5"/>
  <c r="S120" i="5"/>
  <c r="T120" i="5"/>
  <c r="U120" i="5"/>
  <c r="S121" i="5"/>
  <c r="T121" i="5"/>
  <c r="U121" i="5"/>
  <c r="S122" i="5"/>
  <c r="T122" i="5"/>
  <c r="U122" i="5"/>
  <c r="S123" i="5"/>
  <c r="T123" i="5"/>
  <c r="U123" i="5"/>
  <c r="S124" i="5"/>
  <c r="T124" i="5"/>
  <c r="U124" i="5"/>
  <c r="S125" i="5"/>
  <c r="T125" i="5"/>
  <c r="U125" i="5"/>
  <c r="S126" i="5"/>
  <c r="T126" i="5"/>
  <c r="U126" i="5"/>
  <c r="S127" i="5"/>
  <c r="T127" i="5"/>
  <c r="U127" i="5"/>
  <c r="S128" i="5"/>
  <c r="T128" i="5"/>
  <c r="U128" i="5"/>
  <c r="S129" i="5"/>
  <c r="T129" i="5"/>
  <c r="U129" i="5"/>
  <c r="S130" i="5"/>
  <c r="T130" i="5"/>
  <c r="U130" i="5"/>
  <c r="S131" i="5"/>
  <c r="T131" i="5"/>
  <c r="U131" i="5"/>
  <c r="S132" i="5"/>
  <c r="T132" i="5"/>
  <c r="U132" i="5"/>
  <c r="S133" i="5"/>
  <c r="T133" i="5"/>
  <c r="U133" i="5"/>
  <c r="S134" i="5"/>
  <c r="T134" i="5"/>
  <c r="U134" i="5"/>
  <c r="S135" i="5"/>
  <c r="T135" i="5"/>
  <c r="U135" i="5"/>
  <c r="S136" i="5"/>
  <c r="T136" i="5"/>
  <c r="U136" i="5"/>
  <c r="S137" i="5"/>
  <c r="T137" i="5"/>
  <c r="U137" i="5"/>
  <c r="S138" i="5"/>
  <c r="T138" i="5"/>
  <c r="U138" i="5"/>
  <c r="S139" i="5"/>
  <c r="T139" i="5"/>
  <c r="U139" i="5"/>
  <c r="S140" i="5"/>
  <c r="T140" i="5"/>
  <c r="U140" i="5"/>
  <c r="S141" i="5"/>
  <c r="T141" i="5"/>
  <c r="U141" i="5"/>
  <c r="S142" i="5"/>
  <c r="T142" i="5"/>
  <c r="U142" i="5"/>
  <c r="S143" i="5"/>
  <c r="T143" i="5"/>
  <c r="U143" i="5"/>
  <c r="S144" i="5"/>
  <c r="T144" i="5"/>
  <c r="U144" i="5"/>
  <c r="S145" i="5"/>
  <c r="T145" i="5"/>
  <c r="U145" i="5"/>
  <c r="S146" i="5"/>
  <c r="T146" i="5"/>
  <c r="U146" i="5"/>
  <c r="S147" i="5"/>
  <c r="T147" i="5"/>
  <c r="U147" i="5"/>
  <c r="S148" i="5"/>
  <c r="T148" i="5"/>
  <c r="U148" i="5"/>
  <c r="S149" i="5"/>
  <c r="T149" i="5"/>
  <c r="U149" i="5"/>
  <c r="S150" i="5"/>
  <c r="T150" i="5"/>
  <c r="U150" i="5"/>
  <c r="S151" i="5"/>
  <c r="T151" i="5"/>
  <c r="U151" i="5"/>
  <c r="S152" i="5"/>
  <c r="T152" i="5"/>
  <c r="U152" i="5"/>
  <c r="S153" i="5"/>
  <c r="T153" i="5"/>
  <c r="U153" i="5"/>
  <c r="S154" i="5"/>
  <c r="T154" i="5"/>
  <c r="U154" i="5"/>
  <c r="S155" i="5"/>
  <c r="T155" i="5"/>
  <c r="U155" i="5"/>
  <c r="S157" i="5"/>
  <c r="T157" i="5"/>
  <c r="U157" i="5"/>
  <c r="S158" i="5"/>
  <c r="T158" i="5"/>
  <c r="U158" i="5"/>
  <c r="S159" i="5"/>
  <c r="T159" i="5"/>
  <c r="U159" i="5"/>
  <c r="S160" i="5"/>
  <c r="T160" i="5"/>
  <c r="U160" i="5"/>
  <c r="S161" i="5"/>
  <c r="T161" i="5"/>
  <c r="U161" i="5"/>
  <c r="S162" i="5"/>
  <c r="T162" i="5"/>
  <c r="U162" i="5"/>
  <c r="S163" i="5"/>
  <c r="T163" i="5"/>
  <c r="U163" i="5"/>
  <c r="S164" i="5"/>
  <c r="T164" i="5"/>
  <c r="U164" i="5"/>
  <c r="S165" i="5"/>
  <c r="T165" i="5"/>
  <c r="U165" i="5"/>
  <c r="S166" i="5"/>
  <c r="T166" i="5"/>
  <c r="U166" i="5"/>
  <c r="S167" i="5"/>
  <c r="T167" i="5"/>
  <c r="U167" i="5"/>
  <c r="S168" i="5"/>
  <c r="T168" i="5"/>
  <c r="U168" i="5"/>
  <c r="S169" i="5"/>
  <c r="T169" i="5"/>
  <c r="U169" i="5"/>
  <c r="S170" i="5"/>
  <c r="T170" i="5"/>
  <c r="U170" i="5"/>
  <c r="S171" i="5"/>
  <c r="T171" i="5"/>
  <c r="U171" i="5"/>
  <c r="S172" i="5"/>
  <c r="T172" i="5"/>
  <c r="U172" i="5"/>
  <c r="S173" i="5"/>
  <c r="T173" i="5"/>
  <c r="U173" i="5"/>
  <c r="S174" i="5"/>
  <c r="T174" i="5"/>
  <c r="U174" i="5"/>
  <c r="S175" i="5"/>
  <c r="T175" i="5"/>
  <c r="U175" i="5"/>
  <c r="S176" i="5"/>
  <c r="T176" i="5"/>
  <c r="U176" i="5"/>
  <c r="S177" i="5"/>
  <c r="T177" i="5"/>
  <c r="U177" i="5"/>
  <c r="S178" i="5"/>
  <c r="T178" i="5"/>
  <c r="U178" i="5"/>
  <c r="S179" i="5"/>
  <c r="T179" i="5"/>
  <c r="U179" i="5"/>
  <c r="S180" i="5"/>
  <c r="T180" i="5"/>
  <c r="U180" i="5"/>
  <c r="S181" i="5"/>
  <c r="T181" i="5"/>
  <c r="U181" i="5"/>
  <c r="S182" i="5"/>
  <c r="T182" i="5"/>
  <c r="U182" i="5"/>
  <c r="S183" i="5"/>
  <c r="T183" i="5"/>
  <c r="U183" i="5"/>
  <c r="S184" i="5"/>
  <c r="T184" i="5"/>
  <c r="U184" i="5"/>
  <c r="S185" i="5"/>
  <c r="T185" i="5"/>
  <c r="U185" i="5"/>
  <c r="S186" i="5"/>
  <c r="T186" i="5"/>
  <c r="U186" i="5"/>
  <c r="S187" i="5"/>
  <c r="T187" i="5"/>
  <c r="U187" i="5"/>
  <c r="S188" i="5"/>
  <c r="T188" i="5"/>
  <c r="U188" i="5"/>
  <c r="S189" i="5"/>
  <c r="T189" i="5"/>
  <c r="U189" i="5"/>
  <c r="S190" i="5"/>
  <c r="T190" i="5"/>
  <c r="U190" i="5"/>
  <c r="S191" i="5"/>
  <c r="T191" i="5"/>
  <c r="U191" i="5"/>
  <c r="S192" i="5"/>
  <c r="T192" i="5"/>
  <c r="U192" i="5"/>
  <c r="S193" i="5"/>
  <c r="T193" i="5"/>
  <c r="U193" i="5"/>
  <c r="S194" i="5"/>
  <c r="T194" i="5"/>
  <c r="U194" i="5"/>
  <c r="S195" i="5"/>
  <c r="T195" i="5"/>
  <c r="U195" i="5"/>
  <c r="S196" i="5"/>
  <c r="T196" i="5"/>
  <c r="U196" i="5"/>
  <c r="S197" i="5"/>
  <c r="T197" i="5"/>
  <c r="U197" i="5"/>
  <c r="S198" i="5"/>
  <c r="T198" i="5"/>
  <c r="U198" i="5"/>
  <c r="S199" i="5"/>
  <c r="T199" i="5"/>
  <c r="U199" i="5"/>
  <c r="S200" i="5"/>
  <c r="T200" i="5"/>
  <c r="U200" i="5"/>
  <c r="S201" i="5"/>
  <c r="T201" i="5"/>
  <c r="U201" i="5"/>
  <c r="S202" i="5"/>
  <c r="T202" i="5"/>
  <c r="U202" i="5"/>
  <c r="S203" i="5"/>
  <c r="T203" i="5"/>
  <c r="U203" i="5"/>
  <c r="S204" i="5"/>
  <c r="T204" i="5"/>
  <c r="U204" i="5"/>
  <c r="S205" i="5"/>
  <c r="T205" i="5"/>
  <c r="U205" i="5"/>
  <c r="S206" i="5"/>
  <c r="T206" i="5"/>
  <c r="U206" i="5"/>
  <c r="S207" i="5"/>
  <c r="T207" i="5"/>
  <c r="U207" i="5"/>
  <c r="S208" i="5"/>
  <c r="T208" i="5"/>
  <c r="U208" i="5"/>
  <c r="S209" i="5"/>
  <c r="T209" i="5"/>
  <c r="U209" i="5"/>
  <c r="S210" i="5"/>
  <c r="T210" i="5"/>
  <c r="U210" i="5"/>
  <c r="S211" i="5"/>
  <c r="T211" i="5"/>
  <c r="U211" i="5"/>
  <c r="S212" i="5"/>
  <c r="T212" i="5"/>
  <c r="U212" i="5"/>
  <c r="S213" i="5"/>
  <c r="T213" i="5"/>
  <c r="U213" i="5"/>
  <c r="S214" i="5"/>
  <c r="T214" i="5"/>
  <c r="U214" i="5"/>
  <c r="S215" i="5"/>
  <c r="T215" i="5"/>
  <c r="U215" i="5"/>
  <c r="S216" i="5"/>
  <c r="T216" i="5"/>
  <c r="U216" i="5"/>
  <c r="S217" i="5"/>
  <c r="T217" i="5"/>
  <c r="U217" i="5"/>
  <c r="S218" i="5"/>
  <c r="T218" i="5"/>
  <c r="U218" i="5"/>
  <c r="S219" i="5"/>
  <c r="T219" i="5"/>
  <c r="U219" i="5"/>
  <c r="S220" i="5"/>
  <c r="T220" i="5"/>
  <c r="U220" i="5"/>
  <c r="S221" i="5"/>
  <c r="T221" i="5"/>
  <c r="U221" i="5"/>
  <c r="S222" i="5"/>
  <c r="T222" i="5"/>
  <c r="U222" i="5"/>
  <c r="S223" i="5"/>
  <c r="T223" i="5"/>
  <c r="U223" i="5"/>
  <c r="S224" i="5"/>
  <c r="T224" i="5"/>
  <c r="U224" i="5"/>
  <c r="S225" i="5"/>
  <c r="T225" i="5"/>
  <c r="U225" i="5"/>
  <c r="S226" i="5"/>
  <c r="T226" i="5"/>
  <c r="U226" i="5"/>
  <c r="S227" i="5"/>
  <c r="T227" i="5"/>
  <c r="U227" i="5"/>
  <c r="S228" i="5"/>
  <c r="T228" i="5"/>
  <c r="U228" i="5"/>
  <c r="S229" i="5"/>
  <c r="T229" i="5"/>
  <c r="U229" i="5"/>
  <c r="S230" i="5"/>
  <c r="T230" i="5"/>
  <c r="U230" i="5"/>
  <c r="S231" i="5"/>
  <c r="T231" i="5"/>
  <c r="U231" i="5"/>
  <c r="S232" i="5"/>
  <c r="T232" i="5"/>
  <c r="U232" i="5"/>
  <c r="S233" i="5"/>
  <c r="T233" i="5"/>
  <c r="U233" i="5"/>
  <c r="S234" i="5"/>
  <c r="T234" i="5"/>
  <c r="U234" i="5"/>
  <c r="S235" i="5"/>
  <c r="T235" i="5"/>
  <c r="U235" i="5"/>
  <c r="S236" i="5"/>
  <c r="T236" i="5"/>
  <c r="U236" i="5"/>
  <c r="S237" i="5"/>
  <c r="T237" i="5"/>
  <c r="U237" i="5"/>
  <c r="S238" i="5"/>
  <c r="T238" i="5"/>
  <c r="U238" i="5"/>
  <c r="S239" i="5"/>
  <c r="T239" i="5"/>
  <c r="U239" i="5"/>
  <c r="S240" i="5"/>
  <c r="T240" i="5"/>
  <c r="U240" i="5"/>
  <c r="S241" i="5"/>
  <c r="T241" i="5"/>
  <c r="U241" i="5"/>
  <c r="S242" i="5"/>
  <c r="T242" i="5"/>
  <c r="U242" i="5"/>
  <c r="S243" i="5"/>
  <c r="T243" i="5"/>
  <c r="U243" i="5"/>
  <c r="S244" i="5"/>
  <c r="T244" i="5"/>
  <c r="U244" i="5"/>
  <c r="S245" i="5"/>
  <c r="T245" i="5"/>
  <c r="U245" i="5"/>
  <c r="S246" i="5"/>
  <c r="T246" i="5"/>
  <c r="U246" i="5"/>
  <c r="S247" i="5"/>
  <c r="T247" i="5"/>
  <c r="U247" i="5"/>
  <c r="S248" i="5"/>
  <c r="T248" i="5"/>
  <c r="U248" i="5"/>
  <c r="S249" i="5"/>
  <c r="T249" i="5"/>
  <c r="U249" i="5"/>
  <c r="S250" i="5"/>
  <c r="T250" i="5"/>
  <c r="U250" i="5"/>
  <c r="S251" i="5"/>
  <c r="T251" i="5"/>
  <c r="U251" i="5"/>
  <c r="S252" i="5"/>
  <c r="T252" i="5"/>
  <c r="U252" i="5"/>
  <c r="S253" i="5"/>
  <c r="T253" i="5"/>
  <c r="U253" i="5"/>
  <c r="S254" i="5"/>
  <c r="T254" i="5"/>
  <c r="U254" i="5"/>
  <c r="S255" i="5"/>
  <c r="T255" i="5"/>
  <c r="U255" i="5"/>
  <c r="S256" i="5"/>
  <c r="T256" i="5"/>
  <c r="U256" i="5"/>
  <c r="S257" i="5"/>
  <c r="T257" i="5"/>
  <c r="U257" i="5"/>
  <c r="S258" i="5"/>
  <c r="T258" i="5"/>
  <c r="U258" i="5"/>
  <c r="S259" i="5"/>
  <c r="T259" i="5"/>
  <c r="U259" i="5"/>
  <c r="S260" i="5"/>
  <c r="T260" i="5"/>
  <c r="U260" i="5"/>
  <c r="S261" i="5"/>
  <c r="T261" i="5"/>
  <c r="U261" i="5"/>
  <c r="S262" i="5"/>
  <c r="T262" i="5"/>
  <c r="U262" i="5"/>
  <c r="S263" i="5"/>
  <c r="T263" i="5"/>
  <c r="U263" i="5"/>
  <c r="S264" i="5"/>
  <c r="T264" i="5"/>
  <c r="U264" i="5"/>
  <c r="S265" i="5"/>
  <c r="T265" i="5"/>
  <c r="U265" i="5"/>
  <c r="S266" i="5"/>
  <c r="T266" i="5"/>
  <c r="U266" i="5"/>
  <c r="S267" i="5"/>
  <c r="T267" i="5"/>
  <c r="U267" i="5"/>
  <c r="S268" i="5"/>
  <c r="T268" i="5"/>
  <c r="U268" i="5"/>
  <c r="S269" i="5"/>
  <c r="T269" i="5"/>
  <c r="U269" i="5"/>
  <c r="S270" i="5"/>
  <c r="T270" i="5"/>
  <c r="U270" i="5"/>
  <c r="S271" i="5"/>
  <c r="T271" i="5"/>
  <c r="U271" i="5"/>
  <c r="S272" i="5"/>
  <c r="T272" i="5"/>
  <c r="U272" i="5"/>
  <c r="S273" i="5"/>
  <c r="T273" i="5"/>
  <c r="U273" i="5"/>
  <c r="S274" i="5"/>
  <c r="T274" i="5"/>
  <c r="U274" i="5"/>
  <c r="S275" i="5"/>
  <c r="T275" i="5"/>
  <c r="U275" i="5"/>
  <c r="S276" i="5"/>
  <c r="T276" i="5"/>
  <c r="U276" i="5"/>
  <c r="S277" i="5"/>
  <c r="T277" i="5"/>
  <c r="U277" i="5"/>
  <c r="S278" i="5"/>
  <c r="T278" i="5"/>
  <c r="U278" i="5"/>
  <c r="S279" i="5"/>
  <c r="T279" i="5"/>
  <c r="U279" i="5"/>
  <c r="S280" i="5"/>
  <c r="T280" i="5"/>
  <c r="U280" i="5"/>
  <c r="S281" i="5"/>
  <c r="T281" i="5"/>
  <c r="U281" i="5"/>
  <c r="S282" i="5"/>
  <c r="T282" i="5"/>
  <c r="U282" i="5"/>
  <c r="S283" i="5"/>
  <c r="T283" i="5"/>
  <c r="U283" i="5"/>
  <c r="S284" i="5"/>
  <c r="T284" i="5"/>
  <c r="U284" i="5"/>
  <c r="S285" i="5"/>
  <c r="T285" i="5"/>
  <c r="U285" i="5"/>
  <c r="S286" i="5"/>
  <c r="T286" i="5"/>
  <c r="U286" i="5"/>
  <c r="S287" i="5"/>
  <c r="T287" i="5"/>
  <c r="U287" i="5"/>
  <c r="S288" i="5"/>
  <c r="T288" i="5"/>
  <c r="U288" i="5"/>
  <c r="S289" i="5"/>
  <c r="T289" i="5"/>
  <c r="U289" i="5"/>
  <c r="S290" i="5"/>
  <c r="T290" i="5"/>
  <c r="U290" i="5"/>
  <c r="S291" i="5"/>
  <c r="T291" i="5"/>
  <c r="U291" i="5"/>
  <c r="S292" i="5"/>
  <c r="T292" i="5"/>
  <c r="U292" i="5"/>
  <c r="S293" i="5"/>
  <c r="T293" i="5"/>
  <c r="U293" i="5"/>
  <c r="S294" i="5"/>
  <c r="T294" i="5"/>
  <c r="U294" i="5"/>
  <c r="S295" i="5"/>
  <c r="T295" i="5"/>
  <c r="U295" i="5"/>
  <c r="S296" i="5"/>
  <c r="T296" i="5"/>
  <c r="U296" i="5"/>
  <c r="S297" i="5"/>
  <c r="T297" i="5"/>
  <c r="U297" i="5"/>
  <c r="S298" i="5"/>
  <c r="T298" i="5"/>
  <c r="U298" i="5"/>
  <c r="S299" i="5"/>
  <c r="T299" i="5"/>
  <c r="U299" i="5"/>
  <c r="S300" i="5"/>
  <c r="T300" i="5"/>
  <c r="U300" i="5"/>
  <c r="S301" i="5"/>
  <c r="T301" i="5"/>
  <c r="U301" i="5"/>
  <c r="S302" i="5"/>
  <c r="T302" i="5"/>
  <c r="U302" i="5"/>
  <c r="S303" i="5"/>
  <c r="T303" i="5"/>
  <c r="U303" i="5"/>
  <c r="S304" i="5"/>
  <c r="T304" i="5"/>
  <c r="U304" i="5"/>
  <c r="S305" i="5"/>
  <c r="T305" i="5"/>
  <c r="U305" i="5"/>
  <c r="S306" i="5"/>
  <c r="T306" i="5"/>
  <c r="U306" i="5"/>
  <c r="S307" i="5"/>
  <c r="T307" i="5"/>
  <c r="U307" i="5"/>
  <c r="S308" i="5"/>
  <c r="T308" i="5"/>
  <c r="U308" i="5"/>
  <c r="S309" i="5"/>
  <c r="T309" i="5"/>
  <c r="U309" i="5"/>
  <c r="S310" i="5"/>
  <c r="T310" i="5"/>
  <c r="U310" i="5"/>
  <c r="S311" i="5"/>
  <c r="T311" i="5"/>
  <c r="U311" i="5"/>
  <c r="S312" i="5"/>
  <c r="T312" i="5"/>
  <c r="U312" i="5"/>
  <c r="S313" i="5"/>
  <c r="T313" i="5"/>
  <c r="U313" i="5"/>
  <c r="S314" i="5"/>
  <c r="T314" i="5"/>
  <c r="U314" i="5"/>
  <c r="S315" i="5"/>
  <c r="T315" i="5"/>
  <c r="U315" i="5"/>
  <c r="S316" i="5"/>
  <c r="T316" i="5"/>
  <c r="U316" i="5"/>
  <c r="S317" i="5"/>
  <c r="T317" i="5"/>
  <c r="U317" i="5"/>
  <c r="S318" i="5"/>
  <c r="T318" i="5"/>
  <c r="U318" i="5"/>
  <c r="S319" i="5"/>
  <c r="T319" i="5"/>
  <c r="U319" i="5"/>
  <c r="S320" i="5"/>
  <c r="T320" i="5"/>
  <c r="U320" i="5"/>
  <c r="S321" i="5"/>
  <c r="T321" i="5"/>
  <c r="U321" i="5"/>
  <c r="S322" i="5"/>
  <c r="T322" i="5"/>
  <c r="U322" i="5"/>
  <c r="S323" i="5"/>
  <c r="T323" i="5"/>
  <c r="U323" i="5"/>
  <c r="S324" i="5"/>
  <c r="T324" i="5"/>
  <c r="U324" i="5"/>
  <c r="S325" i="5"/>
  <c r="T325" i="5"/>
  <c r="U325" i="5"/>
  <c r="S326" i="5"/>
  <c r="T326" i="5"/>
  <c r="U326" i="5"/>
  <c r="S327" i="5"/>
  <c r="T327" i="5"/>
  <c r="U327" i="5"/>
  <c r="S328" i="5"/>
  <c r="T328" i="5"/>
  <c r="U328" i="5"/>
  <c r="S329" i="5"/>
  <c r="T329" i="5"/>
  <c r="U329" i="5"/>
  <c r="S330" i="5"/>
  <c r="T330" i="5"/>
  <c r="U330" i="5"/>
  <c r="S331" i="5"/>
  <c r="T331" i="5"/>
  <c r="U331" i="5"/>
  <c r="S332" i="5"/>
  <c r="T332" i="5"/>
  <c r="U332" i="5"/>
  <c r="S333" i="5"/>
  <c r="T333" i="5"/>
  <c r="U333" i="5"/>
  <c r="S334" i="5"/>
  <c r="T334" i="5"/>
  <c r="U334" i="5"/>
  <c r="S335" i="5"/>
  <c r="T335" i="5"/>
  <c r="U335" i="5"/>
  <c r="S336" i="5"/>
  <c r="T336" i="5"/>
  <c r="U336" i="5"/>
  <c r="S337" i="5"/>
  <c r="T337" i="5"/>
  <c r="U337" i="5"/>
  <c r="S338" i="5"/>
  <c r="T338" i="5"/>
  <c r="U338" i="5"/>
  <c r="S339" i="5"/>
  <c r="T339" i="5"/>
  <c r="U339" i="5"/>
  <c r="S340" i="5"/>
  <c r="T340" i="5"/>
  <c r="U340" i="5"/>
  <c r="S341" i="5"/>
  <c r="T341" i="5"/>
  <c r="U341" i="5"/>
  <c r="S342" i="5"/>
  <c r="T342" i="5"/>
  <c r="U342" i="5"/>
  <c r="S343" i="5"/>
  <c r="T343" i="5"/>
  <c r="U343" i="5"/>
  <c r="S344" i="5"/>
  <c r="T344" i="5"/>
  <c r="U344" i="5"/>
  <c r="S345" i="5"/>
  <c r="T345" i="5"/>
  <c r="U345" i="5"/>
  <c r="S346" i="5"/>
  <c r="T346" i="5"/>
  <c r="U346" i="5"/>
  <c r="S347" i="5"/>
  <c r="T347" i="5"/>
  <c r="U347" i="5"/>
  <c r="S348" i="5"/>
  <c r="T348" i="5"/>
  <c r="U348" i="5"/>
  <c r="S349" i="5"/>
  <c r="T349" i="5"/>
  <c r="U349" i="5"/>
  <c r="S350" i="5"/>
  <c r="T350" i="5"/>
  <c r="U350" i="5"/>
  <c r="S351" i="5"/>
  <c r="T351" i="5"/>
  <c r="U351" i="5"/>
  <c r="S352" i="5"/>
  <c r="T352" i="5"/>
  <c r="U352" i="5"/>
  <c r="S353" i="5"/>
  <c r="T353" i="5"/>
  <c r="U353" i="5"/>
  <c r="S354" i="5"/>
  <c r="T354" i="5"/>
  <c r="U354" i="5"/>
  <c r="S355" i="5"/>
  <c r="T355" i="5"/>
  <c r="U355" i="5"/>
  <c r="S356" i="5"/>
  <c r="T356" i="5"/>
  <c r="U356" i="5"/>
  <c r="S357" i="5"/>
  <c r="T357" i="5"/>
  <c r="U357" i="5"/>
  <c r="S358" i="5"/>
  <c r="T358" i="5"/>
  <c r="U358" i="5"/>
  <c r="S359" i="5"/>
  <c r="T359" i="5"/>
  <c r="U359" i="5"/>
  <c r="S360" i="5"/>
  <c r="T360" i="5"/>
  <c r="U360" i="5"/>
  <c r="S361" i="5"/>
  <c r="T361" i="5"/>
  <c r="U361" i="5"/>
  <c r="S362" i="5"/>
  <c r="T362" i="5"/>
  <c r="U362" i="5"/>
  <c r="S363" i="5"/>
  <c r="T363" i="5"/>
  <c r="U363" i="5"/>
  <c r="S364" i="5"/>
  <c r="T364" i="5"/>
  <c r="U364" i="5"/>
  <c r="S365" i="5"/>
  <c r="T365" i="5"/>
  <c r="U365" i="5"/>
  <c r="S366" i="5"/>
  <c r="T366" i="5"/>
  <c r="U366" i="5"/>
  <c r="S367" i="5"/>
  <c r="T367" i="5"/>
  <c r="U367" i="5"/>
  <c r="S368" i="5"/>
  <c r="T368" i="5"/>
  <c r="U368" i="5"/>
  <c r="S369" i="5"/>
  <c r="T369" i="5"/>
  <c r="U369" i="5"/>
  <c r="S370" i="5"/>
  <c r="T370" i="5"/>
  <c r="U370" i="5"/>
  <c r="S371" i="5"/>
  <c r="T371" i="5"/>
  <c r="U371" i="5"/>
  <c r="S372" i="5"/>
  <c r="T372" i="5"/>
  <c r="U372" i="5"/>
  <c r="S373" i="5"/>
  <c r="T373" i="5"/>
  <c r="U373" i="5"/>
  <c r="S374" i="5"/>
  <c r="T374" i="5"/>
  <c r="U374" i="5"/>
  <c r="S375" i="5"/>
  <c r="T375" i="5"/>
  <c r="U375" i="5"/>
  <c r="S376" i="5"/>
  <c r="T376" i="5"/>
  <c r="U376" i="5"/>
  <c r="S377" i="5"/>
  <c r="T377" i="5"/>
  <c r="U377" i="5"/>
  <c r="S378" i="5"/>
  <c r="T378" i="5"/>
  <c r="U378" i="5"/>
  <c r="S379" i="5"/>
  <c r="T379" i="5"/>
  <c r="U379" i="5"/>
  <c r="S380" i="5"/>
  <c r="T380" i="5"/>
  <c r="U380" i="5"/>
  <c r="S381" i="5"/>
  <c r="T381" i="5"/>
  <c r="U381" i="5"/>
  <c r="S382" i="5"/>
  <c r="T382" i="5"/>
  <c r="U382" i="5"/>
  <c r="S383" i="5"/>
  <c r="T383" i="5"/>
  <c r="U383" i="5"/>
  <c r="S384" i="5"/>
  <c r="T384" i="5"/>
  <c r="U384" i="5"/>
  <c r="S385" i="5"/>
  <c r="T385" i="5"/>
  <c r="U385" i="5"/>
  <c r="S386" i="5"/>
  <c r="T386" i="5"/>
  <c r="U386" i="5"/>
  <c r="S387" i="5"/>
  <c r="T387" i="5"/>
  <c r="U387" i="5"/>
  <c r="S388" i="5"/>
  <c r="T388" i="5"/>
  <c r="U388" i="5"/>
  <c r="S389" i="5"/>
  <c r="T389" i="5"/>
  <c r="U389" i="5"/>
  <c r="S390" i="5"/>
  <c r="T390" i="5"/>
  <c r="U390" i="5"/>
  <c r="S391" i="5"/>
  <c r="T391" i="5"/>
  <c r="U391" i="5"/>
  <c r="S392" i="5"/>
  <c r="T392" i="5"/>
  <c r="U392" i="5"/>
  <c r="S393" i="5"/>
  <c r="T393" i="5"/>
  <c r="U393" i="5"/>
  <c r="S394" i="5"/>
  <c r="T394" i="5"/>
  <c r="U394" i="5"/>
  <c r="S395" i="5"/>
  <c r="T395" i="5"/>
  <c r="U395" i="5"/>
  <c r="S396" i="5"/>
  <c r="T396" i="5"/>
  <c r="U396" i="5"/>
  <c r="S397" i="5"/>
  <c r="T397" i="5"/>
  <c r="U397" i="5"/>
  <c r="S398" i="5"/>
  <c r="T398" i="5"/>
  <c r="U398" i="5"/>
  <c r="S399" i="5"/>
  <c r="T399" i="5"/>
  <c r="U399" i="5"/>
  <c r="S400" i="5"/>
  <c r="T400" i="5"/>
  <c r="U400" i="5"/>
  <c r="S401" i="5"/>
  <c r="T401" i="5"/>
  <c r="U401" i="5"/>
  <c r="S402" i="5"/>
  <c r="T402" i="5"/>
  <c r="U402" i="5"/>
  <c r="S403" i="5"/>
  <c r="T403" i="5"/>
  <c r="U403" i="5"/>
  <c r="S404" i="5"/>
  <c r="T404" i="5"/>
  <c r="U404" i="5"/>
  <c r="S405" i="5"/>
  <c r="T405" i="5"/>
  <c r="U405" i="5"/>
  <c r="S406" i="5"/>
  <c r="T406" i="5"/>
  <c r="U406" i="5"/>
  <c r="S407" i="5"/>
  <c r="T407" i="5"/>
  <c r="U407" i="5"/>
  <c r="S408" i="5"/>
  <c r="T408" i="5"/>
  <c r="U408" i="5"/>
  <c r="S409" i="5"/>
  <c r="T409" i="5"/>
  <c r="U409" i="5"/>
  <c r="S410" i="5"/>
  <c r="T410" i="5"/>
  <c r="U410" i="5"/>
  <c r="S411" i="5"/>
  <c r="T411" i="5"/>
  <c r="U411" i="5"/>
  <c r="S412" i="5"/>
  <c r="T412" i="5"/>
  <c r="U412" i="5"/>
  <c r="S413" i="5"/>
  <c r="T413" i="5"/>
  <c r="U413" i="5"/>
  <c r="S414" i="5"/>
  <c r="T414" i="5"/>
  <c r="U414" i="5"/>
  <c r="S415" i="5"/>
  <c r="T415" i="5"/>
  <c r="U415" i="5"/>
  <c r="S416" i="5"/>
  <c r="T416" i="5"/>
  <c r="U416" i="5"/>
  <c r="S417" i="5"/>
  <c r="T417" i="5"/>
  <c r="U417" i="5"/>
  <c r="S418" i="5"/>
  <c r="T418" i="5"/>
  <c r="U418" i="5"/>
  <c r="S419" i="5"/>
  <c r="T419" i="5"/>
  <c r="U419" i="5"/>
  <c r="S420" i="5"/>
  <c r="T420" i="5"/>
  <c r="U420" i="5"/>
  <c r="S421" i="5"/>
  <c r="T421" i="5"/>
  <c r="U421" i="5"/>
  <c r="S422" i="5"/>
  <c r="T422" i="5"/>
  <c r="U422" i="5"/>
  <c r="S423" i="5"/>
  <c r="T423" i="5"/>
  <c r="U423" i="5"/>
  <c r="S424" i="5"/>
  <c r="T424" i="5"/>
  <c r="U424" i="5"/>
  <c r="S425" i="5"/>
  <c r="T425" i="5"/>
  <c r="U425" i="5"/>
  <c r="R9" i="5"/>
  <c r="R10" i="5"/>
  <c r="R11"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55"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91" i="5"/>
  <c r="R192" i="5"/>
  <c r="R193" i="5"/>
  <c r="R194" i="5"/>
  <c r="R195" i="5"/>
  <c r="R196" i="5"/>
  <c r="R197" i="5"/>
  <c r="R198" i="5"/>
  <c r="R199" i="5"/>
  <c r="R200" i="5"/>
  <c r="R201" i="5"/>
  <c r="R202" i="5"/>
  <c r="R203" i="5"/>
  <c r="R204" i="5"/>
  <c r="R205" i="5"/>
  <c r="R206" i="5"/>
  <c r="R207" i="5"/>
  <c r="R208" i="5"/>
  <c r="R209" i="5"/>
  <c r="R210" i="5"/>
  <c r="R211" i="5"/>
  <c r="R212" i="5"/>
  <c r="R213" i="5"/>
  <c r="R214" i="5"/>
  <c r="R215" i="5"/>
  <c r="R216" i="5"/>
  <c r="R217" i="5"/>
  <c r="R218" i="5"/>
  <c r="R219" i="5"/>
  <c r="R220" i="5"/>
  <c r="R221" i="5"/>
  <c r="R222" i="5"/>
  <c r="R223" i="5"/>
  <c r="R224" i="5"/>
  <c r="R225" i="5"/>
  <c r="R226" i="5"/>
  <c r="R227" i="5"/>
  <c r="R228" i="5"/>
  <c r="R229" i="5"/>
  <c r="R230" i="5"/>
  <c r="R231" i="5"/>
  <c r="R232" i="5"/>
  <c r="R233" i="5"/>
  <c r="R234" i="5"/>
  <c r="R235" i="5"/>
  <c r="R236" i="5"/>
  <c r="R237" i="5"/>
  <c r="R238" i="5"/>
  <c r="R239" i="5"/>
  <c r="R240" i="5"/>
  <c r="R241" i="5"/>
  <c r="R242" i="5"/>
  <c r="R243" i="5"/>
  <c r="R244" i="5"/>
  <c r="R245" i="5"/>
  <c r="R246" i="5"/>
  <c r="R247" i="5"/>
  <c r="R248" i="5"/>
  <c r="R249" i="5"/>
  <c r="R250" i="5"/>
  <c r="R251" i="5"/>
  <c r="R252" i="5"/>
  <c r="R253" i="5"/>
  <c r="R254" i="5"/>
  <c r="R255" i="5"/>
  <c r="R256" i="5"/>
  <c r="R257" i="5"/>
  <c r="R258" i="5"/>
  <c r="R259" i="5"/>
  <c r="R260" i="5"/>
  <c r="R261" i="5"/>
  <c r="R262" i="5"/>
  <c r="R263" i="5"/>
  <c r="R264" i="5"/>
  <c r="R265" i="5"/>
  <c r="R266" i="5"/>
  <c r="R267" i="5"/>
  <c r="R268" i="5"/>
  <c r="R269" i="5"/>
  <c r="R270" i="5"/>
  <c r="R271" i="5"/>
  <c r="R272" i="5"/>
  <c r="R273" i="5"/>
  <c r="R274" i="5"/>
  <c r="R275" i="5"/>
  <c r="R276" i="5"/>
  <c r="R277" i="5"/>
  <c r="R278" i="5"/>
  <c r="R279" i="5"/>
  <c r="R280" i="5"/>
  <c r="R281" i="5"/>
  <c r="R282" i="5"/>
  <c r="R283" i="5"/>
  <c r="R284" i="5"/>
  <c r="R285" i="5"/>
  <c r="R286" i="5"/>
  <c r="R287" i="5"/>
  <c r="R288" i="5"/>
  <c r="R289" i="5"/>
  <c r="R290" i="5"/>
  <c r="R291" i="5"/>
  <c r="R292" i="5"/>
  <c r="R293" i="5"/>
  <c r="R294" i="5"/>
  <c r="R295" i="5"/>
  <c r="R296" i="5"/>
  <c r="R297" i="5"/>
  <c r="R298" i="5"/>
  <c r="R299" i="5"/>
  <c r="R300" i="5"/>
  <c r="R301" i="5"/>
  <c r="R302" i="5"/>
  <c r="R303" i="5"/>
  <c r="R304" i="5"/>
  <c r="R305" i="5"/>
  <c r="R306" i="5"/>
  <c r="R307" i="5"/>
  <c r="R308" i="5"/>
  <c r="R309" i="5"/>
  <c r="R310" i="5"/>
  <c r="R311" i="5"/>
  <c r="R312" i="5"/>
  <c r="R313" i="5"/>
  <c r="R314" i="5"/>
  <c r="R315" i="5"/>
  <c r="R316" i="5"/>
  <c r="R317" i="5"/>
  <c r="R318" i="5"/>
  <c r="R319" i="5"/>
  <c r="R320" i="5"/>
  <c r="R321" i="5"/>
  <c r="R322" i="5"/>
  <c r="R323" i="5"/>
  <c r="R324" i="5"/>
  <c r="R325" i="5"/>
  <c r="R326" i="5"/>
  <c r="R327" i="5"/>
  <c r="R328" i="5"/>
  <c r="R329" i="5"/>
  <c r="R330" i="5"/>
  <c r="R331" i="5"/>
  <c r="R332" i="5"/>
  <c r="R333" i="5"/>
  <c r="R334" i="5"/>
  <c r="R335" i="5"/>
  <c r="R336" i="5"/>
  <c r="R337" i="5"/>
  <c r="R338" i="5"/>
  <c r="R339" i="5"/>
  <c r="R340" i="5"/>
  <c r="R341" i="5"/>
  <c r="R342" i="5"/>
  <c r="R343" i="5"/>
  <c r="R344" i="5"/>
  <c r="R345" i="5"/>
  <c r="R346" i="5"/>
  <c r="R347" i="5"/>
  <c r="R348" i="5"/>
  <c r="R349" i="5"/>
  <c r="R350" i="5"/>
  <c r="R351" i="5"/>
  <c r="R352" i="5"/>
  <c r="R353" i="5"/>
  <c r="R354" i="5"/>
  <c r="R355" i="5"/>
  <c r="R356" i="5"/>
  <c r="R357" i="5"/>
  <c r="R358" i="5"/>
  <c r="R359" i="5"/>
  <c r="R360" i="5"/>
  <c r="R361" i="5"/>
  <c r="R362" i="5"/>
  <c r="R363" i="5"/>
  <c r="R364" i="5"/>
  <c r="R365" i="5"/>
  <c r="R366" i="5"/>
  <c r="R367" i="5"/>
  <c r="R368" i="5"/>
  <c r="R369" i="5"/>
  <c r="R370" i="5"/>
  <c r="R371" i="5"/>
  <c r="R372" i="5"/>
  <c r="R373" i="5"/>
  <c r="R374" i="5"/>
  <c r="R375" i="5"/>
  <c r="R376" i="5"/>
  <c r="R377" i="5"/>
  <c r="R378" i="5"/>
  <c r="R379" i="5"/>
  <c r="R380" i="5"/>
  <c r="R381" i="5"/>
  <c r="R382" i="5"/>
  <c r="R383" i="5"/>
  <c r="R384" i="5"/>
  <c r="R385" i="5"/>
  <c r="R386" i="5"/>
  <c r="R387" i="5"/>
  <c r="R388" i="5"/>
  <c r="R389" i="5"/>
  <c r="R390" i="5"/>
  <c r="R391" i="5"/>
  <c r="R392" i="5"/>
  <c r="R393" i="5"/>
  <c r="R394" i="5"/>
  <c r="R395" i="5"/>
  <c r="R396" i="5"/>
  <c r="R397" i="5"/>
  <c r="R398" i="5"/>
  <c r="R399" i="5"/>
  <c r="R400" i="5"/>
  <c r="R401" i="5"/>
  <c r="R402" i="5"/>
  <c r="R403" i="5"/>
  <c r="R404" i="5"/>
  <c r="R405" i="5"/>
  <c r="R406" i="5"/>
  <c r="R407" i="5"/>
  <c r="R408" i="5"/>
  <c r="R409" i="5"/>
  <c r="R410" i="5"/>
  <c r="R411" i="5"/>
  <c r="R412" i="5"/>
  <c r="R413" i="5"/>
  <c r="R414" i="5"/>
  <c r="R415" i="5"/>
  <c r="R416" i="5"/>
  <c r="R417" i="5"/>
  <c r="R418" i="5"/>
  <c r="R419" i="5"/>
  <c r="R420" i="5"/>
  <c r="R421" i="5"/>
  <c r="R422" i="5"/>
  <c r="R423" i="5"/>
  <c r="R424" i="5"/>
  <c r="R425" i="5"/>
  <c r="L9" i="5"/>
  <c r="L10" i="5"/>
  <c r="L11"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D9" i="5"/>
  <c r="AV9" i="5" s="1"/>
  <c r="G9" i="5"/>
  <c r="H9" i="5"/>
  <c r="I9" i="5"/>
  <c r="J9" i="5"/>
  <c r="K9" i="5"/>
  <c r="D10" i="5"/>
  <c r="AV10" i="5" s="1"/>
  <c r="G10" i="5"/>
  <c r="H10" i="5"/>
  <c r="I10" i="5"/>
  <c r="J10" i="5"/>
  <c r="K10" i="5"/>
  <c r="D11" i="5"/>
  <c r="AV11" i="5" s="1"/>
  <c r="G11" i="5"/>
  <c r="H11" i="5"/>
  <c r="I11" i="5"/>
  <c r="J11" i="5"/>
  <c r="K11" i="5"/>
  <c r="D29" i="5"/>
  <c r="AV29" i="5" s="1"/>
  <c r="G29" i="5"/>
  <c r="H29" i="5"/>
  <c r="I29" i="5"/>
  <c r="J29" i="5"/>
  <c r="K29" i="5"/>
  <c r="D30" i="5"/>
  <c r="AV30" i="5" s="1"/>
  <c r="G30" i="5"/>
  <c r="H30" i="5"/>
  <c r="I30" i="5"/>
  <c r="J30" i="5"/>
  <c r="K30" i="5"/>
  <c r="D31" i="5"/>
  <c r="AV31" i="5" s="1"/>
  <c r="G31" i="5"/>
  <c r="H31" i="5"/>
  <c r="I31" i="5"/>
  <c r="J31" i="5"/>
  <c r="K31" i="5"/>
  <c r="D32" i="5"/>
  <c r="AV32" i="5" s="1"/>
  <c r="G32" i="5"/>
  <c r="H32" i="5"/>
  <c r="I32" i="5"/>
  <c r="J32" i="5"/>
  <c r="K32" i="5"/>
  <c r="D33" i="5"/>
  <c r="AV33" i="5" s="1"/>
  <c r="G33" i="5"/>
  <c r="H33" i="5"/>
  <c r="I33" i="5"/>
  <c r="J33" i="5"/>
  <c r="K33" i="5"/>
  <c r="D34" i="5"/>
  <c r="AV34" i="5" s="1"/>
  <c r="G34" i="5"/>
  <c r="H34" i="5"/>
  <c r="I34" i="5"/>
  <c r="J34" i="5"/>
  <c r="K34" i="5"/>
  <c r="D35" i="5"/>
  <c r="AV35" i="5" s="1"/>
  <c r="G35" i="5"/>
  <c r="H35" i="5"/>
  <c r="I35" i="5"/>
  <c r="J35" i="5"/>
  <c r="K35" i="5"/>
  <c r="D36" i="5"/>
  <c r="AV36" i="5" s="1"/>
  <c r="G36" i="5"/>
  <c r="H36" i="5"/>
  <c r="I36" i="5"/>
  <c r="J36" i="5"/>
  <c r="K36" i="5"/>
  <c r="D37" i="5"/>
  <c r="AV37" i="5" s="1"/>
  <c r="G37" i="5"/>
  <c r="H37" i="5"/>
  <c r="I37" i="5"/>
  <c r="J37" i="5"/>
  <c r="K37" i="5"/>
  <c r="D38" i="5"/>
  <c r="AV38" i="5" s="1"/>
  <c r="G38" i="5"/>
  <c r="H38" i="5"/>
  <c r="I38" i="5"/>
  <c r="J38" i="5"/>
  <c r="K38" i="5"/>
  <c r="D39" i="5"/>
  <c r="AV39" i="5" s="1"/>
  <c r="G39" i="5"/>
  <c r="H39" i="5"/>
  <c r="I39" i="5"/>
  <c r="J39" i="5"/>
  <c r="K39" i="5"/>
  <c r="D40" i="5"/>
  <c r="AV40" i="5" s="1"/>
  <c r="G40" i="5"/>
  <c r="H40" i="5"/>
  <c r="I40" i="5"/>
  <c r="J40" i="5"/>
  <c r="K40" i="5"/>
  <c r="D41" i="5"/>
  <c r="AV41" i="5" s="1"/>
  <c r="G41" i="5"/>
  <c r="H41" i="5"/>
  <c r="I41" i="5"/>
  <c r="J41" i="5"/>
  <c r="K41" i="5"/>
  <c r="D42" i="5"/>
  <c r="AV42" i="5" s="1"/>
  <c r="G42" i="5"/>
  <c r="H42" i="5"/>
  <c r="I42" i="5"/>
  <c r="J42" i="5"/>
  <c r="K42" i="5"/>
  <c r="D43" i="5"/>
  <c r="AV43" i="5" s="1"/>
  <c r="G43" i="5"/>
  <c r="H43" i="5"/>
  <c r="I43" i="5"/>
  <c r="J43" i="5"/>
  <c r="K43" i="5"/>
  <c r="D44" i="5"/>
  <c r="AV44" i="5" s="1"/>
  <c r="G44" i="5"/>
  <c r="H44" i="5"/>
  <c r="I44" i="5"/>
  <c r="J44" i="5"/>
  <c r="K44" i="5"/>
  <c r="D45" i="5"/>
  <c r="AV45" i="5" s="1"/>
  <c r="G45" i="5"/>
  <c r="H45" i="5"/>
  <c r="I45" i="5"/>
  <c r="J45" i="5"/>
  <c r="K45" i="5"/>
  <c r="D46" i="5"/>
  <c r="AV46" i="5" s="1"/>
  <c r="G46" i="5"/>
  <c r="H46" i="5"/>
  <c r="I46" i="5"/>
  <c r="J46" i="5"/>
  <c r="K46" i="5"/>
  <c r="D47" i="5"/>
  <c r="AV47" i="5" s="1"/>
  <c r="G47" i="5"/>
  <c r="H47" i="5"/>
  <c r="I47" i="5"/>
  <c r="J47" i="5"/>
  <c r="K47" i="5"/>
  <c r="D48" i="5"/>
  <c r="AV48" i="5" s="1"/>
  <c r="G48" i="5"/>
  <c r="H48" i="5"/>
  <c r="I48" i="5"/>
  <c r="J48" i="5"/>
  <c r="K48" i="5"/>
  <c r="D49" i="5"/>
  <c r="AV49" i="5" s="1"/>
  <c r="G49" i="5"/>
  <c r="H49" i="5"/>
  <c r="I49" i="5"/>
  <c r="J49" i="5"/>
  <c r="K49" i="5"/>
  <c r="D50" i="5"/>
  <c r="AV50" i="5" s="1"/>
  <c r="G50" i="5"/>
  <c r="H50" i="5"/>
  <c r="I50" i="5"/>
  <c r="J50" i="5"/>
  <c r="K50" i="5"/>
  <c r="D51" i="5"/>
  <c r="AV51" i="5" s="1"/>
  <c r="G51" i="5"/>
  <c r="H51" i="5"/>
  <c r="I51" i="5"/>
  <c r="J51" i="5"/>
  <c r="K51" i="5"/>
  <c r="D52" i="5"/>
  <c r="AV52" i="5" s="1"/>
  <c r="G52" i="5"/>
  <c r="H52" i="5"/>
  <c r="I52" i="5"/>
  <c r="J52" i="5"/>
  <c r="K52" i="5"/>
  <c r="D53" i="5"/>
  <c r="AV53" i="5" s="1"/>
  <c r="G53" i="5"/>
  <c r="H53" i="5"/>
  <c r="I53" i="5"/>
  <c r="J53" i="5"/>
  <c r="K53" i="5"/>
  <c r="D54" i="5"/>
  <c r="AV54" i="5" s="1"/>
  <c r="G54" i="5"/>
  <c r="H54" i="5"/>
  <c r="I54" i="5"/>
  <c r="J54" i="5"/>
  <c r="K54" i="5"/>
  <c r="D55" i="5"/>
  <c r="AV55" i="5" s="1"/>
  <c r="G55" i="5"/>
  <c r="H55" i="5"/>
  <c r="I55" i="5"/>
  <c r="J55" i="5"/>
  <c r="K55" i="5"/>
  <c r="D56" i="5"/>
  <c r="AV56" i="5" s="1"/>
  <c r="G56" i="5"/>
  <c r="H56" i="5"/>
  <c r="I56" i="5"/>
  <c r="J56" i="5"/>
  <c r="K56" i="5"/>
  <c r="D57" i="5"/>
  <c r="AV57" i="5" s="1"/>
  <c r="G57" i="5"/>
  <c r="H57" i="5"/>
  <c r="I57" i="5"/>
  <c r="J57" i="5"/>
  <c r="K57" i="5"/>
  <c r="D58" i="5"/>
  <c r="AV58" i="5" s="1"/>
  <c r="G58" i="5"/>
  <c r="H58" i="5"/>
  <c r="I58" i="5"/>
  <c r="J58" i="5"/>
  <c r="K58" i="5"/>
  <c r="D59" i="5"/>
  <c r="AV59" i="5" s="1"/>
  <c r="G59" i="5"/>
  <c r="H59" i="5"/>
  <c r="I59" i="5"/>
  <c r="J59" i="5"/>
  <c r="K59" i="5"/>
  <c r="D60" i="5"/>
  <c r="AV60" i="5" s="1"/>
  <c r="G60" i="5"/>
  <c r="H60" i="5"/>
  <c r="I60" i="5"/>
  <c r="J60" i="5"/>
  <c r="K60" i="5"/>
  <c r="D61" i="5"/>
  <c r="AV61" i="5" s="1"/>
  <c r="G61" i="5"/>
  <c r="H61" i="5"/>
  <c r="I61" i="5"/>
  <c r="J61" i="5"/>
  <c r="K61" i="5"/>
  <c r="D62" i="5"/>
  <c r="AV62" i="5" s="1"/>
  <c r="G62" i="5"/>
  <c r="H62" i="5"/>
  <c r="I62" i="5"/>
  <c r="J62" i="5"/>
  <c r="K62" i="5"/>
  <c r="D63" i="5"/>
  <c r="AV63" i="5" s="1"/>
  <c r="G63" i="5"/>
  <c r="H63" i="5"/>
  <c r="I63" i="5"/>
  <c r="J63" i="5"/>
  <c r="K63" i="5"/>
  <c r="D64" i="5"/>
  <c r="AV64" i="5" s="1"/>
  <c r="G64" i="5"/>
  <c r="H64" i="5"/>
  <c r="I64" i="5"/>
  <c r="J64" i="5"/>
  <c r="K64" i="5"/>
  <c r="D65" i="5"/>
  <c r="AV65" i="5" s="1"/>
  <c r="G65" i="5"/>
  <c r="H65" i="5"/>
  <c r="I65" i="5"/>
  <c r="J65" i="5"/>
  <c r="K65" i="5"/>
  <c r="D66" i="5"/>
  <c r="AV66" i="5" s="1"/>
  <c r="G66" i="5"/>
  <c r="H66" i="5"/>
  <c r="I66" i="5"/>
  <c r="J66" i="5"/>
  <c r="K66" i="5"/>
  <c r="D67" i="5"/>
  <c r="AV67" i="5" s="1"/>
  <c r="G67" i="5"/>
  <c r="H67" i="5"/>
  <c r="I67" i="5"/>
  <c r="J67" i="5"/>
  <c r="K67" i="5"/>
  <c r="D68" i="5"/>
  <c r="AV68" i="5" s="1"/>
  <c r="G68" i="5"/>
  <c r="H68" i="5"/>
  <c r="I68" i="5"/>
  <c r="J68" i="5"/>
  <c r="K68" i="5"/>
  <c r="D69" i="5"/>
  <c r="AV69" i="5" s="1"/>
  <c r="G69" i="5"/>
  <c r="H69" i="5"/>
  <c r="I69" i="5"/>
  <c r="J69" i="5"/>
  <c r="K69" i="5"/>
  <c r="D70" i="5"/>
  <c r="AV70" i="5" s="1"/>
  <c r="G70" i="5"/>
  <c r="H70" i="5"/>
  <c r="I70" i="5"/>
  <c r="J70" i="5"/>
  <c r="K70" i="5"/>
  <c r="D71" i="5"/>
  <c r="AV71" i="5" s="1"/>
  <c r="G71" i="5"/>
  <c r="H71" i="5"/>
  <c r="I71" i="5"/>
  <c r="J71" i="5"/>
  <c r="K71" i="5"/>
  <c r="D72" i="5"/>
  <c r="AV72" i="5" s="1"/>
  <c r="G72" i="5"/>
  <c r="H72" i="5"/>
  <c r="I72" i="5"/>
  <c r="J72" i="5"/>
  <c r="K72" i="5"/>
  <c r="D73" i="5"/>
  <c r="AV73" i="5" s="1"/>
  <c r="G73" i="5"/>
  <c r="H73" i="5"/>
  <c r="I73" i="5"/>
  <c r="J73" i="5"/>
  <c r="K73" i="5"/>
  <c r="D74" i="5"/>
  <c r="AV74" i="5" s="1"/>
  <c r="G74" i="5"/>
  <c r="H74" i="5"/>
  <c r="I74" i="5"/>
  <c r="J74" i="5"/>
  <c r="K74" i="5"/>
  <c r="D75" i="5"/>
  <c r="AV75" i="5" s="1"/>
  <c r="G75" i="5"/>
  <c r="H75" i="5"/>
  <c r="I75" i="5"/>
  <c r="J75" i="5"/>
  <c r="K75" i="5"/>
  <c r="D76" i="5"/>
  <c r="AV76" i="5" s="1"/>
  <c r="G76" i="5"/>
  <c r="H76" i="5"/>
  <c r="I76" i="5"/>
  <c r="J76" i="5"/>
  <c r="K76" i="5"/>
  <c r="D77" i="5"/>
  <c r="AV77" i="5" s="1"/>
  <c r="G77" i="5"/>
  <c r="H77" i="5"/>
  <c r="I77" i="5"/>
  <c r="J77" i="5"/>
  <c r="K77" i="5"/>
  <c r="D78" i="5"/>
  <c r="AV78" i="5" s="1"/>
  <c r="G78" i="5"/>
  <c r="H78" i="5"/>
  <c r="I78" i="5"/>
  <c r="J78" i="5"/>
  <c r="K78" i="5"/>
  <c r="D79" i="5"/>
  <c r="AV79" i="5" s="1"/>
  <c r="G79" i="5"/>
  <c r="H79" i="5"/>
  <c r="I79" i="5"/>
  <c r="J79" i="5"/>
  <c r="K79" i="5"/>
  <c r="D80" i="5"/>
  <c r="AV80" i="5" s="1"/>
  <c r="G80" i="5"/>
  <c r="H80" i="5"/>
  <c r="I80" i="5"/>
  <c r="J80" i="5"/>
  <c r="K80" i="5"/>
  <c r="D81" i="5"/>
  <c r="AV81" i="5" s="1"/>
  <c r="G81" i="5"/>
  <c r="H81" i="5"/>
  <c r="I81" i="5"/>
  <c r="J81" i="5"/>
  <c r="K81" i="5"/>
  <c r="D82" i="5"/>
  <c r="AV82" i="5" s="1"/>
  <c r="G82" i="5"/>
  <c r="H82" i="5"/>
  <c r="I82" i="5"/>
  <c r="J82" i="5"/>
  <c r="K82" i="5"/>
  <c r="D83" i="5"/>
  <c r="AV83" i="5" s="1"/>
  <c r="G83" i="5"/>
  <c r="H83" i="5"/>
  <c r="I83" i="5"/>
  <c r="J83" i="5"/>
  <c r="K83" i="5"/>
  <c r="D84" i="5"/>
  <c r="AV84" i="5" s="1"/>
  <c r="G84" i="5"/>
  <c r="H84" i="5"/>
  <c r="I84" i="5"/>
  <c r="J84" i="5"/>
  <c r="K84" i="5"/>
  <c r="D85" i="5"/>
  <c r="AV85" i="5" s="1"/>
  <c r="G85" i="5"/>
  <c r="H85" i="5"/>
  <c r="I85" i="5"/>
  <c r="J85" i="5"/>
  <c r="K85" i="5"/>
  <c r="D86" i="5"/>
  <c r="AV86" i="5" s="1"/>
  <c r="G86" i="5"/>
  <c r="H86" i="5"/>
  <c r="I86" i="5"/>
  <c r="J86" i="5"/>
  <c r="K86" i="5"/>
  <c r="D87" i="5"/>
  <c r="AV87" i="5" s="1"/>
  <c r="G87" i="5"/>
  <c r="H87" i="5"/>
  <c r="I87" i="5"/>
  <c r="J87" i="5"/>
  <c r="K87" i="5"/>
  <c r="D88" i="5"/>
  <c r="AV88" i="5" s="1"/>
  <c r="G88" i="5"/>
  <c r="H88" i="5"/>
  <c r="I88" i="5"/>
  <c r="J88" i="5"/>
  <c r="K88" i="5"/>
  <c r="D89" i="5"/>
  <c r="AV89" i="5" s="1"/>
  <c r="G89" i="5"/>
  <c r="H89" i="5"/>
  <c r="I89" i="5"/>
  <c r="J89" i="5"/>
  <c r="K89" i="5"/>
  <c r="D90" i="5"/>
  <c r="AV90" i="5" s="1"/>
  <c r="G90" i="5"/>
  <c r="H90" i="5"/>
  <c r="I90" i="5"/>
  <c r="J90" i="5"/>
  <c r="K90" i="5"/>
  <c r="D91" i="5"/>
  <c r="AV91" i="5" s="1"/>
  <c r="G91" i="5"/>
  <c r="H91" i="5"/>
  <c r="I91" i="5"/>
  <c r="J91" i="5"/>
  <c r="K91" i="5"/>
  <c r="D92" i="5"/>
  <c r="AV92" i="5" s="1"/>
  <c r="G92" i="5"/>
  <c r="H92" i="5"/>
  <c r="I92" i="5"/>
  <c r="J92" i="5"/>
  <c r="K92" i="5"/>
  <c r="D93" i="5"/>
  <c r="AV93" i="5" s="1"/>
  <c r="G93" i="5"/>
  <c r="H93" i="5"/>
  <c r="I93" i="5"/>
  <c r="J93" i="5"/>
  <c r="K93" i="5"/>
  <c r="D94" i="5"/>
  <c r="AV94" i="5" s="1"/>
  <c r="G94" i="5"/>
  <c r="H94" i="5"/>
  <c r="I94" i="5"/>
  <c r="J94" i="5"/>
  <c r="K94" i="5"/>
  <c r="D95" i="5"/>
  <c r="AV95" i="5" s="1"/>
  <c r="G95" i="5"/>
  <c r="H95" i="5"/>
  <c r="I95" i="5"/>
  <c r="J95" i="5"/>
  <c r="K95" i="5"/>
  <c r="D96" i="5"/>
  <c r="AV96" i="5" s="1"/>
  <c r="G96" i="5"/>
  <c r="H96" i="5"/>
  <c r="I96" i="5"/>
  <c r="J96" i="5"/>
  <c r="K96" i="5"/>
  <c r="D97" i="5"/>
  <c r="AV97" i="5" s="1"/>
  <c r="G97" i="5"/>
  <c r="H97" i="5"/>
  <c r="I97" i="5"/>
  <c r="J97" i="5"/>
  <c r="K97" i="5"/>
  <c r="D98" i="5"/>
  <c r="AV98" i="5" s="1"/>
  <c r="G98" i="5"/>
  <c r="H98" i="5"/>
  <c r="I98" i="5"/>
  <c r="J98" i="5"/>
  <c r="K98" i="5"/>
  <c r="D99" i="5"/>
  <c r="AV99" i="5" s="1"/>
  <c r="G99" i="5"/>
  <c r="H99" i="5"/>
  <c r="I99" i="5"/>
  <c r="J99" i="5"/>
  <c r="K99" i="5"/>
  <c r="D100" i="5"/>
  <c r="AV100" i="5" s="1"/>
  <c r="G100" i="5"/>
  <c r="H100" i="5"/>
  <c r="I100" i="5"/>
  <c r="J100" i="5"/>
  <c r="K100" i="5"/>
  <c r="D101" i="5"/>
  <c r="AV101" i="5" s="1"/>
  <c r="G101" i="5"/>
  <c r="H101" i="5"/>
  <c r="I101" i="5"/>
  <c r="J101" i="5"/>
  <c r="K101" i="5"/>
  <c r="D102" i="5"/>
  <c r="AV102" i="5" s="1"/>
  <c r="G102" i="5"/>
  <c r="H102" i="5"/>
  <c r="I102" i="5"/>
  <c r="J102" i="5"/>
  <c r="K102" i="5"/>
  <c r="D103" i="5"/>
  <c r="AV103" i="5" s="1"/>
  <c r="G103" i="5"/>
  <c r="H103" i="5"/>
  <c r="I103" i="5"/>
  <c r="J103" i="5"/>
  <c r="K103" i="5"/>
  <c r="D104" i="5"/>
  <c r="AV104" i="5" s="1"/>
  <c r="G104" i="5"/>
  <c r="H104" i="5"/>
  <c r="I104" i="5"/>
  <c r="J104" i="5"/>
  <c r="K104" i="5"/>
  <c r="D105" i="5"/>
  <c r="AV105" i="5" s="1"/>
  <c r="G105" i="5"/>
  <c r="H105" i="5"/>
  <c r="I105" i="5"/>
  <c r="J105" i="5"/>
  <c r="K105" i="5"/>
  <c r="D106" i="5"/>
  <c r="AV106" i="5" s="1"/>
  <c r="G106" i="5"/>
  <c r="H106" i="5"/>
  <c r="I106" i="5"/>
  <c r="J106" i="5"/>
  <c r="K106" i="5"/>
  <c r="D107" i="5"/>
  <c r="AV107" i="5" s="1"/>
  <c r="G107" i="5"/>
  <c r="H107" i="5"/>
  <c r="I107" i="5"/>
  <c r="J107" i="5"/>
  <c r="K107" i="5"/>
  <c r="D108" i="5"/>
  <c r="AV108" i="5" s="1"/>
  <c r="G108" i="5"/>
  <c r="H108" i="5"/>
  <c r="I108" i="5"/>
  <c r="J108" i="5"/>
  <c r="K108" i="5"/>
  <c r="D109" i="5"/>
  <c r="AV109" i="5" s="1"/>
  <c r="G109" i="5"/>
  <c r="H109" i="5"/>
  <c r="I109" i="5"/>
  <c r="J109" i="5"/>
  <c r="K109" i="5"/>
  <c r="D110" i="5"/>
  <c r="AV110" i="5" s="1"/>
  <c r="G110" i="5"/>
  <c r="H110" i="5"/>
  <c r="I110" i="5"/>
  <c r="J110" i="5"/>
  <c r="K110" i="5"/>
  <c r="D111" i="5"/>
  <c r="AV111" i="5" s="1"/>
  <c r="G111" i="5"/>
  <c r="H111" i="5"/>
  <c r="I111" i="5"/>
  <c r="J111" i="5"/>
  <c r="K111" i="5"/>
  <c r="D112" i="5"/>
  <c r="AV112" i="5" s="1"/>
  <c r="G112" i="5"/>
  <c r="H112" i="5"/>
  <c r="I112" i="5"/>
  <c r="J112" i="5"/>
  <c r="K112" i="5"/>
  <c r="D113" i="5"/>
  <c r="AV113" i="5" s="1"/>
  <c r="G113" i="5"/>
  <c r="H113" i="5"/>
  <c r="I113" i="5"/>
  <c r="J113" i="5"/>
  <c r="K113" i="5"/>
  <c r="D114" i="5"/>
  <c r="AV114" i="5" s="1"/>
  <c r="G114" i="5"/>
  <c r="H114" i="5"/>
  <c r="I114" i="5"/>
  <c r="J114" i="5"/>
  <c r="K114" i="5"/>
  <c r="D115" i="5"/>
  <c r="AV115" i="5" s="1"/>
  <c r="G115" i="5"/>
  <c r="H115" i="5"/>
  <c r="I115" i="5"/>
  <c r="J115" i="5"/>
  <c r="K115" i="5"/>
  <c r="D116" i="5"/>
  <c r="AV116" i="5" s="1"/>
  <c r="G116" i="5"/>
  <c r="H116" i="5"/>
  <c r="I116" i="5"/>
  <c r="J116" i="5"/>
  <c r="K116" i="5"/>
  <c r="D117" i="5"/>
  <c r="AV117" i="5" s="1"/>
  <c r="G117" i="5"/>
  <c r="H117" i="5"/>
  <c r="I117" i="5"/>
  <c r="J117" i="5"/>
  <c r="K117" i="5"/>
  <c r="D118" i="5"/>
  <c r="AV118" i="5" s="1"/>
  <c r="G118" i="5"/>
  <c r="H118" i="5"/>
  <c r="I118" i="5"/>
  <c r="J118" i="5"/>
  <c r="K118" i="5"/>
  <c r="D119" i="5"/>
  <c r="AV119" i="5" s="1"/>
  <c r="G119" i="5"/>
  <c r="H119" i="5"/>
  <c r="I119" i="5"/>
  <c r="J119" i="5"/>
  <c r="K119" i="5"/>
  <c r="D120" i="5"/>
  <c r="AV120" i="5" s="1"/>
  <c r="G120" i="5"/>
  <c r="H120" i="5"/>
  <c r="I120" i="5"/>
  <c r="J120" i="5"/>
  <c r="K120" i="5"/>
  <c r="D121" i="5"/>
  <c r="AV121" i="5" s="1"/>
  <c r="G121" i="5"/>
  <c r="H121" i="5"/>
  <c r="I121" i="5"/>
  <c r="J121" i="5"/>
  <c r="K121" i="5"/>
  <c r="D122" i="5"/>
  <c r="AV122" i="5" s="1"/>
  <c r="G122" i="5"/>
  <c r="H122" i="5"/>
  <c r="I122" i="5"/>
  <c r="J122" i="5"/>
  <c r="K122" i="5"/>
  <c r="D123" i="5"/>
  <c r="AV123" i="5" s="1"/>
  <c r="G123" i="5"/>
  <c r="H123" i="5"/>
  <c r="I123" i="5"/>
  <c r="J123" i="5"/>
  <c r="K123" i="5"/>
  <c r="D124" i="5"/>
  <c r="AV124" i="5" s="1"/>
  <c r="G124" i="5"/>
  <c r="H124" i="5"/>
  <c r="I124" i="5"/>
  <c r="J124" i="5"/>
  <c r="K124" i="5"/>
  <c r="D125" i="5"/>
  <c r="AV125" i="5" s="1"/>
  <c r="G125" i="5"/>
  <c r="H125" i="5"/>
  <c r="I125" i="5"/>
  <c r="J125" i="5"/>
  <c r="K125" i="5"/>
  <c r="D126" i="5"/>
  <c r="AV126" i="5" s="1"/>
  <c r="G126" i="5"/>
  <c r="H126" i="5"/>
  <c r="I126" i="5"/>
  <c r="J126" i="5"/>
  <c r="K126" i="5"/>
  <c r="D127" i="5"/>
  <c r="AV127" i="5" s="1"/>
  <c r="G127" i="5"/>
  <c r="H127" i="5"/>
  <c r="I127" i="5"/>
  <c r="J127" i="5"/>
  <c r="K127" i="5"/>
  <c r="D128" i="5"/>
  <c r="AV128" i="5" s="1"/>
  <c r="G128" i="5"/>
  <c r="H128" i="5"/>
  <c r="I128" i="5"/>
  <c r="J128" i="5"/>
  <c r="K128" i="5"/>
  <c r="D129" i="5"/>
  <c r="AV129" i="5" s="1"/>
  <c r="G129" i="5"/>
  <c r="H129" i="5"/>
  <c r="I129" i="5"/>
  <c r="J129" i="5"/>
  <c r="K129" i="5"/>
  <c r="D130" i="5"/>
  <c r="AV130" i="5" s="1"/>
  <c r="G130" i="5"/>
  <c r="H130" i="5"/>
  <c r="I130" i="5"/>
  <c r="J130" i="5"/>
  <c r="K130" i="5"/>
  <c r="D131" i="5"/>
  <c r="AV131" i="5" s="1"/>
  <c r="G131" i="5"/>
  <c r="H131" i="5"/>
  <c r="I131" i="5"/>
  <c r="J131" i="5"/>
  <c r="K131" i="5"/>
  <c r="D132" i="5"/>
  <c r="AV132" i="5" s="1"/>
  <c r="G132" i="5"/>
  <c r="H132" i="5"/>
  <c r="I132" i="5"/>
  <c r="J132" i="5"/>
  <c r="K132" i="5"/>
  <c r="D133" i="5"/>
  <c r="AV133" i="5" s="1"/>
  <c r="G133" i="5"/>
  <c r="H133" i="5"/>
  <c r="I133" i="5"/>
  <c r="J133" i="5"/>
  <c r="K133" i="5"/>
  <c r="D134" i="5"/>
  <c r="AV134" i="5" s="1"/>
  <c r="G134" i="5"/>
  <c r="H134" i="5"/>
  <c r="I134" i="5"/>
  <c r="J134" i="5"/>
  <c r="K134" i="5"/>
  <c r="D135" i="5"/>
  <c r="AV135" i="5" s="1"/>
  <c r="G135" i="5"/>
  <c r="H135" i="5"/>
  <c r="I135" i="5"/>
  <c r="J135" i="5"/>
  <c r="K135" i="5"/>
  <c r="D136" i="5"/>
  <c r="AV136" i="5" s="1"/>
  <c r="G136" i="5"/>
  <c r="H136" i="5"/>
  <c r="I136" i="5"/>
  <c r="J136" i="5"/>
  <c r="K136" i="5"/>
  <c r="D137" i="5"/>
  <c r="AV137" i="5" s="1"/>
  <c r="G137" i="5"/>
  <c r="H137" i="5"/>
  <c r="I137" i="5"/>
  <c r="J137" i="5"/>
  <c r="K137" i="5"/>
  <c r="D138" i="5"/>
  <c r="AV138" i="5" s="1"/>
  <c r="G138" i="5"/>
  <c r="H138" i="5"/>
  <c r="I138" i="5"/>
  <c r="J138" i="5"/>
  <c r="K138" i="5"/>
  <c r="D139" i="5"/>
  <c r="AV139" i="5" s="1"/>
  <c r="G139" i="5"/>
  <c r="H139" i="5"/>
  <c r="I139" i="5"/>
  <c r="J139" i="5"/>
  <c r="K139" i="5"/>
  <c r="D140" i="5"/>
  <c r="AV140" i="5" s="1"/>
  <c r="G140" i="5"/>
  <c r="H140" i="5"/>
  <c r="I140" i="5"/>
  <c r="J140" i="5"/>
  <c r="K140" i="5"/>
  <c r="D141" i="5"/>
  <c r="AV141" i="5" s="1"/>
  <c r="G141" i="5"/>
  <c r="H141" i="5"/>
  <c r="I141" i="5"/>
  <c r="J141" i="5"/>
  <c r="K141" i="5"/>
  <c r="D142" i="5"/>
  <c r="AV142" i="5" s="1"/>
  <c r="G142" i="5"/>
  <c r="H142" i="5"/>
  <c r="I142" i="5"/>
  <c r="J142" i="5"/>
  <c r="K142" i="5"/>
  <c r="D143" i="5"/>
  <c r="AV143" i="5" s="1"/>
  <c r="G143" i="5"/>
  <c r="H143" i="5"/>
  <c r="I143" i="5"/>
  <c r="J143" i="5"/>
  <c r="K143" i="5"/>
  <c r="D144" i="5"/>
  <c r="AV144" i="5" s="1"/>
  <c r="G144" i="5"/>
  <c r="H144" i="5"/>
  <c r="I144" i="5"/>
  <c r="J144" i="5"/>
  <c r="K144" i="5"/>
  <c r="D145" i="5"/>
  <c r="AV145" i="5" s="1"/>
  <c r="G145" i="5"/>
  <c r="H145" i="5"/>
  <c r="I145" i="5"/>
  <c r="J145" i="5"/>
  <c r="K145" i="5"/>
  <c r="D146" i="5"/>
  <c r="AV146" i="5" s="1"/>
  <c r="G146" i="5"/>
  <c r="H146" i="5"/>
  <c r="I146" i="5"/>
  <c r="J146" i="5"/>
  <c r="K146" i="5"/>
  <c r="D147" i="5"/>
  <c r="AV147" i="5" s="1"/>
  <c r="G147" i="5"/>
  <c r="H147" i="5"/>
  <c r="I147" i="5"/>
  <c r="J147" i="5"/>
  <c r="K147" i="5"/>
  <c r="D148" i="5"/>
  <c r="AV148" i="5" s="1"/>
  <c r="G148" i="5"/>
  <c r="H148" i="5"/>
  <c r="I148" i="5"/>
  <c r="J148" i="5"/>
  <c r="K148" i="5"/>
  <c r="D149" i="5"/>
  <c r="AV149" i="5" s="1"/>
  <c r="G149" i="5"/>
  <c r="H149" i="5"/>
  <c r="I149" i="5"/>
  <c r="J149" i="5"/>
  <c r="K149" i="5"/>
  <c r="D150" i="5"/>
  <c r="AV150" i="5" s="1"/>
  <c r="G150" i="5"/>
  <c r="H150" i="5"/>
  <c r="I150" i="5"/>
  <c r="J150" i="5"/>
  <c r="K150" i="5"/>
  <c r="D151" i="5"/>
  <c r="AV151" i="5" s="1"/>
  <c r="G151" i="5"/>
  <c r="H151" i="5"/>
  <c r="I151" i="5"/>
  <c r="J151" i="5"/>
  <c r="K151" i="5"/>
  <c r="D152" i="5"/>
  <c r="AV152" i="5" s="1"/>
  <c r="G152" i="5"/>
  <c r="H152" i="5"/>
  <c r="I152" i="5"/>
  <c r="J152" i="5"/>
  <c r="K152" i="5"/>
  <c r="D153" i="5"/>
  <c r="AV153" i="5" s="1"/>
  <c r="G153" i="5"/>
  <c r="H153" i="5"/>
  <c r="I153" i="5"/>
  <c r="J153" i="5"/>
  <c r="K153" i="5"/>
  <c r="D154" i="5"/>
  <c r="AV154" i="5" s="1"/>
  <c r="G154" i="5"/>
  <c r="H154" i="5"/>
  <c r="I154" i="5"/>
  <c r="J154" i="5"/>
  <c r="K154" i="5"/>
  <c r="D155" i="5"/>
  <c r="AV155" i="5" s="1"/>
  <c r="G155" i="5"/>
  <c r="H155" i="5"/>
  <c r="I155" i="5"/>
  <c r="J155" i="5"/>
  <c r="K155" i="5"/>
  <c r="D157" i="5"/>
  <c r="AV157" i="5" s="1"/>
  <c r="G157" i="5"/>
  <c r="H157" i="5"/>
  <c r="I157" i="5"/>
  <c r="J157" i="5"/>
  <c r="K157" i="5"/>
  <c r="D158" i="5"/>
  <c r="AV158" i="5" s="1"/>
  <c r="G158" i="5"/>
  <c r="H158" i="5"/>
  <c r="I158" i="5"/>
  <c r="J158" i="5"/>
  <c r="K158" i="5"/>
  <c r="D159" i="5"/>
  <c r="AV159" i="5" s="1"/>
  <c r="G159" i="5"/>
  <c r="H159" i="5"/>
  <c r="I159" i="5"/>
  <c r="J159" i="5"/>
  <c r="K159" i="5"/>
  <c r="D160" i="5"/>
  <c r="AV160" i="5" s="1"/>
  <c r="G160" i="5"/>
  <c r="H160" i="5"/>
  <c r="I160" i="5"/>
  <c r="J160" i="5"/>
  <c r="K160" i="5"/>
  <c r="D161" i="5"/>
  <c r="AV161" i="5" s="1"/>
  <c r="G161" i="5"/>
  <c r="H161" i="5"/>
  <c r="I161" i="5"/>
  <c r="J161" i="5"/>
  <c r="K161" i="5"/>
  <c r="D162" i="5"/>
  <c r="AV162" i="5" s="1"/>
  <c r="G162" i="5"/>
  <c r="H162" i="5"/>
  <c r="I162" i="5"/>
  <c r="J162" i="5"/>
  <c r="K162" i="5"/>
  <c r="D163" i="5"/>
  <c r="AV163" i="5" s="1"/>
  <c r="G163" i="5"/>
  <c r="H163" i="5"/>
  <c r="I163" i="5"/>
  <c r="J163" i="5"/>
  <c r="K163" i="5"/>
  <c r="D164" i="5"/>
  <c r="AV164" i="5" s="1"/>
  <c r="G164" i="5"/>
  <c r="H164" i="5"/>
  <c r="I164" i="5"/>
  <c r="J164" i="5"/>
  <c r="K164" i="5"/>
  <c r="D165" i="5"/>
  <c r="AV165" i="5" s="1"/>
  <c r="G165" i="5"/>
  <c r="H165" i="5"/>
  <c r="I165" i="5"/>
  <c r="J165" i="5"/>
  <c r="K165" i="5"/>
  <c r="D166" i="5"/>
  <c r="AV166" i="5" s="1"/>
  <c r="G166" i="5"/>
  <c r="H166" i="5"/>
  <c r="I166" i="5"/>
  <c r="J166" i="5"/>
  <c r="K166" i="5"/>
  <c r="D167" i="5"/>
  <c r="AV167" i="5" s="1"/>
  <c r="G167" i="5"/>
  <c r="H167" i="5"/>
  <c r="I167" i="5"/>
  <c r="J167" i="5"/>
  <c r="K167" i="5"/>
  <c r="D168" i="5"/>
  <c r="AV168" i="5" s="1"/>
  <c r="G168" i="5"/>
  <c r="H168" i="5"/>
  <c r="I168" i="5"/>
  <c r="J168" i="5"/>
  <c r="K168" i="5"/>
  <c r="D169" i="5"/>
  <c r="AV169" i="5" s="1"/>
  <c r="G169" i="5"/>
  <c r="H169" i="5"/>
  <c r="I169" i="5"/>
  <c r="J169" i="5"/>
  <c r="K169" i="5"/>
  <c r="D170" i="5"/>
  <c r="AV170" i="5" s="1"/>
  <c r="G170" i="5"/>
  <c r="H170" i="5"/>
  <c r="I170" i="5"/>
  <c r="J170" i="5"/>
  <c r="K170" i="5"/>
  <c r="D171" i="5"/>
  <c r="AV171" i="5" s="1"/>
  <c r="G171" i="5"/>
  <c r="H171" i="5"/>
  <c r="I171" i="5"/>
  <c r="J171" i="5"/>
  <c r="K171" i="5"/>
  <c r="D172" i="5"/>
  <c r="AV172" i="5" s="1"/>
  <c r="G172" i="5"/>
  <c r="H172" i="5"/>
  <c r="I172" i="5"/>
  <c r="J172" i="5"/>
  <c r="K172" i="5"/>
  <c r="D173" i="5"/>
  <c r="AV173" i="5" s="1"/>
  <c r="G173" i="5"/>
  <c r="H173" i="5"/>
  <c r="I173" i="5"/>
  <c r="J173" i="5"/>
  <c r="K173" i="5"/>
  <c r="D174" i="5"/>
  <c r="AV174" i="5" s="1"/>
  <c r="G174" i="5"/>
  <c r="H174" i="5"/>
  <c r="I174" i="5"/>
  <c r="J174" i="5"/>
  <c r="K174" i="5"/>
  <c r="D175" i="5"/>
  <c r="AV175" i="5" s="1"/>
  <c r="G175" i="5"/>
  <c r="H175" i="5"/>
  <c r="I175" i="5"/>
  <c r="J175" i="5"/>
  <c r="K175" i="5"/>
  <c r="D176" i="5"/>
  <c r="AV176" i="5" s="1"/>
  <c r="G176" i="5"/>
  <c r="H176" i="5"/>
  <c r="I176" i="5"/>
  <c r="J176" i="5"/>
  <c r="K176" i="5"/>
  <c r="D177" i="5"/>
  <c r="AV177" i="5" s="1"/>
  <c r="G177" i="5"/>
  <c r="H177" i="5"/>
  <c r="I177" i="5"/>
  <c r="J177" i="5"/>
  <c r="K177" i="5"/>
  <c r="D178" i="5"/>
  <c r="AV178" i="5" s="1"/>
  <c r="G178" i="5"/>
  <c r="H178" i="5"/>
  <c r="I178" i="5"/>
  <c r="J178" i="5"/>
  <c r="K178" i="5"/>
  <c r="D179" i="5"/>
  <c r="AV179" i="5" s="1"/>
  <c r="G179" i="5"/>
  <c r="H179" i="5"/>
  <c r="I179" i="5"/>
  <c r="J179" i="5"/>
  <c r="K179" i="5"/>
  <c r="D180" i="5"/>
  <c r="AV180" i="5" s="1"/>
  <c r="G180" i="5"/>
  <c r="H180" i="5"/>
  <c r="I180" i="5"/>
  <c r="J180" i="5"/>
  <c r="K180" i="5"/>
  <c r="D181" i="5"/>
  <c r="AV181" i="5" s="1"/>
  <c r="G181" i="5"/>
  <c r="H181" i="5"/>
  <c r="I181" i="5"/>
  <c r="J181" i="5"/>
  <c r="K181" i="5"/>
  <c r="D182" i="5"/>
  <c r="AV182" i="5" s="1"/>
  <c r="G182" i="5"/>
  <c r="H182" i="5"/>
  <c r="I182" i="5"/>
  <c r="J182" i="5"/>
  <c r="K182" i="5"/>
  <c r="D183" i="5"/>
  <c r="AV183" i="5" s="1"/>
  <c r="G183" i="5"/>
  <c r="H183" i="5"/>
  <c r="I183" i="5"/>
  <c r="J183" i="5"/>
  <c r="K183" i="5"/>
  <c r="D184" i="5"/>
  <c r="AV184" i="5" s="1"/>
  <c r="G184" i="5"/>
  <c r="H184" i="5"/>
  <c r="I184" i="5"/>
  <c r="J184" i="5"/>
  <c r="K184" i="5"/>
  <c r="D185" i="5"/>
  <c r="AV185" i="5" s="1"/>
  <c r="G185" i="5"/>
  <c r="H185" i="5"/>
  <c r="I185" i="5"/>
  <c r="J185" i="5"/>
  <c r="K185" i="5"/>
  <c r="D186" i="5"/>
  <c r="AV186" i="5" s="1"/>
  <c r="G186" i="5"/>
  <c r="H186" i="5"/>
  <c r="I186" i="5"/>
  <c r="J186" i="5"/>
  <c r="K186" i="5"/>
  <c r="D187" i="5"/>
  <c r="AV187" i="5" s="1"/>
  <c r="G187" i="5"/>
  <c r="H187" i="5"/>
  <c r="I187" i="5"/>
  <c r="J187" i="5"/>
  <c r="K187" i="5"/>
  <c r="D188" i="5"/>
  <c r="AV188" i="5" s="1"/>
  <c r="G188" i="5"/>
  <c r="H188" i="5"/>
  <c r="I188" i="5"/>
  <c r="J188" i="5"/>
  <c r="K188" i="5"/>
  <c r="D189" i="5"/>
  <c r="AV189" i="5" s="1"/>
  <c r="G189" i="5"/>
  <c r="H189" i="5"/>
  <c r="I189" i="5"/>
  <c r="J189" i="5"/>
  <c r="K189" i="5"/>
  <c r="D190" i="5"/>
  <c r="AV190" i="5" s="1"/>
  <c r="G190" i="5"/>
  <c r="H190" i="5"/>
  <c r="I190" i="5"/>
  <c r="J190" i="5"/>
  <c r="K190" i="5"/>
  <c r="D191" i="5"/>
  <c r="AV191" i="5" s="1"/>
  <c r="G191" i="5"/>
  <c r="H191" i="5"/>
  <c r="I191" i="5"/>
  <c r="J191" i="5"/>
  <c r="K191" i="5"/>
  <c r="D192" i="5"/>
  <c r="AV192" i="5" s="1"/>
  <c r="G192" i="5"/>
  <c r="H192" i="5"/>
  <c r="I192" i="5"/>
  <c r="J192" i="5"/>
  <c r="K192" i="5"/>
  <c r="D193" i="5"/>
  <c r="AV193" i="5" s="1"/>
  <c r="G193" i="5"/>
  <c r="H193" i="5"/>
  <c r="I193" i="5"/>
  <c r="J193" i="5"/>
  <c r="K193" i="5"/>
  <c r="D194" i="5"/>
  <c r="AV194" i="5" s="1"/>
  <c r="G194" i="5"/>
  <c r="H194" i="5"/>
  <c r="I194" i="5"/>
  <c r="J194" i="5"/>
  <c r="K194" i="5"/>
  <c r="D195" i="5"/>
  <c r="AV195" i="5" s="1"/>
  <c r="G195" i="5"/>
  <c r="H195" i="5"/>
  <c r="I195" i="5"/>
  <c r="J195" i="5"/>
  <c r="K195" i="5"/>
  <c r="D196" i="5"/>
  <c r="AV196" i="5" s="1"/>
  <c r="G196" i="5"/>
  <c r="H196" i="5"/>
  <c r="I196" i="5"/>
  <c r="J196" i="5"/>
  <c r="K196" i="5"/>
  <c r="D197" i="5"/>
  <c r="AV197" i="5" s="1"/>
  <c r="G197" i="5"/>
  <c r="H197" i="5"/>
  <c r="I197" i="5"/>
  <c r="J197" i="5"/>
  <c r="K197" i="5"/>
  <c r="D198" i="5"/>
  <c r="AV198" i="5" s="1"/>
  <c r="G198" i="5"/>
  <c r="H198" i="5"/>
  <c r="I198" i="5"/>
  <c r="J198" i="5"/>
  <c r="K198" i="5"/>
  <c r="D199" i="5"/>
  <c r="AV199" i="5" s="1"/>
  <c r="G199" i="5"/>
  <c r="H199" i="5"/>
  <c r="I199" i="5"/>
  <c r="J199" i="5"/>
  <c r="K199" i="5"/>
  <c r="D200" i="5"/>
  <c r="AV200" i="5" s="1"/>
  <c r="G200" i="5"/>
  <c r="H200" i="5"/>
  <c r="I200" i="5"/>
  <c r="J200" i="5"/>
  <c r="K200" i="5"/>
  <c r="D201" i="5"/>
  <c r="AV201" i="5" s="1"/>
  <c r="G201" i="5"/>
  <c r="H201" i="5"/>
  <c r="I201" i="5"/>
  <c r="J201" i="5"/>
  <c r="K201" i="5"/>
  <c r="D202" i="5"/>
  <c r="AV202" i="5" s="1"/>
  <c r="G202" i="5"/>
  <c r="H202" i="5"/>
  <c r="I202" i="5"/>
  <c r="J202" i="5"/>
  <c r="K202" i="5"/>
  <c r="D203" i="5"/>
  <c r="AV203" i="5" s="1"/>
  <c r="G203" i="5"/>
  <c r="H203" i="5"/>
  <c r="I203" i="5"/>
  <c r="J203" i="5"/>
  <c r="K203" i="5"/>
  <c r="D204" i="5"/>
  <c r="AV204" i="5" s="1"/>
  <c r="G204" i="5"/>
  <c r="H204" i="5"/>
  <c r="I204" i="5"/>
  <c r="J204" i="5"/>
  <c r="K204" i="5"/>
  <c r="D205" i="5"/>
  <c r="AV205" i="5" s="1"/>
  <c r="G205" i="5"/>
  <c r="H205" i="5"/>
  <c r="I205" i="5"/>
  <c r="J205" i="5"/>
  <c r="K205" i="5"/>
  <c r="D206" i="5"/>
  <c r="AV206" i="5" s="1"/>
  <c r="G206" i="5"/>
  <c r="H206" i="5"/>
  <c r="I206" i="5"/>
  <c r="J206" i="5"/>
  <c r="K206" i="5"/>
  <c r="D207" i="5"/>
  <c r="AV207" i="5" s="1"/>
  <c r="G207" i="5"/>
  <c r="H207" i="5"/>
  <c r="I207" i="5"/>
  <c r="J207" i="5"/>
  <c r="K207" i="5"/>
  <c r="D208" i="5"/>
  <c r="AV208" i="5" s="1"/>
  <c r="G208" i="5"/>
  <c r="H208" i="5"/>
  <c r="I208" i="5"/>
  <c r="J208" i="5"/>
  <c r="K208" i="5"/>
  <c r="D209" i="5"/>
  <c r="AV209" i="5" s="1"/>
  <c r="G209" i="5"/>
  <c r="H209" i="5"/>
  <c r="I209" i="5"/>
  <c r="J209" i="5"/>
  <c r="K209" i="5"/>
  <c r="D210" i="5"/>
  <c r="AV210" i="5" s="1"/>
  <c r="G210" i="5"/>
  <c r="H210" i="5"/>
  <c r="I210" i="5"/>
  <c r="J210" i="5"/>
  <c r="K210" i="5"/>
  <c r="D211" i="5"/>
  <c r="AV211" i="5" s="1"/>
  <c r="G211" i="5"/>
  <c r="H211" i="5"/>
  <c r="I211" i="5"/>
  <c r="J211" i="5"/>
  <c r="K211" i="5"/>
  <c r="D212" i="5"/>
  <c r="AV212" i="5" s="1"/>
  <c r="G212" i="5"/>
  <c r="H212" i="5"/>
  <c r="I212" i="5"/>
  <c r="J212" i="5"/>
  <c r="K212" i="5"/>
  <c r="D213" i="5"/>
  <c r="AV213" i="5" s="1"/>
  <c r="G213" i="5"/>
  <c r="H213" i="5"/>
  <c r="I213" i="5"/>
  <c r="J213" i="5"/>
  <c r="K213" i="5"/>
  <c r="D214" i="5"/>
  <c r="AV214" i="5" s="1"/>
  <c r="G214" i="5"/>
  <c r="H214" i="5"/>
  <c r="I214" i="5"/>
  <c r="J214" i="5"/>
  <c r="K214" i="5"/>
  <c r="D215" i="5"/>
  <c r="AV215" i="5" s="1"/>
  <c r="G215" i="5"/>
  <c r="H215" i="5"/>
  <c r="I215" i="5"/>
  <c r="J215" i="5"/>
  <c r="K215" i="5"/>
  <c r="D216" i="5"/>
  <c r="AV216" i="5" s="1"/>
  <c r="G216" i="5"/>
  <c r="H216" i="5"/>
  <c r="I216" i="5"/>
  <c r="J216" i="5"/>
  <c r="K216" i="5"/>
  <c r="D217" i="5"/>
  <c r="AV217" i="5" s="1"/>
  <c r="G217" i="5"/>
  <c r="H217" i="5"/>
  <c r="I217" i="5"/>
  <c r="J217" i="5"/>
  <c r="K217" i="5"/>
  <c r="D218" i="5"/>
  <c r="AV218" i="5" s="1"/>
  <c r="G218" i="5"/>
  <c r="H218" i="5"/>
  <c r="I218" i="5"/>
  <c r="J218" i="5"/>
  <c r="K218" i="5"/>
  <c r="D219" i="5"/>
  <c r="AV219" i="5" s="1"/>
  <c r="G219" i="5"/>
  <c r="H219" i="5"/>
  <c r="I219" i="5"/>
  <c r="J219" i="5"/>
  <c r="K219" i="5"/>
  <c r="D220" i="5"/>
  <c r="AV220" i="5" s="1"/>
  <c r="G220" i="5"/>
  <c r="H220" i="5"/>
  <c r="I220" i="5"/>
  <c r="J220" i="5"/>
  <c r="K220" i="5"/>
  <c r="D221" i="5"/>
  <c r="AV221" i="5" s="1"/>
  <c r="G221" i="5"/>
  <c r="H221" i="5"/>
  <c r="I221" i="5"/>
  <c r="J221" i="5"/>
  <c r="K221" i="5"/>
  <c r="D222" i="5"/>
  <c r="AV222" i="5" s="1"/>
  <c r="G222" i="5"/>
  <c r="H222" i="5"/>
  <c r="I222" i="5"/>
  <c r="J222" i="5"/>
  <c r="K222" i="5"/>
  <c r="D223" i="5"/>
  <c r="AV223" i="5" s="1"/>
  <c r="G223" i="5"/>
  <c r="H223" i="5"/>
  <c r="I223" i="5"/>
  <c r="J223" i="5"/>
  <c r="K223" i="5"/>
  <c r="D224" i="5"/>
  <c r="AV224" i="5" s="1"/>
  <c r="G224" i="5"/>
  <c r="H224" i="5"/>
  <c r="I224" i="5"/>
  <c r="J224" i="5"/>
  <c r="K224" i="5"/>
  <c r="D225" i="5"/>
  <c r="AV225" i="5" s="1"/>
  <c r="G225" i="5"/>
  <c r="H225" i="5"/>
  <c r="I225" i="5"/>
  <c r="J225" i="5"/>
  <c r="K225" i="5"/>
  <c r="D226" i="5"/>
  <c r="AV226" i="5" s="1"/>
  <c r="G226" i="5"/>
  <c r="H226" i="5"/>
  <c r="I226" i="5"/>
  <c r="J226" i="5"/>
  <c r="K226" i="5"/>
  <c r="D227" i="5"/>
  <c r="AV227" i="5" s="1"/>
  <c r="G227" i="5"/>
  <c r="H227" i="5"/>
  <c r="I227" i="5"/>
  <c r="J227" i="5"/>
  <c r="K227" i="5"/>
  <c r="D228" i="5"/>
  <c r="AV228" i="5" s="1"/>
  <c r="G228" i="5"/>
  <c r="H228" i="5"/>
  <c r="I228" i="5"/>
  <c r="J228" i="5"/>
  <c r="K228" i="5"/>
  <c r="D229" i="5"/>
  <c r="AV229" i="5" s="1"/>
  <c r="G229" i="5"/>
  <c r="H229" i="5"/>
  <c r="I229" i="5"/>
  <c r="J229" i="5"/>
  <c r="K229" i="5"/>
  <c r="D230" i="5"/>
  <c r="AV230" i="5" s="1"/>
  <c r="G230" i="5"/>
  <c r="H230" i="5"/>
  <c r="I230" i="5"/>
  <c r="J230" i="5"/>
  <c r="K230" i="5"/>
  <c r="D231" i="5"/>
  <c r="AV231" i="5" s="1"/>
  <c r="G231" i="5"/>
  <c r="H231" i="5"/>
  <c r="I231" i="5"/>
  <c r="J231" i="5"/>
  <c r="K231" i="5"/>
  <c r="D232" i="5"/>
  <c r="AV232" i="5" s="1"/>
  <c r="G232" i="5"/>
  <c r="H232" i="5"/>
  <c r="I232" i="5"/>
  <c r="J232" i="5"/>
  <c r="K232" i="5"/>
  <c r="D233" i="5"/>
  <c r="AV233" i="5" s="1"/>
  <c r="G233" i="5"/>
  <c r="H233" i="5"/>
  <c r="I233" i="5"/>
  <c r="J233" i="5"/>
  <c r="K233" i="5"/>
  <c r="D234" i="5"/>
  <c r="AV234" i="5" s="1"/>
  <c r="G234" i="5"/>
  <c r="H234" i="5"/>
  <c r="I234" i="5"/>
  <c r="J234" i="5"/>
  <c r="K234" i="5"/>
  <c r="D235" i="5"/>
  <c r="AV235" i="5" s="1"/>
  <c r="G235" i="5"/>
  <c r="H235" i="5"/>
  <c r="I235" i="5"/>
  <c r="J235" i="5"/>
  <c r="K235" i="5"/>
  <c r="D236" i="5"/>
  <c r="AV236" i="5" s="1"/>
  <c r="G236" i="5"/>
  <c r="H236" i="5"/>
  <c r="I236" i="5"/>
  <c r="J236" i="5"/>
  <c r="K236" i="5"/>
  <c r="D237" i="5"/>
  <c r="AV237" i="5" s="1"/>
  <c r="G237" i="5"/>
  <c r="H237" i="5"/>
  <c r="I237" i="5"/>
  <c r="J237" i="5"/>
  <c r="K237" i="5"/>
  <c r="D238" i="5"/>
  <c r="AV238" i="5" s="1"/>
  <c r="G238" i="5"/>
  <c r="H238" i="5"/>
  <c r="I238" i="5"/>
  <c r="J238" i="5"/>
  <c r="K238" i="5"/>
  <c r="D239" i="5"/>
  <c r="AV239" i="5" s="1"/>
  <c r="G239" i="5"/>
  <c r="H239" i="5"/>
  <c r="I239" i="5"/>
  <c r="J239" i="5"/>
  <c r="K239" i="5"/>
  <c r="D240" i="5"/>
  <c r="AV240" i="5" s="1"/>
  <c r="G240" i="5"/>
  <c r="H240" i="5"/>
  <c r="I240" i="5"/>
  <c r="J240" i="5"/>
  <c r="K240" i="5"/>
  <c r="D241" i="5"/>
  <c r="AV241" i="5" s="1"/>
  <c r="G241" i="5"/>
  <c r="H241" i="5"/>
  <c r="I241" i="5"/>
  <c r="J241" i="5"/>
  <c r="K241" i="5"/>
  <c r="D242" i="5"/>
  <c r="AV242" i="5" s="1"/>
  <c r="G242" i="5"/>
  <c r="H242" i="5"/>
  <c r="I242" i="5"/>
  <c r="J242" i="5"/>
  <c r="K242" i="5"/>
  <c r="D243" i="5"/>
  <c r="AV243" i="5" s="1"/>
  <c r="G243" i="5"/>
  <c r="H243" i="5"/>
  <c r="I243" i="5"/>
  <c r="J243" i="5"/>
  <c r="K243" i="5"/>
  <c r="D244" i="5"/>
  <c r="AV244" i="5" s="1"/>
  <c r="G244" i="5"/>
  <c r="H244" i="5"/>
  <c r="I244" i="5"/>
  <c r="J244" i="5"/>
  <c r="K244" i="5"/>
  <c r="D245" i="5"/>
  <c r="AV245" i="5" s="1"/>
  <c r="G245" i="5"/>
  <c r="H245" i="5"/>
  <c r="I245" i="5"/>
  <c r="J245" i="5"/>
  <c r="K245" i="5"/>
  <c r="D246" i="5"/>
  <c r="AV246" i="5" s="1"/>
  <c r="G246" i="5"/>
  <c r="H246" i="5"/>
  <c r="I246" i="5"/>
  <c r="J246" i="5"/>
  <c r="K246" i="5"/>
  <c r="D247" i="5"/>
  <c r="AV247" i="5" s="1"/>
  <c r="G247" i="5"/>
  <c r="H247" i="5"/>
  <c r="I247" i="5"/>
  <c r="J247" i="5"/>
  <c r="K247" i="5"/>
  <c r="D248" i="5"/>
  <c r="AV248" i="5" s="1"/>
  <c r="G248" i="5"/>
  <c r="H248" i="5"/>
  <c r="I248" i="5"/>
  <c r="J248" i="5"/>
  <c r="K248" i="5"/>
  <c r="D249" i="5"/>
  <c r="AV249" i="5" s="1"/>
  <c r="G249" i="5"/>
  <c r="H249" i="5"/>
  <c r="I249" i="5"/>
  <c r="J249" i="5"/>
  <c r="K249" i="5"/>
  <c r="D250" i="5"/>
  <c r="AV250" i="5" s="1"/>
  <c r="G250" i="5"/>
  <c r="H250" i="5"/>
  <c r="I250" i="5"/>
  <c r="J250" i="5"/>
  <c r="K250" i="5"/>
  <c r="D251" i="5"/>
  <c r="AV251" i="5" s="1"/>
  <c r="G251" i="5"/>
  <c r="H251" i="5"/>
  <c r="I251" i="5"/>
  <c r="J251" i="5"/>
  <c r="K251" i="5"/>
  <c r="D252" i="5"/>
  <c r="AV252" i="5" s="1"/>
  <c r="G252" i="5"/>
  <c r="H252" i="5"/>
  <c r="I252" i="5"/>
  <c r="J252" i="5"/>
  <c r="K252" i="5"/>
  <c r="D253" i="5"/>
  <c r="AV253" i="5" s="1"/>
  <c r="G253" i="5"/>
  <c r="H253" i="5"/>
  <c r="I253" i="5"/>
  <c r="J253" i="5"/>
  <c r="K253" i="5"/>
  <c r="D254" i="5"/>
  <c r="AV254" i="5" s="1"/>
  <c r="G254" i="5"/>
  <c r="H254" i="5"/>
  <c r="I254" i="5"/>
  <c r="J254" i="5"/>
  <c r="K254" i="5"/>
  <c r="D255" i="5"/>
  <c r="AV255" i="5" s="1"/>
  <c r="G255" i="5"/>
  <c r="H255" i="5"/>
  <c r="I255" i="5"/>
  <c r="J255" i="5"/>
  <c r="K255" i="5"/>
  <c r="D256" i="5"/>
  <c r="AV256" i="5" s="1"/>
  <c r="G256" i="5"/>
  <c r="H256" i="5"/>
  <c r="I256" i="5"/>
  <c r="J256" i="5"/>
  <c r="K256" i="5"/>
  <c r="D257" i="5"/>
  <c r="AV257" i="5" s="1"/>
  <c r="G257" i="5"/>
  <c r="H257" i="5"/>
  <c r="I257" i="5"/>
  <c r="J257" i="5"/>
  <c r="K257" i="5"/>
  <c r="D258" i="5"/>
  <c r="AV258" i="5" s="1"/>
  <c r="G258" i="5"/>
  <c r="H258" i="5"/>
  <c r="I258" i="5"/>
  <c r="J258" i="5"/>
  <c r="K258" i="5"/>
  <c r="D259" i="5"/>
  <c r="AV259" i="5" s="1"/>
  <c r="G259" i="5"/>
  <c r="H259" i="5"/>
  <c r="I259" i="5"/>
  <c r="J259" i="5"/>
  <c r="K259" i="5"/>
  <c r="D260" i="5"/>
  <c r="AV260" i="5" s="1"/>
  <c r="G260" i="5"/>
  <c r="H260" i="5"/>
  <c r="I260" i="5"/>
  <c r="J260" i="5"/>
  <c r="K260" i="5"/>
  <c r="D261" i="5"/>
  <c r="AV261" i="5" s="1"/>
  <c r="G261" i="5"/>
  <c r="H261" i="5"/>
  <c r="I261" i="5"/>
  <c r="J261" i="5"/>
  <c r="K261" i="5"/>
  <c r="D262" i="5"/>
  <c r="AV262" i="5" s="1"/>
  <c r="G262" i="5"/>
  <c r="H262" i="5"/>
  <c r="I262" i="5"/>
  <c r="J262" i="5"/>
  <c r="K262" i="5"/>
  <c r="D263" i="5"/>
  <c r="AV263" i="5" s="1"/>
  <c r="G263" i="5"/>
  <c r="H263" i="5"/>
  <c r="I263" i="5"/>
  <c r="J263" i="5"/>
  <c r="K263" i="5"/>
  <c r="D264" i="5"/>
  <c r="AV264" i="5" s="1"/>
  <c r="G264" i="5"/>
  <c r="H264" i="5"/>
  <c r="I264" i="5"/>
  <c r="J264" i="5"/>
  <c r="K264" i="5"/>
  <c r="D265" i="5"/>
  <c r="AV265" i="5" s="1"/>
  <c r="G265" i="5"/>
  <c r="H265" i="5"/>
  <c r="I265" i="5"/>
  <c r="J265" i="5"/>
  <c r="K265" i="5"/>
  <c r="D266" i="5"/>
  <c r="AV266" i="5" s="1"/>
  <c r="G266" i="5"/>
  <c r="H266" i="5"/>
  <c r="I266" i="5"/>
  <c r="J266" i="5"/>
  <c r="K266" i="5"/>
  <c r="D267" i="5"/>
  <c r="AV267" i="5" s="1"/>
  <c r="G267" i="5"/>
  <c r="H267" i="5"/>
  <c r="I267" i="5"/>
  <c r="J267" i="5"/>
  <c r="K267" i="5"/>
  <c r="D268" i="5"/>
  <c r="AV268" i="5" s="1"/>
  <c r="G268" i="5"/>
  <c r="H268" i="5"/>
  <c r="I268" i="5"/>
  <c r="J268" i="5"/>
  <c r="K268" i="5"/>
  <c r="D269" i="5"/>
  <c r="AV269" i="5" s="1"/>
  <c r="G269" i="5"/>
  <c r="H269" i="5"/>
  <c r="I269" i="5"/>
  <c r="J269" i="5"/>
  <c r="K269" i="5"/>
  <c r="D270" i="5"/>
  <c r="AV270" i="5" s="1"/>
  <c r="G270" i="5"/>
  <c r="H270" i="5"/>
  <c r="I270" i="5"/>
  <c r="J270" i="5"/>
  <c r="K270" i="5"/>
  <c r="D271" i="5"/>
  <c r="AV271" i="5" s="1"/>
  <c r="G271" i="5"/>
  <c r="H271" i="5"/>
  <c r="I271" i="5"/>
  <c r="J271" i="5"/>
  <c r="K271" i="5"/>
  <c r="D272" i="5"/>
  <c r="AV272" i="5" s="1"/>
  <c r="G272" i="5"/>
  <c r="H272" i="5"/>
  <c r="I272" i="5"/>
  <c r="J272" i="5"/>
  <c r="K272" i="5"/>
  <c r="D273" i="5"/>
  <c r="AV273" i="5" s="1"/>
  <c r="G273" i="5"/>
  <c r="H273" i="5"/>
  <c r="I273" i="5"/>
  <c r="J273" i="5"/>
  <c r="K273" i="5"/>
  <c r="D274" i="5"/>
  <c r="AV274" i="5" s="1"/>
  <c r="G274" i="5"/>
  <c r="H274" i="5"/>
  <c r="I274" i="5"/>
  <c r="J274" i="5"/>
  <c r="K274" i="5"/>
  <c r="D275" i="5"/>
  <c r="AV275" i="5" s="1"/>
  <c r="G275" i="5"/>
  <c r="H275" i="5"/>
  <c r="I275" i="5"/>
  <c r="J275" i="5"/>
  <c r="K275" i="5"/>
  <c r="D276" i="5"/>
  <c r="AV276" i="5" s="1"/>
  <c r="G276" i="5"/>
  <c r="H276" i="5"/>
  <c r="I276" i="5"/>
  <c r="J276" i="5"/>
  <c r="K276" i="5"/>
  <c r="D277" i="5"/>
  <c r="AV277" i="5" s="1"/>
  <c r="G277" i="5"/>
  <c r="H277" i="5"/>
  <c r="I277" i="5"/>
  <c r="J277" i="5"/>
  <c r="K277" i="5"/>
  <c r="D278" i="5"/>
  <c r="AV278" i="5" s="1"/>
  <c r="G278" i="5"/>
  <c r="H278" i="5"/>
  <c r="I278" i="5"/>
  <c r="J278" i="5"/>
  <c r="K278" i="5"/>
  <c r="D279" i="5"/>
  <c r="AV279" i="5" s="1"/>
  <c r="G279" i="5"/>
  <c r="H279" i="5"/>
  <c r="I279" i="5"/>
  <c r="J279" i="5"/>
  <c r="K279" i="5"/>
  <c r="D280" i="5"/>
  <c r="AV280" i="5" s="1"/>
  <c r="G280" i="5"/>
  <c r="H280" i="5"/>
  <c r="I280" i="5"/>
  <c r="J280" i="5"/>
  <c r="K280" i="5"/>
  <c r="D281" i="5"/>
  <c r="AV281" i="5" s="1"/>
  <c r="G281" i="5"/>
  <c r="H281" i="5"/>
  <c r="I281" i="5"/>
  <c r="J281" i="5"/>
  <c r="K281" i="5"/>
  <c r="D282" i="5"/>
  <c r="AV282" i="5" s="1"/>
  <c r="G282" i="5"/>
  <c r="H282" i="5"/>
  <c r="I282" i="5"/>
  <c r="J282" i="5"/>
  <c r="K282" i="5"/>
  <c r="D283" i="5"/>
  <c r="AV283" i="5" s="1"/>
  <c r="G283" i="5"/>
  <c r="H283" i="5"/>
  <c r="I283" i="5"/>
  <c r="J283" i="5"/>
  <c r="K283" i="5"/>
  <c r="D284" i="5"/>
  <c r="AV284" i="5" s="1"/>
  <c r="G284" i="5"/>
  <c r="H284" i="5"/>
  <c r="I284" i="5"/>
  <c r="J284" i="5"/>
  <c r="K284" i="5"/>
  <c r="D285" i="5"/>
  <c r="AV285" i="5" s="1"/>
  <c r="G285" i="5"/>
  <c r="H285" i="5"/>
  <c r="I285" i="5"/>
  <c r="J285" i="5"/>
  <c r="K285" i="5"/>
  <c r="D286" i="5"/>
  <c r="AV286" i="5" s="1"/>
  <c r="G286" i="5"/>
  <c r="H286" i="5"/>
  <c r="I286" i="5"/>
  <c r="J286" i="5"/>
  <c r="K286" i="5"/>
  <c r="D287" i="5"/>
  <c r="AV287" i="5" s="1"/>
  <c r="G287" i="5"/>
  <c r="H287" i="5"/>
  <c r="I287" i="5"/>
  <c r="J287" i="5"/>
  <c r="K287" i="5"/>
  <c r="D288" i="5"/>
  <c r="AV288" i="5" s="1"/>
  <c r="G288" i="5"/>
  <c r="H288" i="5"/>
  <c r="I288" i="5"/>
  <c r="J288" i="5"/>
  <c r="K288" i="5"/>
  <c r="D289" i="5"/>
  <c r="AV289" i="5" s="1"/>
  <c r="G289" i="5"/>
  <c r="H289" i="5"/>
  <c r="I289" i="5"/>
  <c r="J289" i="5"/>
  <c r="K289" i="5"/>
  <c r="D290" i="5"/>
  <c r="AV290" i="5" s="1"/>
  <c r="G290" i="5"/>
  <c r="H290" i="5"/>
  <c r="I290" i="5"/>
  <c r="J290" i="5"/>
  <c r="K290" i="5"/>
  <c r="D291" i="5"/>
  <c r="AV291" i="5" s="1"/>
  <c r="G291" i="5"/>
  <c r="H291" i="5"/>
  <c r="I291" i="5"/>
  <c r="J291" i="5"/>
  <c r="K291" i="5"/>
  <c r="D292" i="5"/>
  <c r="AV292" i="5" s="1"/>
  <c r="G292" i="5"/>
  <c r="H292" i="5"/>
  <c r="I292" i="5"/>
  <c r="J292" i="5"/>
  <c r="K292" i="5"/>
  <c r="D293" i="5"/>
  <c r="AV293" i="5" s="1"/>
  <c r="G293" i="5"/>
  <c r="H293" i="5"/>
  <c r="I293" i="5"/>
  <c r="J293" i="5"/>
  <c r="K293" i="5"/>
  <c r="D294" i="5"/>
  <c r="AV294" i="5" s="1"/>
  <c r="G294" i="5"/>
  <c r="H294" i="5"/>
  <c r="I294" i="5"/>
  <c r="J294" i="5"/>
  <c r="K294" i="5"/>
  <c r="D295" i="5"/>
  <c r="AV295" i="5" s="1"/>
  <c r="G295" i="5"/>
  <c r="H295" i="5"/>
  <c r="I295" i="5"/>
  <c r="J295" i="5"/>
  <c r="K295" i="5"/>
  <c r="D296" i="5"/>
  <c r="AV296" i="5" s="1"/>
  <c r="G296" i="5"/>
  <c r="H296" i="5"/>
  <c r="I296" i="5"/>
  <c r="J296" i="5"/>
  <c r="K296" i="5"/>
  <c r="D297" i="5"/>
  <c r="AV297" i="5" s="1"/>
  <c r="G297" i="5"/>
  <c r="H297" i="5"/>
  <c r="I297" i="5"/>
  <c r="J297" i="5"/>
  <c r="K297" i="5"/>
  <c r="D298" i="5"/>
  <c r="AV298" i="5" s="1"/>
  <c r="G298" i="5"/>
  <c r="H298" i="5"/>
  <c r="I298" i="5"/>
  <c r="J298" i="5"/>
  <c r="K298" i="5"/>
  <c r="D299" i="5"/>
  <c r="AV299" i="5" s="1"/>
  <c r="G299" i="5"/>
  <c r="H299" i="5"/>
  <c r="I299" i="5"/>
  <c r="J299" i="5"/>
  <c r="K299" i="5"/>
  <c r="D300" i="5"/>
  <c r="AV300" i="5" s="1"/>
  <c r="G300" i="5"/>
  <c r="H300" i="5"/>
  <c r="I300" i="5"/>
  <c r="J300" i="5"/>
  <c r="K300" i="5"/>
  <c r="D301" i="5"/>
  <c r="AV301" i="5" s="1"/>
  <c r="G301" i="5"/>
  <c r="H301" i="5"/>
  <c r="I301" i="5"/>
  <c r="J301" i="5"/>
  <c r="K301" i="5"/>
  <c r="D302" i="5"/>
  <c r="AV302" i="5" s="1"/>
  <c r="G302" i="5"/>
  <c r="H302" i="5"/>
  <c r="I302" i="5"/>
  <c r="J302" i="5"/>
  <c r="K302" i="5"/>
  <c r="D303" i="5"/>
  <c r="AV303" i="5" s="1"/>
  <c r="G303" i="5"/>
  <c r="H303" i="5"/>
  <c r="I303" i="5"/>
  <c r="J303" i="5"/>
  <c r="K303" i="5"/>
  <c r="D304" i="5"/>
  <c r="AV304" i="5" s="1"/>
  <c r="G304" i="5"/>
  <c r="H304" i="5"/>
  <c r="I304" i="5"/>
  <c r="J304" i="5"/>
  <c r="K304" i="5"/>
  <c r="D305" i="5"/>
  <c r="AV305" i="5" s="1"/>
  <c r="G305" i="5"/>
  <c r="H305" i="5"/>
  <c r="I305" i="5"/>
  <c r="J305" i="5"/>
  <c r="K305" i="5"/>
  <c r="D306" i="5"/>
  <c r="AV306" i="5" s="1"/>
  <c r="G306" i="5"/>
  <c r="H306" i="5"/>
  <c r="I306" i="5"/>
  <c r="J306" i="5"/>
  <c r="K306" i="5"/>
  <c r="D307" i="5"/>
  <c r="AV307" i="5" s="1"/>
  <c r="G307" i="5"/>
  <c r="H307" i="5"/>
  <c r="I307" i="5"/>
  <c r="J307" i="5"/>
  <c r="K307" i="5"/>
  <c r="D308" i="5"/>
  <c r="AV308" i="5" s="1"/>
  <c r="G308" i="5"/>
  <c r="H308" i="5"/>
  <c r="I308" i="5"/>
  <c r="J308" i="5"/>
  <c r="K308" i="5"/>
  <c r="D309" i="5"/>
  <c r="AV309" i="5" s="1"/>
  <c r="G309" i="5"/>
  <c r="H309" i="5"/>
  <c r="I309" i="5"/>
  <c r="J309" i="5"/>
  <c r="K309" i="5"/>
  <c r="D310" i="5"/>
  <c r="AV310" i="5" s="1"/>
  <c r="G310" i="5"/>
  <c r="H310" i="5"/>
  <c r="I310" i="5"/>
  <c r="J310" i="5"/>
  <c r="K310" i="5"/>
  <c r="D311" i="5"/>
  <c r="AV311" i="5" s="1"/>
  <c r="G311" i="5"/>
  <c r="H311" i="5"/>
  <c r="I311" i="5"/>
  <c r="J311" i="5"/>
  <c r="K311" i="5"/>
  <c r="D312" i="5"/>
  <c r="AV312" i="5" s="1"/>
  <c r="G312" i="5"/>
  <c r="H312" i="5"/>
  <c r="I312" i="5"/>
  <c r="J312" i="5"/>
  <c r="K312" i="5"/>
  <c r="D313" i="5"/>
  <c r="AV313" i="5" s="1"/>
  <c r="G313" i="5"/>
  <c r="H313" i="5"/>
  <c r="I313" i="5"/>
  <c r="J313" i="5"/>
  <c r="K313" i="5"/>
  <c r="D314" i="5"/>
  <c r="AV314" i="5" s="1"/>
  <c r="G314" i="5"/>
  <c r="H314" i="5"/>
  <c r="I314" i="5"/>
  <c r="J314" i="5"/>
  <c r="K314" i="5"/>
  <c r="D315" i="5"/>
  <c r="AV315" i="5" s="1"/>
  <c r="G315" i="5"/>
  <c r="H315" i="5"/>
  <c r="I315" i="5"/>
  <c r="J315" i="5"/>
  <c r="K315" i="5"/>
  <c r="D316" i="5"/>
  <c r="AV316" i="5" s="1"/>
  <c r="G316" i="5"/>
  <c r="H316" i="5"/>
  <c r="I316" i="5"/>
  <c r="J316" i="5"/>
  <c r="K316" i="5"/>
  <c r="D317" i="5"/>
  <c r="AV317" i="5" s="1"/>
  <c r="G317" i="5"/>
  <c r="H317" i="5"/>
  <c r="I317" i="5"/>
  <c r="J317" i="5"/>
  <c r="K317" i="5"/>
  <c r="D318" i="5"/>
  <c r="AV318" i="5" s="1"/>
  <c r="G318" i="5"/>
  <c r="H318" i="5"/>
  <c r="I318" i="5"/>
  <c r="J318" i="5"/>
  <c r="K318" i="5"/>
  <c r="D319" i="5"/>
  <c r="AV319" i="5" s="1"/>
  <c r="G319" i="5"/>
  <c r="H319" i="5"/>
  <c r="I319" i="5"/>
  <c r="J319" i="5"/>
  <c r="K319" i="5"/>
  <c r="D320" i="5"/>
  <c r="AV320" i="5" s="1"/>
  <c r="G320" i="5"/>
  <c r="H320" i="5"/>
  <c r="I320" i="5"/>
  <c r="J320" i="5"/>
  <c r="K320" i="5"/>
  <c r="D321" i="5"/>
  <c r="AV321" i="5" s="1"/>
  <c r="G321" i="5"/>
  <c r="H321" i="5"/>
  <c r="I321" i="5"/>
  <c r="J321" i="5"/>
  <c r="K321" i="5"/>
  <c r="D322" i="5"/>
  <c r="AV322" i="5" s="1"/>
  <c r="G322" i="5"/>
  <c r="H322" i="5"/>
  <c r="I322" i="5"/>
  <c r="J322" i="5"/>
  <c r="K322" i="5"/>
  <c r="D323" i="5"/>
  <c r="AV323" i="5" s="1"/>
  <c r="G323" i="5"/>
  <c r="H323" i="5"/>
  <c r="I323" i="5"/>
  <c r="J323" i="5"/>
  <c r="K323" i="5"/>
  <c r="D324" i="5"/>
  <c r="AV324" i="5" s="1"/>
  <c r="G324" i="5"/>
  <c r="H324" i="5"/>
  <c r="I324" i="5"/>
  <c r="J324" i="5"/>
  <c r="K324" i="5"/>
  <c r="D325" i="5"/>
  <c r="AV325" i="5" s="1"/>
  <c r="G325" i="5"/>
  <c r="H325" i="5"/>
  <c r="I325" i="5"/>
  <c r="J325" i="5"/>
  <c r="K325" i="5"/>
  <c r="D326" i="5"/>
  <c r="AV326" i="5" s="1"/>
  <c r="G326" i="5"/>
  <c r="H326" i="5"/>
  <c r="I326" i="5"/>
  <c r="J326" i="5"/>
  <c r="K326" i="5"/>
  <c r="D327" i="5"/>
  <c r="AV327" i="5" s="1"/>
  <c r="G327" i="5"/>
  <c r="H327" i="5"/>
  <c r="I327" i="5"/>
  <c r="J327" i="5"/>
  <c r="K327" i="5"/>
  <c r="D328" i="5"/>
  <c r="AV328" i="5" s="1"/>
  <c r="G328" i="5"/>
  <c r="H328" i="5"/>
  <c r="I328" i="5"/>
  <c r="J328" i="5"/>
  <c r="K328" i="5"/>
  <c r="D329" i="5"/>
  <c r="AV329" i="5" s="1"/>
  <c r="G329" i="5"/>
  <c r="H329" i="5"/>
  <c r="I329" i="5"/>
  <c r="J329" i="5"/>
  <c r="K329" i="5"/>
  <c r="D330" i="5"/>
  <c r="AV330" i="5" s="1"/>
  <c r="G330" i="5"/>
  <c r="H330" i="5"/>
  <c r="I330" i="5"/>
  <c r="J330" i="5"/>
  <c r="K330" i="5"/>
  <c r="D331" i="5"/>
  <c r="AV331" i="5" s="1"/>
  <c r="G331" i="5"/>
  <c r="H331" i="5"/>
  <c r="I331" i="5"/>
  <c r="J331" i="5"/>
  <c r="K331" i="5"/>
  <c r="D332" i="5"/>
  <c r="AV332" i="5" s="1"/>
  <c r="G332" i="5"/>
  <c r="H332" i="5"/>
  <c r="I332" i="5"/>
  <c r="J332" i="5"/>
  <c r="K332" i="5"/>
  <c r="D333" i="5"/>
  <c r="AV333" i="5" s="1"/>
  <c r="G333" i="5"/>
  <c r="H333" i="5"/>
  <c r="I333" i="5"/>
  <c r="J333" i="5"/>
  <c r="K333" i="5"/>
  <c r="D334" i="5"/>
  <c r="AV334" i="5" s="1"/>
  <c r="G334" i="5"/>
  <c r="H334" i="5"/>
  <c r="I334" i="5"/>
  <c r="J334" i="5"/>
  <c r="K334" i="5"/>
  <c r="D335" i="5"/>
  <c r="AV335" i="5" s="1"/>
  <c r="G335" i="5"/>
  <c r="H335" i="5"/>
  <c r="I335" i="5"/>
  <c r="J335" i="5"/>
  <c r="K335" i="5"/>
  <c r="D336" i="5"/>
  <c r="AV336" i="5" s="1"/>
  <c r="G336" i="5"/>
  <c r="H336" i="5"/>
  <c r="I336" i="5"/>
  <c r="J336" i="5"/>
  <c r="K336" i="5"/>
  <c r="D337" i="5"/>
  <c r="AV337" i="5" s="1"/>
  <c r="G337" i="5"/>
  <c r="H337" i="5"/>
  <c r="I337" i="5"/>
  <c r="J337" i="5"/>
  <c r="K337" i="5"/>
  <c r="D338" i="5"/>
  <c r="AV338" i="5" s="1"/>
  <c r="G338" i="5"/>
  <c r="H338" i="5"/>
  <c r="I338" i="5"/>
  <c r="J338" i="5"/>
  <c r="K338" i="5"/>
  <c r="D339" i="5"/>
  <c r="AV339" i="5" s="1"/>
  <c r="G339" i="5"/>
  <c r="H339" i="5"/>
  <c r="I339" i="5"/>
  <c r="J339" i="5"/>
  <c r="K339" i="5"/>
  <c r="D340" i="5"/>
  <c r="AV340" i="5" s="1"/>
  <c r="G340" i="5"/>
  <c r="H340" i="5"/>
  <c r="I340" i="5"/>
  <c r="J340" i="5"/>
  <c r="K340" i="5"/>
  <c r="D341" i="5"/>
  <c r="AV341" i="5" s="1"/>
  <c r="G341" i="5"/>
  <c r="H341" i="5"/>
  <c r="I341" i="5"/>
  <c r="J341" i="5"/>
  <c r="K341" i="5"/>
  <c r="D342" i="5"/>
  <c r="AV342" i="5" s="1"/>
  <c r="G342" i="5"/>
  <c r="H342" i="5"/>
  <c r="I342" i="5"/>
  <c r="J342" i="5"/>
  <c r="K342" i="5"/>
  <c r="D343" i="5"/>
  <c r="AV343" i="5" s="1"/>
  <c r="G343" i="5"/>
  <c r="H343" i="5"/>
  <c r="I343" i="5"/>
  <c r="J343" i="5"/>
  <c r="K343" i="5"/>
  <c r="D344" i="5"/>
  <c r="AV344" i="5" s="1"/>
  <c r="G344" i="5"/>
  <c r="H344" i="5"/>
  <c r="I344" i="5"/>
  <c r="J344" i="5"/>
  <c r="K344" i="5"/>
  <c r="D345" i="5"/>
  <c r="AV345" i="5" s="1"/>
  <c r="G345" i="5"/>
  <c r="H345" i="5"/>
  <c r="I345" i="5"/>
  <c r="J345" i="5"/>
  <c r="K345" i="5"/>
  <c r="D346" i="5"/>
  <c r="AV346" i="5" s="1"/>
  <c r="G346" i="5"/>
  <c r="H346" i="5"/>
  <c r="I346" i="5"/>
  <c r="J346" i="5"/>
  <c r="K346" i="5"/>
  <c r="D347" i="5"/>
  <c r="AV347" i="5" s="1"/>
  <c r="G347" i="5"/>
  <c r="H347" i="5"/>
  <c r="I347" i="5"/>
  <c r="J347" i="5"/>
  <c r="K347" i="5"/>
  <c r="D348" i="5"/>
  <c r="AV348" i="5" s="1"/>
  <c r="G348" i="5"/>
  <c r="H348" i="5"/>
  <c r="I348" i="5"/>
  <c r="J348" i="5"/>
  <c r="K348" i="5"/>
  <c r="D349" i="5"/>
  <c r="AV349" i="5" s="1"/>
  <c r="G349" i="5"/>
  <c r="H349" i="5"/>
  <c r="I349" i="5"/>
  <c r="J349" i="5"/>
  <c r="K349" i="5"/>
  <c r="D350" i="5"/>
  <c r="G350" i="5"/>
  <c r="H350" i="5"/>
  <c r="I350" i="5"/>
  <c r="J350" i="5"/>
  <c r="K350" i="5"/>
  <c r="D351" i="5"/>
  <c r="G351" i="5"/>
  <c r="H351" i="5"/>
  <c r="I351" i="5"/>
  <c r="J351" i="5"/>
  <c r="K351" i="5"/>
  <c r="D352" i="5"/>
  <c r="G352" i="5"/>
  <c r="H352" i="5"/>
  <c r="I352" i="5"/>
  <c r="J352" i="5"/>
  <c r="K352" i="5"/>
  <c r="D353" i="5"/>
  <c r="G353" i="5"/>
  <c r="H353" i="5"/>
  <c r="I353" i="5"/>
  <c r="J353" i="5"/>
  <c r="K353" i="5"/>
  <c r="D354" i="5"/>
  <c r="G354" i="5"/>
  <c r="H354" i="5"/>
  <c r="I354" i="5"/>
  <c r="J354" i="5"/>
  <c r="K354" i="5"/>
  <c r="D355" i="5"/>
  <c r="G355" i="5"/>
  <c r="H355" i="5"/>
  <c r="I355" i="5"/>
  <c r="J355" i="5"/>
  <c r="K355" i="5"/>
  <c r="D356" i="5"/>
  <c r="G356" i="5"/>
  <c r="H356" i="5"/>
  <c r="I356" i="5"/>
  <c r="J356" i="5"/>
  <c r="K356" i="5"/>
  <c r="D357" i="5"/>
  <c r="G357" i="5"/>
  <c r="H357" i="5"/>
  <c r="I357" i="5"/>
  <c r="J357" i="5"/>
  <c r="K357" i="5"/>
  <c r="D358" i="5"/>
  <c r="G358" i="5"/>
  <c r="K358" i="5"/>
  <c r="D359" i="5"/>
  <c r="G359" i="5"/>
  <c r="K359" i="5"/>
  <c r="D360" i="5"/>
  <c r="G360" i="5"/>
  <c r="K360" i="5"/>
  <c r="D361" i="5"/>
  <c r="G361" i="5"/>
  <c r="K361" i="5"/>
  <c r="D362" i="5"/>
  <c r="G362" i="5"/>
  <c r="K362" i="5"/>
  <c r="D363" i="5"/>
  <c r="G363" i="5"/>
  <c r="K363" i="5"/>
  <c r="D364" i="5"/>
  <c r="G364" i="5"/>
  <c r="K364" i="5"/>
  <c r="D365" i="5"/>
  <c r="G365" i="5"/>
  <c r="K365" i="5"/>
  <c r="D366" i="5"/>
  <c r="G366" i="5"/>
  <c r="K366" i="5"/>
  <c r="D367" i="5"/>
  <c r="G367" i="5"/>
  <c r="K367" i="5"/>
  <c r="D368" i="5"/>
  <c r="G368" i="5"/>
  <c r="K368" i="5"/>
  <c r="D369" i="5"/>
  <c r="G369" i="5"/>
  <c r="K369" i="5"/>
  <c r="D370" i="5"/>
  <c r="G370" i="5"/>
  <c r="K370" i="5"/>
  <c r="D371" i="5"/>
  <c r="G371" i="5"/>
  <c r="K371" i="5"/>
  <c r="D372" i="5"/>
  <c r="G372" i="5"/>
  <c r="K372" i="5"/>
  <c r="D373" i="5"/>
  <c r="G373" i="5"/>
  <c r="K373" i="5"/>
  <c r="D374" i="5"/>
  <c r="G374" i="5"/>
  <c r="H374" i="5"/>
  <c r="I374" i="5"/>
  <c r="J374" i="5"/>
  <c r="K374" i="5"/>
  <c r="D375" i="5"/>
  <c r="G375" i="5"/>
  <c r="H375" i="5"/>
  <c r="I375" i="5"/>
  <c r="J375" i="5"/>
  <c r="K375" i="5"/>
  <c r="D376" i="5"/>
  <c r="G376" i="5"/>
  <c r="H376" i="5"/>
  <c r="I376" i="5"/>
  <c r="J376" i="5"/>
  <c r="K376" i="5"/>
  <c r="D377" i="5"/>
  <c r="G377" i="5"/>
  <c r="H377" i="5"/>
  <c r="I377" i="5"/>
  <c r="J377" i="5"/>
  <c r="K377" i="5"/>
  <c r="D378" i="5"/>
  <c r="G378" i="5"/>
  <c r="H378" i="5"/>
  <c r="I378" i="5"/>
  <c r="J378" i="5"/>
  <c r="K378" i="5"/>
  <c r="D379" i="5"/>
  <c r="G379" i="5"/>
  <c r="H379" i="5"/>
  <c r="I379" i="5"/>
  <c r="J379" i="5"/>
  <c r="K379" i="5"/>
  <c r="D380" i="5"/>
  <c r="G380" i="5"/>
  <c r="H380" i="5"/>
  <c r="I380" i="5"/>
  <c r="J380" i="5"/>
  <c r="K380" i="5"/>
  <c r="D381" i="5"/>
  <c r="G381" i="5"/>
  <c r="H381" i="5"/>
  <c r="I381" i="5"/>
  <c r="J381" i="5"/>
  <c r="K381" i="5"/>
  <c r="D382" i="5"/>
  <c r="G382" i="5"/>
  <c r="H382" i="5"/>
  <c r="I382" i="5"/>
  <c r="J382" i="5"/>
  <c r="K382" i="5"/>
  <c r="D383" i="5"/>
  <c r="G383" i="5"/>
  <c r="H383" i="5"/>
  <c r="I383" i="5"/>
  <c r="J383" i="5"/>
  <c r="K383" i="5"/>
  <c r="D384" i="5"/>
  <c r="G384" i="5"/>
  <c r="H384" i="5"/>
  <c r="I384" i="5"/>
  <c r="J384" i="5"/>
  <c r="K384" i="5"/>
  <c r="D385" i="5"/>
  <c r="G385" i="5"/>
  <c r="H385" i="5"/>
  <c r="I385" i="5"/>
  <c r="J385" i="5"/>
  <c r="K385" i="5"/>
  <c r="D386" i="5"/>
  <c r="G386" i="5"/>
  <c r="H386" i="5"/>
  <c r="I386" i="5"/>
  <c r="J386" i="5"/>
  <c r="K386" i="5"/>
  <c r="D387" i="5"/>
  <c r="G387" i="5"/>
  <c r="H387" i="5"/>
  <c r="I387" i="5"/>
  <c r="J387" i="5"/>
  <c r="K387" i="5"/>
  <c r="D388" i="5"/>
  <c r="G388" i="5"/>
  <c r="H388" i="5"/>
  <c r="I388" i="5"/>
  <c r="J388" i="5"/>
  <c r="K388" i="5"/>
  <c r="D389" i="5"/>
  <c r="G389" i="5"/>
  <c r="H389" i="5"/>
  <c r="I389" i="5"/>
  <c r="J389" i="5"/>
  <c r="K389" i="5"/>
  <c r="D390" i="5"/>
  <c r="G390" i="5"/>
  <c r="H390" i="5"/>
  <c r="I390" i="5"/>
  <c r="J390" i="5"/>
  <c r="K390" i="5"/>
  <c r="D391" i="5"/>
  <c r="G391" i="5"/>
  <c r="H391" i="5"/>
  <c r="I391" i="5"/>
  <c r="J391" i="5"/>
  <c r="K391" i="5"/>
  <c r="D392" i="5"/>
  <c r="G392" i="5"/>
  <c r="H392" i="5"/>
  <c r="I392" i="5"/>
  <c r="J392" i="5"/>
  <c r="K392" i="5"/>
  <c r="D393" i="5"/>
  <c r="G393" i="5"/>
  <c r="H393" i="5"/>
  <c r="I393" i="5"/>
  <c r="J393" i="5"/>
  <c r="K393" i="5"/>
  <c r="D394" i="5"/>
  <c r="G394" i="5"/>
  <c r="H394" i="5"/>
  <c r="I394" i="5"/>
  <c r="J394" i="5"/>
  <c r="K394" i="5"/>
  <c r="D395" i="5"/>
  <c r="G395" i="5"/>
  <c r="H395" i="5"/>
  <c r="I395" i="5"/>
  <c r="J395" i="5"/>
  <c r="K395" i="5"/>
  <c r="D396" i="5"/>
  <c r="G396" i="5"/>
  <c r="H396" i="5"/>
  <c r="I396" i="5"/>
  <c r="J396" i="5"/>
  <c r="K396" i="5"/>
  <c r="D397" i="5"/>
  <c r="G397" i="5"/>
  <c r="H397" i="5"/>
  <c r="I397" i="5"/>
  <c r="J397" i="5"/>
  <c r="K397" i="5"/>
  <c r="D398" i="5"/>
  <c r="G398" i="5"/>
  <c r="H398" i="5"/>
  <c r="I398" i="5"/>
  <c r="J398" i="5"/>
  <c r="K398" i="5"/>
  <c r="D399" i="5"/>
  <c r="G399" i="5"/>
  <c r="H399" i="5"/>
  <c r="I399" i="5"/>
  <c r="J399" i="5"/>
  <c r="K399" i="5"/>
  <c r="D400" i="5"/>
  <c r="G400" i="5"/>
  <c r="H400" i="5"/>
  <c r="I400" i="5"/>
  <c r="J400" i="5"/>
  <c r="K400" i="5"/>
  <c r="D401" i="5"/>
  <c r="G401" i="5"/>
  <c r="H401" i="5"/>
  <c r="I401" i="5"/>
  <c r="J401" i="5"/>
  <c r="K401" i="5"/>
  <c r="D402" i="5"/>
  <c r="G402" i="5"/>
  <c r="H402" i="5"/>
  <c r="I402" i="5"/>
  <c r="J402" i="5"/>
  <c r="K402" i="5"/>
  <c r="D403" i="5"/>
  <c r="G403" i="5"/>
  <c r="H403" i="5"/>
  <c r="I403" i="5"/>
  <c r="J403" i="5"/>
  <c r="K403" i="5"/>
  <c r="D404" i="5"/>
  <c r="G404" i="5"/>
  <c r="H404" i="5"/>
  <c r="I404" i="5"/>
  <c r="J404" i="5"/>
  <c r="K404" i="5"/>
  <c r="D405" i="5"/>
  <c r="G405" i="5"/>
  <c r="H405" i="5"/>
  <c r="I405" i="5"/>
  <c r="J405" i="5"/>
  <c r="K405" i="5"/>
  <c r="D406" i="5"/>
  <c r="G406" i="5"/>
  <c r="H406" i="5"/>
  <c r="I406" i="5"/>
  <c r="J406" i="5"/>
  <c r="K406" i="5"/>
  <c r="D407" i="5"/>
  <c r="G407" i="5"/>
  <c r="H407" i="5"/>
  <c r="I407" i="5"/>
  <c r="J407" i="5"/>
  <c r="K407" i="5"/>
  <c r="D408" i="5"/>
  <c r="G408" i="5"/>
  <c r="H408" i="5"/>
  <c r="I408" i="5"/>
  <c r="J408" i="5"/>
  <c r="K408" i="5"/>
  <c r="D409" i="5"/>
  <c r="G409" i="5"/>
  <c r="H409" i="5"/>
  <c r="I409" i="5"/>
  <c r="J409" i="5"/>
  <c r="K409" i="5"/>
  <c r="D410" i="5"/>
  <c r="G410" i="5"/>
  <c r="H410" i="5"/>
  <c r="I410" i="5"/>
  <c r="J410" i="5"/>
  <c r="K410" i="5"/>
  <c r="D411" i="5"/>
  <c r="G411" i="5"/>
  <c r="H411" i="5"/>
  <c r="I411" i="5"/>
  <c r="J411" i="5"/>
  <c r="K411" i="5"/>
  <c r="D412" i="5"/>
  <c r="G412" i="5"/>
  <c r="H412" i="5"/>
  <c r="I412" i="5"/>
  <c r="J412" i="5"/>
  <c r="K412" i="5"/>
  <c r="D413" i="5"/>
  <c r="G413" i="5"/>
  <c r="H413" i="5"/>
  <c r="I413" i="5"/>
  <c r="J413" i="5"/>
  <c r="K413" i="5"/>
  <c r="D414" i="5"/>
  <c r="G414" i="5"/>
  <c r="H414" i="5"/>
  <c r="I414" i="5"/>
  <c r="J414" i="5"/>
  <c r="K414" i="5"/>
  <c r="D415" i="5"/>
  <c r="G415" i="5"/>
  <c r="H415" i="5"/>
  <c r="I415" i="5"/>
  <c r="J415" i="5"/>
  <c r="K415" i="5"/>
  <c r="D416" i="5"/>
  <c r="G416" i="5"/>
  <c r="H416" i="5"/>
  <c r="I416" i="5"/>
  <c r="J416" i="5"/>
  <c r="K416" i="5"/>
  <c r="D417" i="5"/>
  <c r="G417" i="5"/>
  <c r="H417" i="5"/>
  <c r="I417" i="5"/>
  <c r="J417" i="5"/>
  <c r="K417" i="5"/>
  <c r="D418" i="5"/>
  <c r="G418" i="5"/>
  <c r="H418" i="5"/>
  <c r="I418" i="5"/>
  <c r="J418" i="5"/>
  <c r="K418" i="5"/>
  <c r="D419" i="5"/>
  <c r="G419" i="5"/>
  <c r="H419" i="5"/>
  <c r="I419" i="5"/>
  <c r="J419" i="5"/>
  <c r="K419" i="5"/>
  <c r="D420" i="5"/>
  <c r="G420" i="5"/>
  <c r="H420" i="5"/>
  <c r="I420" i="5"/>
  <c r="J420" i="5"/>
  <c r="K420" i="5"/>
  <c r="D421" i="5"/>
  <c r="G421" i="5"/>
  <c r="H421" i="5"/>
  <c r="I421" i="5"/>
  <c r="J421" i="5"/>
  <c r="K421" i="5"/>
  <c r="D422" i="5"/>
  <c r="G422" i="5"/>
  <c r="H422" i="5"/>
  <c r="I422" i="5"/>
  <c r="J422" i="5"/>
  <c r="K422" i="5"/>
  <c r="D423" i="5"/>
  <c r="G423" i="5"/>
  <c r="H423" i="5"/>
  <c r="I423" i="5"/>
  <c r="J423" i="5"/>
  <c r="K423" i="5"/>
  <c r="D424" i="5"/>
  <c r="G424" i="5"/>
  <c r="H424" i="5"/>
  <c r="I424" i="5"/>
  <c r="J424" i="5"/>
  <c r="K424" i="5"/>
  <c r="D425" i="5"/>
  <c r="G425" i="5"/>
  <c r="H425" i="5"/>
  <c r="I425" i="5"/>
  <c r="J425" i="5"/>
  <c r="K425" i="5"/>
  <c r="A411" i="5"/>
  <c r="B411" i="5"/>
  <c r="A412" i="5"/>
  <c r="B412" i="5"/>
  <c r="A413" i="5"/>
  <c r="B413" i="5"/>
  <c r="A414" i="5"/>
  <c r="B414" i="5"/>
  <c r="A415" i="5"/>
  <c r="B415" i="5"/>
  <c r="A416" i="5"/>
  <c r="B416" i="5"/>
  <c r="A417" i="5"/>
  <c r="B417" i="5"/>
  <c r="A418" i="5"/>
  <c r="B418" i="5"/>
  <c r="A419" i="5"/>
  <c r="B419" i="5"/>
  <c r="A420" i="5"/>
  <c r="B420" i="5"/>
  <c r="A421" i="5"/>
  <c r="B421" i="5"/>
  <c r="A422" i="5"/>
  <c r="B422" i="5"/>
  <c r="A423" i="5"/>
  <c r="B423" i="5"/>
  <c r="A424" i="5"/>
  <c r="B424" i="5"/>
  <c r="A425" i="5"/>
  <c r="B425" i="5"/>
  <c r="A397" i="5"/>
  <c r="B397" i="5"/>
  <c r="A398" i="5"/>
  <c r="B398" i="5"/>
  <c r="A399" i="5"/>
  <c r="B399" i="5"/>
  <c r="A400" i="5"/>
  <c r="B400" i="5"/>
  <c r="A401" i="5"/>
  <c r="B401" i="5"/>
  <c r="A402" i="5"/>
  <c r="B402" i="5"/>
  <c r="A403" i="5"/>
  <c r="B403" i="5"/>
  <c r="A404" i="5"/>
  <c r="B404" i="5"/>
  <c r="A405" i="5"/>
  <c r="B405" i="5"/>
  <c r="A406" i="5"/>
  <c r="B406" i="5"/>
  <c r="A407" i="5"/>
  <c r="B407" i="5"/>
  <c r="A408" i="5"/>
  <c r="B408" i="5"/>
  <c r="A409" i="5"/>
  <c r="B409" i="5"/>
  <c r="A410" i="5"/>
  <c r="B410" i="5"/>
  <c r="B373" i="5"/>
  <c r="BM373" i="5" s="1"/>
  <c r="BN373" i="5" s="1"/>
  <c r="B374" i="5"/>
  <c r="BM374" i="5" s="1"/>
  <c r="BN374" i="5" s="1"/>
  <c r="A375" i="5"/>
  <c r="B375" i="5"/>
  <c r="A376" i="5"/>
  <c r="B376" i="5"/>
  <c r="A377" i="5"/>
  <c r="B377" i="5"/>
  <c r="A378" i="5"/>
  <c r="B378" i="5"/>
  <c r="A379" i="5"/>
  <c r="B379" i="5"/>
  <c r="A380" i="5"/>
  <c r="B380" i="5"/>
  <c r="A381" i="5"/>
  <c r="B381" i="5"/>
  <c r="A382" i="5"/>
  <c r="B382" i="5"/>
  <c r="A383" i="5"/>
  <c r="B383" i="5"/>
  <c r="A384" i="5"/>
  <c r="B384" i="5"/>
  <c r="A385" i="5"/>
  <c r="B385" i="5"/>
  <c r="A386" i="5"/>
  <c r="B386" i="5"/>
  <c r="A387" i="5"/>
  <c r="B387" i="5"/>
  <c r="A388" i="5"/>
  <c r="B388" i="5"/>
  <c r="A389" i="5"/>
  <c r="B389" i="5"/>
  <c r="A390" i="5"/>
  <c r="B390" i="5"/>
  <c r="A391" i="5"/>
  <c r="B391" i="5"/>
  <c r="A392" i="5"/>
  <c r="B392" i="5"/>
  <c r="A393" i="5"/>
  <c r="B393" i="5"/>
  <c r="A394" i="5"/>
  <c r="B394" i="5"/>
  <c r="A395" i="5"/>
  <c r="B395" i="5"/>
  <c r="A396" i="5"/>
  <c r="B396" i="5"/>
  <c r="A352" i="5"/>
  <c r="B352" i="5"/>
  <c r="A353" i="5"/>
  <c r="B353" i="5"/>
  <c r="B354" i="5"/>
  <c r="BM354" i="5" s="1"/>
  <c r="BN354" i="5" s="1"/>
  <c r="B355" i="5"/>
  <c r="BM355" i="5" s="1"/>
  <c r="BN355" i="5" s="1"/>
  <c r="B356" i="5"/>
  <c r="BM356" i="5" s="1"/>
  <c r="BN356" i="5" s="1"/>
  <c r="B357" i="5"/>
  <c r="BM357" i="5" s="1"/>
  <c r="BN357" i="5" s="1"/>
  <c r="B358" i="5"/>
  <c r="BM358" i="5" s="1"/>
  <c r="BN358" i="5" s="1"/>
  <c r="B359" i="5"/>
  <c r="BM359" i="5" s="1"/>
  <c r="BN359" i="5" s="1"/>
  <c r="B360" i="5"/>
  <c r="BM360" i="5" s="1"/>
  <c r="BN360" i="5" s="1"/>
  <c r="B361" i="5"/>
  <c r="BM361" i="5" s="1"/>
  <c r="BN361" i="5" s="1"/>
  <c r="B362" i="5"/>
  <c r="BM362" i="5" s="1"/>
  <c r="BN362" i="5" s="1"/>
  <c r="B363" i="5"/>
  <c r="BM363" i="5" s="1"/>
  <c r="BN363" i="5" s="1"/>
  <c r="B364" i="5"/>
  <c r="BM364" i="5" s="1"/>
  <c r="BN364" i="5" s="1"/>
  <c r="B365" i="5"/>
  <c r="BM365" i="5" s="1"/>
  <c r="BN365" i="5" s="1"/>
  <c r="B366" i="5"/>
  <c r="BM366" i="5" s="1"/>
  <c r="BN366" i="5" s="1"/>
  <c r="B367" i="5"/>
  <c r="BM367" i="5" s="1"/>
  <c r="BN367" i="5" s="1"/>
  <c r="B368" i="5"/>
  <c r="BM368" i="5" s="1"/>
  <c r="BN368" i="5" s="1"/>
  <c r="B369" i="5"/>
  <c r="BM369" i="5" s="1"/>
  <c r="BN369" i="5" s="1"/>
  <c r="B370" i="5"/>
  <c r="BM370" i="5" s="1"/>
  <c r="BN370" i="5" s="1"/>
  <c r="B371" i="5"/>
  <c r="BM371" i="5" s="1"/>
  <c r="BN371" i="5" s="1"/>
  <c r="B372" i="5"/>
  <c r="BM372" i="5" s="1"/>
  <c r="BN372" i="5" s="1"/>
  <c r="A9" i="5"/>
  <c r="B9" i="5"/>
  <c r="A10" i="5"/>
  <c r="B10" i="5"/>
  <c r="A11" i="5"/>
  <c r="B11"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A100" i="5"/>
  <c r="B100" i="5"/>
  <c r="A101" i="5"/>
  <c r="B101" i="5"/>
  <c r="A102" i="5"/>
  <c r="B102" i="5"/>
  <c r="A103" i="5"/>
  <c r="B103" i="5"/>
  <c r="A104" i="5"/>
  <c r="B104" i="5"/>
  <c r="A105" i="5"/>
  <c r="B105" i="5"/>
  <c r="A106" i="5"/>
  <c r="B106" i="5"/>
  <c r="A107" i="5"/>
  <c r="B107" i="5"/>
  <c r="A108" i="5"/>
  <c r="B108" i="5"/>
  <c r="A109" i="5"/>
  <c r="B109" i="5"/>
  <c r="A110" i="5"/>
  <c r="B110" i="5"/>
  <c r="A111" i="5"/>
  <c r="B111" i="5"/>
  <c r="A112" i="5"/>
  <c r="B112" i="5"/>
  <c r="A113" i="5"/>
  <c r="B113" i="5"/>
  <c r="A114" i="5"/>
  <c r="B114" i="5"/>
  <c r="A115" i="5"/>
  <c r="B115" i="5"/>
  <c r="A116" i="5"/>
  <c r="B116" i="5"/>
  <c r="A117" i="5"/>
  <c r="B117" i="5"/>
  <c r="A118" i="5"/>
  <c r="B118" i="5"/>
  <c r="A119" i="5"/>
  <c r="B119" i="5"/>
  <c r="A120" i="5"/>
  <c r="B120" i="5"/>
  <c r="A121" i="5"/>
  <c r="B121" i="5"/>
  <c r="A122" i="5"/>
  <c r="B122" i="5"/>
  <c r="A123" i="5"/>
  <c r="B123" i="5"/>
  <c r="A124" i="5"/>
  <c r="B124" i="5"/>
  <c r="A125" i="5"/>
  <c r="B125" i="5"/>
  <c r="A126" i="5"/>
  <c r="B126" i="5"/>
  <c r="A127" i="5"/>
  <c r="B127" i="5"/>
  <c r="A128" i="5"/>
  <c r="B128" i="5"/>
  <c r="A129" i="5"/>
  <c r="B129" i="5"/>
  <c r="A130" i="5"/>
  <c r="B130" i="5"/>
  <c r="A131" i="5"/>
  <c r="B131" i="5"/>
  <c r="A132" i="5"/>
  <c r="B132" i="5"/>
  <c r="A133" i="5"/>
  <c r="B133" i="5"/>
  <c r="A134" i="5"/>
  <c r="B134" i="5"/>
  <c r="A135" i="5"/>
  <c r="B135" i="5"/>
  <c r="A136" i="5"/>
  <c r="B136" i="5"/>
  <c r="A137" i="5"/>
  <c r="B137" i="5"/>
  <c r="A138" i="5"/>
  <c r="B138" i="5"/>
  <c r="A139" i="5"/>
  <c r="B139" i="5"/>
  <c r="A140" i="5"/>
  <c r="B140" i="5"/>
  <c r="A141" i="5"/>
  <c r="B141" i="5"/>
  <c r="A142" i="5"/>
  <c r="B142" i="5"/>
  <c r="A143" i="5"/>
  <c r="B143" i="5"/>
  <c r="A144" i="5"/>
  <c r="B144" i="5"/>
  <c r="A145" i="5"/>
  <c r="B145" i="5"/>
  <c r="A146" i="5"/>
  <c r="B146" i="5"/>
  <c r="A147" i="5"/>
  <c r="B147" i="5"/>
  <c r="A148" i="5"/>
  <c r="B148" i="5"/>
  <c r="A149" i="5"/>
  <c r="B149" i="5"/>
  <c r="A150" i="5"/>
  <c r="B150" i="5"/>
  <c r="A151" i="5"/>
  <c r="B151" i="5"/>
  <c r="A152" i="5"/>
  <c r="B152" i="5"/>
  <c r="A153" i="5"/>
  <c r="B153" i="5"/>
  <c r="A154" i="5"/>
  <c r="B154" i="5"/>
  <c r="A155" i="5"/>
  <c r="B155" i="5"/>
  <c r="A157" i="5"/>
  <c r="B157" i="5"/>
  <c r="A158" i="5"/>
  <c r="B158" i="5"/>
  <c r="A159" i="5"/>
  <c r="B159" i="5"/>
  <c r="A160" i="5"/>
  <c r="B160" i="5"/>
  <c r="A161" i="5"/>
  <c r="B161" i="5"/>
  <c r="A162" i="5"/>
  <c r="B162" i="5"/>
  <c r="A163" i="5"/>
  <c r="B163" i="5"/>
  <c r="A164" i="5"/>
  <c r="B164" i="5"/>
  <c r="A165" i="5"/>
  <c r="B165" i="5"/>
  <c r="A166" i="5"/>
  <c r="B166" i="5"/>
  <c r="A167" i="5"/>
  <c r="B167" i="5"/>
  <c r="A168" i="5"/>
  <c r="B168" i="5"/>
  <c r="A169" i="5"/>
  <c r="B169" i="5"/>
  <c r="A170" i="5"/>
  <c r="B170" i="5"/>
  <c r="A171" i="5"/>
  <c r="B171" i="5"/>
  <c r="A172" i="5"/>
  <c r="B172" i="5"/>
  <c r="A173" i="5"/>
  <c r="B173" i="5"/>
  <c r="A174" i="5"/>
  <c r="B174" i="5"/>
  <c r="A175" i="5"/>
  <c r="B175" i="5"/>
  <c r="A176" i="5"/>
  <c r="B176" i="5"/>
  <c r="A177" i="5"/>
  <c r="B177" i="5"/>
  <c r="A178" i="5"/>
  <c r="B178" i="5"/>
  <c r="A179" i="5"/>
  <c r="B179" i="5"/>
  <c r="A180" i="5"/>
  <c r="B180" i="5"/>
  <c r="A181" i="5"/>
  <c r="B181" i="5"/>
  <c r="A182" i="5"/>
  <c r="B182" i="5"/>
  <c r="A183" i="5"/>
  <c r="B183" i="5"/>
  <c r="A184" i="5"/>
  <c r="B184" i="5"/>
  <c r="A185" i="5"/>
  <c r="B185" i="5"/>
  <c r="A186" i="5"/>
  <c r="B186" i="5"/>
  <c r="A187" i="5"/>
  <c r="B187" i="5"/>
  <c r="A188" i="5"/>
  <c r="B188" i="5"/>
  <c r="A189" i="5"/>
  <c r="B189" i="5"/>
  <c r="A190" i="5"/>
  <c r="B190" i="5"/>
  <c r="A191" i="5"/>
  <c r="B191" i="5"/>
  <c r="A192" i="5"/>
  <c r="B192" i="5"/>
  <c r="A193" i="5"/>
  <c r="B193" i="5"/>
  <c r="A194" i="5"/>
  <c r="B194" i="5"/>
  <c r="A195" i="5"/>
  <c r="B195" i="5"/>
  <c r="A196" i="5"/>
  <c r="B196" i="5"/>
  <c r="A197" i="5"/>
  <c r="B197" i="5"/>
  <c r="A198" i="5"/>
  <c r="B198" i="5"/>
  <c r="A199" i="5"/>
  <c r="B199" i="5"/>
  <c r="A200" i="5"/>
  <c r="B200" i="5"/>
  <c r="A201" i="5"/>
  <c r="B201" i="5"/>
  <c r="A202" i="5"/>
  <c r="B202" i="5"/>
  <c r="A203" i="5"/>
  <c r="B203" i="5"/>
  <c r="A204" i="5"/>
  <c r="B204" i="5"/>
  <c r="A205" i="5"/>
  <c r="B205" i="5"/>
  <c r="A206" i="5"/>
  <c r="B206" i="5"/>
  <c r="A207" i="5"/>
  <c r="B207" i="5"/>
  <c r="A208" i="5"/>
  <c r="B208" i="5"/>
  <c r="A209" i="5"/>
  <c r="B209" i="5"/>
  <c r="A210" i="5"/>
  <c r="B210" i="5"/>
  <c r="A211" i="5"/>
  <c r="B211" i="5"/>
  <c r="A212" i="5"/>
  <c r="B212" i="5"/>
  <c r="A213" i="5"/>
  <c r="B213" i="5"/>
  <c r="A214" i="5"/>
  <c r="B214" i="5"/>
  <c r="A215" i="5"/>
  <c r="B215" i="5"/>
  <c r="A216" i="5"/>
  <c r="B216" i="5"/>
  <c r="A217" i="5"/>
  <c r="B217" i="5"/>
  <c r="A218" i="5"/>
  <c r="B218" i="5"/>
  <c r="A219" i="5"/>
  <c r="B219" i="5"/>
  <c r="A220" i="5"/>
  <c r="B220" i="5"/>
  <c r="A221" i="5"/>
  <c r="B221" i="5"/>
  <c r="A222" i="5"/>
  <c r="B222" i="5"/>
  <c r="A223" i="5"/>
  <c r="B223" i="5"/>
  <c r="A224" i="5"/>
  <c r="B224" i="5"/>
  <c r="A225" i="5"/>
  <c r="B225" i="5"/>
  <c r="A226" i="5"/>
  <c r="B226" i="5"/>
  <c r="A227" i="5"/>
  <c r="B227" i="5"/>
  <c r="A228" i="5"/>
  <c r="B228" i="5"/>
  <c r="A229" i="5"/>
  <c r="B229" i="5"/>
  <c r="A230" i="5"/>
  <c r="B230" i="5"/>
  <c r="A231" i="5"/>
  <c r="B231" i="5"/>
  <c r="A232" i="5"/>
  <c r="B232" i="5"/>
  <c r="A233" i="5"/>
  <c r="B233" i="5"/>
  <c r="A234" i="5"/>
  <c r="B234" i="5"/>
  <c r="A235" i="5"/>
  <c r="B235" i="5"/>
  <c r="A236" i="5"/>
  <c r="BM236" i="5" s="1"/>
  <c r="BN236" i="5" s="1"/>
  <c r="B236" i="5"/>
  <c r="A237" i="5"/>
  <c r="B237" i="5"/>
  <c r="A238" i="5"/>
  <c r="B238" i="5"/>
  <c r="A239" i="5"/>
  <c r="B239" i="5"/>
  <c r="A240" i="5"/>
  <c r="BM240" i="5" s="1"/>
  <c r="BN240" i="5" s="1"/>
  <c r="B240" i="5"/>
  <c r="A241" i="5"/>
  <c r="B241" i="5"/>
  <c r="A242" i="5"/>
  <c r="B242" i="5"/>
  <c r="A243" i="5"/>
  <c r="B243" i="5"/>
  <c r="A244" i="5"/>
  <c r="BM244" i="5" s="1"/>
  <c r="BN244" i="5" s="1"/>
  <c r="B244" i="5"/>
  <c r="A245" i="5"/>
  <c r="B245" i="5"/>
  <c r="A246" i="5"/>
  <c r="B246" i="5"/>
  <c r="A247" i="5"/>
  <c r="B247" i="5"/>
  <c r="A248" i="5"/>
  <c r="BM248" i="5" s="1"/>
  <c r="BN248" i="5" s="1"/>
  <c r="B248" i="5"/>
  <c r="A249" i="5"/>
  <c r="B249" i="5"/>
  <c r="A250" i="5"/>
  <c r="B250" i="5"/>
  <c r="A251" i="5"/>
  <c r="B251" i="5"/>
  <c r="A252" i="5"/>
  <c r="BM252" i="5" s="1"/>
  <c r="BN252" i="5" s="1"/>
  <c r="B252" i="5"/>
  <c r="A253" i="5"/>
  <c r="B253" i="5"/>
  <c r="A254" i="5"/>
  <c r="B254" i="5"/>
  <c r="A255" i="5"/>
  <c r="B255" i="5"/>
  <c r="A256" i="5"/>
  <c r="BM256" i="5" s="1"/>
  <c r="BN256" i="5" s="1"/>
  <c r="B256" i="5"/>
  <c r="A257" i="5"/>
  <c r="B257" i="5"/>
  <c r="A258" i="5"/>
  <c r="B258" i="5"/>
  <c r="A259" i="5"/>
  <c r="B259" i="5"/>
  <c r="A260" i="5"/>
  <c r="BM260" i="5" s="1"/>
  <c r="BN260" i="5" s="1"/>
  <c r="B260" i="5"/>
  <c r="A261" i="5"/>
  <c r="B261" i="5"/>
  <c r="A262" i="5"/>
  <c r="B262" i="5"/>
  <c r="A263" i="5"/>
  <c r="B263" i="5"/>
  <c r="A264" i="5"/>
  <c r="BM264" i="5" s="1"/>
  <c r="BN264" i="5" s="1"/>
  <c r="B264" i="5"/>
  <c r="A265" i="5"/>
  <c r="B265" i="5"/>
  <c r="A266" i="5"/>
  <c r="B266" i="5"/>
  <c r="A267" i="5"/>
  <c r="B267" i="5"/>
  <c r="A268" i="5"/>
  <c r="BM268" i="5" s="1"/>
  <c r="BN268" i="5" s="1"/>
  <c r="B268" i="5"/>
  <c r="A269" i="5"/>
  <c r="B269" i="5"/>
  <c r="A270" i="5"/>
  <c r="B270" i="5"/>
  <c r="A271" i="5"/>
  <c r="B271" i="5"/>
  <c r="A272" i="5"/>
  <c r="BM272" i="5" s="1"/>
  <c r="BN272" i="5" s="1"/>
  <c r="B272" i="5"/>
  <c r="A273" i="5"/>
  <c r="B273" i="5"/>
  <c r="A274" i="5"/>
  <c r="B274" i="5"/>
  <c r="A275" i="5"/>
  <c r="B275" i="5"/>
  <c r="A276" i="5"/>
  <c r="BM276" i="5" s="1"/>
  <c r="BN276" i="5" s="1"/>
  <c r="B276" i="5"/>
  <c r="A277" i="5"/>
  <c r="B277" i="5"/>
  <c r="A278" i="5"/>
  <c r="B278" i="5"/>
  <c r="A279" i="5"/>
  <c r="B279" i="5"/>
  <c r="A280" i="5"/>
  <c r="BM280" i="5" s="1"/>
  <c r="BN280" i="5" s="1"/>
  <c r="B280" i="5"/>
  <c r="A281" i="5"/>
  <c r="B281" i="5"/>
  <c r="A282" i="5"/>
  <c r="B282" i="5"/>
  <c r="A283" i="5"/>
  <c r="B283" i="5"/>
  <c r="A284" i="5"/>
  <c r="BM284" i="5" s="1"/>
  <c r="BN284" i="5" s="1"/>
  <c r="B284" i="5"/>
  <c r="A285" i="5"/>
  <c r="B285" i="5"/>
  <c r="A286" i="5"/>
  <c r="B286" i="5"/>
  <c r="A287" i="5"/>
  <c r="B287" i="5"/>
  <c r="A288" i="5"/>
  <c r="BM288" i="5" s="1"/>
  <c r="BN288" i="5" s="1"/>
  <c r="B288" i="5"/>
  <c r="A289" i="5"/>
  <c r="B289" i="5"/>
  <c r="A290" i="5"/>
  <c r="B290" i="5"/>
  <c r="A291" i="5"/>
  <c r="B291" i="5"/>
  <c r="A292" i="5"/>
  <c r="BM292" i="5" s="1"/>
  <c r="BN292" i="5" s="1"/>
  <c r="B292" i="5"/>
  <c r="A293" i="5"/>
  <c r="B293" i="5"/>
  <c r="A294" i="5"/>
  <c r="B294" i="5"/>
  <c r="A295" i="5"/>
  <c r="B295" i="5"/>
  <c r="A296" i="5"/>
  <c r="BM296" i="5" s="1"/>
  <c r="BN296" i="5" s="1"/>
  <c r="B296" i="5"/>
  <c r="A297" i="5"/>
  <c r="B297" i="5"/>
  <c r="A298" i="5"/>
  <c r="B298" i="5"/>
  <c r="A299" i="5"/>
  <c r="B299" i="5"/>
  <c r="A300" i="5"/>
  <c r="BM300" i="5" s="1"/>
  <c r="BN300" i="5" s="1"/>
  <c r="B300" i="5"/>
  <c r="A301" i="5"/>
  <c r="B301" i="5"/>
  <c r="A302" i="5"/>
  <c r="B302" i="5"/>
  <c r="A303" i="5"/>
  <c r="B303" i="5"/>
  <c r="A304" i="5"/>
  <c r="BM304" i="5" s="1"/>
  <c r="BN304" i="5" s="1"/>
  <c r="B304" i="5"/>
  <c r="A305" i="5"/>
  <c r="B305" i="5"/>
  <c r="A306" i="5"/>
  <c r="B306" i="5"/>
  <c r="A307" i="5"/>
  <c r="B307" i="5"/>
  <c r="A308" i="5"/>
  <c r="BM308" i="5" s="1"/>
  <c r="BN308" i="5" s="1"/>
  <c r="B308" i="5"/>
  <c r="A309" i="5"/>
  <c r="B309" i="5"/>
  <c r="A310" i="5"/>
  <c r="B310" i="5"/>
  <c r="A311" i="5"/>
  <c r="B311" i="5"/>
  <c r="A312" i="5"/>
  <c r="BM312" i="5" s="1"/>
  <c r="BN312" i="5" s="1"/>
  <c r="B312" i="5"/>
  <c r="A313" i="5"/>
  <c r="B313" i="5"/>
  <c r="A314" i="5"/>
  <c r="B314" i="5"/>
  <c r="A315" i="5"/>
  <c r="B315" i="5"/>
  <c r="A316" i="5"/>
  <c r="BM316" i="5" s="1"/>
  <c r="BN316" i="5" s="1"/>
  <c r="B316" i="5"/>
  <c r="A317" i="5"/>
  <c r="B317" i="5"/>
  <c r="A318" i="5"/>
  <c r="B318" i="5"/>
  <c r="A319" i="5"/>
  <c r="B319" i="5"/>
  <c r="A320" i="5"/>
  <c r="BM320" i="5" s="1"/>
  <c r="BN320" i="5" s="1"/>
  <c r="B320" i="5"/>
  <c r="A321" i="5"/>
  <c r="B321" i="5"/>
  <c r="A322" i="5"/>
  <c r="B322" i="5"/>
  <c r="A323" i="5"/>
  <c r="B323" i="5"/>
  <c r="A324" i="5"/>
  <c r="BM324" i="5" s="1"/>
  <c r="BN324" i="5" s="1"/>
  <c r="B324" i="5"/>
  <c r="A325" i="5"/>
  <c r="B325" i="5"/>
  <c r="A326" i="5"/>
  <c r="B326" i="5"/>
  <c r="A327" i="5"/>
  <c r="B327" i="5"/>
  <c r="A328" i="5"/>
  <c r="BM328" i="5" s="1"/>
  <c r="BN328" i="5" s="1"/>
  <c r="B328" i="5"/>
  <c r="A329" i="5"/>
  <c r="B329" i="5"/>
  <c r="A330" i="5"/>
  <c r="B330" i="5"/>
  <c r="A331" i="5"/>
  <c r="B331" i="5"/>
  <c r="A332" i="5"/>
  <c r="BM332" i="5" s="1"/>
  <c r="BN332" i="5" s="1"/>
  <c r="B332" i="5"/>
  <c r="A333" i="5"/>
  <c r="B333" i="5"/>
  <c r="A334" i="5"/>
  <c r="B334" i="5"/>
  <c r="A335" i="5"/>
  <c r="B335" i="5"/>
  <c r="A336" i="5"/>
  <c r="BM336" i="5" s="1"/>
  <c r="BN336" i="5" s="1"/>
  <c r="B336" i="5"/>
  <c r="A337" i="5"/>
  <c r="B337" i="5"/>
  <c r="A338" i="5"/>
  <c r="B338" i="5"/>
  <c r="A339" i="5"/>
  <c r="B339" i="5"/>
  <c r="A340" i="5"/>
  <c r="BM340" i="5" s="1"/>
  <c r="BN340" i="5" s="1"/>
  <c r="B340" i="5"/>
  <c r="A341" i="5"/>
  <c r="B341" i="5"/>
  <c r="A342" i="5"/>
  <c r="B342" i="5"/>
  <c r="A343" i="5"/>
  <c r="B343" i="5"/>
  <c r="A344" i="5"/>
  <c r="BM344" i="5" s="1"/>
  <c r="BN344" i="5" s="1"/>
  <c r="B344" i="5"/>
  <c r="A345" i="5"/>
  <c r="B345" i="5"/>
  <c r="A346" i="5"/>
  <c r="B346" i="5"/>
  <c r="A347" i="5"/>
  <c r="B347" i="5"/>
  <c r="A348" i="5"/>
  <c r="BM348" i="5" s="1"/>
  <c r="BN348" i="5" s="1"/>
  <c r="B348" i="5"/>
  <c r="A349" i="5"/>
  <c r="B349" i="5"/>
  <c r="A350" i="5"/>
  <c r="B350" i="5"/>
  <c r="A351" i="5"/>
  <c r="B351" i="5"/>
  <c r="B8" i="5"/>
  <c r="A8" i="5"/>
  <c r="Q43" i="16"/>
  <c r="P43" i="16"/>
  <c r="O43" i="16"/>
  <c r="N43" i="16"/>
  <c r="Q36" i="16"/>
  <c r="Q42" i="16" s="1"/>
  <c r="P36" i="16"/>
  <c r="P42" i="16" s="1"/>
  <c r="O36" i="16"/>
  <c r="O42" i="16" s="1"/>
  <c r="N36" i="16"/>
  <c r="N42" i="16" s="1"/>
  <c r="E36" i="16"/>
  <c r="E42" i="16" s="1"/>
  <c r="D36" i="16"/>
  <c r="D42" i="16" s="1"/>
  <c r="C36" i="16"/>
  <c r="C42" i="16" s="1"/>
  <c r="B36" i="16"/>
  <c r="B42" i="16" s="1"/>
  <c r="Q25" i="16"/>
  <c r="P25" i="16"/>
  <c r="O25" i="16"/>
  <c r="N25" i="16"/>
  <c r="E25" i="16"/>
  <c r="D25" i="16"/>
  <c r="C25" i="16"/>
  <c r="B25" i="16"/>
  <c r="Q37" i="16"/>
  <c r="Q44" i="16" s="1"/>
  <c r="P37" i="16"/>
  <c r="P44" i="16" s="1"/>
  <c r="P45" i="16" s="1"/>
  <c r="N55" i="16" s="1"/>
  <c r="E37" i="16"/>
  <c r="E44" i="16" s="1"/>
  <c r="E45" i="16" s="1"/>
  <c r="D37" i="16"/>
  <c r="D44" i="16" s="1"/>
  <c r="D14" i="16"/>
  <c r="D13" i="16"/>
  <c r="AJ9" i="16"/>
  <c r="AI9" i="16"/>
  <c r="AA9" i="16"/>
  <c r="Z9" i="16"/>
  <c r="R9" i="16"/>
  <c r="Q9" i="16"/>
  <c r="I9" i="16"/>
  <c r="H9" i="16"/>
  <c r="AJ8" i="16"/>
  <c r="AI8" i="16"/>
  <c r="AA8" i="16"/>
  <c r="Z8" i="16"/>
  <c r="R8" i="16"/>
  <c r="Q8" i="16"/>
  <c r="I8" i="16"/>
  <c r="H8" i="16"/>
  <c r="AJ6" i="16"/>
  <c r="AI6" i="16"/>
  <c r="AA6" i="16"/>
  <c r="Z6" i="16"/>
  <c r="R6" i="16"/>
  <c r="Q6" i="16"/>
  <c r="I6" i="16"/>
  <c r="H6" i="16"/>
  <c r="AJ5" i="16"/>
  <c r="AI5" i="16"/>
  <c r="AA5" i="16"/>
  <c r="Z5" i="16"/>
  <c r="R5" i="16"/>
  <c r="Q5" i="16"/>
  <c r="I5" i="16"/>
  <c r="H5" i="16"/>
  <c r="BM232" i="5" l="1"/>
  <c r="BN232" i="5" s="1"/>
  <c r="BM228" i="5"/>
  <c r="BN228" i="5" s="1"/>
  <c r="BM224" i="5"/>
  <c r="BN224" i="5" s="1"/>
  <c r="BM220" i="5"/>
  <c r="BN220" i="5" s="1"/>
  <c r="BM216" i="5"/>
  <c r="BN216" i="5" s="1"/>
  <c r="BM212" i="5"/>
  <c r="BN212" i="5" s="1"/>
  <c r="BM208" i="5"/>
  <c r="BN208" i="5" s="1"/>
  <c r="BM204" i="5"/>
  <c r="BN204" i="5" s="1"/>
  <c r="BM200" i="5"/>
  <c r="BN200" i="5" s="1"/>
  <c r="BM196" i="5"/>
  <c r="BN196" i="5" s="1"/>
  <c r="BM192" i="5"/>
  <c r="BN192" i="5" s="1"/>
  <c r="BM188" i="5"/>
  <c r="BN188" i="5" s="1"/>
  <c r="BM184" i="5"/>
  <c r="BN184" i="5" s="1"/>
  <c r="BM395" i="5"/>
  <c r="BN395" i="5" s="1"/>
  <c r="BM391" i="5"/>
  <c r="BN391" i="5" s="1"/>
  <c r="BM387" i="5"/>
  <c r="BN387" i="5" s="1"/>
  <c r="BM383" i="5"/>
  <c r="BN383" i="5" s="1"/>
  <c r="BM379" i="5"/>
  <c r="BN379" i="5" s="1"/>
  <c r="BM375" i="5"/>
  <c r="BN375" i="5" s="1"/>
  <c r="BM408" i="5"/>
  <c r="BN408" i="5" s="1"/>
  <c r="BM404" i="5"/>
  <c r="BN404" i="5" s="1"/>
  <c r="BM400" i="5"/>
  <c r="BN400" i="5" s="1"/>
  <c r="BM425" i="5"/>
  <c r="BN425" i="5" s="1"/>
  <c r="BM421" i="5"/>
  <c r="BN421" i="5" s="1"/>
  <c r="BM417" i="5"/>
  <c r="BN417" i="5" s="1"/>
  <c r="BM413" i="5"/>
  <c r="BN413" i="5" s="1"/>
  <c r="BM180" i="5"/>
  <c r="BN180" i="5" s="1"/>
  <c r="BM176" i="5"/>
  <c r="BN176" i="5" s="1"/>
  <c r="BM172" i="5"/>
  <c r="BN172" i="5" s="1"/>
  <c r="BM168" i="5"/>
  <c r="BN168" i="5" s="1"/>
  <c r="BM164" i="5"/>
  <c r="BN164" i="5" s="1"/>
  <c r="BM160" i="5"/>
  <c r="BN160" i="5" s="1"/>
  <c r="BM155" i="5"/>
  <c r="BN155" i="5" s="1"/>
  <c r="BM151" i="5"/>
  <c r="BN151" i="5" s="1"/>
  <c r="BM147" i="5"/>
  <c r="BN147" i="5" s="1"/>
  <c r="BM143" i="5"/>
  <c r="BN143" i="5" s="1"/>
  <c r="BM139" i="5"/>
  <c r="BN139" i="5" s="1"/>
  <c r="BM135" i="5"/>
  <c r="BN135" i="5" s="1"/>
  <c r="BM131" i="5"/>
  <c r="BN131" i="5" s="1"/>
  <c r="BM127" i="5"/>
  <c r="BN127" i="5" s="1"/>
  <c r="BM123" i="5"/>
  <c r="BN123" i="5" s="1"/>
  <c r="BM119" i="5"/>
  <c r="BN119" i="5" s="1"/>
  <c r="BM115" i="5"/>
  <c r="BN115" i="5" s="1"/>
  <c r="BM111" i="5"/>
  <c r="BN111" i="5" s="1"/>
  <c r="BM107" i="5"/>
  <c r="BN107" i="5" s="1"/>
  <c r="BM103" i="5"/>
  <c r="BN103" i="5" s="1"/>
  <c r="BM99" i="5"/>
  <c r="BN99" i="5" s="1"/>
  <c r="BM95" i="5"/>
  <c r="BN95" i="5" s="1"/>
  <c r="BM91" i="5"/>
  <c r="BN91" i="5" s="1"/>
  <c r="BM87" i="5"/>
  <c r="BN87" i="5" s="1"/>
  <c r="BM83" i="5"/>
  <c r="BN83" i="5" s="1"/>
  <c r="BM79" i="5"/>
  <c r="BN79" i="5" s="1"/>
  <c r="BM75" i="5"/>
  <c r="BN75" i="5" s="1"/>
  <c r="BM71" i="5"/>
  <c r="BN71" i="5" s="1"/>
  <c r="BM67" i="5"/>
  <c r="BN67" i="5" s="1"/>
  <c r="BM63" i="5"/>
  <c r="BN63" i="5" s="1"/>
  <c r="BM59" i="5"/>
  <c r="BN59" i="5" s="1"/>
  <c r="BM55" i="5"/>
  <c r="BN55" i="5" s="1"/>
  <c r="BM51" i="5"/>
  <c r="BN51" i="5" s="1"/>
  <c r="BM47" i="5"/>
  <c r="BN47" i="5" s="1"/>
  <c r="BM43" i="5"/>
  <c r="BN43" i="5" s="1"/>
  <c r="BM39" i="5"/>
  <c r="BN39" i="5" s="1"/>
  <c r="BM35" i="5"/>
  <c r="BN35" i="5" s="1"/>
  <c r="BM31" i="5"/>
  <c r="BN31" i="5" s="1"/>
  <c r="BM10" i="5"/>
  <c r="BN10" i="5" s="1"/>
  <c r="BM396" i="5"/>
  <c r="BN396" i="5" s="1"/>
  <c r="BM392" i="5"/>
  <c r="BN392" i="5" s="1"/>
  <c r="BM388" i="5"/>
  <c r="BN388" i="5" s="1"/>
  <c r="BM384" i="5"/>
  <c r="BN384" i="5" s="1"/>
  <c r="BM380" i="5"/>
  <c r="BN380" i="5" s="1"/>
  <c r="BM376" i="5"/>
  <c r="BN376" i="5" s="1"/>
  <c r="BM409" i="5"/>
  <c r="BN409" i="5" s="1"/>
  <c r="BM405" i="5"/>
  <c r="BN405" i="5" s="1"/>
  <c r="BM401" i="5"/>
  <c r="BN401" i="5" s="1"/>
  <c r="BM397" i="5"/>
  <c r="BN397" i="5" s="1"/>
  <c r="BM422" i="5"/>
  <c r="BN422" i="5" s="1"/>
  <c r="BM418" i="5"/>
  <c r="BN418" i="5" s="1"/>
  <c r="BM414" i="5"/>
  <c r="BN414" i="5" s="1"/>
  <c r="BM349" i="5"/>
  <c r="BN349" i="5" s="1"/>
  <c r="BM341" i="5"/>
  <c r="BN341" i="5" s="1"/>
  <c r="BM333" i="5"/>
  <c r="BN333" i="5" s="1"/>
  <c r="BM325" i="5"/>
  <c r="BN325" i="5" s="1"/>
  <c r="BM317" i="5"/>
  <c r="BN317" i="5" s="1"/>
  <c r="BM309" i="5"/>
  <c r="BN309" i="5" s="1"/>
  <c r="BM301" i="5"/>
  <c r="BN301" i="5" s="1"/>
  <c r="BM293" i="5"/>
  <c r="BN293" i="5" s="1"/>
  <c r="BM285" i="5"/>
  <c r="BN285" i="5" s="1"/>
  <c r="BM277" i="5"/>
  <c r="BN277" i="5" s="1"/>
  <c r="BM273" i="5"/>
  <c r="BN273" i="5" s="1"/>
  <c r="BM265" i="5"/>
  <c r="BN265" i="5" s="1"/>
  <c r="BM257" i="5"/>
  <c r="BN257" i="5" s="1"/>
  <c r="BM249" i="5"/>
  <c r="BN249" i="5" s="1"/>
  <c r="BM241" i="5"/>
  <c r="BN241" i="5" s="1"/>
  <c r="BM225" i="5"/>
  <c r="BN225" i="5" s="1"/>
  <c r="BM8" i="5"/>
  <c r="BN8" i="5" s="1"/>
  <c r="BM353" i="5"/>
  <c r="BN353" i="5" s="1"/>
  <c r="BM394" i="5"/>
  <c r="BN394" i="5" s="1"/>
  <c r="BM390" i="5"/>
  <c r="BN390" i="5" s="1"/>
  <c r="BM386" i="5"/>
  <c r="BN386" i="5" s="1"/>
  <c r="BM382" i="5"/>
  <c r="BN382" i="5" s="1"/>
  <c r="BM378" i="5"/>
  <c r="BN378" i="5" s="1"/>
  <c r="BM407" i="5"/>
  <c r="BN407" i="5" s="1"/>
  <c r="BM403" i="5"/>
  <c r="BN403" i="5" s="1"/>
  <c r="BM399" i="5"/>
  <c r="BN399" i="5" s="1"/>
  <c r="BM424" i="5"/>
  <c r="BN424" i="5" s="1"/>
  <c r="BM420" i="5"/>
  <c r="BN420" i="5" s="1"/>
  <c r="BM416" i="5"/>
  <c r="BN416" i="5" s="1"/>
  <c r="BM412" i="5"/>
  <c r="BN412" i="5" s="1"/>
  <c r="BM352" i="5"/>
  <c r="BN352" i="5" s="1"/>
  <c r="BM393" i="5"/>
  <c r="BN393" i="5" s="1"/>
  <c r="BM389" i="5"/>
  <c r="BN389" i="5" s="1"/>
  <c r="BM385" i="5"/>
  <c r="BN385" i="5" s="1"/>
  <c r="BM381" i="5"/>
  <c r="BN381" i="5" s="1"/>
  <c r="BM377" i="5"/>
  <c r="BN377" i="5" s="1"/>
  <c r="BM410" i="5"/>
  <c r="BN410" i="5" s="1"/>
  <c r="BM406" i="5"/>
  <c r="BN406" i="5" s="1"/>
  <c r="BM402" i="5"/>
  <c r="BN402" i="5" s="1"/>
  <c r="BM398" i="5"/>
  <c r="BN398" i="5" s="1"/>
  <c r="BM423" i="5"/>
  <c r="BN423" i="5" s="1"/>
  <c r="BM419" i="5"/>
  <c r="BN419" i="5" s="1"/>
  <c r="BM415" i="5"/>
  <c r="BN415" i="5" s="1"/>
  <c r="BM411" i="5"/>
  <c r="BN411" i="5" s="1"/>
  <c r="BM351" i="5"/>
  <c r="BN351" i="5" s="1"/>
  <c r="BM347" i="5"/>
  <c r="BN347" i="5" s="1"/>
  <c r="BM343" i="5"/>
  <c r="BN343" i="5" s="1"/>
  <c r="BM339" i="5"/>
  <c r="BN339" i="5" s="1"/>
  <c r="BM335" i="5"/>
  <c r="BN335" i="5" s="1"/>
  <c r="BM331" i="5"/>
  <c r="BN331" i="5" s="1"/>
  <c r="BM327" i="5"/>
  <c r="BN327" i="5" s="1"/>
  <c r="BM323" i="5"/>
  <c r="BN323" i="5" s="1"/>
  <c r="BM319" i="5"/>
  <c r="BN319" i="5" s="1"/>
  <c r="BM315" i="5"/>
  <c r="BN315" i="5" s="1"/>
  <c r="BM311" i="5"/>
  <c r="BN311" i="5" s="1"/>
  <c r="BM307" i="5"/>
  <c r="BN307" i="5" s="1"/>
  <c r="BM303" i="5"/>
  <c r="BN303" i="5" s="1"/>
  <c r="BM299" i="5"/>
  <c r="BN299" i="5" s="1"/>
  <c r="BM295" i="5"/>
  <c r="BN295" i="5" s="1"/>
  <c r="BM291" i="5"/>
  <c r="BN291" i="5" s="1"/>
  <c r="BM287" i="5"/>
  <c r="BN287" i="5" s="1"/>
  <c r="BM283" i="5"/>
  <c r="BN283" i="5" s="1"/>
  <c r="BM279" i="5"/>
  <c r="BN279" i="5" s="1"/>
  <c r="BM275" i="5"/>
  <c r="BN275" i="5" s="1"/>
  <c r="BM271" i="5"/>
  <c r="BN271" i="5" s="1"/>
  <c r="BM267" i="5"/>
  <c r="BN267" i="5" s="1"/>
  <c r="BM263" i="5"/>
  <c r="BN263" i="5" s="1"/>
  <c r="BM259" i="5"/>
  <c r="BN259" i="5" s="1"/>
  <c r="BM255" i="5"/>
  <c r="BN255" i="5" s="1"/>
  <c r="BM251" i="5"/>
  <c r="BN251" i="5" s="1"/>
  <c r="BM247" i="5"/>
  <c r="BN247" i="5" s="1"/>
  <c r="BM243" i="5"/>
  <c r="BN243" i="5" s="1"/>
  <c r="BM239" i="5"/>
  <c r="BN239" i="5" s="1"/>
  <c r="BM235" i="5"/>
  <c r="BN235" i="5" s="1"/>
  <c r="BM231" i="5"/>
  <c r="BN231" i="5" s="1"/>
  <c r="BM227" i="5"/>
  <c r="BN227" i="5" s="1"/>
  <c r="BM223" i="5"/>
  <c r="BN223" i="5" s="1"/>
  <c r="BM219" i="5"/>
  <c r="BN219" i="5" s="1"/>
  <c r="BM215" i="5"/>
  <c r="BN215" i="5" s="1"/>
  <c r="BM211" i="5"/>
  <c r="BN211" i="5" s="1"/>
  <c r="BM207" i="5"/>
  <c r="BN207" i="5" s="1"/>
  <c r="BM203" i="5"/>
  <c r="BN203" i="5" s="1"/>
  <c r="BM199" i="5"/>
  <c r="BN199" i="5" s="1"/>
  <c r="BM195" i="5"/>
  <c r="BN195" i="5" s="1"/>
  <c r="BM191" i="5"/>
  <c r="BN191" i="5" s="1"/>
  <c r="BM187" i="5"/>
  <c r="BN187" i="5" s="1"/>
  <c r="BM183" i="5"/>
  <c r="BN183" i="5" s="1"/>
  <c r="BM179" i="5"/>
  <c r="BN179" i="5" s="1"/>
  <c r="BM175" i="5"/>
  <c r="BN175" i="5" s="1"/>
  <c r="BM171" i="5"/>
  <c r="BN171" i="5" s="1"/>
  <c r="BM167" i="5"/>
  <c r="BN167" i="5" s="1"/>
  <c r="BM163" i="5"/>
  <c r="BN163" i="5" s="1"/>
  <c r="BM159" i="5"/>
  <c r="BN159" i="5" s="1"/>
  <c r="BM154" i="5"/>
  <c r="BN154" i="5" s="1"/>
  <c r="BM150" i="5"/>
  <c r="BN150" i="5" s="1"/>
  <c r="BM146" i="5"/>
  <c r="BN146" i="5" s="1"/>
  <c r="BM142" i="5"/>
  <c r="BN142" i="5" s="1"/>
  <c r="BM138" i="5"/>
  <c r="BN138" i="5" s="1"/>
  <c r="BM134" i="5"/>
  <c r="BN134" i="5" s="1"/>
  <c r="BM130" i="5"/>
  <c r="BN130" i="5" s="1"/>
  <c r="BM126" i="5"/>
  <c r="BN126" i="5" s="1"/>
  <c r="BM122" i="5"/>
  <c r="BN122" i="5" s="1"/>
  <c r="BM118" i="5"/>
  <c r="BN118" i="5" s="1"/>
  <c r="BM114" i="5"/>
  <c r="BN114" i="5" s="1"/>
  <c r="BM110" i="5"/>
  <c r="BN110" i="5" s="1"/>
  <c r="BM106" i="5"/>
  <c r="BN106" i="5" s="1"/>
  <c r="BM102" i="5"/>
  <c r="BN102" i="5" s="1"/>
  <c r="BM98" i="5"/>
  <c r="BN98" i="5" s="1"/>
  <c r="BM94" i="5"/>
  <c r="BN94" i="5" s="1"/>
  <c r="BM90" i="5"/>
  <c r="BN90" i="5" s="1"/>
  <c r="BM86" i="5"/>
  <c r="BN86" i="5" s="1"/>
  <c r="BM82" i="5"/>
  <c r="BN82" i="5" s="1"/>
  <c r="BM78" i="5"/>
  <c r="BN78" i="5" s="1"/>
  <c r="BM74" i="5"/>
  <c r="BN74" i="5" s="1"/>
  <c r="BM70" i="5"/>
  <c r="BN70" i="5" s="1"/>
  <c r="BM66" i="5"/>
  <c r="BN66" i="5" s="1"/>
  <c r="BM62" i="5"/>
  <c r="BN62" i="5" s="1"/>
  <c r="BM58" i="5"/>
  <c r="BN58" i="5" s="1"/>
  <c r="BM54" i="5"/>
  <c r="BN54" i="5" s="1"/>
  <c r="BM50" i="5"/>
  <c r="BN50" i="5" s="1"/>
  <c r="BM46" i="5"/>
  <c r="BN46" i="5" s="1"/>
  <c r="BM42" i="5"/>
  <c r="BN42" i="5" s="1"/>
  <c r="BM38" i="5"/>
  <c r="BN38" i="5" s="1"/>
  <c r="BM34" i="5"/>
  <c r="BN34" i="5" s="1"/>
  <c r="BM30" i="5"/>
  <c r="BN30" i="5" s="1"/>
  <c r="BM9" i="5"/>
  <c r="BN9" i="5" s="1"/>
  <c r="BM350" i="5"/>
  <c r="BN350" i="5" s="1"/>
  <c r="BM346" i="5"/>
  <c r="BN346" i="5" s="1"/>
  <c r="BM342" i="5"/>
  <c r="BN342" i="5" s="1"/>
  <c r="BM338" i="5"/>
  <c r="BN338" i="5" s="1"/>
  <c r="BM334" i="5"/>
  <c r="BN334" i="5" s="1"/>
  <c r="BM330" i="5"/>
  <c r="BN330" i="5" s="1"/>
  <c r="BM326" i="5"/>
  <c r="BN326" i="5" s="1"/>
  <c r="BM322" i="5"/>
  <c r="BN322" i="5" s="1"/>
  <c r="BM318" i="5"/>
  <c r="BN318" i="5" s="1"/>
  <c r="BM314" i="5"/>
  <c r="BN314" i="5" s="1"/>
  <c r="BM310" i="5"/>
  <c r="BN310" i="5" s="1"/>
  <c r="BM306" i="5"/>
  <c r="BN306" i="5" s="1"/>
  <c r="BM302" i="5"/>
  <c r="BN302" i="5" s="1"/>
  <c r="BM298" i="5"/>
  <c r="BN298" i="5" s="1"/>
  <c r="BM294" i="5"/>
  <c r="BN294" i="5" s="1"/>
  <c r="BM290" i="5"/>
  <c r="BN290" i="5" s="1"/>
  <c r="BM286" i="5"/>
  <c r="BN286" i="5" s="1"/>
  <c r="BM282" i="5"/>
  <c r="BN282" i="5" s="1"/>
  <c r="BM278" i="5"/>
  <c r="BN278" i="5" s="1"/>
  <c r="BM274" i="5"/>
  <c r="BN274" i="5" s="1"/>
  <c r="BM270" i="5"/>
  <c r="BN270" i="5" s="1"/>
  <c r="BM266" i="5"/>
  <c r="BN266" i="5" s="1"/>
  <c r="BM262" i="5"/>
  <c r="BN262" i="5" s="1"/>
  <c r="BM258" i="5"/>
  <c r="BN258" i="5" s="1"/>
  <c r="BM254" i="5"/>
  <c r="BN254" i="5" s="1"/>
  <c r="BM250" i="5"/>
  <c r="BN250" i="5" s="1"/>
  <c r="BM246" i="5"/>
  <c r="BN246" i="5" s="1"/>
  <c r="BM242" i="5"/>
  <c r="BN242" i="5" s="1"/>
  <c r="BM238" i="5"/>
  <c r="BN238" i="5" s="1"/>
  <c r="BM234" i="5"/>
  <c r="BN234" i="5" s="1"/>
  <c r="BM230" i="5"/>
  <c r="BN230" i="5" s="1"/>
  <c r="BM226" i="5"/>
  <c r="BN226" i="5" s="1"/>
  <c r="BM222" i="5"/>
  <c r="BN222" i="5" s="1"/>
  <c r="BM218" i="5"/>
  <c r="BN218" i="5" s="1"/>
  <c r="BM214" i="5"/>
  <c r="BN214" i="5" s="1"/>
  <c r="BM210" i="5"/>
  <c r="BN210" i="5" s="1"/>
  <c r="BM206" i="5"/>
  <c r="BN206" i="5" s="1"/>
  <c r="BM202" i="5"/>
  <c r="BN202" i="5" s="1"/>
  <c r="BM198" i="5"/>
  <c r="BN198" i="5" s="1"/>
  <c r="BM194" i="5"/>
  <c r="BN194" i="5" s="1"/>
  <c r="BM190" i="5"/>
  <c r="BN190" i="5" s="1"/>
  <c r="BM186" i="5"/>
  <c r="BN186" i="5" s="1"/>
  <c r="BM182" i="5"/>
  <c r="BN182" i="5" s="1"/>
  <c r="BM178" i="5"/>
  <c r="BN178" i="5" s="1"/>
  <c r="BM174" i="5"/>
  <c r="BN174" i="5" s="1"/>
  <c r="BM170" i="5"/>
  <c r="BN170" i="5" s="1"/>
  <c r="BM166" i="5"/>
  <c r="BN166" i="5" s="1"/>
  <c r="BM162" i="5"/>
  <c r="BN162" i="5" s="1"/>
  <c r="BM158" i="5"/>
  <c r="BN158" i="5" s="1"/>
  <c r="BM153" i="5"/>
  <c r="BN153" i="5" s="1"/>
  <c r="BM149" i="5"/>
  <c r="BN149" i="5" s="1"/>
  <c r="BM145" i="5"/>
  <c r="BN145" i="5" s="1"/>
  <c r="BM141" i="5"/>
  <c r="BN141" i="5" s="1"/>
  <c r="BM137" i="5"/>
  <c r="BN137" i="5" s="1"/>
  <c r="BM133" i="5"/>
  <c r="BN133" i="5" s="1"/>
  <c r="BM129" i="5"/>
  <c r="BN129" i="5" s="1"/>
  <c r="BM125" i="5"/>
  <c r="BN125" i="5" s="1"/>
  <c r="BM121" i="5"/>
  <c r="BN121" i="5" s="1"/>
  <c r="BM117" i="5"/>
  <c r="BN117" i="5" s="1"/>
  <c r="BM113" i="5"/>
  <c r="BN113" i="5" s="1"/>
  <c r="BM109" i="5"/>
  <c r="BN109" i="5" s="1"/>
  <c r="BM105" i="5"/>
  <c r="BN105" i="5" s="1"/>
  <c r="BM101" i="5"/>
  <c r="BN101" i="5" s="1"/>
  <c r="BM97" i="5"/>
  <c r="BN97" i="5" s="1"/>
  <c r="BM93" i="5"/>
  <c r="BN93" i="5" s="1"/>
  <c r="BM89" i="5"/>
  <c r="BN89" i="5" s="1"/>
  <c r="BM85" i="5"/>
  <c r="BN85" i="5" s="1"/>
  <c r="BM81" i="5"/>
  <c r="BN81" i="5" s="1"/>
  <c r="BM77" i="5"/>
  <c r="BN77" i="5" s="1"/>
  <c r="BM73" i="5"/>
  <c r="BN73" i="5" s="1"/>
  <c r="BM69" i="5"/>
  <c r="BN69" i="5" s="1"/>
  <c r="BM65" i="5"/>
  <c r="BN65" i="5" s="1"/>
  <c r="BM61" i="5"/>
  <c r="BN61" i="5" s="1"/>
  <c r="BM57" i="5"/>
  <c r="BN57" i="5" s="1"/>
  <c r="BM53" i="5"/>
  <c r="BN53" i="5" s="1"/>
  <c r="BM49" i="5"/>
  <c r="BN49" i="5" s="1"/>
  <c r="BM45" i="5"/>
  <c r="BN45" i="5" s="1"/>
  <c r="BM41" i="5"/>
  <c r="BN41" i="5" s="1"/>
  <c r="BM37" i="5"/>
  <c r="BN37" i="5" s="1"/>
  <c r="BM33" i="5"/>
  <c r="BN33" i="5" s="1"/>
  <c r="BM29" i="5"/>
  <c r="BN29" i="5" s="1"/>
  <c r="BM345" i="5"/>
  <c r="BN345" i="5" s="1"/>
  <c r="BM337" i="5"/>
  <c r="BN337" i="5" s="1"/>
  <c r="BM329" i="5"/>
  <c r="BN329" i="5" s="1"/>
  <c r="BM321" i="5"/>
  <c r="BN321" i="5" s="1"/>
  <c r="BM313" i="5"/>
  <c r="BN313" i="5" s="1"/>
  <c r="BM305" i="5"/>
  <c r="BN305" i="5" s="1"/>
  <c r="BM297" i="5"/>
  <c r="BN297" i="5" s="1"/>
  <c r="BM289" i="5"/>
  <c r="BN289" i="5" s="1"/>
  <c r="BM281" i="5"/>
  <c r="BN281" i="5" s="1"/>
  <c r="BM269" i="5"/>
  <c r="BN269" i="5" s="1"/>
  <c r="BM261" i="5"/>
  <c r="BN261" i="5" s="1"/>
  <c r="BM253" i="5"/>
  <c r="BN253" i="5" s="1"/>
  <c r="BM245" i="5"/>
  <c r="BN245" i="5" s="1"/>
  <c r="BM237" i="5"/>
  <c r="BN237" i="5" s="1"/>
  <c r="BM233" i="5"/>
  <c r="BN233" i="5" s="1"/>
  <c r="BM229" i="5"/>
  <c r="BN229" i="5" s="1"/>
  <c r="BM221" i="5"/>
  <c r="BN221" i="5" s="1"/>
  <c r="BM217" i="5"/>
  <c r="BN217" i="5" s="1"/>
  <c r="BM213" i="5"/>
  <c r="BN213" i="5" s="1"/>
  <c r="BM209" i="5"/>
  <c r="BN209" i="5" s="1"/>
  <c r="BM205" i="5"/>
  <c r="BN205" i="5" s="1"/>
  <c r="BM201" i="5"/>
  <c r="BN201" i="5" s="1"/>
  <c r="BM197" i="5"/>
  <c r="BN197" i="5" s="1"/>
  <c r="BM193" i="5"/>
  <c r="BN193" i="5" s="1"/>
  <c r="BM189" i="5"/>
  <c r="BN189" i="5" s="1"/>
  <c r="BM185" i="5"/>
  <c r="BN185" i="5" s="1"/>
  <c r="BM181" i="5"/>
  <c r="BN181" i="5" s="1"/>
  <c r="BM177" i="5"/>
  <c r="BN177" i="5" s="1"/>
  <c r="BM173" i="5"/>
  <c r="BN173" i="5" s="1"/>
  <c r="BM169" i="5"/>
  <c r="BN169" i="5" s="1"/>
  <c r="BM165" i="5"/>
  <c r="BN165" i="5" s="1"/>
  <c r="BM161" i="5"/>
  <c r="BN161" i="5" s="1"/>
  <c r="BM157" i="5"/>
  <c r="BN157" i="5" s="1"/>
  <c r="BM152" i="5"/>
  <c r="BN152" i="5" s="1"/>
  <c r="BM148" i="5"/>
  <c r="BN148" i="5" s="1"/>
  <c r="BM144" i="5"/>
  <c r="BN144" i="5" s="1"/>
  <c r="BM140" i="5"/>
  <c r="BN140" i="5" s="1"/>
  <c r="BM136" i="5"/>
  <c r="BN136" i="5" s="1"/>
  <c r="BM132" i="5"/>
  <c r="BN132" i="5" s="1"/>
  <c r="BM128" i="5"/>
  <c r="BN128" i="5" s="1"/>
  <c r="BM124" i="5"/>
  <c r="BN124" i="5" s="1"/>
  <c r="BM120" i="5"/>
  <c r="BN120" i="5" s="1"/>
  <c r="BM116" i="5"/>
  <c r="BN116" i="5" s="1"/>
  <c r="BM112" i="5"/>
  <c r="BN112" i="5" s="1"/>
  <c r="BM108" i="5"/>
  <c r="BN108" i="5" s="1"/>
  <c r="BM104" i="5"/>
  <c r="BN104" i="5" s="1"/>
  <c r="BM100" i="5"/>
  <c r="BN100" i="5" s="1"/>
  <c r="BM96" i="5"/>
  <c r="BN96" i="5" s="1"/>
  <c r="BM92" i="5"/>
  <c r="BN92" i="5" s="1"/>
  <c r="BM88" i="5"/>
  <c r="BN88" i="5" s="1"/>
  <c r="BM84" i="5"/>
  <c r="BN84" i="5" s="1"/>
  <c r="BM80" i="5"/>
  <c r="BN80" i="5" s="1"/>
  <c r="BM76" i="5"/>
  <c r="BN76" i="5" s="1"/>
  <c r="BM72" i="5"/>
  <c r="BN72" i="5" s="1"/>
  <c r="BM68" i="5"/>
  <c r="BN68" i="5" s="1"/>
  <c r="BM64" i="5"/>
  <c r="BN64" i="5" s="1"/>
  <c r="BM60" i="5"/>
  <c r="BN60" i="5" s="1"/>
  <c r="BM56" i="5"/>
  <c r="BN56" i="5" s="1"/>
  <c r="BM52" i="5"/>
  <c r="BN52" i="5" s="1"/>
  <c r="BM48" i="5"/>
  <c r="BN48" i="5" s="1"/>
  <c r="BM44" i="5"/>
  <c r="BN44" i="5" s="1"/>
  <c r="BM40" i="5"/>
  <c r="BN40" i="5" s="1"/>
  <c r="BM36" i="5"/>
  <c r="BN36" i="5" s="1"/>
  <c r="BM32" i="5"/>
  <c r="BN32" i="5" s="1"/>
  <c r="BM11" i="5"/>
  <c r="BN11" i="5" s="1"/>
  <c r="D45" i="16"/>
  <c r="C425" i="5"/>
  <c r="AV425" i="5"/>
  <c r="C421" i="5"/>
  <c r="AV421" i="5"/>
  <c r="C417" i="5"/>
  <c r="AV417" i="5"/>
  <c r="C411" i="5"/>
  <c r="AV411" i="5"/>
  <c r="C407" i="5"/>
  <c r="AV407" i="5"/>
  <c r="C401" i="5"/>
  <c r="AV401" i="5"/>
  <c r="C399" i="5"/>
  <c r="AV399" i="5"/>
  <c r="C397" i="5"/>
  <c r="AV397" i="5"/>
  <c r="C393" i="5"/>
  <c r="AV393" i="5"/>
  <c r="C391" i="5"/>
  <c r="AV391" i="5"/>
  <c r="C379" i="5"/>
  <c r="AV379" i="5"/>
  <c r="C372" i="5"/>
  <c r="AV372" i="5"/>
  <c r="C368" i="5"/>
  <c r="AV368" i="5"/>
  <c r="C357" i="5"/>
  <c r="AV357" i="5"/>
  <c r="C424" i="5"/>
  <c r="AV424" i="5"/>
  <c r="C422" i="5"/>
  <c r="AV422" i="5"/>
  <c r="C420" i="5"/>
  <c r="AV420" i="5"/>
  <c r="C418" i="5"/>
  <c r="AV418" i="5"/>
  <c r="C416" i="5"/>
  <c r="AV416" i="5"/>
  <c r="C414" i="5"/>
  <c r="AV414" i="5"/>
  <c r="C412" i="5"/>
  <c r="AV412" i="5"/>
  <c r="C410" i="5"/>
  <c r="AV410" i="5"/>
  <c r="C408" i="5"/>
  <c r="AV408" i="5"/>
  <c r="C406" i="5"/>
  <c r="AV406" i="5"/>
  <c r="C404" i="5"/>
  <c r="AV404" i="5"/>
  <c r="C402" i="5"/>
  <c r="AV402" i="5"/>
  <c r="C400" i="5"/>
  <c r="AV400" i="5"/>
  <c r="C398" i="5"/>
  <c r="AV398" i="5"/>
  <c r="C396" i="5"/>
  <c r="AV396" i="5"/>
  <c r="C394" i="5"/>
  <c r="AV394" i="5"/>
  <c r="C392" i="5"/>
  <c r="AV392" i="5"/>
  <c r="C390" i="5"/>
  <c r="AV390" i="5"/>
  <c r="C388" i="5"/>
  <c r="AV388" i="5"/>
  <c r="C386" i="5"/>
  <c r="AV386" i="5"/>
  <c r="C384" i="5"/>
  <c r="AV384" i="5"/>
  <c r="C382" i="5"/>
  <c r="AV382" i="5"/>
  <c r="C380" i="5"/>
  <c r="AV380" i="5"/>
  <c r="C378" i="5"/>
  <c r="AV378" i="5"/>
  <c r="C376" i="5"/>
  <c r="AV376" i="5"/>
  <c r="C374" i="5"/>
  <c r="AV374" i="5"/>
  <c r="C370" i="5"/>
  <c r="AV370" i="5"/>
  <c r="C366" i="5"/>
  <c r="AV366" i="5"/>
  <c r="C362" i="5"/>
  <c r="AV362" i="5"/>
  <c r="C358" i="5"/>
  <c r="AV358" i="5"/>
  <c r="C356" i="5"/>
  <c r="AV356" i="5"/>
  <c r="C354" i="5"/>
  <c r="AV354" i="5"/>
  <c r="C352" i="5"/>
  <c r="AV352" i="5"/>
  <c r="C350" i="5"/>
  <c r="AV350" i="5"/>
  <c r="C371" i="5"/>
  <c r="AV371" i="5"/>
  <c r="C367" i="5"/>
  <c r="AV367" i="5"/>
  <c r="C363" i="5"/>
  <c r="AV363" i="5"/>
  <c r="C359" i="5"/>
  <c r="AV359" i="5"/>
  <c r="C413" i="5"/>
  <c r="AV413" i="5"/>
  <c r="C409" i="5"/>
  <c r="AV409" i="5"/>
  <c r="C403" i="5"/>
  <c r="AV403" i="5"/>
  <c r="C395" i="5"/>
  <c r="AV395" i="5"/>
  <c r="C389" i="5"/>
  <c r="AV389" i="5"/>
  <c r="C385" i="5"/>
  <c r="AV385" i="5"/>
  <c r="C383" i="5"/>
  <c r="AV383" i="5"/>
  <c r="C375" i="5"/>
  <c r="AV375" i="5"/>
  <c r="C360" i="5"/>
  <c r="AV360" i="5"/>
  <c r="C353" i="5"/>
  <c r="AV353" i="5"/>
  <c r="C351" i="5"/>
  <c r="AV351" i="5"/>
  <c r="C423" i="5"/>
  <c r="AV423" i="5"/>
  <c r="C419" i="5"/>
  <c r="AV419" i="5"/>
  <c r="C415" i="5"/>
  <c r="AV415" i="5"/>
  <c r="C405" i="5"/>
  <c r="AV405" i="5"/>
  <c r="C387" i="5"/>
  <c r="AV387" i="5"/>
  <c r="C381" i="5"/>
  <c r="AV381" i="5"/>
  <c r="C377" i="5"/>
  <c r="AV377" i="5"/>
  <c r="C364" i="5"/>
  <c r="AV364" i="5"/>
  <c r="C355" i="5"/>
  <c r="AV355" i="5"/>
  <c r="C373" i="5"/>
  <c r="AV373" i="5"/>
  <c r="C369" i="5"/>
  <c r="AV369" i="5"/>
  <c r="C365" i="5"/>
  <c r="AV365" i="5"/>
  <c r="C361" i="5"/>
  <c r="AV361" i="5"/>
  <c r="X370" i="5"/>
  <c r="BH370" i="5" s="1"/>
  <c r="AQ410" i="5"/>
  <c r="X374" i="5"/>
  <c r="W353" i="5"/>
  <c r="W349" i="5"/>
  <c r="BG349" i="5" s="1"/>
  <c r="W333" i="5"/>
  <c r="BG333" i="5" s="1"/>
  <c r="W309" i="5"/>
  <c r="BG309" i="5" s="1"/>
  <c r="W305" i="5"/>
  <c r="BG305" i="5" s="1"/>
  <c r="W297" i="5"/>
  <c r="BG297" i="5" s="1"/>
  <c r="W285" i="5"/>
  <c r="BG285" i="5" s="1"/>
  <c r="W277" i="5"/>
  <c r="BG277" i="5" s="1"/>
  <c r="W257" i="5"/>
  <c r="BG257" i="5" s="1"/>
  <c r="W253" i="5"/>
  <c r="BG253" i="5" s="1"/>
  <c r="W241" i="5"/>
  <c r="BG241" i="5" s="1"/>
  <c r="W221" i="5"/>
  <c r="BG221" i="5" s="1"/>
  <c r="W205" i="5"/>
  <c r="BG205" i="5" s="1"/>
  <c r="W40" i="5"/>
  <c r="BG40" i="5" s="1"/>
  <c r="AK32" i="5"/>
  <c r="X390" i="5"/>
  <c r="BH390" i="5" s="1"/>
  <c r="X382" i="5"/>
  <c r="BH382" i="5" s="1"/>
  <c r="X378" i="5"/>
  <c r="BH378" i="5" s="1"/>
  <c r="W357" i="5"/>
  <c r="BG357" i="5" s="1"/>
  <c r="W341" i="5"/>
  <c r="BG341" i="5" s="1"/>
  <c r="W317" i="5"/>
  <c r="BG317" i="5" s="1"/>
  <c r="W313" i="5"/>
  <c r="BG313" i="5" s="1"/>
  <c r="W301" i="5"/>
  <c r="BG301" i="5" s="1"/>
  <c r="W293" i="5"/>
  <c r="BG293" i="5" s="1"/>
  <c r="W261" i="5"/>
  <c r="BG261" i="5" s="1"/>
  <c r="W217" i="5"/>
  <c r="BG217" i="5" s="1"/>
  <c r="W213" i="5"/>
  <c r="BG213" i="5" s="1"/>
  <c r="W209" i="5"/>
  <c r="BG209" i="5" s="1"/>
  <c r="Y335" i="5"/>
  <c r="BI335" i="5" s="1"/>
  <c r="Y331" i="5"/>
  <c r="BI331" i="5" s="1"/>
  <c r="Y315" i="5"/>
  <c r="BI315" i="5" s="1"/>
  <c r="Y311" i="5"/>
  <c r="BI311" i="5" s="1"/>
  <c r="Y307" i="5"/>
  <c r="BI307" i="5" s="1"/>
  <c r="Y303" i="5"/>
  <c r="BI303" i="5" s="1"/>
  <c r="Y299" i="5"/>
  <c r="BI299" i="5" s="1"/>
  <c r="Y295" i="5"/>
  <c r="BI295" i="5" s="1"/>
  <c r="Y291" i="5"/>
  <c r="BI291" i="5" s="1"/>
  <c r="Y283" i="5"/>
  <c r="BI283" i="5" s="1"/>
  <c r="Y279" i="5"/>
  <c r="BI279" i="5" s="1"/>
  <c r="Y275" i="5"/>
  <c r="BI275" i="5" s="1"/>
  <c r="Y259" i="5"/>
  <c r="BI259" i="5" s="1"/>
  <c r="Y255" i="5"/>
  <c r="BI255" i="5" s="1"/>
  <c r="Y251" i="5"/>
  <c r="BI251" i="5" s="1"/>
  <c r="Y247" i="5"/>
  <c r="BI247" i="5" s="1"/>
  <c r="Y243" i="5"/>
  <c r="BI243" i="5" s="1"/>
  <c r="Y223" i="5"/>
  <c r="BI223" i="5" s="1"/>
  <c r="Y219" i="5"/>
  <c r="BI219" i="5" s="1"/>
  <c r="Y215" i="5"/>
  <c r="BI215" i="5" s="1"/>
  <c r="Y207" i="5"/>
  <c r="BI207" i="5" s="1"/>
  <c r="AW203" i="5"/>
  <c r="W373" i="5"/>
  <c r="BG373" i="5" s="1"/>
  <c r="AQ361" i="5"/>
  <c r="AR361" i="5" s="1"/>
  <c r="AW159" i="5"/>
  <c r="AW118" i="5"/>
  <c r="AW54" i="5"/>
  <c r="V157" i="5"/>
  <c r="BF157" i="5" s="1"/>
  <c r="X425" i="5"/>
  <c r="BH425" i="5" s="1"/>
  <c r="W26" i="6" s="1"/>
  <c r="X421" i="5"/>
  <c r="BH421" i="5" s="1"/>
  <c r="X417" i="5"/>
  <c r="X413" i="5"/>
  <c r="BH413" i="5" s="1"/>
  <c r="X409" i="5"/>
  <c r="X405" i="5"/>
  <c r="BH405" i="5" s="1"/>
  <c r="X401" i="5"/>
  <c r="BH401" i="5" s="1"/>
  <c r="X397" i="5"/>
  <c r="BH397" i="5" s="1"/>
  <c r="X393" i="5"/>
  <c r="BH393" i="5" s="1"/>
  <c r="X389" i="5"/>
  <c r="BH389" i="5" s="1"/>
  <c r="X385" i="5"/>
  <c r="BH385" i="5" s="1"/>
  <c r="AW10" i="5"/>
  <c r="X333" i="5"/>
  <c r="BH333" i="5" s="1"/>
  <c r="X317" i="5"/>
  <c r="BH317" i="5" s="1"/>
  <c r="X313" i="5"/>
  <c r="BH313" i="5" s="1"/>
  <c r="X309" i="5"/>
  <c r="BH309" i="5" s="1"/>
  <c r="X305" i="5"/>
  <c r="BH305" i="5" s="1"/>
  <c r="X301" i="5"/>
  <c r="BH301" i="5" s="1"/>
  <c r="X297" i="5"/>
  <c r="BH297" i="5" s="1"/>
  <c r="X293" i="5"/>
  <c r="BH293" i="5" s="1"/>
  <c r="X285" i="5"/>
  <c r="BH285" i="5" s="1"/>
  <c r="X277" i="5"/>
  <c r="BH277" i="5" s="1"/>
  <c r="X261" i="5"/>
  <c r="BH261" i="5" s="1"/>
  <c r="X257" i="5"/>
  <c r="BH257" i="5" s="1"/>
  <c r="X253" i="5"/>
  <c r="BH253" i="5" s="1"/>
  <c r="X245" i="5"/>
  <c r="BH245" i="5" s="1"/>
  <c r="X241" i="5"/>
  <c r="BH241" i="5" s="1"/>
  <c r="X221" i="5"/>
  <c r="BH221" i="5" s="1"/>
  <c r="X217" i="5"/>
  <c r="BH217" i="5" s="1"/>
  <c r="X213" i="5"/>
  <c r="BH213" i="5" s="1"/>
  <c r="X209" i="5"/>
  <c r="BH209" i="5" s="1"/>
  <c r="X205" i="5"/>
  <c r="BH205" i="5" s="1"/>
  <c r="X185" i="5"/>
  <c r="BH185" i="5" s="1"/>
  <c r="X181" i="5"/>
  <c r="BH181" i="5" s="1"/>
  <c r="X177" i="5"/>
  <c r="BH177" i="5" s="1"/>
  <c r="X169" i="5"/>
  <c r="BH169" i="5" s="1"/>
  <c r="X165" i="5"/>
  <c r="BH165" i="5" s="1"/>
  <c r="X161" i="5"/>
  <c r="BH161" i="5" s="1"/>
  <c r="X157" i="5"/>
  <c r="BH157" i="5" s="1"/>
  <c r="X152" i="5"/>
  <c r="BH152" i="5" s="1"/>
  <c r="X148" i="5"/>
  <c r="BH148" i="5" s="1"/>
  <c r="X140" i="5"/>
  <c r="BH140" i="5" s="1"/>
  <c r="X120" i="5"/>
  <c r="BH120" i="5" s="1"/>
  <c r="X116" i="5"/>
  <c r="BH116" i="5" s="1"/>
  <c r="X112" i="5"/>
  <c r="BH112" i="5" s="1"/>
  <c r="X108" i="5"/>
  <c r="BH108" i="5" s="1"/>
  <c r="X104" i="5"/>
  <c r="BH104" i="5" s="1"/>
  <c r="X84" i="5"/>
  <c r="BH84" i="5" s="1"/>
  <c r="X80" i="5"/>
  <c r="BH80" i="5" s="1"/>
  <c r="X76" i="5"/>
  <c r="BH76" i="5" s="1"/>
  <c r="X72" i="5"/>
  <c r="BH72" i="5" s="1"/>
  <c r="X68" i="5"/>
  <c r="BH68" i="5" s="1"/>
  <c r="X64" i="5"/>
  <c r="BH64" i="5" s="1"/>
  <c r="X60" i="5"/>
  <c r="BH60" i="5" s="1"/>
  <c r="X56" i="5"/>
  <c r="BH56" i="5" s="1"/>
  <c r="X52" i="5"/>
  <c r="BH52" i="5" s="1"/>
  <c r="X48" i="5"/>
  <c r="BH48" i="5" s="1"/>
  <c r="X44" i="5"/>
  <c r="BH44" i="5" s="1"/>
  <c r="X40" i="5"/>
  <c r="BH40" i="5" s="1"/>
  <c r="X36" i="5"/>
  <c r="BH36" i="5" s="1"/>
  <c r="X32" i="5"/>
  <c r="BH32" i="5" s="1"/>
  <c r="Y357" i="5"/>
  <c r="BI357" i="5" s="1"/>
  <c r="Y353" i="5"/>
  <c r="BI353" i="5" s="1"/>
  <c r="Y349" i="5"/>
  <c r="BI349" i="5" s="1"/>
  <c r="Y341" i="5"/>
  <c r="BI341" i="5" s="1"/>
  <c r="AW305" i="5"/>
  <c r="AW257" i="5"/>
  <c r="AW241" i="5"/>
  <c r="Y185" i="5"/>
  <c r="BI185" i="5" s="1"/>
  <c r="Y181" i="5"/>
  <c r="BI181" i="5" s="1"/>
  <c r="Y177" i="5"/>
  <c r="BI177" i="5" s="1"/>
  <c r="Y169" i="5"/>
  <c r="BI169" i="5" s="1"/>
  <c r="Y165" i="5"/>
  <c r="BI165" i="5" s="1"/>
  <c r="Y161" i="5"/>
  <c r="BI161" i="5" s="1"/>
  <c r="Y157" i="5"/>
  <c r="BI157" i="5" s="1"/>
  <c r="Y152" i="5"/>
  <c r="BI152" i="5" s="1"/>
  <c r="Y148" i="5"/>
  <c r="BI148" i="5" s="1"/>
  <c r="Y140" i="5"/>
  <c r="BI140" i="5" s="1"/>
  <c r="Y120" i="5"/>
  <c r="BI120" i="5" s="1"/>
  <c r="Y116" i="5"/>
  <c r="BI116" i="5" s="1"/>
  <c r="Y112" i="5"/>
  <c r="BI112" i="5" s="1"/>
  <c r="Y108" i="5"/>
  <c r="BI108" i="5" s="1"/>
  <c r="Y104" i="5"/>
  <c r="BI104" i="5" s="1"/>
  <c r="Y84" i="5"/>
  <c r="BI84" i="5" s="1"/>
  <c r="Y80" i="5"/>
  <c r="BI80" i="5" s="1"/>
  <c r="Y76" i="5"/>
  <c r="BI76" i="5" s="1"/>
  <c r="Y72" i="5"/>
  <c r="BI72" i="5" s="1"/>
  <c r="Y68" i="5"/>
  <c r="BI68" i="5" s="1"/>
  <c r="Y64" i="5"/>
  <c r="BI64" i="5" s="1"/>
  <c r="Y60" i="5"/>
  <c r="BI60" i="5" s="1"/>
  <c r="Y56" i="5"/>
  <c r="BI56" i="5" s="1"/>
  <c r="Y52" i="5"/>
  <c r="BI52" i="5" s="1"/>
  <c r="Y48" i="5"/>
  <c r="BI48" i="5" s="1"/>
  <c r="Y44" i="5"/>
  <c r="BI44" i="5" s="1"/>
  <c r="Y40" i="5"/>
  <c r="BI40" i="5" s="1"/>
  <c r="Y36" i="5"/>
  <c r="BI36" i="5" s="1"/>
  <c r="Y32" i="5"/>
  <c r="BI32" i="5" s="1"/>
  <c r="Y425" i="5"/>
  <c r="BI425" i="5" s="1"/>
  <c r="X26" i="6" s="1"/>
  <c r="Y421" i="5"/>
  <c r="BI421" i="5" s="1"/>
  <c r="Y417" i="5"/>
  <c r="BI417" i="5" s="1"/>
  <c r="Y413" i="5"/>
  <c r="BI413" i="5" s="1"/>
  <c r="Y409" i="5"/>
  <c r="BI409" i="5" s="1"/>
  <c r="Y405" i="5"/>
  <c r="BI405" i="5" s="1"/>
  <c r="Y401" i="5"/>
  <c r="BI401" i="5" s="1"/>
  <c r="Y397" i="5"/>
  <c r="BI397" i="5" s="1"/>
  <c r="Y393" i="5"/>
  <c r="BI393" i="5" s="1"/>
  <c r="Y389" i="5"/>
  <c r="BI389" i="5" s="1"/>
  <c r="Y385" i="5"/>
  <c r="BI385" i="5" s="1"/>
  <c r="Y381" i="5"/>
  <c r="BI381" i="5" s="1"/>
  <c r="Y377" i="5"/>
  <c r="BI377" i="5" s="1"/>
  <c r="Y373" i="5"/>
  <c r="BI373" i="5" s="1"/>
  <c r="W381" i="5"/>
  <c r="BG381" i="5" s="1"/>
  <c r="W377" i="5"/>
  <c r="BG377" i="5" s="1"/>
  <c r="Y369" i="5"/>
  <c r="BI369" i="5" s="1"/>
  <c r="BJ369" i="5" s="1"/>
  <c r="Y365" i="5"/>
  <c r="BI365" i="5" s="1"/>
  <c r="BJ365" i="5" s="1"/>
  <c r="Y361" i="5"/>
  <c r="BI361" i="5" s="1"/>
  <c r="BJ361" i="5" s="1"/>
  <c r="X354" i="5"/>
  <c r="BH354" i="5" s="1"/>
  <c r="X350" i="5"/>
  <c r="BH350" i="5" s="1"/>
  <c r="X342" i="5"/>
  <c r="BH342" i="5" s="1"/>
  <c r="X338" i="5"/>
  <c r="BH338" i="5" s="1"/>
  <c r="X334" i="5"/>
  <c r="BH334" i="5" s="1"/>
  <c r="X314" i="5"/>
  <c r="BH314" i="5" s="1"/>
  <c r="X310" i="5"/>
  <c r="BH310" i="5" s="1"/>
  <c r="X306" i="5"/>
  <c r="BH306" i="5" s="1"/>
  <c r="X298" i="5"/>
  <c r="BH298" i="5" s="1"/>
  <c r="X294" i="5"/>
  <c r="BH294" i="5" s="1"/>
  <c r="X286" i="5"/>
  <c r="BH286" i="5" s="1"/>
  <c r="X282" i="5"/>
  <c r="BH282" i="5" s="1"/>
  <c r="X278" i="5"/>
  <c r="BH278" i="5" s="1"/>
  <c r="X258" i="5"/>
  <c r="BH258" i="5" s="1"/>
  <c r="X254" i="5"/>
  <c r="BH254" i="5" s="1"/>
  <c r="X250" i="5"/>
  <c r="BH250" i="5" s="1"/>
  <c r="X242" i="5"/>
  <c r="BH242" i="5" s="1"/>
  <c r="X222" i="5"/>
  <c r="BH222" i="5" s="1"/>
  <c r="X218" i="5"/>
  <c r="BH218" i="5" s="1"/>
  <c r="X214" i="5"/>
  <c r="BH214" i="5" s="1"/>
  <c r="X206" i="5"/>
  <c r="BH206" i="5" s="1"/>
  <c r="X37" i="5"/>
  <c r="BH37" i="5" s="1"/>
  <c r="AE10" i="5"/>
  <c r="V423" i="5"/>
  <c r="BF423" i="5" s="1"/>
  <c r="V419" i="5"/>
  <c r="BF419" i="5" s="1"/>
  <c r="V415" i="5"/>
  <c r="BF415" i="5" s="1"/>
  <c r="V407" i="5"/>
  <c r="BF407" i="5" s="1"/>
  <c r="V403" i="5"/>
  <c r="BF403" i="5" s="1"/>
  <c r="V391" i="5"/>
  <c r="BF391" i="5" s="1"/>
  <c r="V383" i="5"/>
  <c r="BF383" i="5" s="1"/>
  <c r="V379" i="5"/>
  <c r="BF379" i="5" s="1"/>
  <c r="V375" i="5"/>
  <c r="BF375" i="5" s="1"/>
  <c r="V371" i="5"/>
  <c r="BF371" i="5" s="1"/>
  <c r="V355" i="5"/>
  <c r="BF355" i="5" s="1"/>
  <c r="V351" i="5"/>
  <c r="BF351" i="5" s="1"/>
  <c r="V347" i="5"/>
  <c r="BF347" i="5" s="1"/>
  <c r="V339" i="5"/>
  <c r="BF339" i="5" s="1"/>
  <c r="V335" i="5"/>
  <c r="BF335" i="5" s="1"/>
  <c r="V331" i="5"/>
  <c r="BF331" i="5" s="1"/>
  <c r="V315" i="5"/>
  <c r="BF315" i="5" s="1"/>
  <c r="V311" i="5"/>
  <c r="BF311" i="5" s="1"/>
  <c r="V307" i="5"/>
  <c r="BF307" i="5" s="1"/>
  <c r="V303" i="5"/>
  <c r="BF303" i="5" s="1"/>
  <c r="V299" i="5"/>
  <c r="BF299" i="5" s="1"/>
  <c r="V295" i="5"/>
  <c r="BF295" i="5" s="1"/>
  <c r="V291" i="5"/>
  <c r="BF291" i="5" s="1"/>
  <c r="V283" i="5"/>
  <c r="BF283" i="5" s="1"/>
  <c r="V279" i="5"/>
  <c r="BF279" i="5" s="1"/>
  <c r="V275" i="5"/>
  <c r="BF275" i="5" s="1"/>
  <c r="V259" i="5"/>
  <c r="BF259" i="5" s="1"/>
  <c r="V255" i="5"/>
  <c r="BF255" i="5" s="1"/>
  <c r="V251" i="5"/>
  <c r="BF251" i="5" s="1"/>
  <c r="V247" i="5"/>
  <c r="BF247" i="5" s="1"/>
  <c r="V243" i="5"/>
  <c r="BF243" i="5" s="1"/>
  <c r="V223" i="5"/>
  <c r="BF223" i="5" s="1"/>
  <c r="V219" i="5"/>
  <c r="BF219" i="5" s="1"/>
  <c r="V215" i="5"/>
  <c r="BF215" i="5" s="1"/>
  <c r="V207" i="5"/>
  <c r="BF207" i="5" s="1"/>
  <c r="V30" i="5"/>
  <c r="BF30" i="5" s="1"/>
  <c r="W245" i="5"/>
  <c r="BG245" i="5" s="1"/>
  <c r="W420" i="5"/>
  <c r="BG420" i="5" s="1"/>
  <c r="W404" i="5"/>
  <c r="BG404" i="5" s="1"/>
  <c r="W396" i="5"/>
  <c r="BG396" i="5" s="1"/>
  <c r="W388" i="5"/>
  <c r="BG388" i="5" s="1"/>
  <c r="AK380" i="5"/>
  <c r="AK280" i="5"/>
  <c r="W79" i="5"/>
  <c r="BG79" i="5" s="1"/>
  <c r="W75" i="5"/>
  <c r="BG75" i="5" s="1"/>
  <c r="W71" i="5"/>
  <c r="BG71" i="5" s="1"/>
  <c r="W67" i="5"/>
  <c r="BG67" i="5" s="1"/>
  <c r="W63" i="5"/>
  <c r="BG63" i="5" s="1"/>
  <c r="W59" i="5"/>
  <c r="BG59" i="5" s="1"/>
  <c r="W55" i="5"/>
  <c r="BG55" i="5" s="1"/>
  <c r="W51" i="5"/>
  <c r="BG51" i="5" s="1"/>
  <c r="W47" i="5"/>
  <c r="BG47" i="5" s="1"/>
  <c r="W43" i="5"/>
  <c r="BG43" i="5" s="1"/>
  <c r="W39" i="5"/>
  <c r="BG39" i="5" s="1"/>
  <c r="W35" i="5"/>
  <c r="BG35" i="5" s="1"/>
  <c r="W31" i="5"/>
  <c r="BG31" i="5" s="1"/>
  <c r="W424" i="5"/>
  <c r="BG424" i="5" s="1"/>
  <c r="W416" i="5"/>
  <c r="BG416" i="5" s="1"/>
  <c r="W412" i="5"/>
  <c r="W408" i="5"/>
  <c r="W400" i="5"/>
  <c r="BG400" i="5" s="1"/>
  <c r="W392" i="5"/>
  <c r="BG392" i="5" s="1"/>
  <c r="W384" i="5"/>
  <c r="BG384" i="5" s="1"/>
  <c r="W336" i="5"/>
  <c r="BG336" i="5" s="1"/>
  <c r="W312" i="5"/>
  <c r="BG312" i="5" s="1"/>
  <c r="W304" i="5"/>
  <c r="BG304" i="5" s="1"/>
  <c r="W296" i="5"/>
  <c r="BG296" i="5" s="1"/>
  <c r="AK216" i="5"/>
  <c r="W204" i="5"/>
  <c r="BG204" i="5" s="1"/>
  <c r="W184" i="5"/>
  <c r="BG184" i="5" s="1"/>
  <c r="W180" i="5"/>
  <c r="BG180" i="5" s="1"/>
  <c r="W172" i="5"/>
  <c r="BG172" i="5" s="1"/>
  <c r="W168" i="5"/>
  <c r="BG168" i="5" s="1"/>
  <c r="W164" i="5"/>
  <c r="BG164" i="5" s="1"/>
  <c r="W160" i="5"/>
  <c r="BG160" i="5" s="1"/>
  <c r="W155" i="5"/>
  <c r="BG155" i="5" s="1"/>
  <c r="W151" i="5"/>
  <c r="BG151" i="5" s="1"/>
  <c r="W147" i="5"/>
  <c r="BG147" i="5" s="1"/>
  <c r="W143" i="5"/>
  <c r="BG143" i="5" s="1"/>
  <c r="W139" i="5"/>
  <c r="BG139" i="5" s="1"/>
  <c r="W119" i="5"/>
  <c r="BG119" i="5" s="1"/>
  <c r="W115" i="5"/>
  <c r="BG115" i="5" s="1"/>
  <c r="W111" i="5"/>
  <c r="BG111" i="5" s="1"/>
  <c r="W103" i="5"/>
  <c r="BG103" i="5" s="1"/>
  <c r="W83" i="5"/>
  <c r="BG83" i="5" s="1"/>
  <c r="AQ9" i="5"/>
  <c r="X424" i="5"/>
  <c r="BH424" i="5" s="1"/>
  <c r="X416" i="5"/>
  <c r="X400" i="5"/>
  <c r="BH400" i="5" s="1"/>
  <c r="X384" i="5"/>
  <c r="BH384" i="5" s="1"/>
  <c r="X380" i="5"/>
  <c r="BH380" i="5" s="1"/>
  <c r="X376" i="5"/>
  <c r="BH376" i="5" s="1"/>
  <c r="X372" i="5"/>
  <c r="BH372" i="5" s="1"/>
  <c r="AE369" i="5"/>
  <c r="X356" i="5"/>
  <c r="BH356" i="5" s="1"/>
  <c r="X352" i="5"/>
  <c r="X348" i="5"/>
  <c r="BH348" i="5" s="1"/>
  <c r="X340" i="5"/>
  <c r="BH340" i="5" s="1"/>
  <c r="X336" i="5"/>
  <c r="BH336" i="5" s="1"/>
  <c r="V333" i="5"/>
  <c r="BF333" i="5" s="1"/>
  <c r="X332" i="5"/>
  <c r="BH332" i="5" s="1"/>
  <c r="V317" i="5"/>
  <c r="BF317" i="5" s="1"/>
  <c r="X316" i="5"/>
  <c r="BH316" i="5" s="1"/>
  <c r="V313" i="5"/>
  <c r="BF313" i="5" s="1"/>
  <c r="X312" i="5"/>
  <c r="BH312" i="5" s="1"/>
  <c r="V309" i="5"/>
  <c r="BF309" i="5" s="1"/>
  <c r="X308" i="5"/>
  <c r="BH308" i="5" s="1"/>
  <c r="V305" i="5"/>
  <c r="BF305" i="5" s="1"/>
  <c r="X304" i="5"/>
  <c r="BH304" i="5" s="1"/>
  <c r="V301" i="5"/>
  <c r="BF301" i="5" s="1"/>
  <c r="X300" i="5"/>
  <c r="BH300" i="5" s="1"/>
  <c r="V297" i="5"/>
  <c r="BF297" i="5" s="1"/>
  <c r="X296" i="5"/>
  <c r="BH296" i="5" s="1"/>
  <c r="V293" i="5"/>
  <c r="BF293" i="5" s="1"/>
  <c r="X292" i="5"/>
  <c r="BH292" i="5" s="1"/>
  <c r="V285" i="5"/>
  <c r="BF285" i="5" s="1"/>
  <c r="X284" i="5"/>
  <c r="BH284" i="5" s="1"/>
  <c r="X280" i="5"/>
  <c r="BH280" i="5" s="1"/>
  <c r="V277" i="5"/>
  <c r="BF277" i="5" s="1"/>
  <c r="X276" i="5"/>
  <c r="BH276" i="5" s="1"/>
  <c r="V261" i="5"/>
  <c r="BF261" i="5" s="1"/>
  <c r="X260" i="5"/>
  <c r="BH260" i="5" s="1"/>
  <c r="V257" i="5"/>
  <c r="BF257" i="5" s="1"/>
  <c r="X256" i="5"/>
  <c r="BH256" i="5" s="1"/>
  <c r="V253" i="5"/>
  <c r="BF253" i="5" s="1"/>
  <c r="X252" i="5"/>
  <c r="BH252" i="5" s="1"/>
  <c r="V245" i="5"/>
  <c r="BF245" i="5" s="1"/>
  <c r="X244" i="5"/>
  <c r="BH244" i="5" s="1"/>
  <c r="V241" i="5"/>
  <c r="BF241" i="5" s="1"/>
  <c r="X240" i="5"/>
  <c r="BH240" i="5" s="1"/>
  <c r="X224" i="5"/>
  <c r="BH224" i="5" s="1"/>
  <c r="V221" i="5"/>
  <c r="BF221" i="5" s="1"/>
  <c r="X220" i="5"/>
  <c r="BH220" i="5" s="1"/>
  <c r="V217" i="5"/>
  <c r="BF217" i="5" s="1"/>
  <c r="X216" i="5"/>
  <c r="BH216" i="5" s="1"/>
  <c r="V213" i="5"/>
  <c r="BF213" i="5" s="1"/>
  <c r="X212" i="5"/>
  <c r="BH212" i="5" s="1"/>
  <c r="V209" i="5"/>
  <c r="BF209" i="5" s="1"/>
  <c r="Y422" i="5"/>
  <c r="BI422" i="5" s="1"/>
  <c r="Y418" i="5"/>
  <c r="BI418" i="5" s="1"/>
  <c r="Y414" i="5"/>
  <c r="Y410" i="5"/>
  <c r="Y406" i="5"/>
  <c r="BI406" i="5" s="1"/>
  <c r="Y402" i="5"/>
  <c r="BI402" i="5" s="1"/>
  <c r="AK399" i="5"/>
  <c r="Y398" i="5"/>
  <c r="BI398" i="5" s="1"/>
  <c r="Y394" i="5"/>
  <c r="BI394" i="5" s="1"/>
  <c r="Y390" i="5"/>
  <c r="BI390" i="5" s="1"/>
  <c r="Y386" i="5"/>
  <c r="BI386" i="5" s="1"/>
  <c r="W383" i="5"/>
  <c r="BG383" i="5" s="1"/>
  <c r="W379" i="5"/>
  <c r="BG379" i="5" s="1"/>
  <c r="W375" i="5"/>
  <c r="BG375" i="5" s="1"/>
  <c r="W371" i="5"/>
  <c r="BG371" i="5" s="1"/>
  <c r="W355" i="5"/>
  <c r="BG355" i="5" s="1"/>
  <c r="W351" i="5"/>
  <c r="BG351" i="5" s="1"/>
  <c r="W347" i="5"/>
  <c r="BG347" i="5" s="1"/>
  <c r="W339" i="5"/>
  <c r="BG339" i="5" s="1"/>
  <c r="AW338" i="5"/>
  <c r="W335" i="5"/>
  <c r="BG335" i="5" s="1"/>
  <c r="AW334" i="5"/>
  <c r="W331" i="5"/>
  <c r="BG331" i="5" s="1"/>
  <c r="W315" i="5"/>
  <c r="BG315" i="5" s="1"/>
  <c r="W311" i="5"/>
  <c r="BG311" i="5" s="1"/>
  <c r="W307" i="5"/>
  <c r="BG307" i="5" s="1"/>
  <c r="W303" i="5"/>
  <c r="BG303" i="5" s="1"/>
  <c r="W299" i="5"/>
  <c r="BG299" i="5" s="1"/>
  <c r="W295" i="5"/>
  <c r="BG295" i="5" s="1"/>
  <c r="W291" i="5"/>
  <c r="BG291" i="5" s="1"/>
  <c r="W283" i="5"/>
  <c r="BG283" i="5" s="1"/>
  <c r="W279" i="5"/>
  <c r="BG279" i="5" s="1"/>
  <c r="W275" i="5"/>
  <c r="BG275" i="5" s="1"/>
  <c r="W259" i="5"/>
  <c r="BG259" i="5" s="1"/>
  <c r="W255" i="5"/>
  <c r="BG255" i="5" s="1"/>
  <c r="W251" i="5"/>
  <c r="BG251" i="5" s="1"/>
  <c r="W247" i="5"/>
  <c r="BG247" i="5" s="1"/>
  <c r="W243" i="5"/>
  <c r="BG243" i="5" s="1"/>
  <c r="W223" i="5"/>
  <c r="BG223" i="5" s="1"/>
  <c r="W219" i="5"/>
  <c r="BG219" i="5" s="1"/>
  <c r="W215" i="5"/>
  <c r="BG215" i="5" s="1"/>
  <c r="W207" i="5"/>
  <c r="BG207" i="5" s="1"/>
  <c r="W203" i="5"/>
  <c r="BG203" i="5" s="1"/>
  <c r="Y202" i="5"/>
  <c r="BI202" i="5" s="1"/>
  <c r="AE177" i="5"/>
  <c r="AQ11" i="5"/>
  <c r="Y186" i="5"/>
  <c r="BI186" i="5" s="1"/>
  <c r="W183" i="5"/>
  <c r="BG183" i="5" s="1"/>
  <c r="Y182" i="5"/>
  <c r="BI182" i="5" s="1"/>
  <c r="W179" i="5"/>
  <c r="BG179" i="5" s="1"/>
  <c r="Y178" i="5"/>
  <c r="BI178" i="5" s="1"/>
  <c r="W171" i="5"/>
  <c r="BG171" i="5" s="1"/>
  <c r="Y170" i="5"/>
  <c r="BI170" i="5" s="1"/>
  <c r="W167" i="5"/>
  <c r="BG167" i="5" s="1"/>
  <c r="Y166" i="5"/>
  <c r="BI166" i="5" s="1"/>
  <c r="W163" i="5"/>
  <c r="BG163" i="5" s="1"/>
  <c r="Y162" i="5"/>
  <c r="BI162" i="5" s="1"/>
  <c r="W159" i="5"/>
  <c r="BG159" i="5" s="1"/>
  <c r="Y158" i="5"/>
  <c r="BI158" i="5" s="1"/>
  <c r="Y153" i="5"/>
  <c r="BI153" i="5" s="1"/>
  <c r="W150" i="5"/>
  <c r="BG150" i="5" s="1"/>
  <c r="Y149" i="5"/>
  <c r="BI149" i="5" s="1"/>
  <c r="W146" i="5"/>
  <c r="BG146" i="5" s="1"/>
  <c r="Y145" i="5"/>
  <c r="BI145" i="5" s="1"/>
  <c r="X14" i="6" s="1"/>
  <c r="W142" i="5"/>
  <c r="BG142" i="5" s="1"/>
  <c r="Y141" i="5"/>
  <c r="BI141" i="5" s="1"/>
  <c r="W138" i="5"/>
  <c r="BG138" i="5" s="1"/>
  <c r="Y121" i="5"/>
  <c r="BI121" i="5" s="1"/>
  <c r="W118" i="5"/>
  <c r="BG118" i="5" s="1"/>
  <c r="Y117" i="5"/>
  <c r="BI117" i="5" s="1"/>
  <c r="W114" i="5"/>
  <c r="BG114" i="5" s="1"/>
  <c r="Y113" i="5"/>
  <c r="BI113" i="5" s="1"/>
  <c r="W110" i="5"/>
  <c r="BG110" i="5" s="1"/>
  <c r="Y109" i="5"/>
  <c r="BI109" i="5" s="1"/>
  <c r="W106" i="5"/>
  <c r="BG106" i="5" s="1"/>
  <c r="Y105" i="5"/>
  <c r="BI105" i="5" s="1"/>
  <c r="W102" i="5"/>
  <c r="BG102" i="5" s="1"/>
  <c r="Y101" i="5"/>
  <c r="BI101" i="5" s="1"/>
  <c r="W82" i="5"/>
  <c r="BG82" i="5" s="1"/>
  <c r="Y81" i="5"/>
  <c r="BI81" i="5" s="1"/>
  <c r="W78" i="5"/>
  <c r="BG78" i="5" s="1"/>
  <c r="Y77" i="5"/>
  <c r="BI77" i="5" s="1"/>
  <c r="W74" i="5"/>
  <c r="BG74" i="5" s="1"/>
  <c r="Y73" i="5"/>
  <c r="BI73" i="5" s="1"/>
  <c r="W70" i="5"/>
  <c r="BG70" i="5" s="1"/>
  <c r="Y69" i="5"/>
  <c r="BI69" i="5" s="1"/>
  <c r="W66" i="5"/>
  <c r="BG66" i="5" s="1"/>
  <c r="Y65" i="5"/>
  <c r="BI65" i="5" s="1"/>
  <c r="W62" i="5"/>
  <c r="BG62" i="5" s="1"/>
  <c r="Y61" i="5"/>
  <c r="BI61" i="5" s="1"/>
  <c r="W58" i="5"/>
  <c r="BG58" i="5" s="1"/>
  <c r="Y57" i="5"/>
  <c r="BI57" i="5" s="1"/>
  <c r="W54" i="5"/>
  <c r="BG54" i="5" s="1"/>
  <c r="Y53" i="5"/>
  <c r="BI53" i="5" s="1"/>
  <c r="W50" i="5"/>
  <c r="BG50" i="5" s="1"/>
  <c r="Y49" i="5"/>
  <c r="BI49" i="5" s="1"/>
  <c r="W46" i="5"/>
  <c r="BG46" i="5" s="1"/>
  <c r="Y45" i="5"/>
  <c r="BI45" i="5" s="1"/>
  <c r="W42" i="5"/>
  <c r="BG42" i="5" s="1"/>
  <c r="Y41" i="5"/>
  <c r="BI41" i="5" s="1"/>
  <c r="W38" i="5"/>
  <c r="BG38" i="5" s="1"/>
  <c r="Y37" i="5"/>
  <c r="BI37" i="5" s="1"/>
  <c r="W34" i="5"/>
  <c r="BG34" i="5" s="1"/>
  <c r="Y33" i="5"/>
  <c r="BI33" i="5" s="1"/>
  <c r="W30" i="5"/>
  <c r="BG30" i="5" s="1"/>
  <c r="Y29" i="5"/>
  <c r="BI29" i="5" s="1"/>
  <c r="W418" i="5"/>
  <c r="W414" i="5"/>
  <c r="W402" i="5"/>
  <c r="BG402" i="5" s="1"/>
  <c r="W398" i="5"/>
  <c r="BG398" i="5" s="1"/>
  <c r="W394" i="5"/>
  <c r="BG394" i="5" s="1"/>
  <c r="W386" i="5"/>
  <c r="BG386" i="5" s="1"/>
  <c r="V424" i="5"/>
  <c r="BF424" i="5" s="1"/>
  <c r="V420" i="5"/>
  <c r="BF420" i="5" s="1"/>
  <c r="X419" i="5"/>
  <c r="BH419" i="5" s="1"/>
  <c r="V418" i="5"/>
  <c r="BF418" i="5" s="1"/>
  <c r="V416" i="5"/>
  <c r="BF416" i="5" s="1"/>
  <c r="X415" i="5"/>
  <c r="BH415" i="5" s="1"/>
  <c r="V412" i="5"/>
  <c r="BF412" i="5" s="1"/>
  <c r="V408" i="5"/>
  <c r="BF408" i="5" s="1"/>
  <c r="V404" i="5"/>
  <c r="BF404" i="5" s="1"/>
  <c r="X403" i="5"/>
  <c r="BH403" i="5" s="1"/>
  <c r="V402" i="5"/>
  <c r="BF402" i="5" s="1"/>
  <c r="V400" i="5"/>
  <c r="BF400" i="5" s="1"/>
  <c r="V398" i="5"/>
  <c r="BF398" i="5" s="1"/>
  <c r="V396" i="5"/>
  <c r="BF396" i="5" s="1"/>
  <c r="X395" i="5"/>
  <c r="BH395" i="5" s="1"/>
  <c r="V394" i="5"/>
  <c r="BF394" i="5" s="1"/>
  <c r="V392" i="5"/>
  <c r="BF392" i="5" s="1"/>
  <c r="AQ391" i="5"/>
  <c r="V388" i="5"/>
  <c r="BF388" i="5" s="1"/>
  <c r="X387" i="5"/>
  <c r="BH387" i="5" s="1"/>
  <c r="V386" i="5"/>
  <c r="BF386" i="5" s="1"/>
  <c r="V384" i="5"/>
  <c r="BF384" i="5" s="1"/>
  <c r="V382" i="5"/>
  <c r="BF382" i="5" s="1"/>
  <c r="V378" i="5"/>
  <c r="BF378" i="5" s="1"/>
  <c r="V374" i="5"/>
  <c r="BF374" i="5" s="1"/>
  <c r="V370" i="5"/>
  <c r="BF370" i="5" s="1"/>
  <c r="V354" i="5"/>
  <c r="BF354" i="5" s="1"/>
  <c r="V350" i="5"/>
  <c r="BF350" i="5" s="1"/>
  <c r="V342" i="5"/>
  <c r="BF342" i="5" s="1"/>
  <c r="V338" i="5"/>
  <c r="BF338" i="5" s="1"/>
  <c r="V336" i="5"/>
  <c r="BF336" i="5" s="1"/>
  <c r="V332" i="5"/>
  <c r="BF332" i="5" s="1"/>
  <c r="V316" i="5"/>
  <c r="BF316" i="5" s="1"/>
  <c r="V312" i="5"/>
  <c r="BF312" i="5" s="1"/>
  <c r="V308" i="5"/>
  <c r="BF308" i="5" s="1"/>
  <c r="V304" i="5"/>
  <c r="BF304" i="5" s="1"/>
  <c r="V300" i="5"/>
  <c r="BF300" i="5" s="1"/>
  <c r="V296" i="5"/>
  <c r="BF296" i="5" s="1"/>
  <c r="V292" i="5"/>
  <c r="BF292" i="5" s="1"/>
  <c r="AE286" i="5"/>
  <c r="V284" i="5"/>
  <c r="BF284" i="5" s="1"/>
  <c r="V280" i="5"/>
  <c r="BF280" i="5" s="1"/>
  <c r="V276" i="5"/>
  <c r="BF276" i="5" s="1"/>
  <c r="Y424" i="5"/>
  <c r="BI424" i="5" s="1"/>
  <c r="Y420" i="5"/>
  <c r="Y416" i="5"/>
  <c r="Y412" i="5"/>
  <c r="BI412" i="5" s="1"/>
  <c r="Y408" i="5"/>
  <c r="BI408" i="5" s="1"/>
  <c r="Y404" i="5"/>
  <c r="BI404" i="5" s="1"/>
  <c r="Y400" i="5"/>
  <c r="BI400" i="5" s="1"/>
  <c r="Y396" i="5"/>
  <c r="BI396" i="5" s="1"/>
  <c r="Y392" i="5"/>
  <c r="BI392" i="5" s="1"/>
  <c r="Y388" i="5"/>
  <c r="BI388" i="5" s="1"/>
  <c r="Y384" i="5"/>
  <c r="BI384" i="5" s="1"/>
  <c r="W378" i="5"/>
  <c r="BG378" i="5" s="1"/>
  <c r="W370" i="5"/>
  <c r="BG370" i="5" s="1"/>
  <c r="W354" i="5"/>
  <c r="BG354" i="5" s="1"/>
  <c r="AK350" i="5"/>
  <c r="W338" i="5"/>
  <c r="BG338" i="5" s="1"/>
  <c r="AK314" i="5"/>
  <c r="AK310" i="5"/>
  <c r="AK298" i="5"/>
  <c r="AK294" i="5"/>
  <c r="AK282" i="5"/>
  <c r="AK278" i="5"/>
  <c r="AK250" i="5"/>
  <c r="AK218" i="5"/>
  <c r="AK145" i="5"/>
  <c r="AK81" i="5"/>
  <c r="W49" i="5"/>
  <c r="BG49" i="5" s="1"/>
  <c r="AK9" i="5"/>
  <c r="V260" i="5"/>
  <c r="BF260" i="5" s="1"/>
  <c r="V256" i="5"/>
  <c r="BF256" i="5" s="1"/>
  <c r="V252" i="5"/>
  <c r="BF252" i="5" s="1"/>
  <c r="V244" i="5"/>
  <c r="BF244" i="5" s="1"/>
  <c r="V240" i="5"/>
  <c r="BF240" i="5" s="1"/>
  <c r="V224" i="5"/>
  <c r="BF224" i="5" s="1"/>
  <c r="AE222" i="5"/>
  <c r="V220" i="5"/>
  <c r="BF220" i="5" s="1"/>
  <c r="X203" i="5"/>
  <c r="BH203" i="5" s="1"/>
  <c r="X183" i="5"/>
  <c r="BH183" i="5" s="1"/>
  <c r="X179" i="5"/>
  <c r="BH179" i="5" s="1"/>
  <c r="X171" i="5"/>
  <c r="BH171" i="5" s="1"/>
  <c r="X167" i="5"/>
  <c r="BH167" i="5" s="1"/>
  <c r="X163" i="5"/>
  <c r="BH163" i="5" s="1"/>
  <c r="X159" i="5"/>
  <c r="BH159" i="5" s="1"/>
  <c r="X150" i="5"/>
  <c r="BH150" i="5" s="1"/>
  <c r="X146" i="5"/>
  <c r="BH146" i="5" s="1"/>
  <c r="X142" i="5"/>
  <c r="BH142" i="5" s="1"/>
  <c r="X138" i="5"/>
  <c r="BH138" i="5" s="1"/>
  <c r="V119" i="5"/>
  <c r="BF119" i="5" s="1"/>
  <c r="X118" i="5"/>
  <c r="BH118" i="5" s="1"/>
  <c r="V115" i="5"/>
  <c r="BF115" i="5" s="1"/>
  <c r="X114" i="5"/>
  <c r="BH114" i="5" s="1"/>
  <c r="V111" i="5"/>
  <c r="BF111" i="5" s="1"/>
  <c r="X110" i="5"/>
  <c r="BH110" i="5" s="1"/>
  <c r="X106" i="5"/>
  <c r="BH106" i="5" s="1"/>
  <c r="V103" i="5"/>
  <c r="BF103" i="5" s="1"/>
  <c r="X102" i="5"/>
  <c r="BH102" i="5" s="1"/>
  <c r="V83" i="5"/>
  <c r="BF83" i="5" s="1"/>
  <c r="X82" i="5"/>
  <c r="BH82" i="5" s="1"/>
  <c r="V79" i="5"/>
  <c r="BF79" i="5" s="1"/>
  <c r="X78" i="5"/>
  <c r="BH78" i="5" s="1"/>
  <c r="V75" i="5"/>
  <c r="BF75" i="5" s="1"/>
  <c r="X74" i="5"/>
  <c r="BH74" i="5" s="1"/>
  <c r="V71" i="5"/>
  <c r="BF71" i="5" s="1"/>
  <c r="X70" i="5"/>
  <c r="BH70" i="5" s="1"/>
  <c r="V67" i="5"/>
  <c r="BF67" i="5" s="1"/>
  <c r="X66" i="5"/>
  <c r="BH66" i="5" s="1"/>
  <c r="V63" i="5"/>
  <c r="BF63" i="5" s="1"/>
  <c r="X62" i="5"/>
  <c r="BH62" i="5" s="1"/>
  <c r="V59" i="5"/>
  <c r="BF59" i="5" s="1"/>
  <c r="X58" i="5"/>
  <c r="BH58" i="5" s="1"/>
  <c r="V55" i="5"/>
  <c r="BF55" i="5" s="1"/>
  <c r="X54" i="5"/>
  <c r="BH54" i="5" s="1"/>
  <c r="V51" i="5"/>
  <c r="BF51" i="5" s="1"/>
  <c r="X50" i="5"/>
  <c r="BH50" i="5" s="1"/>
  <c r="V47" i="5"/>
  <c r="BF47" i="5" s="1"/>
  <c r="X46" i="5"/>
  <c r="BH46" i="5" s="1"/>
  <c r="V43" i="5"/>
  <c r="BF43" i="5" s="1"/>
  <c r="X42" i="5"/>
  <c r="BH42" i="5" s="1"/>
  <c r="V39" i="5"/>
  <c r="BF39" i="5" s="1"/>
  <c r="X38" i="5"/>
  <c r="BH38" i="5" s="1"/>
  <c r="V35" i="5"/>
  <c r="BF35" i="5" s="1"/>
  <c r="X34" i="5"/>
  <c r="BH34" i="5" s="1"/>
  <c r="V31" i="5"/>
  <c r="BF31" i="5" s="1"/>
  <c r="X30" i="5"/>
  <c r="BH30" i="5" s="1"/>
  <c r="AW304" i="5"/>
  <c r="AW240" i="5"/>
  <c r="AW212" i="5"/>
  <c r="Y204" i="5"/>
  <c r="BI204" i="5" s="1"/>
  <c r="Y184" i="5"/>
  <c r="BI184" i="5" s="1"/>
  <c r="Y180" i="5"/>
  <c r="BI180" i="5" s="1"/>
  <c r="Y172" i="5"/>
  <c r="BI172" i="5" s="1"/>
  <c r="Y168" i="5"/>
  <c r="BI168" i="5" s="1"/>
  <c r="Y164" i="5"/>
  <c r="BI164" i="5" s="1"/>
  <c r="Y160" i="5"/>
  <c r="BI160" i="5" s="1"/>
  <c r="Y155" i="5"/>
  <c r="BI155" i="5" s="1"/>
  <c r="Y151" i="5"/>
  <c r="BI151" i="5" s="1"/>
  <c r="Y147" i="5"/>
  <c r="BI147" i="5" s="1"/>
  <c r="Y143" i="5"/>
  <c r="BI143" i="5" s="1"/>
  <c r="Y139" i="5"/>
  <c r="BI139" i="5" s="1"/>
  <c r="Y119" i="5"/>
  <c r="BI119" i="5" s="1"/>
  <c r="Y115" i="5"/>
  <c r="BI115" i="5" s="1"/>
  <c r="Y111" i="5"/>
  <c r="BI111" i="5" s="1"/>
  <c r="Y103" i="5"/>
  <c r="BI103" i="5" s="1"/>
  <c r="Y83" i="5"/>
  <c r="BI83" i="5" s="1"/>
  <c r="Y79" i="5"/>
  <c r="BI79" i="5" s="1"/>
  <c r="Y75" i="5"/>
  <c r="BI75" i="5" s="1"/>
  <c r="Y71" i="5"/>
  <c r="BI71" i="5" s="1"/>
  <c r="Y67" i="5"/>
  <c r="BI67" i="5" s="1"/>
  <c r="Y63" i="5"/>
  <c r="BI63" i="5" s="1"/>
  <c r="Y59" i="5"/>
  <c r="BI59" i="5" s="1"/>
  <c r="Y55" i="5"/>
  <c r="BI55" i="5" s="1"/>
  <c r="Y51" i="5"/>
  <c r="BI51" i="5" s="1"/>
  <c r="Y47" i="5"/>
  <c r="BI47" i="5" s="1"/>
  <c r="Y43" i="5"/>
  <c r="BI43" i="5" s="1"/>
  <c r="Y39" i="5"/>
  <c r="BI39" i="5" s="1"/>
  <c r="Y35" i="5"/>
  <c r="BI35" i="5" s="1"/>
  <c r="Y31" i="5"/>
  <c r="BI31" i="5" s="1"/>
  <c r="AK63" i="5"/>
  <c r="AW81" i="5"/>
  <c r="AW41" i="5"/>
  <c r="AW9" i="5"/>
  <c r="W282" i="5"/>
  <c r="BG282" i="5" s="1"/>
  <c r="W145" i="5"/>
  <c r="BG145" i="5" s="1"/>
  <c r="V14" i="6" s="1"/>
  <c r="Y54" i="5"/>
  <c r="BI54" i="5" s="1"/>
  <c r="AQ37" i="5"/>
  <c r="AK40" i="5"/>
  <c r="AQ390" i="5"/>
  <c r="W278" i="5"/>
  <c r="BG278" i="5" s="1"/>
  <c r="W218" i="5"/>
  <c r="BG218" i="5" s="1"/>
  <c r="Y203" i="5"/>
  <c r="BI203" i="5" s="1"/>
  <c r="AE216" i="5"/>
  <c r="AE212" i="5"/>
  <c r="AE204" i="5"/>
  <c r="AE184" i="5"/>
  <c r="AE180" i="5"/>
  <c r="AE172" i="5"/>
  <c r="AE168" i="5"/>
  <c r="AE164" i="5"/>
  <c r="AE160" i="5"/>
  <c r="AE155" i="5"/>
  <c r="AE151" i="5"/>
  <c r="AE147" i="5"/>
  <c r="AE143" i="5"/>
  <c r="AE139" i="5"/>
  <c r="AE67" i="5"/>
  <c r="AE59" i="5"/>
  <c r="AE43" i="5"/>
  <c r="AE35" i="5"/>
  <c r="AE11" i="5"/>
  <c r="AK49" i="5"/>
  <c r="AK423" i="5"/>
  <c r="W423" i="5"/>
  <c r="BG423" i="5" s="1"/>
  <c r="AK403" i="5"/>
  <c r="W403" i="5"/>
  <c r="BG403" i="5" s="1"/>
  <c r="AK401" i="5"/>
  <c r="W401" i="5"/>
  <c r="BG401" i="5" s="1"/>
  <c r="AW376" i="5"/>
  <c r="Y376" i="5"/>
  <c r="BI376" i="5" s="1"/>
  <c r="AW370" i="5"/>
  <c r="Y370" i="5"/>
  <c r="BI370" i="5" s="1"/>
  <c r="AW368" i="5"/>
  <c r="Y368" i="5"/>
  <c r="BI368" i="5" s="1"/>
  <c r="BJ368" i="5" s="1"/>
  <c r="AW362" i="5"/>
  <c r="BB362" i="5" s="1"/>
  <c r="BR362" i="5" s="1"/>
  <c r="Y362" i="5"/>
  <c r="BI362" i="5" s="1"/>
  <c r="BJ362" i="5" s="1"/>
  <c r="AW358" i="5"/>
  <c r="Y358" i="5"/>
  <c r="BI358" i="5" s="1"/>
  <c r="BJ358" i="5" s="1"/>
  <c r="AW356" i="5"/>
  <c r="Y356" i="5"/>
  <c r="BI356" i="5" s="1"/>
  <c r="AW350" i="5"/>
  <c r="Y350" i="5"/>
  <c r="BI350" i="5" s="1"/>
  <c r="AW312" i="5"/>
  <c r="Y312" i="5"/>
  <c r="BI312" i="5" s="1"/>
  <c r="AW296" i="5"/>
  <c r="Y296" i="5"/>
  <c r="BI296" i="5" s="1"/>
  <c r="AW278" i="5"/>
  <c r="Y278" i="5"/>
  <c r="BI278" i="5" s="1"/>
  <c r="AW276" i="5"/>
  <c r="Y276" i="5"/>
  <c r="BI276" i="5" s="1"/>
  <c r="AW244" i="5"/>
  <c r="Y244" i="5"/>
  <c r="BI244" i="5" s="1"/>
  <c r="AW222" i="5"/>
  <c r="Y222" i="5"/>
  <c r="BI222" i="5" s="1"/>
  <c r="AW218" i="5"/>
  <c r="Y218" i="5"/>
  <c r="BI218" i="5" s="1"/>
  <c r="AW214" i="5"/>
  <c r="Y214" i="5"/>
  <c r="BI214" i="5" s="1"/>
  <c r="W399" i="5"/>
  <c r="BG399" i="5" s="1"/>
  <c r="Y338" i="5"/>
  <c r="BI338" i="5" s="1"/>
  <c r="AQ420" i="5"/>
  <c r="X420" i="5"/>
  <c r="AQ414" i="5"/>
  <c r="X414" i="5"/>
  <c r="AQ412" i="5"/>
  <c r="X412" i="5"/>
  <c r="AQ402" i="5"/>
  <c r="X402" i="5"/>
  <c r="BH402" i="5" s="1"/>
  <c r="AE401" i="5"/>
  <c r="V401" i="5"/>
  <c r="BF401" i="5" s="1"/>
  <c r="AQ398" i="5"/>
  <c r="X398" i="5"/>
  <c r="BH398" i="5" s="1"/>
  <c r="AE393" i="5"/>
  <c r="V393" i="5"/>
  <c r="BF393" i="5" s="1"/>
  <c r="AQ388" i="5"/>
  <c r="X388" i="5"/>
  <c r="BH388" i="5" s="1"/>
  <c r="AE381" i="5"/>
  <c r="V381" i="5"/>
  <c r="BF381" i="5" s="1"/>
  <c r="AE365" i="5"/>
  <c r="AE357" i="5"/>
  <c r="AY357" i="5" s="1"/>
  <c r="BO357" i="5" s="1"/>
  <c r="V357" i="5"/>
  <c r="BF357" i="5" s="1"/>
  <c r="AE341" i="5"/>
  <c r="V341" i="5"/>
  <c r="BF341" i="5" s="1"/>
  <c r="AQ204" i="5"/>
  <c r="X204" i="5"/>
  <c r="BH204" i="5" s="1"/>
  <c r="AQ202" i="5"/>
  <c r="X202" i="5"/>
  <c r="BH202" i="5" s="1"/>
  <c r="AQ184" i="5"/>
  <c r="X184" i="5"/>
  <c r="BH184" i="5" s="1"/>
  <c r="AQ182" i="5"/>
  <c r="X182" i="5"/>
  <c r="BH182" i="5" s="1"/>
  <c r="AQ180" i="5"/>
  <c r="X180" i="5"/>
  <c r="BH180" i="5" s="1"/>
  <c r="AQ178" i="5"/>
  <c r="X178" i="5"/>
  <c r="BH178" i="5" s="1"/>
  <c r="AQ172" i="5"/>
  <c r="X172" i="5"/>
  <c r="BH172" i="5" s="1"/>
  <c r="AE167" i="5"/>
  <c r="V167" i="5"/>
  <c r="BF167" i="5" s="1"/>
  <c r="AE165" i="5"/>
  <c r="V165" i="5"/>
  <c r="BF165" i="5" s="1"/>
  <c r="AE163" i="5"/>
  <c r="V163" i="5"/>
  <c r="BF163" i="5" s="1"/>
  <c r="AE161" i="5"/>
  <c r="V161" i="5"/>
  <c r="BF161" i="5" s="1"/>
  <c r="AQ158" i="5"/>
  <c r="X158" i="5"/>
  <c r="BH158" i="5" s="1"/>
  <c r="AE157" i="5"/>
  <c r="AE152" i="5"/>
  <c r="V152" i="5"/>
  <c r="BF152" i="5" s="1"/>
  <c r="V150" i="5"/>
  <c r="BF150" i="5" s="1"/>
  <c r="AE150" i="5"/>
  <c r="AE148" i="5"/>
  <c r="V148" i="5"/>
  <c r="BF148" i="5" s="1"/>
  <c r="AE146" i="5"/>
  <c r="V146" i="5"/>
  <c r="BF146" i="5" s="1"/>
  <c r="V142" i="5"/>
  <c r="BF142" i="5" s="1"/>
  <c r="AE142" i="5"/>
  <c r="AE140" i="5"/>
  <c r="V140" i="5"/>
  <c r="BF140" i="5" s="1"/>
  <c r="AE120" i="5"/>
  <c r="V120" i="5"/>
  <c r="BF120" i="5" s="1"/>
  <c r="AQ117" i="5"/>
  <c r="X117" i="5"/>
  <c r="BH117" i="5" s="1"/>
  <c r="X115" i="5"/>
  <c r="BH115" i="5" s="1"/>
  <c r="AQ115" i="5"/>
  <c r="AE114" i="5"/>
  <c r="V114" i="5"/>
  <c r="BF114" i="5" s="1"/>
  <c r="AE112" i="5"/>
  <c r="V112" i="5"/>
  <c r="BF112" i="5" s="1"/>
  <c r="V110" i="5"/>
  <c r="BF110" i="5" s="1"/>
  <c r="AE110" i="5"/>
  <c r="AE108" i="5"/>
  <c r="V108" i="5"/>
  <c r="BF108" i="5" s="1"/>
  <c r="AE106" i="5"/>
  <c r="V106" i="5"/>
  <c r="BF106" i="5" s="1"/>
  <c r="AE104" i="5"/>
  <c r="V104" i="5"/>
  <c r="BF104" i="5" s="1"/>
  <c r="AE84" i="5"/>
  <c r="V84" i="5"/>
  <c r="BF84" i="5" s="1"/>
  <c r="AE82" i="5"/>
  <c r="V82" i="5"/>
  <c r="BF82" i="5" s="1"/>
  <c r="AE80" i="5"/>
  <c r="V80" i="5"/>
  <c r="BF80" i="5" s="1"/>
  <c r="V78" i="5"/>
  <c r="BF78" i="5" s="1"/>
  <c r="AE78" i="5"/>
  <c r="AE76" i="5"/>
  <c r="V76" i="5"/>
  <c r="BF76" i="5" s="1"/>
  <c r="AQ71" i="5"/>
  <c r="X71" i="5"/>
  <c r="BH71" i="5" s="1"/>
  <c r="X69" i="5"/>
  <c r="BH69" i="5" s="1"/>
  <c r="AQ69" i="5"/>
  <c r="X67" i="5"/>
  <c r="BH67" i="5" s="1"/>
  <c r="AQ67" i="5"/>
  <c r="X65" i="5"/>
  <c r="BH65" i="5" s="1"/>
  <c r="AQ65" i="5"/>
  <c r="X63" i="5"/>
  <c r="BH63" i="5" s="1"/>
  <c r="AQ63" i="5"/>
  <c r="X53" i="5"/>
  <c r="BH53" i="5" s="1"/>
  <c r="AQ53" i="5"/>
  <c r="AE52" i="5"/>
  <c r="V52" i="5"/>
  <c r="BF52" i="5" s="1"/>
  <c r="X49" i="5"/>
  <c r="BH49" i="5" s="1"/>
  <c r="AQ49" i="5"/>
  <c r="AE48" i="5"/>
  <c r="V48" i="5"/>
  <c r="BF48" i="5" s="1"/>
  <c r="X47" i="5"/>
  <c r="BH47" i="5" s="1"/>
  <c r="AQ47" i="5"/>
  <c r="X45" i="5"/>
  <c r="BH45" i="5" s="1"/>
  <c r="AQ45" i="5"/>
  <c r="AE44" i="5"/>
  <c r="V44" i="5"/>
  <c r="BF44" i="5" s="1"/>
  <c r="AQ43" i="5"/>
  <c r="X43" i="5"/>
  <c r="BH43" i="5" s="1"/>
  <c r="AE42" i="5"/>
  <c r="V42" i="5"/>
  <c r="BF42" i="5" s="1"/>
  <c r="AQ41" i="5"/>
  <c r="X41" i="5"/>
  <c r="BH41" i="5" s="1"/>
  <c r="V40" i="5"/>
  <c r="BF40" i="5" s="1"/>
  <c r="AE40" i="5"/>
  <c r="AQ39" i="5"/>
  <c r="X39" i="5"/>
  <c r="BH39" i="5" s="1"/>
  <c r="V38" i="5"/>
  <c r="BF38" i="5" s="1"/>
  <c r="AE38" i="5"/>
  <c r="AE36" i="5"/>
  <c r="V36" i="5"/>
  <c r="BF36" i="5" s="1"/>
  <c r="X35" i="5"/>
  <c r="BH35" i="5" s="1"/>
  <c r="AQ35" i="5"/>
  <c r="AE34" i="5"/>
  <c r="V34" i="5"/>
  <c r="BF34" i="5" s="1"/>
  <c r="X33" i="5"/>
  <c r="BH33" i="5" s="1"/>
  <c r="AQ33" i="5"/>
  <c r="AE32" i="5"/>
  <c r="V32" i="5"/>
  <c r="BF32" i="5" s="1"/>
  <c r="X31" i="5"/>
  <c r="BH31" i="5" s="1"/>
  <c r="AQ31" i="5"/>
  <c r="X29" i="5"/>
  <c r="BH29" i="5" s="1"/>
  <c r="AQ29" i="5"/>
  <c r="AE424" i="5"/>
  <c r="AE423" i="5"/>
  <c r="AY423" i="5" s="1"/>
  <c r="BO423" i="5" s="1"/>
  <c r="AE420" i="5"/>
  <c r="AE419" i="5"/>
  <c r="AE418" i="5"/>
  <c r="AE416" i="5"/>
  <c r="AE415" i="5"/>
  <c r="AE412" i="5"/>
  <c r="AE408" i="5"/>
  <c r="AE407" i="5"/>
  <c r="AE404" i="5"/>
  <c r="AE403" i="5"/>
  <c r="AY403" i="5" s="1"/>
  <c r="BO403" i="5" s="1"/>
  <c r="AE402" i="5"/>
  <c r="AE400" i="5"/>
  <c r="AE398" i="5"/>
  <c r="AE396" i="5"/>
  <c r="AY396" i="5" s="1"/>
  <c r="BO396" i="5" s="1"/>
  <c r="AE394" i="5"/>
  <c r="AE392" i="5"/>
  <c r="AE391" i="5"/>
  <c r="AE388" i="5"/>
  <c r="AE386" i="5"/>
  <c r="AE384" i="5"/>
  <c r="AE383" i="5"/>
  <c r="AE382" i="5"/>
  <c r="AE379" i="5"/>
  <c r="AE378" i="5"/>
  <c r="AY378" i="5" s="1"/>
  <c r="BO378" i="5" s="1"/>
  <c r="AE375" i="5"/>
  <c r="AE374" i="5"/>
  <c r="AE371" i="5"/>
  <c r="AE370" i="5"/>
  <c r="AE367" i="5"/>
  <c r="AF367" i="5" s="1"/>
  <c r="AE366" i="5"/>
  <c r="AF366" i="5" s="1"/>
  <c r="AE363" i="5"/>
  <c r="AF363" i="5" s="1"/>
  <c r="AE362" i="5"/>
  <c r="AE359" i="5"/>
  <c r="AF359" i="5" s="1"/>
  <c r="AE358" i="5"/>
  <c r="AE355" i="5"/>
  <c r="AE354" i="5"/>
  <c r="AE351" i="5"/>
  <c r="AE350" i="5"/>
  <c r="AE347" i="5"/>
  <c r="AE342" i="5"/>
  <c r="AE339" i="5"/>
  <c r="AE338" i="5"/>
  <c r="AE336" i="5"/>
  <c r="AE335" i="5"/>
  <c r="AE333" i="5"/>
  <c r="AE332" i="5"/>
  <c r="AE331" i="5"/>
  <c r="AE317" i="5"/>
  <c r="AE316" i="5"/>
  <c r="AE315" i="5"/>
  <c r="AE313" i="5"/>
  <c r="AE312" i="5"/>
  <c r="AE311" i="5"/>
  <c r="AE309" i="5"/>
  <c r="AE308" i="5"/>
  <c r="AE307" i="5"/>
  <c r="AE305" i="5"/>
  <c r="AE304" i="5"/>
  <c r="AE303" i="5"/>
  <c r="AE301" i="5"/>
  <c r="AE300" i="5"/>
  <c r="AE299" i="5"/>
  <c r="AE297" i="5"/>
  <c r="AE296" i="5"/>
  <c r="AE295" i="5"/>
  <c r="AE293" i="5"/>
  <c r="AE292" i="5"/>
  <c r="AE291" i="5"/>
  <c r="AE285" i="5"/>
  <c r="AE284" i="5"/>
  <c r="AE283" i="5"/>
  <c r="AE280" i="5"/>
  <c r="AE279" i="5"/>
  <c r="AE277" i="5"/>
  <c r="AE276" i="5"/>
  <c r="AE275" i="5"/>
  <c r="AE261" i="5"/>
  <c r="AE260" i="5"/>
  <c r="AE259" i="5"/>
  <c r="AE257" i="5"/>
  <c r="AE256" i="5"/>
  <c r="AE255" i="5"/>
  <c r="AE253" i="5"/>
  <c r="AE252" i="5"/>
  <c r="AE251" i="5"/>
  <c r="AE247" i="5"/>
  <c r="AE245" i="5"/>
  <c r="AE244" i="5"/>
  <c r="AE243" i="5"/>
  <c r="AE241" i="5"/>
  <c r="AE240" i="5"/>
  <c r="AE224" i="5"/>
  <c r="AE223" i="5"/>
  <c r="AE221" i="5"/>
  <c r="AE220" i="5"/>
  <c r="AE219" i="5"/>
  <c r="AE217" i="5"/>
  <c r="AE215" i="5"/>
  <c r="AE213" i="5"/>
  <c r="AE209" i="5"/>
  <c r="AE207" i="5"/>
  <c r="X410" i="5"/>
  <c r="BH410" i="5" s="1"/>
  <c r="W380" i="5"/>
  <c r="BG380" i="5" s="1"/>
  <c r="W350" i="5"/>
  <c r="BG350" i="5" s="1"/>
  <c r="Y334" i="5"/>
  <c r="BI334" i="5" s="1"/>
  <c r="Y304" i="5"/>
  <c r="BI304" i="5" s="1"/>
  <c r="AE30" i="5"/>
  <c r="AK421" i="5"/>
  <c r="W421" i="5"/>
  <c r="BG421" i="5" s="1"/>
  <c r="AK417" i="5"/>
  <c r="W417" i="5"/>
  <c r="AK415" i="5"/>
  <c r="W415" i="5"/>
  <c r="AK413" i="5"/>
  <c r="W413" i="5"/>
  <c r="AK411" i="5"/>
  <c r="W411" i="5"/>
  <c r="AK409" i="5"/>
  <c r="W409" i="5"/>
  <c r="BG409" i="5" s="1"/>
  <c r="AK397" i="5"/>
  <c r="AZ397" i="5" s="1"/>
  <c r="BP397" i="5" s="1"/>
  <c r="W397" i="5"/>
  <c r="BG397" i="5" s="1"/>
  <c r="AK395" i="5"/>
  <c r="W395" i="5"/>
  <c r="BG395" i="5" s="1"/>
  <c r="AK393" i="5"/>
  <c r="W393" i="5"/>
  <c r="BG393" i="5" s="1"/>
  <c r="AK391" i="5"/>
  <c r="W391" i="5"/>
  <c r="BG391" i="5" s="1"/>
  <c r="AK387" i="5"/>
  <c r="AZ387" i="5" s="1"/>
  <c r="BP387" i="5" s="1"/>
  <c r="W387" i="5"/>
  <c r="BG387" i="5" s="1"/>
  <c r="AK385" i="5"/>
  <c r="W385" i="5"/>
  <c r="BG385" i="5" s="1"/>
  <c r="AW382" i="5"/>
  <c r="BB382" i="5" s="1"/>
  <c r="Y382" i="5"/>
  <c r="BI382" i="5" s="1"/>
  <c r="AW380" i="5"/>
  <c r="BB380" i="5" s="1"/>
  <c r="BR380" i="5" s="1"/>
  <c r="Y380" i="5"/>
  <c r="BI380" i="5" s="1"/>
  <c r="AW378" i="5"/>
  <c r="BB378" i="5" s="1"/>
  <c r="Y378" i="5"/>
  <c r="BI378" i="5" s="1"/>
  <c r="AW374" i="5"/>
  <c r="Y374" i="5"/>
  <c r="BI374" i="5" s="1"/>
  <c r="AW372" i="5"/>
  <c r="BB372" i="5" s="1"/>
  <c r="BR372" i="5" s="1"/>
  <c r="Y372" i="5"/>
  <c r="BI372" i="5" s="1"/>
  <c r="AW364" i="5"/>
  <c r="BB364" i="5" s="1"/>
  <c r="BR364" i="5" s="1"/>
  <c r="Y364" i="5"/>
  <c r="BI364" i="5" s="1"/>
  <c r="BJ364" i="5" s="1"/>
  <c r="AW360" i="5"/>
  <c r="Y360" i="5"/>
  <c r="BI360" i="5" s="1"/>
  <c r="BJ360" i="5" s="1"/>
  <c r="AW354" i="5"/>
  <c r="Y354" i="5"/>
  <c r="BI354" i="5" s="1"/>
  <c r="AW352" i="5"/>
  <c r="Y352" i="5"/>
  <c r="BI352" i="5" s="1"/>
  <c r="AW348" i="5"/>
  <c r="Y348" i="5"/>
  <c r="BI348" i="5" s="1"/>
  <c r="AW314" i="5"/>
  <c r="Y314" i="5"/>
  <c r="BI314" i="5" s="1"/>
  <c r="AW310" i="5"/>
  <c r="Y310" i="5"/>
  <c r="BI310" i="5" s="1"/>
  <c r="AW308" i="5"/>
  <c r="Y308" i="5"/>
  <c r="BI308" i="5" s="1"/>
  <c r="AW300" i="5"/>
  <c r="Y300" i="5"/>
  <c r="BI300" i="5" s="1"/>
  <c r="AW298" i="5"/>
  <c r="Y298" i="5"/>
  <c r="BI298" i="5" s="1"/>
  <c r="AW294" i="5"/>
  <c r="Y294" i="5"/>
  <c r="BI294" i="5" s="1"/>
  <c r="AW292" i="5"/>
  <c r="Y292" i="5"/>
  <c r="BI292" i="5" s="1"/>
  <c r="AW286" i="5"/>
  <c r="Y286" i="5"/>
  <c r="BI286" i="5" s="1"/>
  <c r="AW282" i="5"/>
  <c r="Y282" i="5"/>
  <c r="BI282" i="5" s="1"/>
  <c r="AW280" i="5"/>
  <c r="Y280" i="5"/>
  <c r="BI280" i="5" s="1"/>
  <c r="AW260" i="5"/>
  <c r="Y260" i="5"/>
  <c r="BI260" i="5" s="1"/>
  <c r="AW258" i="5"/>
  <c r="Y258" i="5"/>
  <c r="BI258" i="5" s="1"/>
  <c r="AW250" i="5"/>
  <c r="Y250" i="5"/>
  <c r="BI250" i="5" s="1"/>
  <c r="AW224" i="5"/>
  <c r="Y224" i="5"/>
  <c r="BI224" i="5" s="1"/>
  <c r="AW220" i="5"/>
  <c r="Y220" i="5"/>
  <c r="BI220" i="5" s="1"/>
  <c r="AW216" i="5"/>
  <c r="Y216" i="5"/>
  <c r="BI216" i="5" s="1"/>
  <c r="AQ408" i="5"/>
  <c r="X408" i="5"/>
  <c r="BH408" i="5" s="1"/>
  <c r="AQ406" i="5"/>
  <c r="X406" i="5"/>
  <c r="BH406" i="5" s="1"/>
  <c r="AQ404" i="5"/>
  <c r="X404" i="5"/>
  <c r="BH404" i="5" s="1"/>
  <c r="AQ396" i="5"/>
  <c r="BA396" i="5" s="1"/>
  <c r="X396" i="5"/>
  <c r="BH396" i="5" s="1"/>
  <c r="AQ394" i="5"/>
  <c r="BA394" i="5" s="1"/>
  <c r="X394" i="5"/>
  <c r="BH394" i="5" s="1"/>
  <c r="AE389" i="5"/>
  <c r="V389" i="5"/>
  <c r="BF389" i="5" s="1"/>
  <c r="AE387" i="5"/>
  <c r="AY387" i="5" s="1"/>
  <c r="BO387" i="5" s="1"/>
  <c r="V387" i="5"/>
  <c r="BF387" i="5" s="1"/>
  <c r="AE205" i="5"/>
  <c r="V205" i="5"/>
  <c r="BF205" i="5" s="1"/>
  <c r="AE203" i="5"/>
  <c r="V203" i="5"/>
  <c r="BF203" i="5" s="1"/>
  <c r="AE181" i="5"/>
  <c r="V181" i="5"/>
  <c r="BF181" i="5" s="1"/>
  <c r="AE171" i="5"/>
  <c r="V171" i="5"/>
  <c r="BF171" i="5" s="1"/>
  <c r="AQ168" i="5"/>
  <c r="X168" i="5"/>
  <c r="BH168" i="5" s="1"/>
  <c r="AQ166" i="5"/>
  <c r="X166" i="5"/>
  <c r="BH166" i="5" s="1"/>
  <c r="AQ164" i="5"/>
  <c r="X164" i="5"/>
  <c r="BH164" i="5" s="1"/>
  <c r="AE159" i="5"/>
  <c r="V159" i="5"/>
  <c r="BF159" i="5" s="1"/>
  <c r="AQ155" i="5"/>
  <c r="X155" i="5"/>
  <c r="BH155" i="5" s="1"/>
  <c r="AQ153" i="5"/>
  <c r="X153" i="5"/>
  <c r="BH153" i="5" s="1"/>
  <c r="AQ151" i="5"/>
  <c r="X151" i="5"/>
  <c r="BH151" i="5" s="1"/>
  <c r="AQ149" i="5"/>
  <c r="X149" i="5"/>
  <c r="BH149" i="5" s="1"/>
  <c r="X147" i="5"/>
  <c r="BH147" i="5" s="1"/>
  <c r="AQ147" i="5"/>
  <c r="AQ145" i="5"/>
  <c r="X145" i="5"/>
  <c r="BH145" i="5" s="1"/>
  <c r="W14" i="6" s="1"/>
  <c r="X139" i="5"/>
  <c r="BH139" i="5" s="1"/>
  <c r="AQ139" i="5"/>
  <c r="AE138" i="5"/>
  <c r="V138" i="5"/>
  <c r="BF138" i="5" s="1"/>
  <c r="AQ121" i="5"/>
  <c r="X121" i="5"/>
  <c r="BH121" i="5" s="1"/>
  <c r="AE116" i="5"/>
  <c r="V116" i="5"/>
  <c r="BF116" i="5" s="1"/>
  <c r="AQ113" i="5"/>
  <c r="X113" i="5"/>
  <c r="BH113" i="5" s="1"/>
  <c r="AQ111" i="5"/>
  <c r="X111" i="5"/>
  <c r="BH111" i="5" s="1"/>
  <c r="AQ109" i="5"/>
  <c r="X109" i="5"/>
  <c r="BH109" i="5" s="1"/>
  <c r="AQ105" i="5"/>
  <c r="X105" i="5"/>
  <c r="BH105" i="5" s="1"/>
  <c r="AQ101" i="5"/>
  <c r="X101" i="5"/>
  <c r="BH101" i="5" s="1"/>
  <c r="X83" i="5"/>
  <c r="BH83" i="5" s="1"/>
  <c r="AQ83" i="5"/>
  <c r="AQ81" i="5"/>
  <c r="X81" i="5"/>
  <c r="BH81" i="5" s="1"/>
  <c r="AQ79" i="5"/>
  <c r="X79" i="5"/>
  <c r="BH79" i="5" s="1"/>
  <c r="AQ77" i="5"/>
  <c r="X77" i="5"/>
  <c r="BH77" i="5" s="1"/>
  <c r="AQ75" i="5"/>
  <c r="X75" i="5"/>
  <c r="BH75" i="5" s="1"/>
  <c r="AE74" i="5"/>
  <c r="V74" i="5"/>
  <c r="BF74" i="5" s="1"/>
  <c r="AE72" i="5"/>
  <c r="V72" i="5"/>
  <c r="BF72" i="5" s="1"/>
  <c r="V70" i="5"/>
  <c r="BF70" i="5" s="1"/>
  <c r="AE70" i="5"/>
  <c r="AE68" i="5"/>
  <c r="V68" i="5"/>
  <c r="BF68" i="5" s="1"/>
  <c r="AE66" i="5"/>
  <c r="V66" i="5"/>
  <c r="BF66" i="5" s="1"/>
  <c r="AE64" i="5"/>
  <c r="V64" i="5"/>
  <c r="BF64" i="5" s="1"/>
  <c r="V62" i="5"/>
  <c r="BF62" i="5" s="1"/>
  <c r="AE62" i="5"/>
  <c r="AE60" i="5"/>
  <c r="V60" i="5"/>
  <c r="BF60" i="5" s="1"/>
  <c r="AE58" i="5"/>
  <c r="V58" i="5"/>
  <c r="BF58" i="5" s="1"/>
  <c r="AQ57" i="5"/>
  <c r="X57" i="5"/>
  <c r="BH57" i="5" s="1"/>
  <c r="V56" i="5"/>
  <c r="BF56" i="5" s="1"/>
  <c r="AE56" i="5"/>
  <c r="V54" i="5"/>
  <c r="BF54" i="5" s="1"/>
  <c r="AE54" i="5"/>
  <c r="X51" i="5"/>
  <c r="BH51" i="5" s="1"/>
  <c r="AQ51" i="5"/>
  <c r="AE50" i="5"/>
  <c r="V50" i="5"/>
  <c r="BF50" i="5" s="1"/>
  <c r="V46" i="5"/>
  <c r="BF46" i="5" s="1"/>
  <c r="AE46" i="5"/>
  <c r="AW423" i="5"/>
  <c r="BB423" i="5" s="1"/>
  <c r="BR423" i="5" s="1"/>
  <c r="Y423" i="5"/>
  <c r="BI423" i="5" s="1"/>
  <c r="AK422" i="5"/>
  <c r="W422" i="5"/>
  <c r="BG422" i="5" s="1"/>
  <c r="AW419" i="5"/>
  <c r="Y419" i="5"/>
  <c r="BI419" i="5" s="1"/>
  <c r="AW415" i="5"/>
  <c r="Y415" i="5"/>
  <c r="BI415" i="5" s="1"/>
  <c r="AW411" i="5"/>
  <c r="Y411" i="5"/>
  <c r="AK410" i="5"/>
  <c r="W410" i="5"/>
  <c r="BG410" i="5" s="1"/>
  <c r="AW407" i="5"/>
  <c r="Y407" i="5"/>
  <c r="BI407" i="5" s="1"/>
  <c r="AK406" i="5"/>
  <c r="W406" i="5"/>
  <c r="BG406" i="5" s="1"/>
  <c r="AW403" i="5"/>
  <c r="Y403" i="5"/>
  <c r="BI403" i="5" s="1"/>
  <c r="AW399" i="5"/>
  <c r="BB399" i="5" s="1"/>
  <c r="BR399" i="5" s="1"/>
  <c r="Y399" i="5"/>
  <c r="BI399" i="5" s="1"/>
  <c r="AW395" i="5"/>
  <c r="BB395" i="5" s="1"/>
  <c r="BR395" i="5" s="1"/>
  <c r="Y395" i="5"/>
  <c r="BI395" i="5" s="1"/>
  <c r="AW391" i="5"/>
  <c r="Y391" i="5"/>
  <c r="BI391" i="5" s="1"/>
  <c r="AK390" i="5"/>
  <c r="AZ390" i="5" s="1"/>
  <c r="BP390" i="5" s="1"/>
  <c r="W390" i="5"/>
  <c r="BG390" i="5" s="1"/>
  <c r="AW387" i="5"/>
  <c r="Y387" i="5"/>
  <c r="BI387" i="5" s="1"/>
  <c r="AW383" i="5"/>
  <c r="Y383" i="5"/>
  <c r="BI383" i="5" s="1"/>
  <c r="AK382" i="5"/>
  <c r="W382" i="5"/>
  <c r="BG382" i="5" s="1"/>
  <c r="AW379" i="5"/>
  <c r="Y379" i="5"/>
  <c r="BI379" i="5" s="1"/>
  <c r="AK376" i="5"/>
  <c r="AZ376" i="5" s="1"/>
  <c r="BP376" i="5" s="1"/>
  <c r="W376" i="5"/>
  <c r="BG376" i="5" s="1"/>
  <c r="AW375" i="5"/>
  <c r="BB375" i="5" s="1"/>
  <c r="BR375" i="5" s="1"/>
  <c r="Y375" i="5"/>
  <c r="BI375" i="5" s="1"/>
  <c r="AK374" i="5"/>
  <c r="W374" i="5"/>
  <c r="BG374" i="5" s="1"/>
  <c r="AK372" i="5"/>
  <c r="AZ372" i="5" s="1"/>
  <c r="BP372" i="5" s="1"/>
  <c r="W372" i="5"/>
  <c r="BG372" i="5" s="1"/>
  <c r="AW371" i="5"/>
  <c r="BB371" i="5" s="1"/>
  <c r="BR371" i="5" s="1"/>
  <c r="Y371" i="5"/>
  <c r="BI371" i="5" s="1"/>
  <c r="AK368" i="5"/>
  <c r="AW367" i="5"/>
  <c r="Y367" i="5"/>
  <c r="BI367" i="5" s="1"/>
  <c r="BJ367" i="5" s="1"/>
  <c r="AK366" i="5"/>
  <c r="AK364" i="5"/>
  <c r="AW363" i="5"/>
  <c r="Y363" i="5"/>
  <c r="BI363" i="5" s="1"/>
  <c r="BJ363" i="5" s="1"/>
  <c r="AK360" i="5"/>
  <c r="AW359" i="5"/>
  <c r="BB359" i="5" s="1"/>
  <c r="BR359" i="5" s="1"/>
  <c r="Y359" i="5"/>
  <c r="BI359" i="5" s="1"/>
  <c r="BJ359" i="5" s="1"/>
  <c r="AK358" i="5"/>
  <c r="AK356" i="5"/>
  <c r="W356" i="5"/>
  <c r="BG356" i="5" s="1"/>
  <c r="AW355" i="5"/>
  <c r="Y355" i="5"/>
  <c r="BI355" i="5" s="1"/>
  <c r="AK352" i="5"/>
  <c r="W352" i="5"/>
  <c r="BG352" i="5" s="1"/>
  <c r="AW351" i="5"/>
  <c r="Y351" i="5"/>
  <c r="BI351" i="5" s="1"/>
  <c r="AK348" i="5"/>
  <c r="W348" i="5"/>
  <c r="BG348" i="5" s="1"/>
  <c r="AW347" i="5"/>
  <c r="Y347" i="5"/>
  <c r="BI347" i="5" s="1"/>
  <c r="AK342" i="5"/>
  <c r="W342" i="5"/>
  <c r="BG342" i="5" s="1"/>
  <c r="AK340" i="5"/>
  <c r="W340" i="5"/>
  <c r="BG340" i="5" s="1"/>
  <c r="AW339" i="5"/>
  <c r="Y339" i="5"/>
  <c r="BI339" i="5" s="1"/>
  <c r="AK334" i="5"/>
  <c r="W334" i="5"/>
  <c r="BG334" i="5" s="1"/>
  <c r="AW333" i="5"/>
  <c r="Y333" i="5"/>
  <c r="BI333" i="5" s="1"/>
  <c r="AK332" i="5"/>
  <c r="W332" i="5"/>
  <c r="BG332" i="5" s="1"/>
  <c r="X391" i="5"/>
  <c r="BH391" i="5" s="1"/>
  <c r="V286" i="5"/>
  <c r="BF286" i="5" s="1"/>
  <c r="Y240" i="5"/>
  <c r="BI240" i="5" s="1"/>
  <c r="V177" i="5"/>
  <c r="BF177" i="5" s="1"/>
  <c r="AK425" i="5"/>
  <c r="W425" i="5"/>
  <c r="BG425" i="5" s="1"/>
  <c r="V26" i="6" s="1"/>
  <c r="AK419" i="5"/>
  <c r="W419" i="5"/>
  <c r="AK407" i="5"/>
  <c r="W407" i="5"/>
  <c r="BG407" i="5" s="1"/>
  <c r="AK405" i="5"/>
  <c r="W405" i="5"/>
  <c r="BG405" i="5" s="1"/>
  <c r="AK389" i="5"/>
  <c r="W389" i="5"/>
  <c r="BG389" i="5" s="1"/>
  <c r="AW366" i="5"/>
  <c r="Y366" i="5"/>
  <c r="BI366" i="5" s="1"/>
  <c r="BJ366" i="5" s="1"/>
  <c r="AW342" i="5"/>
  <c r="Y342" i="5"/>
  <c r="BI342" i="5" s="1"/>
  <c r="AW340" i="5"/>
  <c r="Y340" i="5"/>
  <c r="BI340" i="5" s="1"/>
  <c r="AW336" i="5"/>
  <c r="Y336" i="5"/>
  <c r="BI336" i="5" s="1"/>
  <c r="AW332" i="5"/>
  <c r="Y332" i="5"/>
  <c r="BI332" i="5" s="1"/>
  <c r="AW316" i="5"/>
  <c r="Y316" i="5"/>
  <c r="BI316" i="5" s="1"/>
  <c r="AW306" i="5"/>
  <c r="Y306" i="5"/>
  <c r="BI306" i="5" s="1"/>
  <c r="AW284" i="5"/>
  <c r="Y284" i="5"/>
  <c r="BI284" i="5" s="1"/>
  <c r="AW256" i="5"/>
  <c r="Y256" i="5"/>
  <c r="BI256" i="5" s="1"/>
  <c r="AW254" i="5"/>
  <c r="Y254" i="5"/>
  <c r="BI254" i="5" s="1"/>
  <c r="AW252" i="5"/>
  <c r="Y252" i="5"/>
  <c r="BI252" i="5" s="1"/>
  <c r="AW242" i="5"/>
  <c r="Y242" i="5"/>
  <c r="BI242" i="5" s="1"/>
  <c r="AE425" i="5"/>
  <c r="V425" i="5"/>
  <c r="BF425" i="5" s="1"/>
  <c r="U26" i="6" s="1"/>
  <c r="AQ422" i="5"/>
  <c r="X422" i="5"/>
  <c r="BH422" i="5" s="1"/>
  <c r="AE421" i="5"/>
  <c r="V421" i="5"/>
  <c r="BF421" i="5" s="1"/>
  <c r="AQ418" i="5"/>
  <c r="X418" i="5"/>
  <c r="AE417" i="5"/>
  <c r="V417" i="5"/>
  <c r="BF417" i="5" s="1"/>
  <c r="AE413" i="5"/>
  <c r="V413" i="5"/>
  <c r="BF413" i="5" s="1"/>
  <c r="AE411" i="5"/>
  <c r="V411" i="5"/>
  <c r="BF411" i="5" s="1"/>
  <c r="AE409" i="5"/>
  <c r="V409" i="5"/>
  <c r="BF409" i="5" s="1"/>
  <c r="AE405" i="5"/>
  <c r="V405" i="5"/>
  <c r="BF405" i="5" s="1"/>
  <c r="AE399" i="5"/>
  <c r="AY399" i="5" s="1"/>
  <c r="BO399" i="5" s="1"/>
  <c r="V399" i="5"/>
  <c r="BF399" i="5" s="1"/>
  <c r="AE397" i="5"/>
  <c r="V397" i="5"/>
  <c r="BF397" i="5" s="1"/>
  <c r="AE395" i="5"/>
  <c r="V395" i="5"/>
  <c r="BF395" i="5" s="1"/>
  <c r="AQ392" i="5"/>
  <c r="X392" i="5"/>
  <c r="BH392" i="5" s="1"/>
  <c r="AQ386" i="5"/>
  <c r="X386" i="5"/>
  <c r="BH386" i="5" s="1"/>
  <c r="AE385" i="5"/>
  <c r="V385" i="5"/>
  <c r="BF385" i="5" s="1"/>
  <c r="AE377" i="5"/>
  <c r="V377" i="5"/>
  <c r="BF377" i="5" s="1"/>
  <c r="AE373" i="5"/>
  <c r="V373" i="5"/>
  <c r="BF373" i="5" s="1"/>
  <c r="AE361" i="5"/>
  <c r="AE353" i="5"/>
  <c r="V353" i="5"/>
  <c r="BF353" i="5" s="1"/>
  <c r="AE349" i="5"/>
  <c r="V349" i="5"/>
  <c r="BF349" i="5" s="1"/>
  <c r="AQ186" i="5"/>
  <c r="X186" i="5"/>
  <c r="BH186" i="5" s="1"/>
  <c r="AE185" i="5"/>
  <c r="V185" i="5"/>
  <c r="BF185" i="5" s="1"/>
  <c r="AE183" i="5"/>
  <c r="V183" i="5"/>
  <c r="BF183" i="5" s="1"/>
  <c r="AE179" i="5"/>
  <c r="V179" i="5"/>
  <c r="BF179" i="5" s="1"/>
  <c r="AQ170" i="5"/>
  <c r="X170" i="5"/>
  <c r="BH170" i="5" s="1"/>
  <c r="AE169" i="5"/>
  <c r="V169" i="5"/>
  <c r="BF169" i="5" s="1"/>
  <c r="AQ162" i="5"/>
  <c r="X162" i="5"/>
  <c r="BH162" i="5" s="1"/>
  <c r="AQ160" i="5"/>
  <c r="X160" i="5"/>
  <c r="BH160" i="5" s="1"/>
  <c r="AQ143" i="5"/>
  <c r="X143" i="5"/>
  <c r="BH143" i="5" s="1"/>
  <c r="AQ141" i="5"/>
  <c r="X141" i="5"/>
  <c r="BH141" i="5" s="1"/>
  <c r="AQ119" i="5"/>
  <c r="X119" i="5"/>
  <c r="BH119" i="5" s="1"/>
  <c r="V118" i="5"/>
  <c r="BF118" i="5" s="1"/>
  <c r="AE118" i="5"/>
  <c r="AQ103" i="5"/>
  <c r="X103" i="5"/>
  <c r="BH103" i="5" s="1"/>
  <c r="V102" i="5"/>
  <c r="BF102" i="5" s="1"/>
  <c r="AE102" i="5"/>
  <c r="AQ73" i="5"/>
  <c r="X73" i="5"/>
  <c r="BH73" i="5" s="1"/>
  <c r="AQ61" i="5"/>
  <c r="X61" i="5"/>
  <c r="BH61" i="5" s="1"/>
  <c r="AQ59" i="5"/>
  <c r="X59" i="5"/>
  <c r="BH59" i="5" s="1"/>
  <c r="AQ55" i="5"/>
  <c r="X55" i="5"/>
  <c r="BH55" i="5" s="1"/>
  <c r="AQ423" i="5"/>
  <c r="BA423" i="5" s="1"/>
  <c r="BQ423" i="5" s="1"/>
  <c r="X423" i="5"/>
  <c r="BH423" i="5" s="1"/>
  <c r="AE422" i="5"/>
  <c r="V422" i="5"/>
  <c r="BF422" i="5" s="1"/>
  <c r="AE414" i="5"/>
  <c r="V414" i="5"/>
  <c r="BF414" i="5" s="1"/>
  <c r="AQ411" i="5"/>
  <c r="X411" i="5"/>
  <c r="BH411" i="5" s="1"/>
  <c r="AE410" i="5"/>
  <c r="V410" i="5"/>
  <c r="BF410" i="5" s="1"/>
  <c r="AQ407" i="5"/>
  <c r="BA407" i="5" s="1"/>
  <c r="X407" i="5"/>
  <c r="BH407" i="5" s="1"/>
  <c r="AE406" i="5"/>
  <c r="AY406" i="5" s="1"/>
  <c r="BO406" i="5" s="1"/>
  <c r="V406" i="5"/>
  <c r="BF406" i="5" s="1"/>
  <c r="AQ399" i="5"/>
  <c r="BA399" i="5" s="1"/>
  <c r="X399" i="5"/>
  <c r="BH399" i="5" s="1"/>
  <c r="AE390" i="5"/>
  <c r="AY390" i="5" s="1"/>
  <c r="BO390" i="5" s="1"/>
  <c r="V390" i="5"/>
  <c r="BF390" i="5" s="1"/>
  <c r="AQ383" i="5"/>
  <c r="BA383" i="5" s="1"/>
  <c r="X383" i="5"/>
  <c r="BH383" i="5" s="1"/>
  <c r="AQ381" i="5"/>
  <c r="X381" i="5"/>
  <c r="BH381" i="5" s="1"/>
  <c r="AE380" i="5"/>
  <c r="V380" i="5"/>
  <c r="BF380" i="5" s="1"/>
  <c r="AQ379" i="5"/>
  <c r="X379" i="5"/>
  <c r="BH379" i="5" s="1"/>
  <c r="AQ377" i="5"/>
  <c r="X377" i="5"/>
  <c r="BH377" i="5" s="1"/>
  <c r="AE376" i="5"/>
  <c r="V376" i="5"/>
  <c r="BF376" i="5" s="1"/>
  <c r="AQ375" i="5"/>
  <c r="X375" i="5"/>
  <c r="BH375" i="5" s="1"/>
  <c r="AQ373" i="5"/>
  <c r="X373" i="5"/>
  <c r="BH373" i="5" s="1"/>
  <c r="AE372" i="5"/>
  <c r="V372" i="5"/>
  <c r="BF372" i="5" s="1"/>
  <c r="AQ371" i="5"/>
  <c r="X371" i="5"/>
  <c r="BH371" i="5" s="1"/>
  <c r="AQ369" i="5"/>
  <c r="AE368" i="5"/>
  <c r="AQ367" i="5"/>
  <c r="AQ365" i="5"/>
  <c r="AE364" i="5"/>
  <c r="AY364" i="5" s="1"/>
  <c r="BO364" i="5" s="1"/>
  <c r="AQ363" i="5"/>
  <c r="AE360" i="5"/>
  <c r="AQ359" i="5"/>
  <c r="AQ357" i="5"/>
  <c r="X357" i="5"/>
  <c r="BH357" i="5" s="1"/>
  <c r="AE356" i="5"/>
  <c r="V356" i="5"/>
  <c r="BF356" i="5" s="1"/>
  <c r="AQ355" i="5"/>
  <c r="X355" i="5"/>
  <c r="BH355" i="5" s="1"/>
  <c r="AQ353" i="5"/>
  <c r="X353" i="5"/>
  <c r="AE352" i="5"/>
  <c r="V352" i="5"/>
  <c r="BF352" i="5" s="1"/>
  <c r="AQ351" i="5"/>
  <c r="X351" i="5"/>
  <c r="BH351" i="5" s="1"/>
  <c r="AQ349" i="5"/>
  <c r="X349" i="5"/>
  <c r="BH349" i="5" s="1"/>
  <c r="AE348" i="5"/>
  <c r="V348" i="5"/>
  <c r="BF348" i="5" s="1"/>
  <c r="AQ347" i="5"/>
  <c r="X347" i="5"/>
  <c r="BH347" i="5" s="1"/>
  <c r="AQ341" i="5"/>
  <c r="X341" i="5"/>
  <c r="BH341" i="5" s="1"/>
  <c r="AE340" i="5"/>
  <c r="V340" i="5"/>
  <c r="BF340" i="5" s="1"/>
  <c r="AQ339" i="5"/>
  <c r="X339" i="5"/>
  <c r="BH339" i="5" s="1"/>
  <c r="AQ335" i="5"/>
  <c r="X335" i="5"/>
  <c r="BH335" i="5" s="1"/>
  <c r="AE334" i="5"/>
  <c r="V334" i="5"/>
  <c r="BF334" i="5" s="1"/>
  <c r="AQ331" i="5"/>
  <c r="X331" i="5"/>
  <c r="BH331" i="5" s="1"/>
  <c r="AQ315" i="5"/>
  <c r="X315" i="5"/>
  <c r="BH315" i="5" s="1"/>
  <c r="AE314" i="5"/>
  <c r="V314" i="5"/>
  <c r="BF314" i="5" s="1"/>
  <c r="AQ311" i="5"/>
  <c r="X311" i="5"/>
  <c r="BH311" i="5" s="1"/>
  <c r="AE310" i="5"/>
  <c r="V310" i="5"/>
  <c r="BF310" i="5" s="1"/>
  <c r="AQ307" i="5"/>
  <c r="X307" i="5"/>
  <c r="BH307" i="5" s="1"/>
  <c r="AE306" i="5"/>
  <c r="V306" i="5"/>
  <c r="BF306" i="5" s="1"/>
  <c r="AQ303" i="5"/>
  <c r="X303" i="5"/>
  <c r="BH303" i="5" s="1"/>
  <c r="AQ299" i="5"/>
  <c r="X299" i="5"/>
  <c r="BH299" i="5" s="1"/>
  <c r="AE298" i="5"/>
  <c r="V298" i="5"/>
  <c r="BF298" i="5" s="1"/>
  <c r="AQ295" i="5"/>
  <c r="X295" i="5"/>
  <c r="BH295" i="5" s="1"/>
  <c r="AE294" i="5"/>
  <c r="V294" i="5"/>
  <c r="BF294" i="5" s="1"/>
  <c r="AQ291" i="5"/>
  <c r="X291" i="5"/>
  <c r="BH291" i="5" s="1"/>
  <c r="AQ283" i="5"/>
  <c r="X283" i="5"/>
  <c r="BH283" i="5" s="1"/>
  <c r="AE282" i="5"/>
  <c r="V282" i="5"/>
  <c r="BF282" i="5" s="1"/>
  <c r="AQ279" i="5"/>
  <c r="X279" i="5"/>
  <c r="BH279" i="5" s="1"/>
  <c r="AE278" i="5"/>
  <c r="V278" i="5"/>
  <c r="BF278" i="5" s="1"/>
  <c r="AQ275" i="5"/>
  <c r="X275" i="5"/>
  <c r="BH275" i="5" s="1"/>
  <c r="AQ259" i="5"/>
  <c r="X259" i="5"/>
  <c r="BH259" i="5" s="1"/>
  <c r="AE258" i="5"/>
  <c r="V258" i="5"/>
  <c r="BF258" i="5" s="1"/>
  <c r="AQ255" i="5"/>
  <c r="X255" i="5"/>
  <c r="BH255" i="5" s="1"/>
  <c r="AE254" i="5"/>
  <c r="V254" i="5"/>
  <c r="BF254" i="5" s="1"/>
  <c r="AQ251" i="5"/>
  <c r="X251" i="5"/>
  <c r="BH251" i="5" s="1"/>
  <c r="AE250" i="5"/>
  <c r="V250" i="5"/>
  <c r="BF250" i="5" s="1"/>
  <c r="AQ247" i="5"/>
  <c r="X247" i="5"/>
  <c r="BH247" i="5" s="1"/>
  <c r="AQ243" i="5"/>
  <c r="X243" i="5"/>
  <c r="BH243" i="5" s="1"/>
  <c r="AE242" i="5"/>
  <c r="V242" i="5"/>
  <c r="BF242" i="5" s="1"/>
  <c r="AQ223" i="5"/>
  <c r="X223" i="5"/>
  <c r="BH223" i="5" s="1"/>
  <c r="AQ219" i="5"/>
  <c r="X219" i="5"/>
  <c r="BH219" i="5" s="1"/>
  <c r="AE218" i="5"/>
  <c r="V218" i="5"/>
  <c r="BF218" i="5" s="1"/>
  <c r="AQ217" i="5"/>
  <c r="V222" i="5"/>
  <c r="BF222" i="5" s="1"/>
  <c r="V162" i="5"/>
  <c r="BF162" i="5" s="1"/>
  <c r="AW317" i="5"/>
  <c r="Y317" i="5"/>
  <c r="BI317" i="5" s="1"/>
  <c r="AK316" i="5"/>
  <c r="W316" i="5"/>
  <c r="BG316" i="5" s="1"/>
  <c r="Y313" i="5"/>
  <c r="BI313" i="5" s="1"/>
  <c r="AW313" i="5"/>
  <c r="AW309" i="5"/>
  <c r="Y309" i="5"/>
  <c r="BI309" i="5" s="1"/>
  <c r="AK308" i="5"/>
  <c r="W308" i="5"/>
  <c r="BG308" i="5" s="1"/>
  <c r="AK306" i="5"/>
  <c r="W306" i="5"/>
  <c r="BG306" i="5" s="1"/>
  <c r="AW301" i="5"/>
  <c r="Y301" i="5"/>
  <c r="BI301" i="5" s="1"/>
  <c r="AK300" i="5"/>
  <c r="W300" i="5"/>
  <c r="BG300" i="5" s="1"/>
  <c r="AW297" i="5"/>
  <c r="Y297" i="5"/>
  <c r="BI297" i="5" s="1"/>
  <c r="AW293" i="5"/>
  <c r="Y293" i="5"/>
  <c r="BI293" i="5" s="1"/>
  <c r="AK292" i="5"/>
  <c r="W292" i="5"/>
  <c r="BG292" i="5" s="1"/>
  <c r="AK286" i="5"/>
  <c r="W286" i="5"/>
  <c r="BG286" i="5" s="1"/>
  <c r="AW285" i="5"/>
  <c r="Y285" i="5"/>
  <c r="BI285" i="5" s="1"/>
  <c r="AK284" i="5"/>
  <c r="W284" i="5"/>
  <c r="BG284" i="5" s="1"/>
  <c r="AW277" i="5"/>
  <c r="Y277" i="5"/>
  <c r="BI277" i="5" s="1"/>
  <c r="AK276" i="5"/>
  <c r="W276" i="5"/>
  <c r="BG276" i="5" s="1"/>
  <c r="AW261" i="5"/>
  <c r="Y261" i="5"/>
  <c r="BI261" i="5" s="1"/>
  <c r="AK260" i="5"/>
  <c r="W260" i="5"/>
  <c r="BG260" i="5" s="1"/>
  <c r="AK258" i="5"/>
  <c r="W258" i="5"/>
  <c r="BG258" i="5" s="1"/>
  <c r="AK256" i="5"/>
  <c r="W256" i="5"/>
  <c r="BG256" i="5" s="1"/>
  <c r="AK254" i="5"/>
  <c r="W254" i="5"/>
  <c r="BG254" i="5" s="1"/>
  <c r="AW253" i="5"/>
  <c r="Y253" i="5"/>
  <c r="BI253" i="5" s="1"/>
  <c r="AK252" i="5"/>
  <c r="W252" i="5"/>
  <c r="BG252" i="5" s="1"/>
  <c r="AW245" i="5"/>
  <c r="Y245" i="5"/>
  <c r="BI245" i="5" s="1"/>
  <c r="AK244" i="5"/>
  <c r="W244" i="5"/>
  <c r="BG244" i="5" s="1"/>
  <c r="AK242" i="5"/>
  <c r="W242" i="5"/>
  <c r="BG242" i="5" s="1"/>
  <c r="AK240" i="5"/>
  <c r="W240" i="5"/>
  <c r="BG240" i="5" s="1"/>
  <c r="AK224" i="5"/>
  <c r="W224" i="5"/>
  <c r="BG224" i="5" s="1"/>
  <c r="AK222" i="5"/>
  <c r="W222" i="5"/>
  <c r="BG222" i="5" s="1"/>
  <c r="AW221" i="5"/>
  <c r="Y221" i="5"/>
  <c r="BI221" i="5" s="1"/>
  <c r="AK220" i="5"/>
  <c r="W220" i="5"/>
  <c r="BG220" i="5" s="1"/>
  <c r="AW217" i="5"/>
  <c r="Y217" i="5"/>
  <c r="BI217" i="5" s="1"/>
  <c r="AK214" i="5"/>
  <c r="W214" i="5"/>
  <c r="BG214" i="5" s="1"/>
  <c r="AW213" i="5"/>
  <c r="Y213" i="5"/>
  <c r="BI213" i="5" s="1"/>
  <c r="AK212" i="5"/>
  <c r="W212" i="5"/>
  <c r="BG212" i="5" s="1"/>
  <c r="AW209" i="5"/>
  <c r="Y209" i="5"/>
  <c r="BI209" i="5" s="1"/>
  <c r="AK206" i="5"/>
  <c r="W206" i="5"/>
  <c r="BG206" i="5" s="1"/>
  <c r="AW205" i="5"/>
  <c r="Y205" i="5"/>
  <c r="BI205" i="5" s="1"/>
  <c r="AK202" i="5"/>
  <c r="W202" i="5"/>
  <c r="BG202" i="5" s="1"/>
  <c r="AK186" i="5"/>
  <c r="W186" i="5"/>
  <c r="BG186" i="5" s="1"/>
  <c r="AW183" i="5"/>
  <c r="Y183" i="5"/>
  <c r="BI183" i="5" s="1"/>
  <c r="AK182" i="5"/>
  <c r="W182" i="5"/>
  <c r="BG182" i="5" s="1"/>
  <c r="AW179" i="5"/>
  <c r="Y179" i="5"/>
  <c r="BI179" i="5" s="1"/>
  <c r="AK178" i="5"/>
  <c r="W178" i="5"/>
  <c r="BG178" i="5" s="1"/>
  <c r="AW171" i="5"/>
  <c r="Y171" i="5"/>
  <c r="BI171" i="5" s="1"/>
  <c r="AK170" i="5"/>
  <c r="W170" i="5"/>
  <c r="BG170" i="5" s="1"/>
  <c r="AW167" i="5"/>
  <c r="Y167" i="5"/>
  <c r="BI167" i="5" s="1"/>
  <c r="AK166" i="5"/>
  <c r="W166" i="5"/>
  <c r="BG166" i="5" s="1"/>
  <c r="AW163" i="5"/>
  <c r="Y163" i="5"/>
  <c r="BI163" i="5" s="1"/>
  <c r="AK162" i="5"/>
  <c r="W162" i="5"/>
  <c r="BG162" i="5" s="1"/>
  <c r="AK158" i="5"/>
  <c r="W158" i="5"/>
  <c r="BG158" i="5" s="1"/>
  <c r="AK153" i="5"/>
  <c r="W153" i="5"/>
  <c r="BG153" i="5" s="1"/>
  <c r="AW150" i="5"/>
  <c r="Y150" i="5"/>
  <c r="BI150" i="5" s="1"/>
  <c r="AK149" i="5"/>
  <c r="W149" i="5"/>
  <c r="BG149" i="5" s="1"/>
  <c r="AW146" i="5"/>
  <c r="Y146" i="5"/>
  <c r="BI146" i="5" s="1"/>
  <c r="AW142" i="5"/>
  <c r="Y142" i="5"/>
  <c r="BI142" i="5" s="1"/>
  <c r="AK141" i="5"/>
  <c r="W141" i="5"/>
  <c r="BG141" i="5" s="1"/>
  <c r="AW138" i="5"/>
  <c r="Y138" i="5"/>
  <c r="BI138" i="5" s="1"/>
  <c r="W121" i="5"/>
  <c r="BG121" i="5" s="1"/>
  <c r="AK121" i="5"/>
  <c r="AK117" i="5"/>
  <c r="W117" i="5"/>
  <c r="BG117" i="5" s="1"/>
  <c r="AW114" i="5"/>
  <c r="Y114" i="5"/>
  <c r="BI114" i="5" s="1"/>
  <c r="AK113" i="5"/>
  <c r="W113" i="5"/>
  <c r="BG113" i="5" s="1"/>
  <c r="AW110" i="5"/>
  <c r="Y110" i="5"/>
  <c r="BI110" i="5" s="1"/>
  <c r="AK109" i="5"/>
  <c r="W109" i="5"/>
  <c r="BG109" i="5" s="1"/>
  <c r="AW106" i="5"/>
  <c r="Y106" i="5"/>
  <c r="BI106" i="5" s="1"/>
  <c r="AK105" i="5"/>
  <c r="W105" i="5"/>
  <c r="BG105" i="5" s="1"/>
  <c r="AW102" i="5"/>
  <c r="Y102" i="5"/>
  <c r="BI102" i="5" s="1"/>
  <c r="AK101" i="5"/>
  <c r="W101" i="5"/>
  <c r="BG101" i="5" s="1"/>
  <c r="AW82" i="5"/>
  <c r="Y82" i="5"/>
  <c r="BI82" i="5" s="1"/>
  <c r="AW78" i="5"/>
  <c r="Y78" i="5"/>
  <c r="BI78" i="5" s="1"/>
  <c r="AK77" i="5"/>
  <c r="W77" i="5"/>
  <c r="BG77" i="5" s="1"/>
  <c r="AW74" i="5"/>
  <c r="Y74" i="5"/>
  <c r="BI74" i="5" s="1"/>
  <c r="AK73" i="5"/>
  <c r="W73" i="5"/>
  <c r="BG73" i="5" s="1"/>
  <c r="AW70" i="5"/>
  <c r="Y70" i="5"/>
  <c r="BI70" i="5" s="1"/>
  <c r="AK69" i="5"/>
  <c r="W69" i="5"/>
  <c r="BG69" i="5" s="1"/>
  <c r="AW66" i="5"/>
  <c r="Y66" i="5"/>
  <c r="BI66" i="5" s="1"/>
  <c r="AK65" i="5"/>
  <c r="W65" i="5"/>
  <c r="BG65" i="5" s="1"/>
  <c r="Y62" i="5"/>
  <c r="BI62" i="5" s="1"/>
  <c r="AW62" i="5"/>
  <c r="AK61" i="5"/>
  <c r="W61" i="5"/>
  <c r="BG61" i="5" s="1"/>
  <c r="AW58" i="5"/>
  <c r="Y58" i="5"/>
  <c r="BI58" i="5" s="1"/>
  <c r="W57" i="5"/>
  <c r="BG57" i="5" s="1"/>
  <c r="AK57" i="5"/>
  <c r="AK53" i="5"/>
  <c r="W53" i="5"/>
  <c r="BG53" i="5" s="1"/>
  <c r="AW50" i="5"/>
  <c r="Y50" i="5"/>
  <c r="BI50" i="5" s="1"/>
  <c r="Y46" i="5"/>
  <c r="BI46" i="5" s="1"/>
  <c r="AW46" i="5"/>
  <c r="AK45" i="5"/>
  <c r="W45" i="5"/>
  <c r="BG45" i="5" s="1"/>
  <c r="AW42" i="5"/>
  <c r="Y42" i="5"/>
  <c r="BI42" i="5" s="1"/>
  <c r="W41" i="5"/>
  <c r="BG41" i="5" s="1"/>
  <c r="AK41" i="5"/>
  <c r="AW38" i="5"/>
  <c r="Y38" i="5"/>
  <c r="BI38" i="5" s="1"/>
  <c r="AK37" i="5"/>
  <c r="W37" i="5"/>
  <c r="BG37" i="5" s="1"/>
  <c r="AW34" i="5"/>
  <c r="Y34" i="5"/>
  <c r="BI34" i="5" s="1"/>
  <c r="W33" i="5"/>
  <c r="BG33" i="5" s="1"/>
  <c r="AK33" i="5"/>
  <c r="Y30" i="5"/>
  <c r="BI30" i="5" s="1"/>
  <c r="AW30" i="5"/>
  <c r="AK29" i="5"/>
  <c r="W29" i="5"/>
  <c r="BG29" i="5" s="1"/>
  <c r="AW425" i="5"/>
  <c r="AW424" i="5"/>
  <c r="AW422" i="5"/>
  <c r="AW421" i="5"/>
  <c r="AW420" i="5"/>
  <c r="AW418" i="5"/>
  <c r="AW417" i="5"/>
  <c r="AW416" i="5"/>
  <c r="AW414" i="5"/>
  <c r="AW413" i="5"/>
  <c r="AW412" i="5"/>
  <c r="AW410" i="5"/>
  <c r="AW409" i="5"/>
  <c r="AW408" i="5"/>
  <c r="AW406" i="5"/>
  <c r="AW405" i="5"/>
  <c r="BB405" i="5" s="1"/>
  <c r="AW404" i="5"/>
  <c r="AW402" i="5"/>
  <c r="BB402" i="5" s="1"/>
  <c r="AW401" i="5"/>
  <c r="AW400" i="5"/>
  <c r="BB400" i="5" s="1"/>
  <c r="BR400" i="5" s="1"/>
  <c r="AW398" i="5"/>
  <c r="AW397" i="5"/>
  <c r="BB397" i="5" s="1"/>
  <c r="AW396" i="5"/>
  <c r="AW394" i="5"/>
  <c r="AW393" i="5"/>
  <c r="AW392" i="5"/>
  <c r="AW390" i="5"/>
  <c r="AW389" i="5"/>
  <c r="AW388" i="5"/>
  <c r="AW386" i="5"/>
  <c r="AW385" i="5"/>
  <c r="AW384" i="5"/>
  <c r="BB384" i="5" s="1"/>
  <c r="AW381" i="5"/>
  <c r="AW377" i="5"/>
  <c r="BB377" i="5" s="1"/>
  <c r="BR377" i="5" s="1"/>
  <c r="AW373" i="5"/>
  <c r="AW369" i="5"/>
  <c r="AW365" i="5"/>
  <c r="BB365" i="5" s="1"/>
  <c r="BR365" i="5" s="1"/>
  <c r="AW361" i="5"/>
  <c r="BB361" i="5" s="1"/>
  <c r="BR361" i="5" s="1"/>
  <c r="AW357" i="5"/>
  <c r="AW353" i="5"/>
  <c r="AW349" i="5"/>
  <c r="AW341" i="5"/>
  <c r="AW335" i="5"/>
  <c r="AW331" i="5"/>
  <c r="AW315" i="5"/>
  <c r="AW311" i="5"/>
  <c r="AW307" i="5"/>
  <c r="AW303" i="5"/>
  <c r="AW299" i="5"/>
  <c r="AW295" i="5"/>
  <c r="AW291" i="5"/>
  <c r="AW283" i="5"/>
  <c r="AW279" i="5"/>
  <c r="AW275" i="5"/>
  <c r="AW259" i="5"/>
  <c r="AW255" i="5"/>
  <c r="AW251" i="5"/>
  <c r="AW247" i="5"/>
  <c r="AW243" i="5"/>
  <c r="AW223" i="5"/>
  <c r="AW219" i="5"/>
  <c r="AW215" i="5"/>
  <c r="AW207" i="5"/>
  <c r="AW204" i="5"/>
  <c r="AW202" i="5"/>
  <c r="AW186" i="5"/>
  <c r="AW185" i="5"/>
  <c r="AW184" i="5"/>
  <c r="AW182" i="5"/>
  <c r="AW181" i="5"/>
  <c r="AW180" i="5"/>
  <c r="AW178" i="5"/>
  <c r="AW177" i="5"/>
  <c r="AW172" i="5"/>
  <c r="AW170" i="5"/>
  <c r="AW169" i="5"/>
  <c r="AW168" i="5"/>
  <c r="AW166" i="5"/>
  <c r="AW165" i="5"/>
  <c r="AW164" i="5"/>
  <c r="AW162" i="5"/>
  <c r="AW161" i="5"/>
  <c r="AW158" i="5"/>
  <c r="AW157" i="5"/>
  <c r="AW155" i="5"/>
  <c r="AW153" i="5"/>
  <c r="AW152" i="5"/>
  <c r="AW151" i="5"/>
  <c r="AW149" i="5"/>
  <c r="AW148" i="5"/>
  <c r="AW147" i="5"/>
  <c r="AW145" i="5"/>
  <c r="AW143" i="5"/>
  <c r="AW141" i="5"/>
  <c r="AW140" i="5"/>
  <c r="AW139" i="5"/>
  <c r="AW121" i="5"/>
  <c r="AW120" i="5"/>
  <c r="AW119" i="5"/>
  <c r="AW117" i="5"/>
  <c r="AW116" i="5"/>
  <c r="AW115" i="5"/>
  <c r="AW113" i="5"/>
  <c r="AW112" i="5"/>
  <c r="AW111" i="5"/>
  <c r="AW109" i="5"/>
  <c r="AW108" i="5"/>
  <c r="AW105" i="5"/>
  <c r="AW104" i="5"/>
  <c r="AW103" i="5"/>
  <c r="AW101" i="5"/>
  <c r="AW84" i="5"/>
  <c r="AW83" i="5"/>
  <c r="AW80" i="5"/>
  <c r="AW79" i="5"/>
  <c r="AW77" i="5"/>
  <c r="AW76" i="5"/>
  <c r="AW75" i="5"/>
  <c r="AW73" i="5"/>
  <c r="AW72" i="5"/>
  <c r="AW71" i="5"/>
  <c r="AW69" i="5"/>
  <c r="AW68" i="5"/>
  <c r="AW67" i="5"/>
  <c r="AW65" i="5"/>
  <c r="AW64" i="5"/>
  <c r="AW63" i="5"/>
  <c r="AW61" i="5"/>
  <c r="AW60" i="5"/>
  <c r="AW59" i="5"/>
  <c r="AW57" i="5"/>
  <c r="AW56" i="5"/>
  <c r="AW55" i="5"/>
  <c r="AW53" i="5"/>
  <c r="AW52" i="5"/>
  <c r="AW51" i="5"/>
  <c r="AW49" i="5"/>
  <c r="AW48" i="5"/>
  <c r="AW47" i="5"/>
  <c r="AW45" i="5"/>
  <c r="AW44" i="5"/>
  <c r="AW43" i="5"/>
  <c r="AW40" i="5"/>
  <c r="AW39" i="5"/>
  <c r="AW37" i="5"/>
  <c r="AW36" i="5"/>
  <c r="AW35" i="5"/>
  <c r="AW33" i="5"/>
  <c r="AW32" i="5"/>
  <c r="AW31" i="5"/>
  <c r="AW29" i="5"/>
  <c r="AW11" i="5"/>
  <c r="Y212" i="5"/>
  <c r="BI212" i="5" s="1"/>
  <c r="W81" i="5"/>
  <c r="BG81" i="5" s="1"/>
  <c r="AK58" i="5"/>
  <c r="V216" i="5"/>
  <c r="BF216" i="5" s="1"/>
  <c r="AQ215" i="5"/>
  <c r="X215" i="5"/>
  <c r="BH215" i="5" s="1"/>
  <c r="AE214" i="5"/>
  <c r="V214" i="5"/>
  <c r="BF214" i="5" s="1"/>
  <c r="V212" i="5"/>
  <c r="BF212" i="5" s="1"/>
  <c r="AQ207" i="5"/>
  <c r="X207" i="5"/>
  <c r="BH207" i="5" s="1"/>
  <c r="AE206" i="5"/>
  <c r="V206" i="5"/>
  <c r="BF206" i="5" s="1"/>
  <c r="V204" i="5"/>
  <c r="BF204" i="5" s="1"/>
  <c r="AE202" i="5"/>
  <c r="V202" i="5"/>
  <c r="BF202" i="5" s="1"/>
  <c r="AE186" i="5"/>
  <c r="V186" i="5"/>
  <c r="BF186" i="5" s="1"/>
  <c r="V184" i="5"/>
  <c r="BF184" i="5" s="1"/>
  <c r="AE182" i="5"/>
  <c r="V182" i="5"/>
  <c r="BF182" i="5" s="1"/>
  <c r="V180" i="5"/>
  <c r="BF180" i="5" s="1"/>
  <c r="AE178" i="5"/>
  <c r="V178" i="5"/>
  <c r="BF178" i="5" s="1"/>
  <c r="V172" i="5"/>
  <c r="BF172" i="5" s="1"/>
  <c r="AE170" i="5"/>
  <c r="V170" i="5"/>
  <c r="BF170" i="5" s="1"/>
  <c r="V168" i="5"/>
  <c r="BF168" i="5" s="1"/>
  <c r="AE166" i="5"/>
  <c r="V166" i="5"/>
  <c r="BF166" i="5" s="1"/>
  <c r="V164" i="5"/>
  <c r="BF164" i="5" s="1"/>
  <c r="AE162" i="5"/>
  <c r="V160" i="5"/>
  <c r="BF160" i="5" s="1"/>
  <c r="AE158" i="5"/>
  <c r="V158" i="5"/>
  <c r="BF158" i="5" s="1"/>
  <c r="V155" i="5"/>
  <c r="BF155" i="5" s="1"/>
  <c r="AE153" i="5"/>
  <c r="V153" i="5"/>
  <c r="BF153" i="5" s="1"/>
  <c r="V151" i="5"/>
  <c r="BF151" i="5" s="1"/>
  <c r="AE149" i="5"/>
  <c r="V149" i="5"/>
  <c r="BF149" i="5" s="1"/>
  <c r="V147" i="5"/>
  <c r="BF147" i="5" s="1"/>
  <c r="AE145" i="5"/>
  <c r="V145" i="5"/>
  <c r="BF145" i="5" s="1"/>
  <c r="U14" i="6" s="1"/>
  <c r="V143" i="5"/>
  <c r="BF143" i="5" s="1"/>
  <c r="AE141" i="5"/>
  <c r="V141" i="5"/>
  <c r="BF141" i="5" s="1"/>
  <c r="V139" i="5"/>
  <c r="BF139" i="5" s="1"/>
  <c r="AE121" i="5"/>
  <c r="V121" i="5"/>
  <c r="BF121" i="5" s="1"/>
  <c r="AE117" i="5"/>
  <c r="V117" i="5"/>
  <c r="BF117" i="5" s="1"/>
  <c r="AE113" i="5"/>
  <c r="V113" i="5"/>
  <c r="BF113" i="5" s="1"/>
  <c r="AE109" i="5"/>
  <c r="V109" i="5"/>
  <c r="BF109" i="5" s="1"/>
  <c r="AE105" i="5"/>
  <c r="V105" i="5"/>
  <c r="BF105" i="5" s="1"/>
  <c r="AE101" i="5"/>
  <c r="V101" i="5"/>
  <c r="BF101" i="5" s="1"/>
  <c r="AE81" i="5"/>
  <c r="V81" i="5"/>
  <c r="BF81" i="5" s="1"/>
  <c r="AE77" i="5"/>
  <c r="V77" i="5"/>
  <c r="BF77" i="5" s="1"/>
  <c r="AE73" i="5"/>
  <c r="V73" i="5"/>
  <c r="BF73" i="5" s="1"/>
  <c r="AE69" i="5"/>
  <c r="V69" i="5"/>
  <c r="BF69" i="5" s="1"/>
  <c r="AE65" i="5"/>
  <c r="V65" i="5"/>
  <c r="BF65" i="5" s="1"/>
  <c r="AE61" i="5"/>
  <c r="V61" i="5"/>
  <c r="BF61" i="5" s="1"/>
  <c r="V57" i="5"/>
  <c r="BF57" i="5" s="1"/>
  <c r="AE57" i="5"/>
  <c r="AE53" i="5"/>
  <c r="V53" i="5"/>
  <c r="BF53" i="5" s="1"/>
  <c r="AE49" i="5"/>
  <c r="V49" i="5"/>
  <c r="BF49" i="5" s="1"/>
  <c r="AE45" i="5"/>
  <c r="V45" i="5"/>
  <c r="BF45" i="5" s="1"/>
  <c r="V41" i="5"/>
  <c r="BF41" i="5" s="1"/>
  <c r="AE41" i="5"/>
  <c r="AE37" i="5"/>
  <c r="V37" i="5"/>
  <c r="BF37" i="5" s="1"/>
  <c r="AE33" i="5"/>
  <c r="V33" i="5"/>
  <c r="BF33" i="5" s="1"/>
  <c r="AE29" i="5"/>
  <c r="V29" i="5"/>
  <c r="BF29" i="5" s="1"/>
  <c r="AE9" i="5"/>
  <c r="AQ425" i="5"/>
  <c r="AQ424" i="5"/>
  <c r="AQ421" i="5"/>
  <c r="AQ419" i="5"/>
  <c r="AQ417" i="5"/>
  <c r="AQ416" i="5"/>
  <c r="AQ415" i="5"/>
  <c r="AQ413" i="5"/>
  <c r="AQ409" i="5"/>
  <c r="AQ405" i="5"/>
  <c r="AQ403" i="5"/>
  <c r="BA403" i="5" s="1"/>
  <c r="BQ403" i="5" s="1"/>
  <c r="AQ401" i="5"/>
  <c r="AQ400" i="5"/>
  <c r="AQ397" i="5"/>
  <c r="AQ395" i="5"/>
  <c r="AQ393" i="5"/>
  <c r="AQ389" i="5"/>
  <c r="AQ387" i="5"/>
  <c r="AQ385" i="5"/>
  <c r="AQ384" i="5"/>
  <c r="BA384" i="5" s="1"/>
  <c r="BQ384" i="5" s="1"/>
  <c r="AQ382" i="5"/>
  <c r="AQ380" i="5"/>
  <c r="AQ378" i="5"/>
  <c r="AQ376" i="5"/>
  <c r="AQ374" i="5"/>
  <c r="AQ372" i="5"/>
  <c r="AQ370" i="5"/>
  <c r="AQ368" i="5"/>
  <c r="AR368" i="5" s="1"/>
  <c r="AQ366" i="5"/>
  <c r="AR366" i="5" s="1"/>
  <c r="AQ364" i="5"/>
  <c r="AR364" i="5" s="1"/>
  <c r="AQ362" i="5"/>
  <c r="AR362" i="5" s="1"/>
  <c r="AQ360" i="5"/>
  <c r="AQ358" i="5"/>
  <c r="AR358" i="5" s="1"/>
  <c r="AQ356" i="5"/>
  <c r="AQ354" i="5"/>
  <c r="AQ352" i="5"/>
  <c r="AQ350" i="5"/>
  <c r="BA350" i="5" s="1"/>
  <c r="AQ348" i="5"/>
  <c r="AQ342" i="5"/>
  <c r="AQ340" i="5"/>
  <c r="AQ338" i="5"/>
  <c r="AQ336" i="5"/>
  <c r="AQ334" i="5"/>
  <c r="AQ333" i="5"/>
  <c r="AQ332" i="5"/>
  <c r="AQ317" i="5"/>
  <c r="AQ316" i="5"/>
  <c r="AQ314" i="5"/>
  <c r="AQ313" i="5"/>
  <c r="AQ312" i="5"/>
  <c r="AQ310" i="5"/>
  <c r="AQ309" i="5"/>
  <c r="AQ308" i="5"/>
  <c r="AQ306" i="5"/>
  <c r="AQ305" i="5"/>
  <c r="AQ304" i="5"/>
  <c r="AQ301" i="5"/>
  <c r="AQ300" i="5"/>
  <c r="AQ298" i="5"/>
  <c r="AQ297" i="5"/>
  <c r="AQ296" i="5"/>
  <c r="AQ294" i="5"/>
  <c r="AQ293" i="5"/>
  <c r="AQ292" i="5"/>
  <c r="AQ286" i="5"/>
  <c r="AQ285" i="5"/>
  <c r="AQ284" i="5"/>
  <c r="AQ282" i="5"/>
  <c r="AQ280" i="5"/>
  <c r="AQ278" i="5"/>
  <c r="AQ277" i="5"/>
  <c r="AQ276" i="5"/>
  <c r="AQ261" i="5"/>
  <c r="AQ260" i="5"/>
  <c r="AQ258" i="5"/>
  <c r="AQ257" i="5"/>
  <c r="AQ256" i="5"/>
  <c r="AQ254" i="5"/>
  <c r="AQ253" i="5"/>
  <c r="AQ252" i="5"/>
  <c r="AQ250" i="5"/>
  <c r="AQ245" i="5"/>
  <c r="AQ244" i="5"/>
  <c r="AQ242" i="5"/>
  <c r="AQ241" i="5"/>
  <c r="AQ240" i="5"/>
  <c r="AQ224" i="5"/>
  <c r="AQ222" i="5"/>
  <c r="AQ221" i="5"/>
  <c r="AQ220" i="5"/>
  <c r="AQ218" i="5"/>
  <c r="AQ216" i="5"/>
  <c r="AQ214" i="5"/>
  <c r="AQ213" i="5"/>
  <c r="AQ212" i="5"/>
  <c r="AQ209" i="5"/>
  <c r="AQ206" i="5"/>
  <c r="AQ205" i="5"/>
  <c r="AQ203" i="5"/>
  <c r="AQ185" i="5"/>
  <c r="AQ183" i="5"/>
  <c r="AQ181" i="5"/>
  <c r="AQ179" i="5"/>
  <c r="AQ177" i="5"/>
  <c r="AQ171" i="5"/>
  <c r="AQ169" i="5"/>
  <c r="AQ167" i="5"/>
  <c r="AQ165" i="5"/>
  <c r="AQ163" i="5"/>
  <c r="AQ161" i="5"/>
  <c r="AQ159" i="5"/>
  <c r="AQ157" i="5"/>
  <c r="AQ152" i="5"/>
  <c r="AQ150" i="5"/>
  <c r="AQ148" i="5"/>
  <c r="AQ146" i="5"/>
  <c r="AQ142" i="5"/>
  <c r="AQ140" i="5"/>
  <c r="AQ138" i="5"/>
  <c r="AQ120" i="5"/>
  <c r="AQ118" i="5"/>
  <c r="AQ116" i="5"/>
  <c r="AQ114" i="5"/>
  <c r="AQ112" i="5"/>
  <c r="AQ110" i="5"/>
  <c r="AQ108" i="5"/>
  <c r="AQ106" i="5"/>
  <c r="AQ104" i="5"/>
  <c r="AQ102" i="5"/>
  <c r="AQ84" i="5"/>
  <c r="AQ82" i="5"/>
  <c r="AQ80" i="5"/>
  <c r="AQ78" i="5"/>
  <c r="AQ76" i="5"/>
  <c r="AQ74" i="5"/>
  <c r="AQ72" i="5"/>
  <c r="AQ70" i="5"/>
  <c r="W314" i="5"/>
  <c r="BG314" i="5" s="1"/>
  <c r="W310" i="5"/>
  <c r="BG310" i="5" s="1"/>
  <c r="W280" i="5"/>
  <c r="BG280" i="5" s="1"/>
  <c r="Y257" i="5"/>
  <c r="BI257" i="5" s="1"/>
  <c r="W250" i="5"/>
  <c r="BG250" i="5" s="1"/>
  <c r="W216" i="5"/>
  <c r="BG216" i="5" s="1"/>
  <c r="W32" i="5"/>
  <c r="BG32" i="5" s="1"/>
  <c r="AE51" i="5"/>
  <c r="AW206" i="5"/>
  <c r="Y206" i="5"/>
  <c r="BI206" i="5" s="1"/>
  <c r="AK185" i="5"/>
  <c r="W185" i="5"/>
  <c r="BG185" i="5" s="1"/>
  <c r="AK181" i="5"/>
  <c r="W181" i="5"/>
  <c r="BG181" i="5" s="1"/>
  <c r="AK177" i="5"/>
  <c r="W177" i="5"/>
  <c r="BG177" i="5" s="1"/>
  <c r="AK169" i="5"/>
  <c r="W169" i="5"/>
  <c r="BG169" i="5" s="1"/>
  <c r="AK165" i="5"/>
  <c r="W165" i="5"/>
  <c r="BG165" i="5" s="1"/>
  <c r="W161" i="5"/>
  <c r="BG161" i="5" s="1"/>
  <c r="AK161" i="5"/>
  <c r="AK157" i="5"/>
  <c r="W157" i="5"/>
  <c r="BG157" i="5" s="1"/>
  <c r="AK152" i="5"/>
  <c r="W152" i="5"/>
  <c r="BG152" i="5" s="1"/>
  <c r="AK148" i="5"/>
  <c r="W148" i="5"/>
  <c r="BG148" i="5" s="1"/>
  <c r="AK140" i="5"/>
  <c r="W140" i="5"/>
  <c r="BG140" i="5" s="1"/>
  <c r="W120" i="5"/>
  <c r="BG120" i="5" s="1"/>
  <c r="AK120" i="5"/>
  <c r="AK116" i="5"/>
  <c r="W116" i="5"/>
  <c r="BG116" i="5" s="1"/>
  <c r="AK112" i="5"/>
  <c r="W112" i="5"/>
  <c r="BG112" i="5" s="1"/>
  <c r="AK108" i="5"/>
  <c r="W108" i="5"/>
  <c r="BG108" i="5" s="1"/>
  <c r="AK104" i="5"/>
  <c r="W104" i="5"/>
  <c r="BG104" i="5" s="1"/>
  <c r="AK84" i="5"/>
  <c r="W84" i="5"/>
  <c r="BG84" i="5" s="1"/>
  <c r="AK80" i="5"/>
  <c r="W80" i="5"/>
  <c r="BG80" i="5" s="1"/>
  <c r="AK76" i="5"/>
  <c r="W76" i="5"/>
  <c r="BG76" i="5" s="1"/>
  <c r="AK72" i="5"/>
  <c r="W72" i="5"/>
  <c r="BG72" i="5" s="1"/>
  <c r="W68" i="5"/>
  <c r="BG68" i="5" s="1"/>
  <c r="AK68" i="5"/>
  <c r="AK64" i="5"/>
  <c r="W64" i="5"/>
  <c r="BG64" i="5" s="1"/>
  <c r="AK60" i="5"/>
  <c r="W60" i="5"/>
  <c r="BG60" i="5" s="1"/>
  <c r="W56" i="5"/>
  <c r="BG56" i="5" s="1"/>
  <c r="AK56" i="5"/>
  <c r="W52" i="5"/>
  <c r="BG52" i="5" s="1"/>
  <c r="AK52" i="5"/>
  <c r="W48" i="5"/>
  <c r="BG48" i="5" s="1"/>
  <c r="AK48" i="5"/>
  <c r="AK44" i="5"/>
  <c r="W44" i="5"/>
  <c r="BG44" i="5" s="1"/>
  <c r="W36" i="5"/>
  <c r="BG36" i="5" s="1"/>
  <c r="AK36" i="5"/>
  <c r="AK424" i="5"/>
  <c r="AK420" i="5"/>
  <c r="AK418" i="5"/>
  <c r="AK416" i="5"/>
  <c r="AK414" i="5"/>
  <c r="AK412" i="5"/>
  <c r="AK408" i="5"/>
  <c r="AK404" i="5"/>
  <c r="AK402" i="5"/>
  <c r="AK400" i="5"/>
  <c r="AZ400" i="5" s="1"/>
  <c r="BP400" i="5" s="1"/>
  <c r="AK398" i="5"/>
  <c r="AK396" i="5"/>
  <c r="AK394" i="5"/>
  <c r="AK392" i="5"/>
  <c r="AZ392" i="5" s="1"/>
  <c r="BP392" i="5" s="1"/>
  <c r="AK388" i="5"/>
  <c r="AK386" i="5"/>
  <c r="AZ386" i="5" s="1"/>
  <c r="BP386" i="5" s="1"/>
  <c r="AK384" i="5"/>
  <c r="AK383" i="5"/>
  <c r="AZ383" i="5" s="1"/>
  <c r="BP383" i="5" s="1"/>
  <c r="AK381" i="5"/>
  <c r="AK379" i="5"/>
  <c r="AK378" i="5"/>
  <c r="AK377" i="5"/>
  <c r="AK375" i="5"/>
  <c r="AK373" i="5"/>
  <c r="AK371" i="5"/>
  <c r="AK370" i="5"/>
  <c r="AK369" i="5"/>
  <c r="AL369" i="5" s="1"/>
  <c r="AK367" i="5"/>
  <c r="AL367" i="5" s="1"/>
  <c r="AK365" i="5"/>
  <c r="AL365" i="5" s="1"/>
  <c r="AK363" i="5"/>
  <c r="AL363" i="5" s="1"/>
  <c r="AK362" i="5"/>
  <c r="AL362" i="5" s="1"/>
  <c r="AK361" i="5"/>
  <c r="AL361" i="5" s="1"/>
  <c r="AK359" i="5"/>
  <c r="AK357" i="5"/>
  <c r="AK355" i="5"/>
  <c r="AK354" i="5"/>
  <c r="AK353" i="5"/>
  <c r="AK351" i="5"/>
  <c r="AZ351" i="5" s="1"/>
  <c r="BP351" i="5" s="1"/>
  <c r="AK349" i="5"/>
  <c r="AK347" i="5"/>
  <c r="AK341" i="5"/>
  <c r="AK339" i="5"/>
  <c r="AK338" i="5"/>
  <c r="AK336" i="5"/>
  <c r="AK335" i="5"/>
  <c r="AK333" i="5"/>
  <c r="AK331" i="5"/>
  <c r="AK317" i="5"/>
  <c r="AK315" i="5"/>
  <c r="AK313" i="5"/>
  <c r="AK312" i="5"/>
  <c r="AK311" i="5"/>
  <c r="AK309" i="5"/>
  <c r="AK307" i="5"/>
  <c r="AK305" i="5"/>
  <c r="AK304" i="5"/>
  <c r="AK303" i="5"/>
  <c r="AK301" i="5"/>
  <c r="AK299" i="5"/>
  <c r="AK297" i="5"/>
  <c r="AK296" i="5"/>
  <c r="AK295" i="5"/>
  <c r="AK293" i="5"/>
  <c r="AK291" i="5"/>
  <c r="AK285" i="5"/>
  <c r="AK283" i="5"/>
  <c r="AK279" i="5"/>
  <c r="AK277" i="5"/>
  <c r="AK275" i="5"/>
  <c r="AK261" i="5"/>
  <c r="AK259" i="5"/>
  <c r="AK257" i="5"/>
  <c r="AK255" i="5"/>
  <c r="AK253" i="5"/>
  <c r="AK251" i="5"/>
  <c r="AK247" i="5"/>
  <c r="AK245" i="5"/>
  <c r="AK243" i="5"/>
  <c r="AK241" i="5"/>
  <c r="AK223" i="5"/>
  <c r="AK221" i="5"/>
  <c r="AK219" i="5"/>
  <c r="AK217" i="5"/>
  <c r="AK215" i="5"/>
  <c r="AK213" i="5"/>
  <c r="AK209" i="5"/>
  <c r="AK207" i="5"/>
  <c r="AK205" i="5"/>
  <c r="AK204" i="5"/>
  <c r="AK203" i="5"/>
  <c r="AK184" i="5"/>
  <c r="AK183" i="5"/>
  <c r="AK180" i="5"/>
  <c r="AK179" i="5"/>
  <c r="AK172" i="5"/>
  <c r="AK171" i="5"/>
  <c r="AK168" i="5"/>
  <c r="AK167" i="5"/>
  <c r="AK164" i="5"/>
  <c r="AK163" i="5"/>
  <c r="AK160" i="5"/>
  <c r="AK159" i="5"/>
  <c r="AK155" i="5"/>
  <c r="AK151" i="5"/>
  <c r="AK150" i="5"/>
  <c r="AK147" i="5"/>
  <c r="AK146" i="5"/>
  <c r="AK143" i="5"/>
  <c r="AK142" i="5"/>
  <c r="AK139" i="5"/>
  <c r="AK138" i="5"/>
  <c r="AK119" i="5"/>
  <c r="AK118" i="5"/>
  <c r="AK115" i="5"/>
  <c r="AK114" i="5"/>
  <c r="AK111" i="5"/>
  <c r="AK110" i="5"/>
  <c r="AK106" i="5"/>
  <c r="AK103" i="5"/>
  <c r="AK102" i="5"/>
  <c r="AK83" i="5"/>
  <c r="AK82" i="5"/>
  <c r="AK79" i="5"/>
  <c r="AK78" i="5"/>
  <c r="AK75" i="5"/>
  <c r="AK74" i="5"/>
  <c r="AK71" i="5"/>
  <c r="AK70" i="5"/>
  <c r="AK66" i="5"/>
  <c r="AK55" i="5"/>
  <c r="AK50" i="5"/>
  <c r="AK47" i="5"/>
  <c r="AK42" i="5"/>
  <c r="AK39" i="5"/>
  <c r="AK34" i="5"/>
  <c r="AK10" i="5"/>
  <c r="Y305" i="5"/>
  <c r="BI305" i="5" s="1"/>
  <c r="W298" i="5"/>
  <c r="BG298" i="5" s="1"/>
  <c r="W294" i="5"/>
  <c r="BG294" i="5" s="1"/>
  <c r="Y241" i="5"/>
  <c r="BI241" i="5" s="1"/>
  <c r="Y118" i="5"/>
  <c r="BI118" i="5" s="1"/>
  <c r="AK31" i="5"/>
  <c r="AQ68" i="5"/>
  <c r="AQ66" i="5"/>
  <c r="AQ64" i="5"/>
  <c r="AQ62" i="5"/>
  <c r="AQ60" i="5"/>
  <c r="AQ58" i="5"/>
  <c r="AQ56" i="5"/>
  <c r="AQ54" i="5"/>
  <c r="AQ52" i="5"/>
  <c r="AQ50" i="5"/>
  <c r="AQ48" i="5"/>
  <c r="AQ46" i="5"/>
  <c r="AQ44" i="5"/>
  <c r="AQ42" i="5"/>
  <c r="AQ40" i="5"/>
  <c r="AQ38" i="5"/>
  <c r="AQ36" i="5"/>
  <c r="AQ34" i="5"/>
  <c r="AQ32" i="5"/>
  <c r="AQ30" i="5"/>
  <c r="AQ10" i="5"/>
  <c r="AK67" i="5"/>
  <c r="AK62" i="5"/>
  <c r="AK59" i="5"/>
  <c r="AK54" i="5"/>
  <c r="AK51" i="5"/>
  <c r="AK46" i="5"/>
  <c r="AK43" i="5"/>
  <c r="AK38" i="5"/>
  <c r="AK35" i="5"/>
  <c r="AK30" i="5"/>
  <c r="AK11" i="5"/>
  <c r="AE119" i="5"/>
  <c r="AE115" i="5"/>
  <c r="AE111" i="5"/>
  <c r="AE103" i="5"/>
  <c r="AE83" i="5"/>
  <c r="AE79" i="5"/>
  <c r="AE75" i="5"/>
  <c r="AE71" i="5"/>
  <c r="AE63" i="5"/>
  <c r="AE55" i="5"/>
  <c r="AE47" i="5"/>
  <c r="AE39" i="5"/>
  <c r="AE31" i="5"/>
  <c r="N75" i="16"/>
  <c r="N82" i="16" s="1"/>
  <c r="H21" i="16"/>
  <c r="AW160" i="5"/>
  <c r="Y159" i="5"/>
  <c r="BI159" i="5" s="1"/>
  <c r="O37" i="16"/>
  <c r="O44" i="16" s="1"/>
  <c r="O45" i="16" s="1"/>
  <c r="I21" i="16"/>
  <c r="B56" i="16"/>
  <c r="N76" i="16"/>
  <c r="T8" i="16"/>
  <c r="N74" i="16"/>
  <c r="B76" i="16"/>
  <c r="B74" i="16"/>
  <c r="Q45" i="16"/>
  <c r="C37" i="16"/>
  <c r="C44" i="16" s="1"/>
  <c r="B55" i="16"/>
  <c r="N37" i="16"/>
  <c r="N44" i="16" s="1"/>
  <c r="B73" i="16"/>
  <c r="T21" i="16"/>
  <c r="B37" i="16"/>
  <c r="B44" i="16" s="1"/>
  <c r="B45" i="16" s="1"/>
  <c r="AZ381" i="5" l="1"/>
  <c r="BP381" i="5" s="1"/>
  <c r="BB388" i="5"/>
  <c r="BR388" i="5" s="1"/>
  <c r="AY368" i="5"/>
  <c r="BO368" i="5" s="1"/>
  <c r="AZ407" i="5"/>
  <c r="BP407" i="5" s="1"/>
  <c r="AZ356" i="5"/>
  <c r="BP356" i="5" s="1"/>
  <c r="AY371" i="5"/>
  <c r="BO371" i="5" s="1"/>
  <c r="BA388" i="5"/>
  <c r="BQ388" i="5" s="1"/>
  <c r="BQ399" i="5"/>
  <c r="AZ359" i="5"/>
  <c r="BP359" i="5" s="1"/>
  <c r="AZ402" i="5"/>
  <c r="BP402" i="5" s="1"/>
  <c r="BA372" i="5"/>
  <c r="BQ372" i="5" s="1"/>
  <c r="BA387" i="5"/>
  <c r="BQ387" i="5" s="1"/>
  <c r="BA397" i="5"/>
  <c r="BB390" i="5"/>
  <c r="BR390" i="5" s="1"/>
  <c r="BB406" i="5"/>
  <c r="BR406" i="5" s="1"/>
  <c r="BB422" i="5"/>
  <c r="BR422" i="5" s="1"/>
  <c r="BA359" i="5"/>
  <c r="BQ359" i="5" s="1"/>
  <c r="AY397" i="5"/>
  <c r="BO397" i="5" s="1"/>
  <c r="W23" i="6"/>
  <c r="X25" i="6"/>
  <c r="Y26" i="6"/>
  <c r="BR384" i="5"/>
  <c r="BR405" i="5"/>
  <c r="BQ383" i="5"/>
  <c r="V9" i="6"/>
  <c r="BB355" i="5"/>
  <c r="BR355" i="5" s="1"/>
  <c r="X23" i="6"/>
  <c r="V25" i="6"/>
  <c r="AY375" i="5"/>
  <c r="BO375" i="5" s="1"/>
  <c r="AY398" i="5"/>
  <c r="BO398" i="5" s="1"/>
  <c r="W9" i="6"/>
  <c r="BB350" i="5"/>
  <c r="BR350" i="5" s="1"/>
  <c r="BB358" i="5"/>
  <c r="BR358" i="5" s="1"/>
  <c r="V23" i="6"/>
  <c r="U24" i="6"/>
  <c r="U25" i="6"/>
  <c r="W25" i="6"/>
  <c r="BJ205" i="5"/>
  <c r="BR382" i="5"/>
  <c r="U23" i="6"/>
  <c r="W11" i="6"/>
  <c r="X9" i="6"/>
  <c r="U9" i="6"/>
  <c r="U10" i="6"/>
  <c r="V22" i="6"/>
  <c r="W15" i="6"/>
  <c r="X11" i="6"/>
  <c r="V15" i="6"/>
  <c r="BJ224" i="5"/>
  <c r="X22" i="6"/>
  <c r="X15" i="6"/>
  <c r="W10" i="6"/>
  <c r="V11" i="6"/>
  <c r="V10" i="6"/>
  <c r="X10" i="6"/>
  <c r="Y14" i="6"/>
  <c r="BJ184" i="5"/>
  <c r="BJ119" i="5"/>
  <c r="BJ390" i="5"/>
  <c r="U15" i="6"/>
  <c r="U22" i="6"/>
  <c r="BJ256" i="5"/>
  <c r="U11" i="6"/>
  <c r="BJ109" i="5"/>
  <c r="BJ222" i="5"/>
  <c r="BJ110" i="5"/>
  <c r="BJ296" i="5"/>
  <c r="BJ223" i="5"/>
  <c r="BJ331" i="5"/>
  <c r="BJ380" i="5"/>
  <c r="BJ181" i="5"/>
  <c r="BJ40" i="5"/>
  <c r="BJ63" i="5"/>
  <c r="BJ297" i="5"/>
  <c r="BJ379" i="5"/>
  <c r="BJ155" i="5"/>
  <c r="BJ168" i="5"/>
  <c r="BJ186" i="5"/>
  <c r="BJ57" i="5"/>
  <c r="BJ202" i="5"/>
  <c r="BJ118" i="5"/>
  <c r="BJ105" i="5"/>
  <c r="BJ80" i="5"/>
  <c r="BJ45" i="5"/>
  <c r="BJ214" i="5"/>
  <c r="BQ396" i="5"/>
  <c r="BJ401" i="5"/>
  <c r="BJ161" i="5"/>
  <c r="AZ378" i="5"/>
  <c r="BP378" i="5" s="1"/>
  <c r="AZ394" i="5"/>
  <c r="BP394" i="5" s="1"/>
  <c r="BQ397" i="5"/>
  <c r="BJ121" i="5"/>
  <c r="BJ178" i="5"/>
  <c r="BJ397" i="5"/>
  <c r="BJ34" i="5"/>
  <c r="BJ152" i="5"/>
  <c r="BJ381" i="5"/>
  <c r="BJ284" i="5"/>
  <c r="BJ392" i="5"/>
  <c r="BJ424" i="5"/>
  <c r="BJ257" i="5"/>
  <c r="BJ207" i="5"/>
  <c r="BJ307" i="5"/>
  <c r="AZ354" i="5"/>
  <c r="BP354" i="5" s="1"/>
  <c r="BJ33" i="5"/>
  <c r="BJ153" i="5"/>
  <c r="BJ166" i="5"/>
  <c r="BB386" i="5"/>
  <c r="BR386" i="5" s="1"/>
  <c r="BR397" i="5"/>
  <c r="BJ348" i="5"/>
  <c r="BJ306" i="5"/>
  <c r="BJ169" i="5"/>
  <c r="BJ167" i="5"/>
  <c r="BJ338" i="5"/>
  <c r="BJ143" i="5"/>
  <c r="BJ206" i="5"/>
  <c r="BJ282" i="5"/>
  <c r="BJ314" i="5"/>
  <c r="BJ185" i="5"/>
  <c r="BJ389" i="5"/>
  <c r="BJ341" i="5"/>
  <c r="BJ47" i="5"/>
  <c r="BJ79" i="5"/>
  <c r="BJ384" i="5"/>
  <c r="BJ213" i="5"/>
  <c r="BJ313" i="5"/>
  <c r="BJ283" i="5"/>
  <c r="BJ177" i="5"/>
  <c r="AZ370" i="5"/>
  <c r="BP370" i="5" s="1"/>
  <c r="BB389" i="5"/>
  <c r="BR389" i="5" s="1"/>
  <c r="BJ425" i="5"/>
  <c r="BJ32" i="5"/>
  <c r="BJ112" i="5"/>
  <c r="BJ148" i="5"/>
  <c r="BJ393" i="5"/>
  <c r="BJ300" i="5"/>
  <c r="BJ386" i="5"/>
  <c r="BJ245" i="5"/>
  <c r="BJ383" i="5"/>
  <c r="BQ394" i="5"/>
  <c r="BQ407" i="5"/>
  <c r="AZ413" i="5"/>
  <c r="BP413" i="5" s="1"/>
  <c r="BG413" i="5"/>
  <c r="BJ413" i="5" s="1"/>
  <c r="BJ82" i="5"/>
  <c r="BJ106" i="5"/>
  <c r="BJ355" i="5"/>
  <c r="BQ350" i="5"/>
  <c r="BJ49" i="5"/>
  <c r="BJ65" i="5"/>
  <c r="BJ81" i="5"/>
  <c r="BJ113" i="5"/>
  <c r="BJ180" i="5"/>
  <c r="BJ204" i="5"/>
  <c r="BJ162" i="5"/>
  <c r="BA367" i="5"/>
  <c r="BQ367" i="5" s="1"/>
  <c r="BJ399" i="5"/>
  <c r="BJ286" i="5"/>
  <c r="BJ356" i="5"/>
  <c r="BJ54" i="5"/>
  <c r="AZ421" i="5"/>
  <c r="BP421" i="5" s="1"/>
  <c r="AY354" i="5"/>
  <c r="BO354" i="5" s="1"/>
  <c r="BJ44" i="5"/>
  <c r="BJ76" i="5"/>
  <c r="BJ84" i="5"/>
  <c r="BJ46" i="5"/>
  <c r="BJ111" i="5"/>
  <c r="BJ220" i="5"/>
  <c r="BJ292" i="5"/>
  <c r="BJ336" i="5"/>
  <c r="BJ146" i="5"/>
  <c r="BJ241" i="5"/>
  <c r="BJ261" i="5"/>
  <c r="BJ219" i="5"/>
  <c r="BJ279" i="5"/>
  <c r="BJ315" i="5"/>
  <c r="BJ375" i="5"/>
  <c r="BJ423" i="5"/>
  <c r="BJ117" i="5"/>
  <c r="AY380" i="5"/>
  <c r="BO380" i="5" s="1"/>
  <c r="BJ102" i="5"/>
  <c r="BJ405" i="5"/>
  <c r="AZ419" i="5"/>
  <c r="BP419" i="5" s="1"/>
  <c r="BG419" i="5"/>
  <c r="BJ419" i="5" s="1"/>
  <c r="BJ62" i="5"/>
  <c r="BJ120" i="5"/>
  <c r="BJ398" i="5"/>
  <c r="BJ291" i="5"/>
  <c r="BJ335" i="5"/>
  <c r="BJ31" i="5"/>
  <c r="BJ37" i="5"/>
  <c r="BJ101" i="5"/>
  <c r="BJ145" i="5"/>
  <c r="BJ216" i="5"/>
  <c r="BJ373" i="5"/>
  <c r="BJ332" i="5"/>
  <c r="BJ56" i="5"/>
  <c r="BJ70" i="5"/>
  <c r="AY389" i="5"/>
  <c r="BO389" i="5" s="1"/>
  <c r="AY388" i="5"/>
  <c r="BO388" i="5" s="1"/>
  <c r="BJ104" i="5"/>
  <c r="BA412" i="5"/>
  <c r="BQ412" i="5" s="1"/>
  <c r="BH412" i="5"/>
  <c r="BB420" i="5"/>
  <c r="BR420" i="5" s="1"/>
  <c r="BI420" i="5"/>
  <c r="BJ342" i="5"/>
  <c r="BJ277" i="5"/>
  <c r="BJ243" i="5"/>
  <c r="BJ52" i="5"/>
  <c r="BJ68" i="5"/>
  <c r="BJ158" i="5"/>
  <c r="BJ170" i="5"/>
  <c r="BB401" i="5"/>
  <c r="BR401" i="5" s="1"/>
  <c r="BJ218" i="5"/>
  <c r="BJ254" i="5"/>
  <c r="BJ275" i="5"/>
  <c r="BJ298" i="5"/>
  <c r="BA353" i="5"/>
  <c r="BQ353" i="5" s="1"/>
  <c r="BH353" i="5"/>
  <c r="BJ376" i="5"/>
  <c r="BJ406" i="5"/>
  <c r="BB366" i="5"/>
  <c r="BR366" i="5" s="1"/>
  <c r="BB367" i="5"/>
  <c r="BR367" i="5" s="1"/>
  <c r="BJ50" i="5"/>
  <c r="BJ64" i="5"/>
  <c r="BJ72" i="5"/>
  <c r="BJ116" i="5"/>
  <c r="BJ203" i="5"/>
  <c r="AZ415" i="5"/>
  <c r="BP415" i="5" s="1"/>
  <c r="BG415" i="5"/>
  <c r="BJ415" i="5" s="1"/>
  <c r="AY391" i="5"/>
  <c r="BO391" i="5" s="1"/>
  <c r="BJ78" i="5"/>
  <c r="BJ357" i="5"/>
  <c r="BJ35" i="5"/>
  <c r="BJ51" i="5"/>
  <c r="BJ67" i="5"/>
  <c r="BJ304" i="5"/>
  <c r="BJ350" i="5"/>
  <c r="BJ400" i="5"/>
  <c r="AZ414" i="5"/>
  <c r="BP414" i="5" s="1"/>
  <c r="BG414" i="5"/>
  <c r="BB410" i="5"/>
  <c r="BR410" i="5" s="1"/>
  <c r="BI410" i="5"/>
  <c r="BJ410" i="5" s="1"/>
  <c r="BJ217" i="5"/>
  <c r="BJ280" i="5"/>
  <c r="BJ301" i="5"/>
  <c r="BJ317" i="5"/>
  <c r="AY369" i="5"/>
  <c r="BO369" i="5" s="1"/>
  <c r="BJ247" i="5"/>
  <c r="BJ295" i="5"/>
  <c r="BJ339" i="5"/>
  <c r="BJ391" i="5"/>
  <c r="BJ382" i="5"/>
  <c r="AZ353" i="5"/>
  <c r="BP353" i="5" s="1"/>
  <c r="BG353" i="5"/>
  <c r="BR402" i="5"/>
  <c r="BJ395" i="5"/>
  <c r="BA418" i="5"/>
  <c r="BQ418" i="5" s="1"/>
  <c r="BH418" i="5"/>
  <c r="BJ42" i="5"/>
  <c r="BJ140" i="5"/>
  <c r="BA414" i="5"/>
  <c r="BQ414" i="5" s="1"/>
  <c r="BH414" i="5"/>
  <c r="BJ299" i="5"/>
  <c r="BJ347" i="5"/>
  <c r="BJ403" i="5"/>
  <c r="BJ157" i="5"/>
  <c r="BA374" i="5"/>
  <c r="BQ374" i="5" s="1"/>
  <c r="BH374" i="5"/>
  <c r="BJ374" i="5" s="1"/>
  <c r="BA416" i="5"/>
  <c r="BQ416" i="5" s="1"/>
  <c r="BH416" i="5"/>
  <c r="BJ73" i="5"/>
  <c r="BJ147" i="5"/>
  <c r="BJ316" i="5"/>
  <c r="BJ377" i="5"/>
  <c r="BR378" i="5"/>
  <c r="BJ114" i="5"/>
  <c r="BJ244" i="5"/>
  <c r="BJ276" i="5"/>
  <c r="BJ308" i="5"/>
  <c r="BJ354" i="5"/>
  <c r="BJ388" i="5"/>
  <c r="BJ402" i="5"/>
  <c r="AZ418" i="5"/>
  <c r="BP418" i="5" s="1"/>
  <c r="BG418" i="5"/>
  <c r="BJ138" i="5"/>
  <c r="BB414" i="5"/>
  <c r="BR414" i="5" s="1"/>
  <c r="BI414" i="5"/>
  <c r="BJ253" i="5"/>
  <c r="BJ83" i="5"/>
  <c r="BJ251" i="5"/>
  <c r="AZ388" i="5"/>
  <c r="BP388" i="5" s="1"/>
  <c r="BJ36" i="5"/>
  <c r="BA360" i="5"/>
  <c r="BQ360" i="5" s="1"/>
  <c r="BA376" i="5"/>
  <c r="BQ376" i="5" s="1"/>
  <c r="BA393" i="5"/>
  <c r="BQ393" i="5" s="1"/>
  <c r="BJ41" i="5"/>
  <c r="BJ149" i="5"/>
  <c r="BJ160" i="5"/>
  <c r="BJ172" i="5"/>
  <c r="BJ212" i="5"/>
  <c r="BB381" i="5"/>
  <c r="BR381" i="5" s="1"/>
  <c r="BB393" i="5"/>
  <c r="BR393" i="5" s="1"/>
  <c r="BB404" i="5"/>
  <c r="BR404" i="5" s="1"/>
  <c r="BJ278" i="5"/>
  <c r="BJ310" i="5"/>
  <c r="BJ340" i="5"/>
  <c r="BA363" i="5"/>
  <c r="BQ363" i="5" s="1"/>
  <c r="BJ372" i="5"/>
  <c r="BJ422" i="5"/>
  <c r="BJ61" i="5"/>
  <c r="BJ179" i="5"/>
  <c r="BJ349" i="5"/>
  <c r="AZ389" i="5"/>
  <c r="BP389" i="5" s="1"/>
  <c r="AZ360" i="5"/>
  <c r="BP360" i="5" s="1"/>
  <c r="BJ58" i="5"/>
  <c r="BJ66" i="5"/>
  <c r="BJ74" i="5"/>
  <c r="BJ396" i="5"/>
  <c r="AZ417" i="5"/>
  <c r="BP417" i="5" s="1"/>
  <c r="BG417" i="5"/>
  <c r="AY379" i="5"/>
  <c r="BO379" i="5" s="1"/>
  <c r="AY424" i="5"/>
  <c r="BO424" i="5" s="1"/>
  <c r="BJ38" i="5"/>
  <c r="BJ53" i="5"/>
  <c r="BJ69" i="5"/>
  <c r="BJ150" i="5"/>
  <c r="BJ163" i="5"/>
  <c r="AY365" i="5"/>
  <c r="BO365" i="5" s="1"/>
  <c r="BB356" i="5"/>
  <c r="BR356" i="5" s="1"/>
  <c r="BB370" i="5"/>
  <c r="BR370" i="5" s="1"/>
  <c r="BJ39" i="5"/>
  <c r="BJ55" i="5"/>
  <c r="BJ71" i="5"/>
  <c r="BJ103" i="5"/>
  <c r="BJ252" i="5"/>
  <c r="BJ312" i="5"/>
  <c r="BJ370" i="5"/>
  <c r="BJ221" i="5"/>
  <c r="BJ285" i="5"/>
  <c r="BJ305" i="5"/>
  <c r="BJ333" i="5"/>
  <c r="AZ408" i="5"/>
  <c r="BP408" i="5" s="1"/>
  <c r="BG408" i="5"/>
  <c r="BJ408" i="5" s="1"/>
  <c r="BJ30" i="5"/>
  <c r="BJ255" i="5"/>
  <c r="BJ303" i="5"/>
  <c r="BJ351" i="5"/>
  <c r="BJ407" i="5"/>
  <c r="BA417" i="5"/>
  <c r="BQ417" i="5" s="1"/>
  <c r="BH417" i="5"/>
  <c r="BJ77" i="5"/>
  <c r="BJ108" i="5"/>
  <c r="BA420" i="5"/>
  <c r="BQ420" i="5" s="1"/>
  <c r="BH420" i="5"/>
  <c r="BJ182" i="5"/>
  <c r="AZ412" i="5"/>
  <c r="BP412" i="5" s="1"/>
  <c r="BG412" i="5"/>
  <c r="BJ294" i="5"/>
  <c r="BB416" i="5"/>
  <c r="BR416" i="5" s="1"/>
  <c r="BI416" i="5"/>
  <c r="BA352" i="5"/>
  <c r="BQ352" i="5" s="1"/>
  <c r="BH352" i="5"/>
  <c r="BJ352" i="5" s="1"/>
  <c r="BJ139" i="5"/>
  <c r="BJ385" i="5"/>
  <c r="BJ421" i="5"/>
  <c r="BJ48" i="5"/>
  <c r="BJ183" i="5"/>
  <c r="BJ404" i="5"/>
  <c r="BJ259" i="5"/>
  <c r="BJ141" i="5"/>
  <c r="BJ151" i="5"/>
  <c r="BJ164" i="5"/>
  <c r="BB357" i="5"/>
  <c r="BR357" i="5" s="1"/>
  <c r="BB385" i="5"/>
  <c r="BR385" i="5" s="1"/>
  <c r="BJ250" i="5"/>
  <c r="BJ258" i="5"/>
  <c r="BJ334" i="5"/>
  <c r="AY385" i="5"/>
  <c r="BO385" i="5" s="1"/>
  <c r="AY421" i="5"/>
  <c r="BO421" i="5" s="1"/>
  <c r="BJ240" i="5"/>
  <c r="BB411" i="5"/>
  <c r="BR411" i="5" s="1"/>
  <c r="BI411" i="5"/>
  <c r="BJ60" i="5"/>
  <c r="BJ75" i="5"/>
  <c r="BJ159" i="5"/>
  <c r="BJ171" i="5"/>
  <c r="BJ387" i="5"/>
  <c r="AZ411" i="5"/>
  <c r="BP411" i="5" s="1"/>
  <c r="BG411" i="5"/>
  <c r="BJ29" i="5"/>
  <c r="BJ142" i="5"/>
  <c r="BJ165" i="5"/>
  <c r="AY401" i="5"/>
  <c r="BO401" i="5" s="1"/>
  <c r="BJ43" i="5"/>
  <c r="BJ59" i="5"/>
  <c r="BJ260" i="5"/>
  <c r="BJ378" i="5"/>
  <c r="BJ394" i="5"/>
  <c r="BJ209" i="5"/>
  <c r="BJ293" i="5"/>
  <c r="BJ309" i="5"/>
  <c r="BJ115" i="5"/>
  <c r="BJ215" i="5"/>
  <c r="BJ311" i="5"/>
  <c r="BJ371" i="5"/>
  <c r="BJ242" i="5"/>
  <c r="BA409" i="5"/>
  <c r="BQ409" i="5" s="1"/>
  <c r="BH409" i="5"/>
  <c r="BJ409" i="5" s="1"/>
  <c r="AZ371" i="5"/>
  <c r="BP371" i="5" s="1"/>
  <c r="AZ384" i="5"/>
  <c r="BP384" i="5" s="1"/>
  <c r="AZ424" i="5"/>
  <c r="BP424" i="5" s="1"/>
  <c r="BA356" i="5"/>
  <c r="BQ356" i="5" s="1"/>
  <c r="BA380" i="5"/>
  <c r="BQ380" i="5" s="1"/>
  <c r="BA405" i="5"/>
  <c r="BQ405" i="5" s="1"/>
  <c r="BA424" i="5"/>
  <c r="BQ424" i="5" s="1"/>
  <c r="BB373" i="5"/>
  <c r="BR373" i="5" s="1"/>
  <c r="BB396" i="5"/>
  <c r="BR396" i="5" s="1"/>
  <c r="BA365" i="5"/>
  <c r="BQ365" i="5" s="1"/>
  <c r="AY373" i="5"/>
  <c r="BO373" i="5" s="1"/>
  <c r="BA392" i="5"/>
  <c r="BQ392" i="5" s="1"/>
  <c r="AY405" i="5"/>
  <c r="BO405" i="5" s="1"/>
  <c r="AZ405" i="5"/>
  <c r="BP405" i="5" s="1"/>
  <c r="BB351" i="5"/>
  <c r="BR351" i="5" s="1"/>
  <c r="BB363" i="5"/>
  <c r="BR363" i="5" s="1"/>
  <c r="BB419" i="5"/>
  <c r="BR419" i="5" s="1"/>
  <c r="BA408" i="5"/>
  <c r="BQ408" i="5" s="1"/>
  <c r="BB352" i="5"/>
  <c r="BR352" i="5" s="1"/>
  <c r="AY351" i="5"/>
  <c r="BO351" i="5" s="1"/>
  <c r="AY383" i="5"/>
  <c r="BO383" i="5" s="1"/>
  <c r="AY404" i="5"/>
  <c r="BO404" i="5" s="1"/>
  <c r="AY381" i="5"/>
  <c r="BO381" i="5" s="1"/>
  <c r="AY393" i="5"/>
  <c r="BO393" i="5" s="1"/>
  <c r="BB368" i="5"/>
  <c r="BR368" i="5" s="1"/>
  <c r="BB376" i="5"/>
  <c r="BR376" i="5" s="1"/>
  <c r="AZ403" i="5"/>
  <c r="BP403" i="5" s="1"/>
  <c r="BB408" i="5"/>
  <c r="BR408" i="5" s="1"/>
  <c r="AZ416" i="5"/>
  <c r="BP416" i="5" s="1"/>
  <c r="AZ380" i="5"/>
  <c r="BP380" i="5" s="1"/>
  <c r="AZ420" i="5"/>
  <c r="BP420" i="5" s="1"/>
  <c r="BB413" i="5"/>
  <c r="BR413" i="5" s="1"/>
  <c r="AZ379" i="5"/>
  <c r="BP379" i="5" s="1"/>
  <c r="AZ396" i="5"/>
  <c r="BP396" i="5" s="1"/>
  <c r="AZ404" i="5"/>
  <c r="BP404" i="5" s="1"/>
  <c r="BA389" i="5"/>
  <c r="BA400" i="5"/>
  <c r="BQ400" i="5" s="1"/>
  <c r="BB392" i="5"/>
  <c r="BR392" i="5" s="1"/>
  <c r="BB424" i="5"/>
  <c r="BR424" i="5" s="1"/>
  <c r="BA351" i="5"/>
  <c r="BQ351" i="5" s="1"/>
  <c r="AY356" i="5"/>
  <c r="BO356" i="5" s="1"/>
  <c r="AY360" i="5"/>
  <c r="BO360" i="5" s="1"/>
  <c r="BA371" i="5"/>
  <c r="BQ371" i="5" s="1"/>
  <c r="BA373" i="5"/>
  <c r="BQ373" i="5" s="1"/>
  <c r="AY376" i="5"/>
  <c r="BO376" i="5" s="1"/>
  <c r="BA379" i="5"/>
  <c r="BQ379" i="5" s="1"/>
  <c r="BA381" i="5"/>
  <c r="BQ381" i="5" s="1"/>
  <c r="AZ352" i="5"/>
  <c r="BP352" i="5" s="1"/>
  <c r="AZ364" i="5"/>
  <c r="BP364" i="5" s="1"/>
  <c r="AZ368" i="5"/>
  <c r="BP368" i="5" s="1"/>
  <c r="BB379" i="5"/>
  <c r="BR379" i="5" s="1"/>
  <c r="BB383" i="5"/>
  <c r="BR383" i="5" s="1"/>
  <c r="BB403" i="5"/>
  <c r="BR403" i="5" s="1"/>
  <c r="BB407" i="5"/>
  <c r="BR407" i="5" s="1"/>
  <c r="BA404" i="5"/>
  <c r="BQ404" i="5" s="1"/>
  <c r="BB360" i="5"/>
  <c r="BR360" i="5" s="1"/>
  <c r="AZ393" i="5"/>
  <c r="BP393" i="5" s="1"/>
  <c r="AY362" i="5"/>
  <c r="BO362" i="5" s="1"/>
  <c r="AY370" i="5"/>
  <c r="BO370" i="5" s="1"/>
  <c r="AY384" i="5"/>
  <c r="BO384" i="5" s="1"/>
  <c r="AY392" i="5"/>
  <c r="BO392" i="5" s="1"/>
  <c r="AY400" i="5"/>
  <c r="BO400" i="5" s="1"/>
  <c r="AY407" i="5"/>
  <c r="BO407" i="5" s="1"/>
  <c r="BB412" i="5"/>
  <c r="BR412" i="5" s="1"/>
  <c r="BA419" i="5"/>
  <c r="BQ419" i="5" s="1"/>
  <c r="AZ399" i="5"/>
  <c r="BB417" i="5"/>
  <c r="BR417" i="5" s="1"/>
  <c r="BA413" i="5"/>
  <c r="BQ413" i="5" s="1"/>
  <c r="AZ377" i="5"/>
  <c r="BP377" i="5" s="1"/>
  <c r="BA354" i="5"/>
  <c r="BQ354" i="5" s="1"/>
  <c r="BA385" i="5"/>
  <c r="BQ385" i="5" s="1"/>
  <c r="BA395" i="5"/>
  <c r="BQ395" i="5" s="1"/>
  <c r="BB369" i="5"/>
  <c r="BR369" i="5" s="1"/>
  <c r="BB394" i="5"/>
  <c r="BR394" i="5" s="1"/>
  <c r="BB421" i="5"/>
  <c r="BA355" i="5"/>
  <c r="BQ355" i="5" s="1"/>
  <c r="BA357" i="5"/>
  <c r="BQ357" i="5" s="1"/>
  <c r="BA369" i="5"/>
  <c r="BQ369" i="5" s="1"/>
  <c r="AY372" i="5"/>
  <c r="BA375" i="5"/>
  <c r="BQ375" i="5" s="1"/>
  <c r="BA377" i="5"/>
  <c r="BQ377" i="5" s="1"/>
  <c r="AY422" i="5"/>
  <c r="BO422" i="5" s="1"/>
  <c r="AZ358" i="5"/>
  <c r="BP358" i="5" s="1"/>
  <c r="AZ382" i="5"/>
  <c r="BP382" i="5" s="1"/>
  <c r="BB387" i="5"/>
  <c r="BB391" i="5"/>
  <c r="BR391" i="5" s="1"/>
  <c r="AZ406" i="5"/>
  <c r="BP406" i="5" s="1"/>
  <c r="AZ422" i="5"/>
  <c r="BP422" i="5" s="1"/>
  <c r="BA406" i="5"/>
  <c r="BQ406" i="5" s="1"/>
  <c r="BB354" i="5"/>
  <c r="BR354" i="5" s="1"/>
  <c r="AZ385" i="5"/>
  <c r="AZ391" i="5"/>
  <c r="BP391" i="5" s="1"/>
  <c r="AZ395" i="5"/>
  <c r="BP395" i="5" s="1"/>
  <c r="AZ355" i="5"/>
  <c r="BP355" i="5" s="1"/>
  <c r="AZ375" i="5"/>
  <c r="BP375" i="5" s="1"/>
  <c r="AZ398" i="5"/>
  <c r="BP398" i="5" s="1"/>
  <c r="BA401" i="5"/>
  <c r="BQ401" i="5" s="1"/>
  <c r="BB398" i="5"/>
  <c r="BR398" i="5" s="1"/>
  <c r="BA411" i="5"/>
  <c r="BQ411" i="5" s="1"/>
  <c r="AY361" i="5"/>
  <c r="BO361" i="5" s="1"/>
  <c r="AY377" i="5"/>
  <c r="BA386" i="5"/>
  <c r="BQ386" i="5" s="1"/>
  <c r="AY395" i="5"/>
  <c r="BO395" i="5" s="1"/>
  <c r="BA422" i="5"/>
  <c r="BQ422" i="5" s="1"/>
  <c r="AZ366" i="5"/>
  <c r="BP366" i="5" s="1"/>
  <c r="AZ374" i="5"/>
  <c r="BP374" i="5" s="1"/>
  <c r="AZ410" i="5"/>
  <c r="BP410" i="5" s="1"/>
  <c r="BB415" i="5"/>
  <c r="BR415" i="5" s="1"/>
  <c r="BB374" i="5"/>
  <c r="BR374" i="5" s="1"/>
  <c r="AZ409" i="5"/>
  <c r="BP409" i="5" s="1"/>
  <c r="AY355" i="5"/>
  <c r="BO355" i="5" s="1"/>
  <c r="AY386" i="5"/>
  <c r="BO386" i="5" s="1"/>
  <c r="AY394" i="5"/>
  <c r="BO394" i="5" s="1"/>
  <c r="AY402" i="5"/>
  <c r="BO402" i="5" s="1"/>
  <c r="BA398" i="5"/>
  <c r="BQ398" i="5" s="1"/>
  <c r="BA402" i="5"/>
  <c r="BQ402" i="5" s="1"/>
  <c r="AZ401" i="5"/>
  <c r="AZ423" i="5"/>
  <c r="AZ350" i="5"/>
  <c r="BP350" i="5" s="1"/>
  <c r="BA391" i="5"/>
  <c r="BQ391" i="5" s="1"/>
  <c r="BA415" i="5"/>
  <c r="BQ415" i="5" s="1"/>
  <c r="BB418" i="5"/>
  <c r="BR418" i="5" s="1"/>
  <c r="BB353" i="5"/>
  <c r="BR353" i="5" s="1"/>
  <c r="AY350" i="5"/>
  <c r="BO350" i="5" s="1"/>
  <c r="AY358" i="5"/>
  <c r="BO358" i="5" s="1"/>
  <c r="AY382" i="5"/>
  <c r="BO382" i="5" s="1"/>
  <c r="BB409" i="5"/>
  <c r="BR409" i="5" s="1"/>
  <c r="AY414" i="5"/>
  <c r="AY353" i="5"/>
  <c r="BO353" i="5" s="1"/>
  <c r="AY409" i="5"/>
  <c r="BO409" i="5" s="1"/>
  <c r="AY413" i="5"/>
  <c r="BO413" i="5" s="1"/>
  <c r="AY412" i="5"/>
  <c r="BO412" i="5" s="1"/>
  <c r="AY410" i="5"/>
  <c r="BO410" i="5" s="1"/>
  <c r="AY408" i="5"/>
  <c r="BO408" i="5" s="1"/>
  <c r="AY418" i="5"/>
  <c r="BO418" i="5" s="1"/>
  <c r="AY419" i="5"/>
  <c r="BO419" i="5" s="1"/>
  <c r="AY352" i="5"/>
  <c r="BO352" i="5" s="1"/>
  <c r="AY420" i="5"/>
  <c r="BO420" i="5" s="1"/>
  <c r="AY411" i="5"/>
  <c r="BO411" i="5" s="1"/>
  <c r="AY417" i="5"/>
  <c r="BO417" i="5" s="1"/>
  <c r="AY374" i="5"/>
  <c r="BO374" i="5" s="1"/>
  <c r="AY416" i="5"/>
  <c r="BO416" i="5" s="1"/>
  <c r="AY415" i="5"/>
  <c r="BO415" i="5" s="1"/>
  <c r="AR370" i="5"/>
  <c r="AL285" i="5"/>
  <c r="AL357" i="5"/>
  <c r="AX219" i="5"/>
  <c r="AX251" i="5"/>
  <c r="AX283" i="5"/>
  <c r="AX299" i="5"/>
  <c r="AX315" i="5"/>
  <c r="AX331" i="5"/>
  <c r="AL261" i="5"/>
  <c r="AL333" i="5"/>
  <c r="AX243" i="5"/>
  <c r="AX259" i="5"/>
  <c r="AX275" i="5"/>
  <c r="AX291" i="5"/>
  <c r="AX307" i="5"/>
  <c r="AL213" i="5"/>
  <c r="AL221" i="5"/>
  <c r="AL253" i="5"/>
  <c r="AL353" i="5"/>
  <c r="AX203" i="5"/>
  <c r="AL317" i="5"/>
  <c r="AL32" i="5"/>
  <c r="AX207" i="5"/>
  <c r="AX223" i="5"/>
  <c r="AX255" i="5"/>
  <c r="AX303" i="5"/>
  <c r="AX335" i="5"/>
  <c r="AL40" i="5"/>
  <c r="AL209" i="5"/>
  <c r="AL217" i="5"/>
  <c r="AL241" i="5"/>
  <c r="AL257" i="5"/>
  <c r="AL297" i="5"/>
  <c r="AL349" i="5"/>
  <c r="AX215" i="5"/>
  <c r="AX247" i="5"/>
  <c r="AX279" i="5"/>
  <c r="AX295" i="5"/>
  <c r="AX311" i="5"/>
  <c r="AL309" i="5"/>
  <c r="AL341" i="5"/>
  <c r="AL373" i="5"/>
  <c r="AR378" i="5"/>
  <c r="AL293" i="5"/>
  <c r="AR374" i="5"/>
  <c r="AR382" i="5"/>
  <c r="AR410" i="5"/>
  <c r="AR390" i="5"/>
  <c r="AL305" i="5"/>
  <c r="AL205" i="5"/>
  <c r="AL277" i="5"/>
  <c r="AL301" i="5"/>
  <c r="AL313" i="5"/>
  <c r="AZ363" i="5"/>
  <c r="BP363" i="5" s="1"/>
  <c r="BA361" i="5"/>
  <c r="BQ361" i="5" s="1"/>
  <c r="BA366" i="5"/>
  <c r="BQ366" i="5" s="1"/>
  <c r="BA358" i="5"/>
  <c r="BQ358" i="5" s="1"/>
  <c r="BA425" i="5"/>
  <c r="AY366" i="5"/>
  <c r="BO366" i="5" s="1"/>
  <c r="BA362" i="5"/>
  <c r="BQ362" i="5" s="1"/>
  <c r="BA370" i="5"/>
  <c r="BQ370" i="5" s="1"/>
  <c r="AR409" i="5"/>
  <c r="AR425" i="5"/>
  <c r="AX54" i="5"/>
  <c r="BC397" i="5"/>
  <c r="BA364" i="5"/>
  <c r="BQ364" i="5" s="1"/>
  <c r="AY367" i="5"/>
  <c r="BO367" i="5" s="1"/>
  <c r="AY425" i="5"/>
  <c r="BO425" i="5" s="1"/>
  <c r="Z26" i="6" s="1"/>
  <c r="AF407" i="5"/>
  <c r="AZ357" i="5"/>
  <c r="BP357" i="5" s="1"/>
  <c r="AZ369" i="5"/>
  <c r="BP369" i="5" s="1"/>
  <c r="AY359" i="5"/>
  <c r="BA368" i="5"/>
  <c r="BQ368" i="5" s="1"/>
  <c r="AZ373" i="5"/>
  <c r="BP373" i="5" s="1"/>
  <c r="BB425" i="5"/>
  <c r="AY363" i="5"/>
  <c r="BO363" i="5" s="1"/>
  <c r="BA410" i="5"/>
  <c r="BQ410" i="5" s="1"/>
  <c r="AL30" i="5"/>
  <c r="AL46" i="5"/>
  <c r="AL62" i="5"/>
  <c r="AR421" i="5"/>
  <c r="AZ365" i="5"/>
  <c r="BP365" i="5" s="1"/>
  <c r="BA378" i="5"/>
  <c r="BA382" i="5"/>
  <c r="BQ382" i="5" s="1"/>
  <c r="BA390" i="5"/>
  <c r="AZ367" i="5"/>
  <c r="BP367" i="5" s="1"/>
  <c r="AZ361" i="5"/>
  <c r="BP361" i="5" s="1"/>
  <c r="AZ362" i="5"/>
  <c r="BP362" i="5" s="1"/>
  <c r="BA421" i="5"/>
  <c r="BQ421" i="5" s="1"/>
  <c r="AZ425" i="5"/>
  <c r="BP425" i="5" s="1"/>
  <c r="AA26" i="6" s="1"/>
  <c r="AR393" i="5"/>
  <c r="AF419" i="5"/>
  <c r="AL43" i="5"/>
  <c r="AL59" i="5"/>
  <c r="AR30" i="5"/>
  <c r="AR38" i="5"/>
  <c r="AR46" i="5"/>
  <c r="AR54" i="5"/>
  <c r="AR62" i="5"/>
  <c r="AL245" i="5"/>
  <c r="AL424" i="5"/>
  <c r="AR401" i="5"/>
  <c r="AX389" i="5"/>
  <c r="AX405" i="5"/>
  <c r="AX421" i="5"/>
  <c r="AF291" i="5"/>
  <c r="AF307" i="5"/>
  <c r="AF355" i="5"/>
  <c r="AF283" i="5"/>
  <c r="AF299" i="5"/>
  <c r="AF315" i="5"/>
  <c r="AF331" i="5"/>
  <c r="AF375" i="5"/>
  <c r="AR417" i="5"/>
  <c r="AR385" i="5"/>
  <c r="AR397" i="5"/>
  <c r="AL71" i="5"/>
  <c r="AR389" i="5"/>
  <c r="AX388" i="5"/>
  <c r="AX404" i="5"/>
  <c r="AX420" i="5"/>
  <c r="AR217" i="5"/>
  <c r="AL380" i="5"/>
  <c r="AF338" i="5"/>
  <c r="AF354" i="5"/>
  <c r="AL218" i="5"/>
  <c r="AL142" i="5"/>
  <c r="AL150" i="5"/>
  <c r="AL159" i="5"/>
  <c r="AL167" i="5"/>
  <c r="AL183" i="5"/>
  <c r="AR413" i="5"/>
  <c r="AX44" i="5"/>
  <c r="AX60" i="5"/>
  <c r="AX76" i="5"/>
  <c r="AL418" i="5"/>
  <c r="AL250" i="5"/>
  <c r="AL314" i="5"/>
  <c r="AR405" i="5"/>
  <c r="AR32" i="5"/>
  <c r="AR48" i="5"/>
  <c r="AR64" i="5"/>
  <c r="AR245" i="5"/>
  <c r="AR261" i="5"/>
  <c r="AR277" i="5"/>
  <c r="AX56" i="5"/>
  <c r="AX72" i="5"/>
  <c r="AX157" i="5"/>
  <c r="AR213" i="5"/>
  <c r="AR40" i="5"/>
  <c r="AR56" i="5"/>
  <c r="AX241" i="5"/>
  <c r="AR157" i="5"/>
  <c r="AR205" i="5"/>
  <c r="AX169" i="5"/>
  <c r="AX185" i="5"/>
  <c r="AX341" i="5"/>
  <c r="AX357" i="5"/>
  <c r="AX385" i="5"/>
  <c r="AX401" i="5"/>
  <c r="AX417" i="5"/>
  <c r="AR76" i="5"/>
  <c r="AR108" i="5"/>
  <c r="AR140" i="5"/>
  <c r="AL381" i="5"/>
  <c r="Z56" i="5"/>
  <c r="AX165" i="5"/>
  <c r="AX181" i="5"/>
  <c r="AR44" i="5"/>
  <c r="AR221" i="5"/>
  <c r="AR253" i="5"/>
  <c r="AX36" i="5"/>
  <c r="AX48" i="5"/>
  <c r="AX64" i="5"/>
  <c r="AX80" i="5"/>
  <c r="AF207" i="5"/>
  <c r="AF243" i="5"/>
  <c r="AF259" i="5"/>
  <c r="AF275" i="5"/>
  <c r="AR60" i="5"/>
  <c r="AX257" i="5"/>
  <c r="AR72" i="5"/>
  <c r="AR104" i="5"/>
  <c r="AR120" i="5"/>
  <c r="AR293" i="5"/>
  <c r="AR309" i="5"/>
  <c r="AX353" i="5"/>
  <c r="AF276" i="5"/>
  <c r="AL377" i="5"/>
  <c r="AL400" i="5"/>
  <c r="AR152" i="5"/>
  <c r="AR169" i="5"/>
  <c r="AR185" i="5"/>
  <c r="AR242" i="5"/>
  <c r="AR258" i="5"/>
  <c r="AX393" i="5"/>
  <c r="AX409" i="5"/>
  <c r="AX425" i="5"/>
  <c r="Z354" i="5"/>
  <c r="AF215" i="5"/>
  <c r="AF350" i="5"/>
  <c r="AF403" i="5"/>
  <c r="AL75" i="5"/>
  <c r="AL160" i="5"/>
  <c r="AR338" i="5"/>
  <c r="AR354" i="5"/>
  <c r="AF251" i="5"/>
  <c r="AF370" i="5"/>
  <c r="AF384" i="5"/>
  <c r="AF423" i="5"/>
  <c r="AL143" i="5"/>
  <c r="AL296" i="5"/>
  <c r="AL111" i="5"/>
  <c r="AL388" i="5"/>
  <c r="AR285" i="5"/>
  <c r="AR301" i="5"/>
  <c r="AR306" i="5"/>
  <c r="AR317" i="5"/>
  <c r="AR333" i="5"/>
  <c r="AX108" i="5"/>
  <c r="AX140" i="5"/>
  <c r="AX377" i="5"/>
  <c r="AF220" i="5"/>
  <c r="AF347" i="5"/>
  <c r="AR36" i="5"/>
  <c r="AR209" i="5"/>
  <c r="AR52" i="5"/>
  <c r="AR68" i="5"/>
  <c r="AR84" i="5"/>
  <c r="AR116" i="5"/>
  <c r="AR148" i="5"/>
  <c r="AR165" i="5"/>
  <c r="AR181" i="5"/>
  <c r="AR80" i="5"/>
  <c r="AR112" i="5"/>
  <c r="AR161" i="5"/>
  <c r="AR177" i="5"/>
  <c r="AR241" i="5"/>
  <c r="AR257" i="5"/>
  <c r="AR305" i="5"/>
  <c r="AX104" i="5"/>
  <c r="AX120" i="5"/>
  <c r="AX152" i="5"/>
  <c r="AX373" i="5"/>
  <c r="Z421" i="5"/>
  <c r="Z40" i="5"/>
  <c r="AR297" i="5"/>
  <c r="AR313" i="5"/>
  <c r="AX40" i="5"/>
  <c r="AR214" i="5"/>
  <c r="AX84" i="5"/>
  <c r="AX116" i="5"/>
  <c r="AX148" i="5"/>
  <c r="AX161" i="5"/>
  <c r="AX177" i="5"/>
  <c r="AX361" i="5"/>
  <c r="AX397" i="5"/>
  <c r="AX413" i="5"/>
  <c r="Z70" i="5"/>
  <c r="AR278" i="5"/>
  <c r="AR294" i="5"/>
  <c r="AR310" i="5"/>
  <c r="AX32" i="5"/>
  <c r="AL31" i="5"/>
  <c r="AL147" i="5"/>
  <c r="AL164" i="5"/>
  <c r="AL180" i="5"/>
  <c r="AL304" i="5"/>
  <c r="AL336" i="5"/>
  <c r="AL396" i="5"/>
  <c r="AR342" i="5"/>
  <c r="AX52" i="5"/>
  <c r="AX68" i="5"/>
  <c r="AX112" i="5"/>
  <c r="AX349" i="5"/>
  <c r="AX381" i="5"/>
  <c r="AL39" i="5"/>
  <c r="AL55" i="5"/>
  <c r="AL139" i="5"/>
  <c r="AL155" i="5"/>
  <c r="AL172" i="5"/>
  <c r="AL204" i="5"/>
  <c r="AL416" i="5"/>
  <c r="Z152" i="5"/>
  <c r="AR222" i="5"/>
  <c r="AR254" i="5"/>
  <c r="AR286" i="5"/>
  <c r="AR334" i="5"/>
  <c r="AR350" i="5"/>
  <c r="AX168" i="5"/>
  <c r="AX184" i="5"/>
  <c r="Z341" i="5"/>
  <c r="Z48" i="5"/>
  <c r="AR206" i="5"/>
  <c r="AX103" i="5"/>
  <c r="AX119" i="5"/>
  <c r="AX151" i="5"/>
  <c r="AX369" i="5"/>
  <c r="AX384" i="5"/>
  <c r="AX400" i="5"/>
  <c r="AX416" i="5"/>
  <c r="AX334" i="5"/>
  <c r="AF371" i="5"/>
  <c r="AF394" i="5"/>
  <c r="AF408" i="5"/>
  <c r="AF418" i="5"/>
  <c r="AL404" i="5"/>
  <c r="AR216" i="5"/>
  <c r="AX365" i="5"/>
  <c r="AX398" i="5"/>
  <c r="AL399" i="5"/>
  <c r="AR218" i="5"/>
  <c r="AR250" i="5"/>
  <c r="AR282" i="5"/>
  <c r="AR298" i="5"/>
  <c r="AR314" i="5"/>
  <c r="AR37" i="5"/>
  <c r="AF339" i="5"/>
  <c r="AL312" i="5"/>
  <c r="AL392" i="5"/>
  <c r="AL420" i="5"/>
  <c r="Z157" i="5"/>
  <c r="AX37" i="5"/>
  <c r="AX55" i="5"/>
  <c r="AX71" i="5"/>
  <c r="AX109" i="5"/>
  <c r="AX141" i="5"/>
  <c r="AX158" i="5"/>
  <c r="AF304" i="5"/>
  <c r="AF336" i="5"/>
  <c r="AF391" i="5"/>
  <c r="AR340" i="5"/>
  <c r="AR356" i="5"/>
  <c r="AR380" i="5"/>
  <c r="AR424" i="5"/>
  <c r="AX39" i="5"/>
  <c r="AX304" i="5"/>
  <c r="AF241" i="5"/>
  <c r="AF247" i="5"/>
  <c r="AF257" i="5"/>
  <c r="AF279" i="5"/>
  <c r="AF295" i="5"/>
  <c r="AF305" i="5"/>
  <c r="AF311" i="5"/>
  <c r="AL408" i="5"/>
  <c r="AF30" i="5"/>
  <c r="AF221" i="5"/>
  <c r="AF301" i="5"/>
  <c r="AF333" i="5"/>
  <c r="AF379" i="5"/>
  <c r="AL35" i="5"/>
  <c r="AL51" i="5"/>
  <c r="AL67" i="5"/>
  <c r="AL47" i="5"/>
  <c r="AL151" i="5"/>
  <c r="AL168" i="5"/>
  <c r="AL184" i="5"/>
  <c r="AL383" i="5"/>
  <c r="AL412" i="5"/>
  <c r="Z184" i="5"/>
  <c r="AX406" i="5"/>
  <c r="AX422" i="5"/>
  <c r="Z221" i="5"/>
  <c r="Z245" i="5"/>
  <c r="AF223" i="5"/>
  <c r="AF255" i="5"/>
  <c r="AF303" i="5"/>
  <c r="AF335" i="5"/>
  <c r="AL83" i="5"/>
  <c r="AL115" i="5"/>
  <c r="Z336" i="5"/>
  <c r="AF253" i="5"/>
  <c r="AF285" i="5"/>
  <c r="AF317" i="5"/>
  <c r="AL79" i="5"/>
  <c r="AL103" i="5"/>
  <c r="AL119" i="5"/>
  <c r="AL203" i="5"/>
  <c r="AL384" i="5"/>
  <c r="AR348" i="5"/>
  <c r="AF219" i="5"/>
  <c r="AF351" i="5"/>
  <c r="AF383" i="5"/>
  <c r="AF415" i="5"/>
  <c r="AL63" i="5"/>
  <c r="AF31" i="5"/>
  <c r="AF63" i="5"/>
  <c r="AF103" i="5"/>
  <c r="AF119" i="5"/>
  <c r="AL338" i="5"/>
  <c r="Z60" i="5"/>
  <c r="AR403" i="5"/>
  <c r="AR415" i="5"/>
  <c r="Z215" i="5"/>
  <c r="AX113" i="5"/>
  <c r="AX145" i="5"/>
  <c r="Z291" i="5"/>
  <c r="Z307" i="5"/>
  <c r="Z335" i="5"/>
  <c r="AX338" i="5"/>
  <c r="AF59" i="5"/>
  <c r="AL219" i="5"/>
  <c r="AL251" i="5"/>
  <c r="AL311" i="5"/>
  <c r="AL379" i="5"/>
  <c r="AR400" i="5"/>
  <c r="Z261" i="5"/>
  <c r="Z277" i="5"/>
  <c r="Z293" i="5"/>
  <c r="Z317" i="5"/>
  <c r="Z218" i="5"/>
  <c r="Z251" i="5"/>
  <c r="Z279" i="5"/>
  <c r="Z333" i="5"/>
  <c r="AX35" i="5"/>
  <c r="AF245" i="5"/>
  <c r="AF261" i="5"/>
  <c r="AF277" i="5"/>
  <c r="AF293" i="5"/>
  <c r="AF309" i="5"/>
  <c r="AL279" i="5"/>
  <c r="AL295" i="5"/>
  <c r="AL351" i="5"/>
  <c r="AF139" i="5"/>
  <c r="AF155" i="5"/>
  <c r="AX394" i="5"/>
  <c r="Z213" i="5"/>
  <c r="Z253" i="5"/>
  <c r="Z285" i="5"/>
  <c r="Z301" i="5"/>
  <c r="Z309" i="5"/>
  <c r="Z219" i="5"/>
  <c r="Z295" i="5"/>
  <c r="Z311" i="5"/>
  <c r="AF213" i="5"/>
  <c r="B75" i="16"/>
  <c r="B82" i="16" s="1"/>
  <c r="AF39" i="5"/>
  <c r="AF71" i="5"/>
  <c r="AX49" i="5"/>
  <c r="AX65" i="5"/>
  <c r="AX170" i="5"/>
  <c r="AX186" i="5"/>
  <c r="Z55" i="5"/>
  <c r="AR391" i="5"/>
  <c r="Z111" i="5"/>
  <c r="Z31" i="5"/>
  <c r="Z47" i="5"/>
  <c r="AX41" i="5"/>
  <c r="Z67" i="5"/>
  <c r="AF111" i="5"/>
  <c r="AR244" i="5"/>
  <c r="AR260" i="5"/>
  <c r="AR276" i="5"/>
  <c r="AR292" i="5"/>
  <c r="AR308" i="5"/>
  <c r="AF216" i="5"/>
  <c r="AX33" i="5"/>
  <c r="AX105" i="5"/>
  <c r="AX121" i="5"/>
  <c r="AX153" i="5"/>
  <c r="AF396" i="5"/>
  <c r="Z39" i="5"/>
  <c r="Z71" i="5"/>
  <c r="AX81" i="5"/>
  <c r="AF47" i="5"/>
  <c r="AF55" i="5"/>
  <c r="AF79" i="5"/>
  <c r="AL375" i="5"/>
  <c r="AR150" i="5"/>
  <c r="AR167" i="5"/>
  <c r="AR183" i="5"/>
  <c r="AX57" i="5"/>
  <c r="AX73" i="5"/>
  <c r="AX162" i="5"/>
  <c r="AX178" i="5"/>
  <c r="Z103" i="5"/>
  <c r="Z119" i="5"/>
  <c r="AF420" i="5"/>
  <c r="AL282" i="5"/>
  <c r="AL70" i="5"/>
  <c r="AL78" i="5"/>
  <c r="AL102" i="5"/>
  <c r="AL110" i="5"/>
  <c r="AL118" i="5"/>
  <c r="AL215" i="5"/>
  <c r="AL247" i="5"/>
  <c r="AL307" i="5"/>
  <c r="Z161" i="5"/>
  <c r="AR70" i="5"/>
  <c r="AR78" i="5"/>
  <c r="AR102" i="5"/>
  <c r="AR110" i="5"/>
  <c r="AR118" i="5"/>
  <c r="AR224" i="5"/>
  <c r="AR240" i="5"/>
  <c r="AR256" i="5"/>
  <c r="AR304" i="5"/>
  <c r="AR336" i="5"/>
  <c r="AR352" i="5"/>
  <c r="AR376" i="5"/>
  <c r="AR419" i="5"/>
  <c r="Z180" i="5"/>
  <c r="AF204" i="5"/>
  <c r="AX164" i="5"/>
  <c r="AX180" i="5"/>
  <c r="AX410" i="5"/>
  <c r="Z30" i="5"/>
  <c r="Z394" i="5"/>
  <c r="AF280" i="5"/>
  <c r="AF402" i="5"/>
  <c r="Z338" i="5"/>
  <c r="AL49" i="5"/>
  <c r="AL54" i="5"/>
  <c r="AL335" i="5"/>
  <c r="AL394" i="5"/>
  <c r="AX202" i="5"/>
  <c r="Z275" i="5"/>
  <c r="AF308" i="5"/>
  <c r="AF388" i="5"/>
  <c r="AF412" i="5"/>
  <c r="AL38" i="5"/>
  <c r="Z280" i="5"/>
  <c r="AR395" i="5"/>
  <c r="AX83" i="5"/>
  <c r="AX115" i="5"/>
  <c r="AX147" i="5"/>
  <c r="AX390" i="5"/>
  <c r="Z247" i="5"/>
  <c r="Z351" i="5"/>
  <c r="AF244" i="5"/>
  <c r="AF260" i="5"/>
  <c r="AF292" i="5"/>
  <c r="AF382" i="5"/>
  <c r="AL74" i="5"/>
  <c r="AL82" i="5"/>
  <c r="AL106" i="5"/>
  <c r="AL114" i="5"/>
  <c r="AL275" i="5"/>
  <c r="AL283" i="5"/>
  <c r="AL291" i="5"/>
  <c r="AL347" i="5"/>
  <c r="AL354" i="5"/>
  <c r="Z80" i="5"/>
  <c r="Z108" i="5"/>
  <c r="Z140" i="5"/>
  <c r="AR146" i="5"/>
  <c r="AR163" i="5"/>
  <c r="AR179" i="5"/>
  <c r="AR280" i="5"/>
  <c r="AR296" i="5"/>
  <c r="AR312" i="5"/>
  <c r="AR416" i="5"/>
  <c r="AF172" i="5"/>
  <c r="AX51" i="5"/>
  <c r="AX67" i="5"/>
  <c r="Z420" i="5"/>
  <c r="AF369" i="5"/>
  <c r="Z305" i="5"/>
  <c r="Z364" i="5"/>
  <c r="Z369" i="5"/>
  <c r="AR34" i="5"/>
  <c r="AR42" i="5"/>
  <c r="AR50" i="5"/>
  <c r="AR58" i="5"/>
  <c r="AR66" i="5"/>
  <c r="AL34" i="5"/>
  <c r="AL50" i="5"/>
  <c r="AL138" i="5"/>
  <c r="AL146" i="5"/>
  <c r="AL163" i="5"/>
  <c r="AL171" i="5"/>
  <c r="AL179" i="5"/>
  <c r="AL315" i="5"/>
  <c r="Z214" i="5"/>
  <c r="Z402" i="5"/>
  <c r="Z299" i="5"/>
  <c r="Z315" i="5"/>
  <c r="Z331" i="5"/>
  <c r="Z384" i="5"/>
  <c r="Z413" i="5"/>
  <c r="Z418" i="5"/>
  <c r="AF286" i="5"/>
  <c r="Z308" i="5"/>
  <c r="Z243" i="5"/>
  <c r="Z259" i="5"/>
  <c r="AL42" i="5"/>
  <c r="AL66" i="5"/>
  <c r="AL299" i="5"/>
  <c r="AL355" i="5"/>
  <c r="Z182" i="5"/>
  <c r="AF186" i="5"/>
  <c r="Z209" i="5"/>
  <c r="Z217" i="5"/>
  <c r="Z223" i="5"/>
  <c r="Z255" i="5"/>
  <c r="Z283" i="5"/>
  <c r="Z359" i="5"/>
  <c r="Z63" i="5"/>
  <c r="Z79" i="5"/>
  <c r="Z43" i="5"/>
  <c r="Z51" i="5"/>
  <c r="Z75" i="5"/>
  <c r="Z83" i="5"/>
  <c r="Z203" i="5"/>
  <c r="AL278" i="5"/>
  <c r="AL207" i="5"/>
  <c r="AL223" i="5"/>
  <c r="AL255" i="5"/>
  <c r="Z104" i="5"/>
  <c r="Z112" i="5"/>
  <c r="AR384" i="5"/>
  <c r="AF160" i="5"/>
  <c r="AX386" i="5"/>
  <c r="AF209" i="5"/>
  <c r="AF217" i="5"/>
  <c r="AF297" i="5"/>
  <c r="Z304" i="5"/>
  <c r="AL371" i="5"/>
  <c r="Z120" i="5"/>
  <c r="Z207" i="5"/>
  <c r="AL58" i="5"/>
  <c r="AX414" i="5"/>
  <c r="Z297" i="5"/>
  <c r="Z385" i="5"/>
  <c r="AF177" i="5"/>
  <c r="Z388" i="5"/>
  <c r="AL331" i="5"/>
  <c r="Z340" i="5"/>
  <c r="Z348" i="5"/>
  <c r="Z332" i="5"/>
  <c r="Z313" i="5"/>
  <c r="AF313" i="5"/>
  <c r="AL339" i="5"/>
  <c r="AL243" i="5"/>
  <c r="AL259" i="5"/>
  <c r="AR372" i="5"/>
  <c r="AX53" i="5"/>
  <c r="AX69" i="5"/>
  <c r="Z35" i="5"/>
  <c r="AR212" i="5"/>
  <c r="AR360" i="5"/>
  <c r="AX45" i="5"/>
  <c r="AX61" i="5"/>
  <c r="AX77" i="5"/>
  <c r="AX166" i="5"/>
  <c r="AX182" i="5"/>
  <c r="AX402" i="5"/>
  <c r="AX418" i="5"/>
  <c r="Z260" i="5"/>
  <c r="Z276" i="5"/>
  <c r="Z400" i="5"/>
  <c r="AF83" i="5"/>
  <c r="AL303" i="5"/>
  <c r="AL359" i="5"/>
  <c r="AL378" i="5"/>
  <c r="AL414" i="5"/>
  <c r="AR220" i="5"/>
  <c r="AR252" i="5"/>
  <c r="AR284" i="5"/>
  <c r="AR300" i="5"/>
  <c r="AR316" i="5"/>
  <c r="AR332" i="5"/>
  <c r="Z145" i="5"/>
  <c r="AX29" i="5"/>
  <c r="AX47" i="5"/>
  <c r="AX63" i="5"/>
  <c r="AX79" i="5"/>
  <c r="AX101" i="5"/>
  <c r="AX117" i="5"/>
  <c r="AX149" i="5"/>
  <c r="Z38" i="5"/>
  <c r="Z303" i="5"/>
  <c r="Z339" i="5"/>
  <c r="AX160" i="5"/>
  <c r="AL386" i="5"/>
  <c r="AF51" i="5"/>
  <c r="AL310" i="5"/>
  <c r="AR203" i="5"/>
  <c r="AR387" i="5"/>
  <c r="AF212" i="5"/>
  <c r="AX31" i="5"/>
  <c r="Z220" i="5"/>
  <c r="Z292" i="5"/>
  <c r="Z282" i="5"/>
  <c r="Z102" i="5"/>
  <c r="Z378" i="5"/>
  <c r="AL350" i="5"/>
  <c r="AF67" i="5"/>
  <c r="AF147" i="5"/>
  <c r="AX396" i="5"/>
  <c r="AX412" i="5"/>
  <c r="Z383" i="5"/>
  <c r="Z414" i="5"/>
  <c r="Z373" i="5"/>
  <c r="Z417" i="5"/>
  <c r="Z396" i="5"/>
  <c r="AF224" i="5"/>
  <c r="AF240" i="5"/>
  <c r="AF256" i="5"/>
  <c r="AF35" i="5"/>
  <c r="AF75" i="5"/>
  <c r="AF115" i="5"/>
  <c r="AR142" i="5"/>
  <c r="AR159" i="5"/>
  <c r="AX111" i="5"/>
  <c r="AX143" i="5"/>
  <c r="Z224" i="5"/>
  <c r="Z256" i="5"/>
  <c r="Z300" i="5"/>
  <c r="Z310" i="5"/>
  <c r="Z353" i="5"/>
  <c r="AF300" i="5"/>
  <c r="AF316" i="5"/>
  <c r="AF332" i="5"/>
  <c r="AF362" i="5"/>
  <c r="AF378" i="5"/>
  <c r="AF400" i="5"/>
  <c r="Z412" i="5"/>
  <c r="Z362" i="5"/>
  <c r="Z212" i="5"/>
  <c r="Z160" i="5"/>
  <c r="Z44" i="5"/>
  <c r="Z76" i="5"/>
  <c r="Z169" i="5"/>
  <c r="Z168" i="5"/>
  <c r="Z42" i="5"/>
  <c r="Z58" i="5"/>
  <c r="Z167" i="5"/>
  <c r="Z205" i="5"/>
  <c r="Z381" i="5"/>
  <c r="AF296" i="5"/>
  <c r="AF312" i="5"/>
  <c r="AF386" i="5"/>
  <c r="AF424" i="5"/>
  <c r="AL402" i="5"/>
  <c r="Z151" i="5"/>
  <c r="AX43" i="5"/>
  <c r="AX59" i="5"/>
  <c r="AX75" i="5"/>
  <c r="AF222" i="5"/>
  <c r="Z278" i="5"/>
  <c r="Z347" i="5"/>
  <c r="Z357" i="5"/>
  <c r="Z395" i="5"/>
  <c r="Z393" i="5"/>
  <c r="Z185" i="5"/>
  <c r="Z244" i="5"/>
  <c r="Z380" i="5"/>
  <c r="AL406" i="5"/>
  <c r="AL410" i="5"/>
  <c r="AX415" i="5"/>
  <c r="AF46" i="5"/>
  <c r="AR51" i="5"/>
  <c r="AF56" i="5"/>
  <c r="AF62" i="5"/>
  <c r="AX224" i="5"/>
  <c r="AX280" i="5"/>
  <c r="AX286" i="5"/>
  <c r="AX294" i="5"/>
  <c r="AX300" i="5"/>
  <c r="AX308" i="5"/>
  <c r="AX314" i="5"/>
  <c r="AL411" i="5"/>
  <c r="AL415" i="5"/>
  <c r="AL421" i="5"/>
  <c r="AF43" i="5"/>
  <c r="AL145" i="5"/>
  <c r="AF109" i="5"/>
  <c r="AF117" i="5"/>
  <c r="Z117" i="5"/>
  <c r="Z149" i="5"/>
  <c r="AX317" i="5"/>
  <c r="AF218" i="5"/>
  <c r="AF73" i="5"/>
  <c r="AF81" i="5"/>
  <c r="AR363" i="5"/>
  <c r="AR365" i="5"/>
  <c r="AF368" i="5"/>
  <c r="AR371" i="5"/>
  <c r="AR373" i="5"/>
  <c r="AR83" i="5"/>
  <c r="AX220" i="5"/>
  <c r="AX282" i="5"/>
  <c r="AX292" i="5"/>
  <c r="AX298" i="5"/>
  <c r="AX310" i="5"/>
  <c r="AL409" i="5"/>
  <c r="Z147" i="5"/>
  <c r="Z29" i="5"/>
  <c r="Z202" i="5"/>
  <c r="AL45" i="5"/>
  <c r="AL61" i="5"/>
  <c r="AL65" i="5"/>
  <c r="AL69" i="5"/>
  <c r="AX82" i="5"/>
  <c r="AX146" i="5"/>
  <c r="AX150" i="5"/>
  <c r="AL162" i="5"/>
  <c r="AL166" i="5"/>
  <c r="AL186" i="5"/>
  <c r="Z286" i="5"/>
  <c r="AR291" i="5"/>
  <c r="AR295" i="5"/>
  <c r="AR299" i="5"/>
  <c r="AR303" i="5"/>
  <c r="AR307" i="5"/>
  <c r="AR311" i="5"/>
  <c r="AR315" i="5"/>
  <c r="AR331" i="5"/>
  <c r="AR335" i="5"/>
  <c r="AR339" i="5"/>
  <c r="AR341" i="5"/>
  <c r="Z367" i="5"/>
  <c r="Z375" i="5"/>
  <c r="AX333" i="5"/>
  <c r="AX339" i="5"/>
  <c r="AL342" i="5"/>
  <c r="AL348" i="5"/>
  <c r="AF106" i="5"/>
  <c r="AF114" i="5"/>
  <c r="AR117" i="5"/>
  <c r="AF140" i="5"/>
  <c r="AF148" i="5"/>
  <c r="AF152" i="5"/>
  <c r="AF157" i="5"/>
  <c r="AF161" i="5"/>
  <c r="AF165" i="5"/>
  <c r="AR172" i="5"/>
  <c r="AR180" i="5"/>
  <c r="AR184" i="5"/>
  <c r="AR202" i="5"/>
  <c r="AX296" i="5"/>
  <c r="Z405" i="5"/>
  <c r="Z401" i="5"/>
  <c r="Z59" i="5"/>
  <c r="Z172" i="5"/>
  <c r="Z74" i="5"/>
  <c r="Z106" i="5"/>
  <c r="Z370" i="5"/>
  <c r="Z296" i="5"/>
  <c r="Z312" i="5"/>
  <c r="Z398" i="5"/>
  <c r="Z416" i="5"/>
  <c r="Z424" i="5"/>
  <c r="Z216" i="5"/>
  <c r="AF45" i="5"/>
  <c r="AF53" i="5"/>
  <c r="Z170" i="5"/>
  <c r="AR207" i="5"/>
  <c r="AX42" i="5"/>
  <c r="AL101" i="5"/>
  <c r="AX205" i="5"/>
  <c r="Z306" i="5"/>
  <c r="Z371" i="5"/>
  <c r="Z376" i="5"/>
  <c r="Z379" i="5"/>
  <c r="AF353" i="5"/>
  <c r="AF421" i="5"/>
  <c r="AF425" i="5"/>
  <c r="AX371" i="5"/>
  <c r="AL374" i="5"/>
  <c r="AL376" i="5"/>
  <c r="AX395" i="5"/>
  <c r="AX348" i="5"/>
  <c r="AX354" i="5"/>
  <c r="AX364" i="5"/>
  <c r="AX374" i="5"/>
  <c r="Z53" i="5"/>
  <c r="Z115" i="5"/>
  <c r="Z150" i="5"/>
  <c r="AF357" i="5"/>
  <c r="AF381" i="5"/>
  <c r="AF393" i="5"/>
  <c r="AF401" i="5"/>
  <c r="AR412" i="5"/>
  <c r="AR420" i="5"/>
  <c r="Z64" i="5"/>
  <c r="Z171" i="5"/>
  <c r="Z389" i="5"/>
  <c r="Z360" i="5"/>
  <c r="Z397" i="5"/>
  <c r="Z204" i="5"/>
  <c r="AL36" i="5"/>
  <c r="AL44" i="5"/>
  <c r="AL60" i="5"/>
  <c r="AL76" i="5"/>
  <c r="AL84" i="5"/>
  <c r="AL152" i="5"/>
  <c r="AL169" i="5"/>
  <c r="AR74" i="5"/>
  <c r="AR82" i="5"/>
  <c r="AR106" i="5"/>
  <c r="AR114" i="5"/>
  <c r="AR138" i="5"/>
  <c r="AR171" i="5"/>
  <c r="Z49" i="5"/>
  <c r="Z54" i="5"/>
  <c r="Z121" i="5"/>
  <c r="AF145" i="5"/>
  <c r="AF182" i="5"/>
  <c r="Z81" i="5"/>
  <c r="AL158" i="5"/>
  <c r="AX163" i="5"/>
  <c r="AX167" i="5"/>
  <c r="AL206" i="5"/>
  <c r="AX209" i="5"/>
  <c r="AX217" i="5"/>
  <c r="AL240" i="5"/>
  <c r="Z386" i="5"/>
  <c r="AF50" i="5"/>
  <c r="AR57" i="5"/>
  <c r="AF342" i="5"/>
  <c r="AF358" i="5"/>
  <c r="AF374" i="5"/>
  <c r="AX214" i="5"/>
  <c r="AX356" i="5"/>
  <c r="AX362" i="5"/>
  <c r="AX370" i="5"/>
  <c r="AL401" i="5"/>
  <c r="AL423" i="5"/>
  <c r="AL298" i="5"/>
  <c r="AL398" i="5"/>
  <c r="Z72" i="5"/>
  <c r="Z177" i="5"/>
  <c r="AF57" i="5"/>
  <c r="AX172" i="5"/>
  <c r="AX204" i="5"/>
  <c r="AX392" i="5"/>
  <c r="AX408" i="5"/>
  <c r="AX424" i="5"/>
  <c r="Z242" i="5"/>
  <c r="AX313" i="5"/>
  <c r="Z352" i="5"/>
  <c r="AR386" i="5"/>
  <c r="AF395" i="5"/>
  <c r="AF399" i="5"/>
  <c r="AF409" i="5"/>
  <c r="AF413" i="5"/>
  <c r="AR418" i="5"/>
  <c r="AR422" i="5"/>
  <c r="Z404" i="5"/>
  <c r="Z408" i="5"/>
  <c r="AF398" i="5"/>
  <c r="AF404" i="5"/>
  <c r="Z139" i="5"/>
  <c r="Z118" i="5"/>
  <c r="AL370" i="5"/>
  <c r="AX212" i="5"/>
  <c r="Z57" i="5"/>
  <c r="AF143" i="5"/>
  <c r="Z153" i="5"/>
  <c r="AX139" i="5"/>
  <c r="AX155" i="5"/>
  <c r="Z138" i="5"/>
  <c r="Z222" i="5"/>
  <c r="Z372" i="5"/>
  <c r="Z406" i="5"/>
  <c r="Z422" i="5"/>
  <c r="AF102" i="5"/>
  <c r="AF118" i="5"/>
  <c r="Z392" i="5"/>
  <c r="Z374" i="5"/>
  <c r="AF181" i="5"/>
  <c r="AF205" i="5"/>
  <c r="AF252" i="5"/>
  <c r="AF284" i="5"/>
  <c r="AF392" i="5"/>
  <c r="AF416" i="5"/>
  <c r="AR31" i="5"/>
  <c r="AR33" i="5"/>
  <c r="AR35" i="5"/>
  <c r="AF38" i="5"/>
  <c r="AF40" i="5"/>
  <c r="AR47" i="5"/>
  <c r="AR49" i="5"/>
  <c r="AR53" i="5"/>
  <c r="AR65" i="5"/>
  <c r="AR69" i="5"/>
  <c r="AL64" i="5"/>
  <c r="AL72" i="5"/>
  <c r="AL80" i="5"/>
  <c r="AL148" i="5"/>
  <c r="AL157" i="5"/>
  <c r="AL165" i="5"/>
  <c r="AF158" i="5"/>
  <c r="AX30" i="5"/>
  <c r="AL57" i="5"/>
  <c r="AX66" i="5"/>
  <c r="AX70" i="5"/>
  <c r="AL252" i="5"/>
  <c r="AL254" i="5"/>
  <c r="Z294" i="5"/>
  <c r="AL294" i="5"/>
  <c r="Z77" i="5"/>
  <c r="Z113" i="5"/>
  <c r="AL120" i="5"/>
  <c r="AL33" i="5"/>
  <c r="Z178" i="5"/>
  <c r="AF49" i="5"/>
  <c r="AF77" i="5"/>
  <c r="AF105" i="5"/>
  <c r="AF113" i="5"/>
  <c r="Z164" i="5"/>
  <c r="AF164" i="5"/>
  <c r="AF206" i="5"/>
  <c r="AX118" i="5"/>
  <c r="Z155" i="5"/>
  <c r="AL316" i="5"/>
  <c r="AR219" i="5"/>
  <c r="AF294" i="5"/>
  <c r="AF298" i="5"/>
  <c r="AF306" i="5"/>
  <c r="AF310" i="5"/>
  <c r="AF314" i="5"/>
  <c r="AF334" i="5"/>
  <c r="AF340" i="5"/>
  <c r="AF364" i="5"/>
  <c r="AR367" i="5"/>
  <c r="AR369" i="5"/>
  <c r="AF372" i="5"/>
  <c r="Z183" i="5"/>
  <c r="AF349" i="5"/>
  <c r="AF361" i="5"/>
  <c r="Z377" i="5"/>
  <c r="AL332" i="5"/>
  <c r="AL334" i="5"/>
  <c r="AL340" i="5"/>
  <c r="AX347" i="5"/>
  <c r="AL372" i="5"/>
  <c r="AX375" i="5"/>
  <c r="AX403" i="5"/>
  <c r="AX407" i="5"/>
  <c r="AX411" i="5"/>
  <c r="Z66" i="5"/>
  <c r="AF70" i="5"/>
  <c r="AR139" i="5"/>
  <c r="AR147" i="5"/>
  <c r="AF203" i="5"/>
  <c r="AX352" i="5"/>
  <c r="AX360" i="5"/>
  <c r="AX372" i="5"/>
  <c r="AF104" i="5"/>
  <c r="AF108" i="5"/>
  <c r="AF112" i="5"/>
  <c r="AF120" i="5"/>
  <c r="Z142" i="5"/>
  <c r="AF146" i="5"/>
  <c r="AR158" i="5"/>
  <c r="AF163" i="5"/>
  <c r="AF167" i="5"/>
  <c r="AR178" i="5"/>
  <c r="AR182" i="5"/>
  <c r="AR204" i="5"/>
  <c r="AR388" i="5"/>
  <c r="AX278" i="5"/>
  <c r="AX102" i="5"/>
  <c r="AL121" i="5"/>
  <c r="Z141" i="5"/>
  <c r="AL149" i="5"/>
  <c r="AX253" i="5"/>
  <c r="AL256" i="5"/>
  <c r="AX285" i="5"/>
  <c r="AL308" i="5"/>
  <c r="AL389" i="5"/>
  <c r="AL407" i="5"/>
  <c r="AL425" i="5"/>
  <c r="AX383" i="5"/>
  <c r="Z32" i="5"/>
  <c r="Z36" i="5"/>
  <c r="AR45" i="5"/>
  <c r="AR63" i="5"/>
  <c r="AR67" i="5"/>
  <c r="AF78" i="5"/>
  <c r="Z82" i="5"/>
  <c r="Z356" i="5"/>
  <c r="Z368" i="5"/>
  <c r="Z403" i="5"/>
  <c r="AL284" i="5"/>
  <c r="AL286" i="5"/>
  <c r="AX297" i="5"/>
  <c r="AL306" i="5"/>
  <c r="AX309" i="5"/>
  <c r="AF390" i="5"/>
  <c r="Z349" i="5"/>
  <c r="AF385" i="5"/>
  <c r="AR392" i="5"/>
  <c r="AF397" i="5"/>
  <c r="AF405" i="5"/>
  <c r="AF411" i="5"/>
  <c r="AF417" i="5"/>
  <c r="AX242" i="5"/>
  <c r="AX306" i="5"/>
  <c r="AL405" i="5"/>
  <c r="AL419" i="5"/>
  <c r="Z240" i="5"/>
  <c r="AL382" i="5"/>
  <c r="AL413" i="5"/>
  <c r="AL417" i="5"/>
  <c r="Z365" i="5"/>
  <c r="Z366" i="5"/>
  <c r="Z116" i="5"/>
  <c r="Z387" i="5"/>
  <c r="AF180" i="5"/>
  <c r="Z34" i="5"/>
  <c r="Z52" i="5"/>
  <c r="Z241" i="5"/>
  <c r="Z143" i="5"/>
  <c r="Z257" i="5"/>
  <c r="AL48" i="5"/>
  <c r="AL56" i="5"/>
  <c r="AL104" i="5"/>
  <c r="AL112" i="5"/>
  <c r="AL181" i="5"/>
  <c r="AX206" i="5"/>
  <c r="AF33" i="5"/>
  <c r="AF41" i="5"/>
  <c r="AF61" i="5"/>
  <c r="AF69" i="5"/>
  <c r="Z105" i="5"/>
  <c r="AF149" i="5"/>
  <c r="AF153" i="5"/>
  <c r="AF166" i="5"/>
  <c r="AF170" i="5"/>
  <c r="Z186" i="5"/>
  <c r="AF202" i="5"/>
  <c r="AF214" i="5"/>
  <c r="AX34" i="5"/>
  <c r="AX38" i="5"/>
  <c r="AX46" i="5"/>
  <c r="AX50" i="5"/>
  <c r="AX58" i="5"/>
  <c r="AX62" i="5"/>
  <c r="AL73" i="5"/>
  <c r="AL77" i="5"/>
  <c r="Z101" i="5"/>
  <c r="AX106" i="5"/>
  <c r="AX110" i="5"/>
  <c r="AX114" i="5"/>
  <c r="AL141" i="5"/>
  <c r="AL153" i="5"/>
  <c r="Z158" i="5"/>
  <c r="AL170" i="5"/>
  <c r="AL178" i="5"/>
  <c r="AL182" i="5"/>
  <c r="AX213" i="5"/>
  <c r="AL220" i="5"/>
  <c r="AL222" i="5"/>
  <c r="AL244" i="5"/>
  <c r="Z252" i="5"/>
  <c r="Z254" i="5"/>
  <c r="AL260" i="5"/>
  <c r="AL276" i="5"/>
  <c r="AL280" i="5"/>
  <c r="Z284" i="5"/>
  <c r="AL292" i="5"/>
  <c r="AL300" i="5"/>
  <c r="Z316" i="5"/>
  <c r="AR223" i="5"/>
  <c r="AR243" i="5"/>
  <c r="AR247" i="5"/>
  <c r="AR251" i="5"/>
  <c r="AR255" i="5"/>
  <c r="AR259" i="5"/>
  <c r="AR275" i="5"/>
  <c r="AR279" i="5"/>
  <c r="AR283" i="5"/>
  <c r="Z298" i="5"/>
  <c r="Z314" i="5"/>
  <c r="AR347" i="5"/>
  <c r="AR349" i="5"/>
  <c r="AF352" i="5"/>
  <c r="AR355" i="5"/>
  <c r="AR357" i="5"/>
  <c r="AF360" i="5"/>
  <c r="AF376" i="5"/>
  <c r="AR379" i="5"/>
  <c r="AR381" i="5"/>
  <c r="Z390" i="5"/>
  <c r="AR399" i="5"/>
  <c r="AF406" i="5"/>
  <c r="AF410" i="5"/>
  <c r="AF414" i="5"/>
  <c r="AF422" i="5"/>
  <c r="AR55" i="5"/>
  <c r="AR61" i="5"/>
  <c r="AR143" i="5"/>
  <c r="AR162" i="5"/>
  <c r="AR170" i="5"/>
  <c r="AF183" i="5"/>
  <c r="AR186" i="5"/>
  <c r="AF377" i="5"/>
  <c r="AX252" i="5"/>
  <c r="AX256" i="5"/>
  <c r="AX284" i="5"/>
  <c r="AX336" i="5"/>
  <c r="AX342" i="5"/>
  <c r="AX366" i="5"/>
  <c r="Z407" i="5"/>
  <c r="Z425" i="5"/>
  <c r="AL352" i="5"/>
  <c r="AL356" i="5"/>
  <c r="AX359" i="5"/>
  <c r="AX363" i="5"/>
  <c r="AL366" i="5"/>
  <c r="AL368" i="5"/>
  <c r="Z382" i="5"/>
  <c r="AL390" i="5"/>
  <c r="AX399" i="5"/>
  <c r="Z410" i="5"/>
  <c r="AX419" i="5"/>
  <c r="AX423" i="5"/>
  <c r="Z46" i="5"/>
  <c r="AF58" i="5"/>
  <c r="Z62" i="5"/>
  <c r="AF66" i="5"/>
  <c r="AF74" i="5"/>
  <c r="AR77" i="5"/>
  <c r="AR81" i="5"/>
  <c r="AR101" i="5"/>
  <c r="AR111" i="5"/>
  <c r="AF116" i="5"/>
  <c r="AR151" i="5"/>
  <c r="AR155" i="5"/>
  <c r="AR164" i="5"/>
  <c r="AR168" i="5"/>
  <c r="Z181" i="5"/>
  <c r="AF387" i="5"/>
  <c r="AR394" i="5"/>
  <c r="AR404" i="5"/>
  <c r="AR408" i="5"/>
  <c r="AX216" i="5"/>
  <c r="AX240" i="5"/>
  <c r="AX258" i="5"/>
  <c r="AX378" i="5"/>
  <c r="AX382" i="5"/>
  <c r="AL387" i="5"/>
  <c r="AL393" i="5"/>
  <c r="AL397" i="5"/>
  <c r="Z415" i="5"/>
  <c r="Z350" i="5"/>
  <c r="AF151" i="5"/>
  <c r="AF168" i="5"/>
  <c r="AF184" i="5"/>
  <c r="AF32" i="5"/>
  <c r="AF34" i="5"/>
  <c r="AF36" i="5"/>
  <c r="AR39" i="5"/>
  <c r="AR41" i="5"/>
  <c r="AR43" i="5"/>
  <c r="AF48" i="5"/>
  <c r="AF52" i="5"/>
  <c r="AR71" i="5"/>
  <c r="Z78" i="5"/>
  <c r="AF82" i="5"/>
  <c r="AF110" i="5"/>
  <c r="Z114" i="5"/>
  <c r="Z148" i="5"/>
  <c r="Z165" i="5"/>
  <c r="AF365" i="5"/>
  <c r="AX222" i="5"/>
  <c r="AX350" i="5"/>
  <c r="AX358" i="5"/>
  <c r="AX368" i="5"/>
  <c r="AX376" i="5"/>
  <c r="AL403" i="5"/>
  <c r="AL81" i="5"/>
  <c r="AL216" i="5"/>
  <c r="Z41" i="5"/>
  <c r="AF162" i="5"/>
  <c r="Z37" i="5"/>
  <c r="Z109" i="5"/>
  <c r="Z258" i="5"/>
  <c r="AX305" i="5"/>
  <c r="Z250" i="5"/>
  <c r="Z179" i="5"/>
  <c r="Z355" i="5"/>
  <c r="Z358" i="5"/>
  <c r="Z50" i="5"/>
  <c r="AF54" i="5"/>
  <c r="Z68" i="5"/>
  <c r="Z391" i="5"/>
  <c r="Z84" i="5"/>
  <c r="Z110" i="5"/>
  <c r="AR398" i="5"/>
  <c r="AR402" i="5"/>
  <c r="AR414" i="5"/>
  <c r="Z399" i="5"/>
  <c r="AX218" i="5"/>
  <c r="AX244" i="5"/>
  <c r="AX276" i="5"/>
  <c r="AX312" i="5"/>
  <c r="Z423" i="5"/>
  <c r="AL52" i="5"/>
  <c r="AL68" i="5"/>
  <c r="AL108" i="5"/>
  <c r="AL116" i="5"/>
  <c r="AL140" i="5"/>
  <c r="AL161" i="5"/>
  <c r="AL177" i="5"/>
  <c r="AL185" i="5"/>
  <c r="AF29" i="5"/>
  <c r="AF37" i="5"/>
  <c r="AF65" i="5"/>
  <c r="Z73" i="5"/>
  <c r="AF101" i="5"/>
  <c r="AF121" i="5"/>
  <c r="AF141" i="5"/>
  <c r="AF178" i="5"/>
  <c r="AR215" i="5"/>
  <c r="AL29" i="5"/>
  <c r="Z33" i="5"/>
  <c r="AL37" i="5"/>
  <c r="AL41" i="5"/>
  <c r="Z45" i="5"/>
  <c r="AL53" i="5"/>
  <c r="Z61" i="5"/>
  <c r="Z65" i="5"/>
  <c r="Z69" i="5"/>
  <c r="AX74" i="5"/>
  <c r="AX78" i="5"/>
  <c r="AL105" i="5"/>
  <c r="AL109" i="5"/>
  <c r="AL113" i="5"/>
  <c r="AL117" i="5"/>
  <c r="AX138" i="5"/>
  <c r="AX142" i="5"/>
  <c r="Z162" i="5"/>
  <c r="Z166" i="5"/>
  <c r="AX171" i="5"/>
  <c r="AX179" i="5"/>
  <c r="AX183" i="5"/>
  <c r="AL202" i="5"/>
  <c r="Z206" i="5"/>
  <c r="AL212" i="5"/>
  <c r="AL214" i="5"/>
  <c r="AX221" i="5"/>
  <c r="AL224" i="5"/>
  <c r="AL242" i="5"/>
  <c r="AX245" i="5"/>
  <c r="AL258" i="5"/>
  <c r="AX261" i="5"/>
  <c r="AX277" i="5"/>
  <c r="AX293" i="5"/>
  <c r="AX301" i="5"/>
  <c r="AF242" i="5"/>
  <c r="AF250" i="5"/>
  <c r="AF254" i="5"/>
  <c r="AF258" i="5"/>
  <c r="AF278" i="5"/>
  <c r="AF282" i="5"/>
  <c r="AF348" i="5"/>
  <c r="AR351" i="5"/>
  <c r="AR353" i="5"/>
  <c r="AF356" i="5"/>
  <c r="AR359" i="5"/>
  <c r="Z363" i="5"/>
  <c r="AR375" i="5"/>
  <c r="AR377" i="5"/>
  <c r="AF380" i="5"/>
  <c r="AR383" i="5"/>
  <c r="AR407" i="5"/>
  <c r="AR411" i="5"/>
  <c r="AR423" i="5"/>
  <c r="AR59" i="5"/>
  <c r="AR73" i="5"/>
  <c r="AR103" i="5"/>
  <c r="AR119" i="5"/>
  <c r="AR141" i="5"/>
  <c r="AR160" i="5"/>
  <c r="AF169" i="5"/>
  <c r="AF179" i="5"/>
  <c r="AF185" i="5"/>
  <c r="Z361" i="5"/>
  <c r="AF373" i="5"/>
  <c r="Z411" i="5"/>
  <c r="AX254" i="5"/>
  <c r="AX316" i="5"/>
  <c r="AX332" i="5"/>
  <c r="AX340" i="5"/>
  <c r="Z419" i="5"/>
  <c r="Z334" i="5"/>
  <c r="Z342" i="5"/>
  <c r="AX351" i="5"/>
  <c r="AX355" i="5"/>
  <c r="AL358" i="5"/>
  <c r="AL360" i="5"/>
  <c r="AL364" i="5"/>
  <c r="AX367" i="5"/>
  <c r="AX379" i="5"/>
  <c r="AX387" i="5"/>
  <c r="AX391" i="5"/>
  <c r="AL422" i="5"/>
  <c r="AF60" i="5"/>
  <c r="AF64" i="5"/>
  <c r="AF68" i="5"/>
  <c r="AF72" i="5"/>
  <c r="AR75" i="5"/>
  <c r="AR79" i="5"/>
  <c r="AR105" i="5"/>
  <c r="AR109" i="5"/>
  <c r="AR113" i="5"/>
  <c r="AR121" i="5"/>
  <c r="AF138" i="5"/>
  <c r="AR145" i="5"/>
  <c r="AR149" i="5"/>
  <c r="AR153" i="5"/>
  <c r="AF159" i="5"/>
  <c r="AR166" i="5"/>
  <c r="AF171" i="5"/>
  <c r="AF389" i="5"/>
  <c r="AR396" i="5"/>
  <c r="AR406" i="5"/>
  <c r="AX250" i="5"/>
  <c r="AX260" i="5"/>
  <c r="AX380" i="5"/>
  <c r="AL385" i="5"/>
  <c r="AL391" i="5"/>
  <c r="AL395" i="5"/>
  <c r="Z409" i="5"/>
  <c r="AR29" i="5"/>
  <c r="AF42" i="5"/>
  <c r="AF44" i="5"/>
  <c r="AF76" i="5"/>
  <c r="AF80" i="5"/>
  <c r="AF84" i="5"/>
  <c r="AR115" i="5"/>
  <c r="AF142" i="5"/>
  <c r="Z146" i="5"/>
  <c r="AF150" i="5"/>
  <c r="Z163" i="5"/>
  <c r="AF341" i="5"/>
  <c r="Z159" i="5"/>
  <c r="AX159" i="5"/>
  <c r="C73" i="16"/>
  <c r="B6" i="16"/>
  <c r="C45" i="16"/>
  <c r="AC9" i="16"/>
  <c r="T5" i="16"/>
  <c r="K6" i="16"/>
  <c r="K9" i="16"/>
  <c r="B53" i="16"/>
  <c r="B46" i="16"/>
  <c r="F21" i="16"/>
  <c r="N73" i="16"/>
  <c r="N54" i="16"/>
  <c r="S21" i="16"/>
  <c r="N45" i="16"/>
  <c r="U21" i="16"/>
  <c r="N56" i="16"/>
  <c r="AC6" i="16"/>
  <c r="B83" i="16"/>
  <c r="AC5" i="16"/>
  <c r="T9" i="16"/>
  <c r="BJ412" i="5" l="1"/>
  <c r="Y25" i="6"/>
  <c r="Y9" i="6"/>
  <c r="Y23" i="6"/>
  <c r="BJ411" i="5"/>
  <c r="BJ417" i="5"/>
  <c r="BJ418" i="5"/>
  <c r="Y10" i="6"/>
  <c r="Z25" i="6"/>
  <c r="AC24" i="6"/>
  <c r="AB25" i="6"/>
  <c r="Y15" i="6"/>
  <c r="AB24" i="6"/>
  <c r="V24" i="6"/>
  <c r="BJ414" i="5"/>
  <c r="Y11" i="6"/>
  <c r="W24" i="6"/>
  <c r="X24" i="6"/>
  <c r="W22" i="6"/>
  <c r="Y22" i="6" s="1"/>
  <c r="AB22" i="6"/>
  <c r="BS403" i="5"/>
  <c r="AA22" i="6"/>
  <c r="BJ416" i="5"/>
  <c r="AC22" i="6"/>
  <c r="BS397" i="5"/>
  <c r="BJ353" i="5"/>
  <c r="BS388" i="5"/>
  <c r="BJ420" i="5"/>
  <c r="BS417" i="5"/>
  <c r="BS412" i="5"/>
  <c r="BS424" i="5"/>
  <c r="BS420" i="5"/>
  <c r="BS396" i="5"/>
  <c r="BS352" i="5"/>
  <c r="BS353" i="5"/>
  <c r="BS371" i="5"/>
  <c r="BS400" i="5"/>
  <c r="BS380" i="5"/>
  <c r="BS404" i="5"/>
  <c r="BS391" i="5"/>
  <c r="BS351" i="5"/>
  <c r="BS379" i="5"/>
  <c r="BS402" i="5"/>
  <c r="BS422" i="5"/>
  <c r="BS360" i="5"/>
  <c r="BS364" i="5"/>
  <c r="BS354" i="5"/>
  <c r="BS382" i="5"/>
  <c r="BS365" i="5"/>
  <c r="BS366" i="5"/>
  <c r="BS411" i="5"/>
  <c r="BS413" i="5"/>
  <c r="O25" i="6"/>
  <c r="BR421" i="5"/>
  <c r="BS370" i="5"/>
  <c r="BS356" i="5"/>
  <c r="BS369" i="5"/>
  <c r="BS419" i="5"/>
  <c r="BS386" i="5"/>
  <c r="BS398" i="5"/>
  <c r="BS368" i="5"/>
  <c r="BS357" i="5"/>
  <c r="BS415" i="5"/>
  <c r="BS418" i="5"/>
  <c r="BS395" i="5"/>
  <c r="BS375" i="5"/>
  <c r="BS406" i="5"/>
  <c r="BS407" i="5"/>
  <c r="BS381" i="5"/>
  <c r="K26" i="6"/>
  <c r="BQ425" i="5"/>
  <c r="AB26" i="6" s="1"/>
  <c r="BC390" i="5"/>
  <c r="BQ390" i="5"/>
  <c r="BS390" i="5" s="1"/>
  <c r="BS416" i="5"/>
  <c r="BS408" i="5"/>
  <c r="BS374" i="5"/>
  <c r="BS410" i="5"/>
  <c r="BS358" i="5"/>
  <c r="BC387" i="5"/>
  <c r="BR387" i="5"/>
  <c r="BS387" i="5" s="1"/>
  <c r="BS392" i="5"/>
  <c r="BS376" i="5"/>
  <c r="BS383" i="5"/>
  <c r="BC388" i="5"/>
  <c r="BS394" i="5"/>
  <c r="BC378" i="5"/>
  <c r="BQ378" i="5"/>
  <c r="BS378" i="5" s="1"/>
  <c r="O26" i="6"/>
  <c r="BR425" i="5"/>
  <c r="AC26" i="6" s="1"/>
  <c r="BS384" i="5"/>
  <c r="BC389" i="5"/>
  <c r="BQ389" i="5"/>
  <c r="BS389" i="5" s="1"/>
  <c r="BC423" i="5"/>
  <c r="BP423" i="5"/>
  <c r="BS423" i="5" s="1"/>
  <c r="BS355" i="5"/>
  <c r="BS363" i="5"/>
  <c r="BC401" i="5"/>
  <c r="BP401" i="5"/>
  <c r="BS401" i="5" s="1"/>
  <c r="BS405" i="5"/>
  <c r="BS367" i="5"/>
  <c r="BS350" i="5"/>
  <c r="BS361" i="5"/>
  <c r="BC385" i="5"/>
  <c r="BP385" i="5"/>
  <c r="BS385" i="5" s="1"/>
  <c r="BS373" i="5"/>
  <c r="BS409" i="5"/>
  <c r="BC399" i="5"/>
  <c r="BP399" i="5"/>
  <c r="BS399" i="5" s="1"/>
  <c r="BS362" i="5"/>
  <c r="BS393" i="5"/>
  <c r="BC414" i="5"/>
  <c r="BO414" i="5"/>
  <c r="Z24" i="6" s="1"/>
  <c r="BC377" i="5"/>
  <c r="BO377" i="5"/>
  <c r="BC372" i="5"/>
  <c r="BO372" i="5"/>
  <c r="BC359" i="5"/>
  <c r="BO359" i="5"/>
  <c r="BC424" i="5"/>
  <c r="BC365" i="5"/>
  <c r="BC412" i="5"/>
  <c r="BC354" i="5"/>
  <c r="BC404" i="5"/>
  <c r="BC407" i="5"/>
  <c r="BC369" i="5"/>
  <c r="BC411" i="5"/>
  <c r="BC350" i="5"/>
  <c r="BC391" i="5"/>
  <c r="BC384" i="5"/>
  <c r="BC379" i="5"/>
  <c r="BC403" i="5"/>
  <c r="BC381" i="5"/>
  <c r="BC370" i="5"/>
  <c r="BC420" i="5"/>
  <c r="BC376" i="5"/>
  <c r="BC405" i="5"/>
  <c r="BC406" i="5"/>
  <c r="BC400" i="5"/>
  <c r="BC396" i="5"/>
  <c r="BC380" i="5"/>
  <c r="BC371" i="5"/>
  <c r="BC357" i="5"/>
  <c r="BC416" i="5"/>
  <c r="BC419" i="5"/>
  <c r="BC402" i="5"/>
  <c r="BC386" i="5"/>
  <c r="BC422" i="5"/>
  <c r="BC360" i="5"/>
  <c r="BC383" i="5"/>
  <c r="BC352" i="5"/>
  <c r="BC393" i="5"/>
  <c r="BC392" i="5"/>
  <c r="BC356" i="5"/>
  <c r="BC368" i="5"/>
  <c r="BC364" i="5"/>
  <c r="O23" i="6"/>
  <c r="BC351" i="5"/>
  <c r="BC417" i="5"/>
  <c r="BC394" i="5"/>
  <c r="BC418" i="5"/>
  <c r="BC413" i="5"/>
  <c r="BC408" i="5"/>
  <c r="BC373" i="5"/>
  <c r="O22" i="6"/>
  <c r="BC355" i="5"/>
  <c r="O24" i="6"/>
  <c r="BC375" i="5"/>
  <c r="BC395" i="5"/>
  <c r="BC353" i="5"/>
  <c r="K25" i="6"/>
  <c r="BC382" i="5"/>
  <c r="BC398" i="5"/>
  <c r="BC415" i="5"/>
  <c r="BC409" i="5"/>
  <c r="BC374" i="5"/>
  <c r="BC358" i="5"/>
  <c r="B77" i="16"/>
  <c r="T6" i="16"/>
  <c r="BC410" i="5"/>
  <c r="H25" i="6"/>
  <c r="F36" i="6"/>
  <c r="B32" i="6"/>
  <c r="F32" i="6"/>
  <c r="J32" i="6"/>
  <c r="N32" i="6"/>
  <c r="BC366" i="5"/>
  <c r="BC361" i="5"/>
  <c r="BC362" i="5"/>
  <c r="BC363" i="5"/>
  <c r="K24" i="6"/>
  <c r="BC425" i="5"/>
  <c r="K22" i="6"/>
  <c r="BC367" i="5"/>
  <c r="BC421" i="5"/>
  <c r="K23" i="6"/>
  <c r="N36" i="6"/>
  <c r="J36" i="6"/>
  <c r="B36" i="6"/>
  <c r="AC8" i="16"/>
  <c r="N83" i="16"/>
  <c r="B54" i="16"/>
  <c r="C46" i="16"/>
  <c r="D46" i="16" s="1"/>
  <c r="E46" i="16" s="1"/>
  <c r="G21" i="16"/>
  <c r="G73" i="16"/>
  <c r="F73" i="16"/>
  <c r="E73" i="16"/>
  <c r="C6" i="16"/>
  <c r="D73" i="16"/>
  <c r="N46" i="16"/>
  <c r="R21" i="16"/>
  <c r="N53" i="16"/>
  <c r="B9" i="16"/>
  <c r="O73" i="16"/>
  <c r="N77" i="16"/>
  <c r="C53" i="16"/>
  <c r="B80" i="16"/>
  <c r="B57" i="16"/>
  <c r="B5" i="16"/>
  <c r="K8" i="16"/>
  <c r="N81" i="16"/>
  <c r="AA25" i="6" l="1"/>
  <c r="AD26" i="6"/>
  <c r="Y24" i="6"/>
  <c r="Z22" i="6"/>
  <c r="AD22" i="6" s="1"/>
  <c r="BS421" i="5"/>
  <c r="AC25" i="6"/>
  <c r="AA23" i="6"/>
  <c r="Z23" i="6"/>
  <c r="AB23" i="6"/>
  <c r="AA24" i="6"/>
  <c r="AD24" i="6" s="1"/>
  <c r="AC23" i="6"/>
  <c r="BS372" i="5"/>
  <c r="BS377" i="5"/>
  <c r="BS414" i="5"/>
  <c r="BS359" i="5"/>
  <c r="BS425" i="5"/>
  <c r="C80" i="16"/>
  <c r="G53" i="16"/>
  <c r="F53" i="16"/>
  <c r="C5" i="16"/>
  <c r="E53" i="16"/>
  <c r="D53" i="16"/>
  <c r="C54" i="16" s="1"/>
  <c r="E6" i="16"/>
  <c r="Q73" i="16"/>
  <c r="C9" i="16"/>
  <c r="P73" i="16"/>
  <c r="S73" i="16"/>
  <c r="R73" i="16"/>
  <c r="D6" i="16"/>
  <c r="C74" i="16"/>
  <c r="G6" i="16"/>
  <c r="B81" i="16"/>
  <c r="K5" i="16"/>
  <c r="B8" i="16"/>
  <c r="O53" i="16"/>
  <c r="N80" i="16"/>
  <c r="N57" i="16"/>
  <c r="O46" i="16"/>
  <c r="F6" i="16"/>
  <c r="AD25" i="6" l="1"/>
  <c r="AD23" i="6"/>
  <c r="C81" i="16"/>
  <c r="G54" i="16"/>
  <c r="F54" i="16"/>
  <c r="E54" i="16"/>
  <c r="L5" i="16"/>
  <c r="D54" i="16"/>
  <c r="G80" i="16"/>
  <c r="G5" i="16"/>
  <c r="G74" i="16"/>
  <c r="F74" i="16"/>
  <c r="L6" i="16"/>
  <c r="E74" i="16"/>
  <c r="D74" i="16"/>
  <c r="E9" i="16"/>
  <c r="P46" i="16"/>
  <c r="Q46" i="16" s="1"/>
  <c r="Q53" i="16"/>
  <c r="C8" i="16"/>
  <c r="P53" i="16"/>
  <c r="O80" i="16"/>
  <c r="S53" i="16"/>
  <c r="R53" i="16"/>
  <c r="G9" i="16"/>
  <c r="D9" i="16"/>
  <c r="O74" i="16"/>
  <c r="F80" i="16"/>
  <c r="F5" i="16"/>
  <c r="F9" i="16"/>
  <c r="D80" i="16"/>
  <c r="D5" i="16"/>
  <c r="E80" i="16"/>
  <c r="E5" i="16"/>
  <c r="Q74" i="16" l="1"/>
  <c r="L9" i="16"/>
  <c r="P74" i="16"/>
  <c r="S74" i="16"/>
  <c r="R74" i="16"/>
  <c r="O6" i="16"/>
  <c r="E81" i="16"/>
  <c r="N5" i="16"/>
  <c r="F8" i="16"/>
  <c r="R80" i="16"/>
  <c r="P80" i="16"/>
  <c r="D8" i="16"/>
  <c r="O54" i="16"/>
  <c r="M6" i="16"/>
  <c r="C75" i="16"/>
  <c r="P6" i="16"/>
  <c r="F81" i="16"/>
  <c r="O5" i="16"/>
  <c r="G8" i="16"/>
  <c r="S80" i="16"/>
  <c r="N6" i="16"/>
  <c r="D81" i="16"/>
  <c r="M5" i="16"/>
  <c r="C55" i="16"/>
  <c r="G81" i="16"/>
  <c r="P5" i="16"/>
  <c r="Q80" i="16"/>
  <c r="E8" i="16"/>
  <c r="G75" i="16" l="1"/>
  <c r="F75" i="16"/>
  <c r="E75" i="16"/>
  <c r="D75" i="16"/>
  <c r="U6" i="16"/>
  <c r="N9" i="16"/>
  <c r="Q54" i="16"/>
  <c r="L8" i="16"/>
  <c r="P54" i="16"/>
  <c r="S54" i="16"/>
  <c r="O81" i="16"/>
  <c r="R54" i="16"/>
  <c r="M9" i="16"/>
  <c r="O75" i="16"/>
  <c r="C82" i="16"/>
  <c r="G55" i="16"/>
  <c r="F55" i="16"/>
  <c r="U5" i="16"/>
  <c r="E55" i="16"/>
  <c r="D55" i="16"/>
  <c r="O9" i="16"/>
  <c r="P9" i="16"/>
  <c r="O8" i="16" l="1"/>
  <c r="R81" i="16"/>
  <c r="X6" i="16"/>
  <c r="D82" i="16"/>
  <c r="V5" i="16"/>
  <c r="C56" i="16"/>
  <c r="G82" i="16"/>
  <c r="Y5" i="16"/>
  <c r="P8" i="16"/>
  <c r="S81" i="16"/>
  <c r="V6" i="16"/>
  <c r="C76" i="16"/>
  <c r="E82" i="16"/>
  <c r="W5" i="16"/>
  <c r="P81" i="16"/>
  <c r="M8" i="16"/>
  <c r="O55" i="16"/>
  <c r="W6" i="16"/>
  <c r="F82" i="16"/>
  <c r="X5" i="16"/>
  <c r="Q75" i="16"/>
  <c r="U9" i="16"/>
  <c r="P75" i="16"/>
  <c r="S75" i="16"/>
  <c r="R75" i="16"/>
  <c r="Q81" i="16"/>
  <c r="N8" i="16"/>
  <c r="Y6" i="16"/>
  <c r="Q55" i="16" l="1"/>
  <c r="U8" i="16"/>
  <c r="P55" i="16"/>
  <c r="O82" i="16"/>
  <c r="S55" i="16"/>
  <c r="R55" i="16"/>
  <c r="C83" i="16"/>
  <c r="G56" i="16"/>
  <c r="F56" i="16"/>
  <c r="E56" i="16"/>
  <c r="AD5" i="16"/>
  <c r="D56" i="16"/>
  <c r="C57" i="16"/>
  <c r="X9" i="16"/>
  <c r="W9" i="16"/>
  <c r="Y9" i="16"/>
  <c r="V9" i="16"/>
  <c r="O76" i="16"/>
  <c r="G76" i="16"/>
  <c r="F76" i="16"/>
  <c r="AD6" i="16"/>
  <c r="E76" i="16"/>
  <c r="D76" i="16"/>
  <c r="C77" i="16"/>
  <c r="AF6" i="16" l="1"/>
  <c r="E77" i="16"/>
  <c r="E83" i="16"/>
  <c r="AF5" i="16"/>
  <c r="E57" i="16"/>
  <c r="P82" i="16"/>
  <c r="V8" i="16"/>
  <c r="O56" i="16"/>
  <c r="X8" i="16"/>
  <c r="R82" i="16"/>
  <c r="AE6" i="16"/>
  <c r="D77" i="16"/>
  <c r="AH6" i="16"/>
  <c r="G77" i="16"/>
  <c r="Q76" i="16"/>
  <c r="AD9" i="16"/>
  <c r="P76" i="16"/>
  <c r="S76" i="16"/>
  <c r="R76" i="16"/>
  <c r="O77" i="16"/>
  <c r="F83" i="16"/>
  <c r="AG5" i="16"/>
  <c r="F57" i="16"/>
  <c r="AG6" i="16"/>
  <c r="F77" i="16"/>
  <c r="D83" i="16"/>
  <c r="AE5" i="16"/>
  <c r="D57" i="16"/>
  <c r="G83" i="16"/>
  <c r="AH5" i="16"/>
  <c r="G57" i="16"/>
  <c r="Y8" i="16"/>
  <c r="S82" i="16"/>
  <c r="Q82" i="16"/>
  <c r="W8" i="16"/>
  <c r="AG9" i="16" l="1"/>
  <c r="R77" i="16"/>
  <c r="AF9" i="16"/>
  <c r="Q77" i="16"/>
  <c r="AH9" i="16"/>
  <c r="S77" i="16"/>
  <c r="Q56" i="16"/>
  <c r="AD8" i="16"/>
  <c r="P56" i="16"/>
  <c r="S56" i="16"/>
  <c r="O83" i="16"/>
  <c r="R56" i="16"/>
  <c r="O57" i="16"/>
  <c r="AE9" i="16"/>
  <c r="P77" i="16"/>
  <c r="AG8" i="16" l="1"/>
  <c r="R83" i="16"/>
  <c r="R57" i="16"/>
  <c r="AH8" i="16"/>
  <c r="S83" i="16"/>
  <c r="S57" i="16"/>
  <c r="P83" i="16"/>
  <c r="AE8" i="16"/>
  <c r="P57" i="16"/>
  <c r="Q83" i="16"/>
  <c r="AF8" i="16"/>
  <c r="Q57" i="16"/>
  <c r="AH8" i="5" l="1"/>
  <c r="C325" i="5"/>
  <c r="C326" i="5"/>
  <c r="C328" i="5"/>
  <c r="C329" i="5"/>
  <c r="C330" i="5"/>
  <c r="C327" i="5"/>
  <c r="R26" i="6" l="1"/>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31" i="5"/>
  <c r="C332" i="5"/>
  <c r="C333" i="5"/>
  <c r="C334" i="5"/>
  <c r="C335" i="5"/>
  <c r="C336" i="5"/>
  <c r="C337" i="5"/>
  <c r="C338" i="5"/>
  <c r="C339" i="5"/>
  <c r="C340" i="5"/>
  <c r="C341" i="5"/>
  <c r="C342" i="5"/>
  <c r="C343" i="5"/>
  <c r="C344" i="5"/>
  <c r="C345" i="5"/>
  <c r="C346" i="5"/>
  <c r="C347" i="5"/>
  <c r="C348" i="5"/>
  <c r="C349" i="5"/>
  <c r="B15" i="13"/>
  <c r="B8" i="13"/>
  <c r="B16" i="13" s="1"/>
  <c r="F61" i="15"/>
  <c r="E61" i="15"/>
  <c r="D61" i="15"/>
  <c r="C61" i="15"/>
  <c r="F60" i="15"/>
  <c r="E60" i="15"/>
  <c r="D60" i="15"/>
  <c r="C60" i="15"/>
  <c r="F59" i="15"/>
  <c r="E59" i="15"/>
  <c r="D59" i="15"/>
  <c r="C59" i="15"/>
  <c r="E31" i="15"/>
  <c r="D31" i="15"/>
  <c r="C31" i="15"/>
  <c r="E29" i="15"/>
  <c r="D29" i="15"/>
  <c r="C29" i="15"/>
  <c r="E27" i="15"/>
  <c r="E30" i="15" s="1"/>
  <c r="D27" i="15"/>
  <c r="D30" i="15" s="1"/>
  <c r="C27" i="15"/>
  <c r="C30" i="15" s="1"/>
  <c r="E26" i="15"/>
  <c r="E32" i="15" s="1"/>
  <c r="D26" i="15"/>
  <c r="D32" i="15" s="1"/>
  <c r="C26" i="15"/>
  <c r="C32" i="15" s="1"/>
  <c r="A80" i="12"/>
  <c r="D74" i="12"/>
  <c r="B74" i="12"/>
  <c r="E81" i="12" s="1"/>
  <c r="I39" i="12"/>
  <c r="K39" i="12" s="1"/>
  <c r="I38" i="12"/>
  <c r="K38" i="12" s="1"/>
  <c r="I37" i="12"/>
  <c r="K37" i="12" s="1"/>
  <c r="I36" i="12"/>
  <c r="K36" i="12" s="1"/>
  <c r="I34" i="12"/>
  <c r="K34" i="12" s="1"/>
  <c r="I33" i="12"/>
  <c r="K33" i="12" s="1"/>
  <c r="I31" i="12"/>
  <c r="K31" i="12" s="1"/>
  <c r="I30" i="12"/>
  <c r="K30" i="12" s="1"/>
  <c r="I29" i="12"/>
  <c r="K29" i="12" s="1"/>
  <c r="Q25" i="12"/>
  <c r="K25" i="12"/>
  <c r="J25" i="12"/>
  <c r="Q24" i="12"/>
  <c r="K24" i="12"/>
  <c r="J24" i="12"/>
  <c r="Q23" i="12"/>
  <c r="K23" i="12"/>
  <c r="J23" i="12"/>
  <c r="Q22" i="12"/>
  <c r="K22" i="12"/>
  <c r="J22" i="12"/>
  <c r="Q21" i="12"/>
  <c r="K21" i="12"/>
  <c r="J21" i="12"/>
  <c r="Q20" i="12"/>
  <c r="O20" i="12"/>
  <c r="N20" i="12"/>
  <c r="K20" i="12"/>
  <c r="J20" i="12"/>
  <c r="Q19" i="12"/>
  <c r="O19" i="12"/>
  <c r="N19" i="12"/>
  <c r="K19" i="12"/>
  <c r="C52" i="12" s="1"/>
  <c r="J19" i="12"/>
  <c r="Q18" i="12"/>
  <c r="O18" i="12"/>
  <c r="N18" i="12"/>
  <c r="K18" i="12"/>
  <c r="J18" i="12"/>
  <c r="Q17" i="12"/>
  <c r="O17" i="12"/>
  <c r="N17" i="12"/>
  <c r="K17" i="12"/>
  <c r="J17" i="12"/>
  <c r="Q16" i="12"/>
  <c r="N16" i="12"/>
  <c r="K16" i="12"/>
  <c r="J16" i="12"/>
  <c r="Q15" i="12"/>
  <c r="O15" i="12"/>
  <c r="N15" i="12"/>
  <c r="M15" i="12"/>
  <c r="L15" i="12"/>
  <c r="J15" i="12"/>
  <c r="Q14" i="12"/>
  <c r="O14" i="12"/>
  <c r="N14" i="12"/>
  <c r="M14" i="12"/>
  <c r="L14" i="12"/>
  <c r="J14" i="12"/>
  <c r="Q13" i="12"/>
  <c r="O13" i="12"/>
  <c r="N13" i="12"/>
  <c r="M13" i="12"/>
  <c r="L13" i="12"/>
  <c r="J13" i="12"/>
  <c r="Q12" i="12"/>
  <c r="O12" i="12"/>
  <c r="N12" i="12"/>
  <c r="C45" i="12" s="1"/>
  <c r="M12" i="12"/>
  <c r="L12" i="12"/>
  <c r="J12" i="12"/>
  <c r="Q11" i="12"/>
  <c r="O11" i="12"/>
  <c r="N11" i="12"/>
  <c r="M11" i="12"/>
  <c r="L11" i="12"/>
  <c r="J11" i="12"/>
  <c r="Q10" i="12"/>
  <c r="O10" i="12"/>
  <c r="N10" i="12"/>
  <c r="M10" i="12"/>
  <c r="L10" i="12"/>
  <c r="J10" i="12"/>
  <c r="N9" i="12"/>
  <c r="M9" i="12"/>
  <c r="J9" i="12"/>
  <c r="I8" i="5"/>
  <c r="J8" i="5"/>
  <c r="K8" i="5"/>
  <c r="H8" i="5"/>
  <c r="V9" i="5"/>
  <c r="W9" i="5"/>
  <c r="BG9" i="5" s="1"/>
  <c r="R8" i="5"/>
  <c r="M8" i="5"/>
  <c r="BE8" i="5" s="1"/>
  <c r="L8" i="5"/>
  <c r="G8" i="5"/>
  <c r="D8" i="5"/>
  <c r="AV8" i="5" s="1"/>
  <c r="V8" i="5" l="1"/>
  <c r="BF8" i="5" s="1"/>
  <c r="AE8" i="5"/>
  <c r="AF9" i="5"/>
  <c r="BF9" i="5"/>
  <c r="L15" i="20"/>
  <c r="L19" i="20"/>
  <c r="L23" i="20"/>
  <c r="L27" i="20"/>
  <c r="L31" i="20"/>
  <c r="L35" i="20"/>
  <c r="L39" i="20"/>
  <c r="L46" i="20"/>
  <c r="L50" i="20"/>
  <c r="L54" i="20"/>
  <c r="L16" i="20"/>
  <c r="L20" i="20"/>
  <c r="L24" i="20"/>
  <c r="L28" i="20"/>
  <c r="L32" i="20"/>
  <c r="L36" i="20"/>
  <c r="L40" i="20"/>
  <c r="L47" i="20"/>
  <c r="L51" i="20"/>
  <c r="L55" i="20"/>
  <c r="L59" i="20"/>
  <c r="L63" i="20"/>
  <c r="L67" i="20"/>
  <c r="L71" i="20"/>
  <c r="L75" i="20"/>
  <c r="L79" i="20"/>
  <c r="L83" i="20"/>
  <c r="L87" i="20"/>
  <c r="L91" i="20"/>
  <c r="L95" i="20"/>
  <c r="L99" i="20"/>
  <c r="L103" i="20"/>
  <c r="L107" i="20"/>
  <c r="L111" i="20"/>
  <c r="L115" i="20"/>
  <c r="L119" i="20"/>
  <c r="L123" i="20"/>
  <c r="L127" i="20"/>
  <c r="L131" i="20"/>
  <c r="L135" i="20"/>
  <c r="L139" i="20"/>
  <c r="L143" i="20"/>
  <c r="L147" i="20"/>
  <c r="L151" i="20"/>
  <c r="L155" i="20"/>
  <c r="L159" i="20"/>
  <c r="L163" i="20"/>
  <c r="L167" i="20"/>
  <c r="L171" i="20"/>
  <c r="L175" i="20"/>
  <c r="L179" i="20"/>
  <c r="L17" i="20"/>
  <c r="L21" i="20"/>
  <c r="L25" i="20"/>
  <c r="L29" i="20"/>
  <c r="L33" i="20"/>
  <c r="L37" i="20"/>
  <c r="L44" i="20"/>
  <c r="L48" i="20"/>
  <c r="L52" i="20"/>
  <c r="L56" i="20"/>
  <c r="L60" i="20"/>
  <c r="L64" i="20"/>
  <c r="L68" i="20"/>
  <c r="L72" i="20"/>
  <c r="L76" i="20"/>
  <c r="L80" i="20"/>
  <c r="L84" i="20"/>
  <c r="L88" i="20"/>
  <c r="L92" i="20"/>
  <c r="L96" i="20"/>
  <c r="L100" i="20"/>
  <c r="L104" i="20"/>
  <c r="L108" i="20"/>
  <c r="L112" i="20"/>
  <c r="L116" i="20"/>
  <c r="L120" i="20"/>
  <c r="L124" i="20"/>
  <c r="L128" i="20"/>
  <c r="L132" i="20"/>
  <c r="L136" i="20"/>
  <c r="L140" i="20"/>
  <c r="L144" i="20"/>
  <c r="L148" i="20"/>
  <c r="L152" i="20"/>
  <c r="L156" i="20"/>
  <c r="L160" i="20"/>
  <c r="L164" i="20"/>
  <c r="L168" i="20"/>
  <c r="L172" i="20"/>
  <c r="L176" i="20"/>
  <c r="L180" i="20"/>
  <c r="L14" i="20"/>
  <c r="L18" i="20"/>
  <c r="L22" i="20"/>
  <c r="L30" i="20"/>
  <c r="L49" i="20"/>
  <c r="L61" i="20"/>
  <c r="L69" i="20"/>
  <c r="L77" i="20"/>
  <c r="L85" i="20"/>
  <c r="L93" i="20"/>
  <c r="L101" i="20"/>
  <c r="L109" i="20"/>
  <c r="L117" i="20"/>
  <c r="L125" i="20"/>
  <c r="L133" i="20"/>
  <c r="L141" i="20"/>
  <c r="L149" i="20"/>
  <c r="L157" i="20"/>
  <c r="L165" i="20"/>
  <c r="L173" i="20"/>
  <c r="L150" i="20"/>
  <c r="L166" i="20"/>
  <c r="L74" i="20"/>
  <c r="L90" i="20"/>
  <c r="L114" i="20"/>
  <c r="L130" i="20"/>
  <c r="L154" i="20"/>
  <c r="L178" i="20"/>
  <c r="L34" i="20"/>
  <c r="L53" i="20"/>
  <c r="L62" i="20"/>
  <c r="L70" i="20"/>
  <c r="L78" i="20"/>
  <c r="L86" i="20"/>
  <c r="L94" i="20"/>
  <c r="L102" i="20"/>
  <c r="L110" i="20"/>
  <c r="L118" i="20"/>
  <c r="L126" i="20"/>
  <c r="L134" i="20"/>
  <c r="L142" i="20"/>
  <c r="L158" i="20"/>
  <c r="L174" i="20"/>
  <c r="L98" i="20"/>
  <c r="L138" i="20"/>
  <c r="L170" i="20"/>
  <c r="L38" i="20"/>
  <c r="L57" i="20"/>
  <c r="L65" i="20"/>
  <c r="L73" i="20"/>
  <c r="L81" i="20"/>
  <c r="L89" i="20"/>
  <c r="L97" i="20"/>
  <c r="L105" i="20"/>
  <c r="L113" i="20"/>
  <c r="L121" i="20"/>
  <c r="L129" i="20"/>
  <c r="L137" i="20"/>
  <c r="L145" i="20"/>
  <c r="L153" i="20"/>
  <c r="L161" i="20"/>
  <c r="L169" i="20"/>
  <c r="L177" i="20"/>
  <c r="L26" i="20"/>
  <c r="L45" i="20"/>
  <c r="L58" i="20"/>
  <c r="L66" i="20"/>
  <c r="L82" i="20"/>
  <c r="L106" i="20"/>
  <c r="L122" i="20"/>
  <c r="L146" i="20"/>
  <c r="L162" i="20"/>
  <c r="AL9" i="5"/>
  <c r="B17" i="13"/>
  <c r="C23" i="13" s="1"/>
  <c r="N207" i="10" s="1"/>
  <c r="N82" i="10"/>
  <c r="N119" i="10"/>
  <c r="N89" i="10"/>
  <c r="N126" i="10"/>
  <c r="AZ336" i="5"/>
  <c r="BP336" i="5" s="1"/>
  <c r="BB336" i="5"/>
  <c r="BR336" i="5" s="1"/>
  <c r="AY336" i="5"/>
  <c r="BO336" i="5" s="1"/>
  <c r="BA336" i="5"/>
  <c r="BQ336" i="5" s="1"/>
  <c r="AZ306" i="5"/>
  <c r="BP306" i="5" s="1"/>
  <c r="BB306" i="5"/>
  <c r="BR306" i="5" s="1"/>
  <c r="AY306" i="5"/>
  <c r="BO306" i="5" s="1"/>
  <c r="BA306" i="5"/>
  <c r="BQ306" i="5" s="1"/>
  <c r="AY294" i="5"/>
  <c r="BO294" i="5" s="1"/>
  <c r="AZ294" i="5"/>
  <c r="BP294" i="5" s="1"/>
  <c r="BA294" i="5"/>
  <c r="BQ294" i="5" s="1"/>
  <c r="BB294" i="5"/>
  <c r="BR294" i="5" s="1"/>
  <c r="BA286" i="5"/>
  <c r="BQ286" i="5" s="1"/>
  <c r="BB286" i="5"/>
  <c r="BR286" i="5" s="1"/>
  <c r="AY286" i="5"/>
  <c r="BO286" i="5" s="1"/>
  <c r="AZ286" i="5"/>
  <c r="BP286" i="5" s="1"/>
  <c r="AY278" i="5"/>
  <c r="BO278" i="5" s="1"/>
  <c r="AZ278" i="5"/>
  <c r="BP278" i="5" s="1"/>
  <c r="BA278" i="5"/>
  <c r="BQ278" i="5" s="1"/>
  <c r="BB278" i="5"/>
  <c r="BR278" i="5" s="1"/>
  <c r="AZ258" i="5"/>
  <c r="BP258" i="5" s="1"/>
  <c r="AY258" i="5"/>
  <c r="BO258" i="5" s="1"/>
  <c r="BA258" i="5"/>
  <c r="BQ258" i="5" s="1"/>
  <c r="BB258" i="5"/>
  <c r="BR258" i="5" s="1"/>
  <c r="BA214" i="5"/>
  <c r="BQ214" i="5" s="1"/>
  <c r="AY214" i="5"/>
  <c r="BO214" i="5" s="1"/>
  <c r="AZ214" i="5"/>
  <c r="BP214" i="5" s="1"/>
  <c r="BB214" i="5"/>
  <c r="BR214" i="5" s="1"/>
  <c r="AZ202" i="5"/>
  <c r="BP202" i="5" s="1"/>
  <c r="BB202" i="5"/>
  <c r="BR202" i="5" s="1"/>
  <c r="AY202" i="5"/>
  <c r="BO202" i="5" s="1"/>
  <c r="BA202" i="5"/>
  <c r="BQ202" i="5" s="1"/>
  <c r="BB178" i="5"/>
  <c r="BR178" i="5" s="1"/>
  <c r="AZ178" i="5"/>
  <c r="BP178" i="5" s="1"/>
  <c r="BA178" i="5"/>
  <c r="BQ178" i="5" s="1"/>
  <c r="AY178" i="5"/>
  <c r="BO178" i="5" s="1"/>
  <c r="BA166" i="5"/>
  <c r="BQ166" i="5" s="1"/>
  <c r="AZ166" i="5"/>
  <c r="BP166" i="5" s="1"/>
  <c r="BB166" i="5"/>
  <c r="BR166" i="5" s="1"/>
  <c r="AY166" i="5"/>
  <c r="BO166" i="5" s="1"/>
  <c r="AY153" i="5"/>
  <c r="BO153" i="5" s="1"/>
  <c r="BA153" i="5"/>
  <c r="BQ153" i="5" s="1"/>
  <c r="AZ153" i="5"/>
  <c r="BP153" i="5" s="1"/>
  <c r="BB153" i="5"/>
  <c r="BR153" i="5" s="1"/>
  <c r="BA145" i="5"/>
  <c r="AY145" i="5"/>
  <c r="BO145" i="5" s="1"/>
  <c r="AZ145" i="5"/>
  <c r="BP145" i="5" s="1"/>
  <c r="AA14" i="6" s="1"/>
  <c r="BB145" i="5"/>
  <c r="BA113" i="5"/>
  <c r="BQ113" i="5" s="1"/>
  <c r="AZ113" i="5"/>
  <c r="BP113" i="5" s="1"/>
  <c r="AY113" i="5"/>
  <c r="BO113" i="5" s="1"/>
  <c r="BB113" i="5"/>
  <c r="BR113" i="5" s="1"/>
  <c r="AZ101" i="5"/>
  <c r="BP101" i="5" s="1"/>
  <c r="BB101" i="5"/>
  <c r="BR101" i="5" s="1"/>
  <c r="BA101" i="5"/>
  <c r="BQ101" i="5" s="1"/>
  <c r="AY101" i="5"/>
  <c r="BO101" i="5" s="1"/>
  <c r="BB347" i="5"/>
  <c r="BR347" i="5" s="1"/>
  <c r="AY347" i="5"/>
  <c r="BO347" i="5" s="1"/>
  <c r="AZ347" i="5"/>
  <c r="BP347" i="5" s="1"/>
  <c r="BA347" i="5"/>
  <c r="BQ347" i="5" s="1"/>
  <c r="BA335" i="5"/>
  <c r="BQ335" i="5" s="1"/>
  <c r="BB335" i="5"/>
  <c r="BR335" i="5" s="1"/>
  <c r="AY335" i="5"/>
  <c r="BO335" i="5" s="1"/>
  <c r="AZ335" i="5"/>
  <c r="BP335" i="5" s="1"/>
  <c r="BB313" i="5"/>
  <c r="BR313" i="5" s="1"/>
  <c r="AY313" i="5"/>
  <c r="BO313" i="5" s="1"/>
  <c r="AZ313" i="5"/>
  <c r="BP313" i="5" s="1"/>
  <c r="BA313" i="5"/>
  <c r="BQ313" i="5" s="1"/>
  <c r="AZ305" i="5"/>
  <c r="BP305" i="5" s="1"/>
  <c r="BA305" i="5"/>
  <c r="BQ305" i="5" s="1"/>
  <c r="BB305" i="5"/>
  <c r="BR305" i="5" s="1"/>
  <c r="AY305" i="5"/>
  <c r="BO305" i="5" s="1"/>
  <c r="BB297" i="5"/>
  <c r="BR297" i="5" s="1"/>
  <c r="AY297" i="5"/>
  <c r="BO297" i="5" s="1"/>
  <c r="AZ297" i="5"/>
  <c r="BP297" i="5" s="1"/>
  <c r="BA297" i="5"/>
  <c r="BQ297" i="5" s="1"/>
  <c r="BA285" i="5"/>
  <c r="BQ285" i="5" s="1"/>
  <c r="AZ285" i="5"/>
  <c r="BP285" i="5" s="1"/>
  <c r="BB285" i="5"/>
  <c r="BR285" i="5" s="1"/>
  <c r="AY285" i="5"/>
  <c r="BO285" i="5" s="1"/>
  <c r="AY277" i="5"/>
  <c r="BO277" i="5" s="1"/>
  <c r="BB277" i="5"/>
  <c r="BR277" i="5" s="1"/>
  <c r="AZ277" i="5"/>
  <c r="BP277" i="5" s="1"/>
  <c r="BA277" i="5"/>
  <c r="BQ277" i="5" s="1"/>
  <c r="BA253" i="5"/>
  <c r="BQ253" i="5" s="1"/>
  <c r="AY253" i="5"/>
  <c r="BO253" i="5" s="1"/>
  <c r="AZ253" i="5"/>
  <c r="BP253" i="5" s="1"/>
  <c r="BB253" i="5"/>
  <c r="BR253" i="5" s="1"/>
  <c r="AZ217" i="5"/>
  <c r="BP217" i="5" s="1"/>
  <c r="BB217" i="5"/>
  <c r="BR217" i="5" s="1"/>
  <c r="AY217" i="5"/>
  <c r="BO217" i="5" s="1"/>
  <c r="BA217" i="5"/>
  <c r="BQ217" i="5" s="1"/>
  <c r="AY205" i="5"/>
  <c r="BO205" i="5" s="1"/>
  <c r="AZ205" i="5"/>
  <c r="BP205" i="5" s="1"/>
  <c r="BA205" i="5"/>
  <c r="BQ205" i="5" s="1"/>
  <c r="BB205" i="5"/>
  <c r="BR205" i="5" s="1"/>
  <c r="AZ185" i="5"/>
  <c r="BP185" i="5" s="1"/>
  <c r="AY185" i="5"/>
  <c r="BO185" i="5" s="1"/>
  <c r="BA185" i="5"/>
  <c r="BQ185" i="5" s="1"/>
  <c r="BB185" i="5"/>
  <c r="BR185" i="5" s="1"/>
  <c r="BA165" i="5"/>
  <c r="BQ165" i="5" s="1"/>
  <c r="AY165" i="5"/>
  <c r="BO165" i="5" s="1"/>
  <c r="AZ165" i="5"/>
  <c r="BP165" i="5" s="1"/>
  <c r="BB165" i="5"/>
  <c r="BR165" i="5" s="1"/>
  <c r="AY157" i="5"/>
  <c r="BO157" i="5" s="1"/>
  <c r="BA157" i="5"/>
  <c r="BQ157" i="5" s="1"/>
  <c r="AZ157" i="5"/>
  <c r="BP157" i="5" s="1"/>
  <c r="BB157" i="5"/>
  <c r="BR157" i="5" s="1"/>
  <c r="BA116" i="5"/>
  <c r="BQ116" i="5" s="1"/>
  <c r="AY116" i="5"/>
  <c r="BO116" i="5" s="1"/>
  <c r="AZ116" i="5"/>
  <c r="BP116" i="5" s="1"/>
  <c r="BB116" i="5"/>
  <c r="BR116" i="5" s="1"/>
  <c r="AY104" i="5"/>
  <c r="BO104" i="5" s="1"/>
  <c r="BA104" i="5"/>
  <c r="BQ104" i="5" s="1"/>
  <c r="AZ104" i="5"/>
  <c r="BP104" i="5" s="1"/>
  <c r="BB104" i="5"/>
  <c r="BR104" i="5" s="1"/>
  <c r="AZ338" i="5"/>
  <c r="BP338" i="5" s="1"/>
  <c r="AY338" i="5"/>
  <c r="BO338" i="5" s="1"/>
  <c r="BA338" i="5"/>
  <c r="BQ338" i="5" s="1"/>
  <c r="BB338" i="5"/>
  <c r="BR338" i="5" s="1"/>
  <c r="BB316" i="5"/>
  <c r="BR316" i="5" s="1"/>
  <c r="AY316" i="5"/>
  <c r="BO316" i="5" s="1"/>
  <c r="AZ316" i="5"/>
  <c r="BP316" i="5" s="1"/>
  <c r="BA316" i="5"/>
  <c r="BQ316" i="5" s="1"/>
  <c r="AZ308" i="5"/>
  <c r="BP308" i="5" s="1"/>
  <c r="AY308" i="5"/>
  <c r="BO308" i="5" s="1"/>
  <c r="BA308" i="5"/>
  <c r="BQ308" i="5" s="1"/>
  <c r="BB308" i="5"/>
  <c r="BR308" i="5" s="1"/>
  <c r="AZ304" i="5"/>
  <c r="BP304" i="5" s="1"/>
  <c r="AY304" i="5"/>
  <c r="BO304" i="5" s="1"/>
  <c r="BA304" i="5"/>
  <c r="BQ304" i="5" s="1"/>
  <c r="BB304" i="5"/>
  <c r="BR304" i="5" s="1"/>
  <c r="BB300" i="5"/>
  <c r="BR300" i="5" s="1"/>
  <c r="BA300" i="5"/>
  <c r="BQ300" i="5" s="1"/>
  <c r="AY300" i="5"/>
  <c r="BO300" i="5" s="1"/>
  <c r="AZ300" i="5"/>
  <c r="BP300" i="5" s="1"/>
  <c r="BB296" i="5"/>
  <c r="BR296" i="5" s="1"/>
  <c r="BA296" i="5"/>
  <c r="BQ296" i="5" s="1"/>
  <c r="AY296" i="5"/>
  <c r="BO296" i="5" s="1"/>
  <c r="AZ296" i="5"/>
  <c r="BP296" i="5" s="1"/>
  <c r="AY292" i="5"/>
  <c r="BO292" i="5" s="1"/>
  <c r="BB292" i="5"/>
  <c r="BR292" i="5" s="1"/>
  <c r="AZ292" i="5"/>
  <c r="BP292" i="5" s="1"/>
  <c r="BA292" i="5"/>
  <c r="BQ292" i="5" s="1"/>
  <c r="BB284" i="5"/>
  <c r="BR284" i="5" s="1"/>
  <c r="AZ284" i="5"/>
  <c r="BP284" i="5" s="1"/>
  <c r="BA284" i="5"/>
  <c r="BQ284" i="5" s="1"/>
  <c r="AY284" i="5"/>
  <c r="BO284" i="5" s="1"/>
  <c r="BB280" i="5"/>
  <c r="BR280" i="5" s="1"/>
  <c r="AZ280" i="5"/>
  <c r="BP280" i="5" s="1"/>
  <c r="BA280" i="5"/>
  <c r="BQ280" i="5" s="1"/>
  <c r="AY280" i="5"/>
  <c r="BO280" i="5" s="1"/>
  <c r="AY276" i="5"/>
  <c r="BO276" i="5" s="1"/>
  <c r="BA276" i="5"/>
  <c r="BQ276" i="5" s="1"/>
  <c r="BB276" i="5"/>
  <c r="BR276" i="5" s="1"/>
  <c r="AZ276" i="5"/>
  <c r="BP276" i="5" s="1"/>
  <c r="AY260" i="5"/>
  <c r="BO260" i="5" s="1"/>
  <c r="AZ260" i="5"/>
  <c r="BP260" i="5" s="1"/>
  <c r="BA260" i="5"/>
  <c r="BQ260" i="5" s="1"/>
  <c r="BB260" i="5"/>
  <c r="BR260" i="5" s="1"/>
  <c r="AZ256" i="5"/>
  <c r="BP256" i="5" s="1"/>
  <c r="BA256" i="5"/>
  <c r="BQ256" i="5" s="1"/>
  <c r="BB256" i="5"/>
  <c r="BR256" i="5" s="1"/>
  <c r="AY256" i="5"/>
  <c r="BO256" i="5" s="1"/>
  <c r="BB252" i="5"/>
  <c r="BR252" i="5" s="1"/>
  <c r="AY252" i="5"/>
  <c r="BO252" i="5" s="1"/>
  <c r="AZ252" i="5"/>
  <c r="BP252" i="5" s="1"/>
  <c r="BA252" i="5"/>
  <c r="BQ252" i="5" s="1"/>
  <c r="AY244" i="5"/>
  <c r="BO244" i="5" s="1"/>
  <c r="AZ244" i="5"/>
  <c r="BP244" i="5" s="1"/>
  <c r="BA244" i="5"/>
  <c r="BQ244" i="5" s="1"/>
  <c r="BB244" i="5"/>
  <c r="BR244" i="5" s="1"/>
  <c r="AZ240" i="5"/>
  <c r="BP240" i="5" s="1"/>
  <c r="AY240" i="5"/>
  <c r="BO240" i="5" s="1"/>
  <c r="BA240" i="5"/>
  <c r="BQ240" i="5" s="1"/>
  <c r="BB240" i="5"/>
  <c r="BR240" i="5" s="1"/>
  <c r="BB224" i="5"/>
  <c r="BR224" i="5" s="1"/>
  <c r="AY224" i="5"/>
  <c r="BO224" i="5" s="1"/>
  <c r="AZ224" i="5"/>
  <c r="BP224" i="5" s="1"/>
  <c r="BA224" i="5"/>
  <c r="BQ224" i="5" s="1"/>
  <c r="AZ220" i="5"/>
  <c r="BP220" i="5" s="1"/>
  <c r="BA220" i="5"/>
  <c r="BQ220" i="5" s="1"/>
  <c r="AY220" i="5"/>
  <c r="BO220" i="5" s="1"/>
  <c r="BB220" i="5"/>
  <c r="BR220" i="5" s="1"/>
  <c r="AZ216" i="5"/>
  <c r="BP216" i="5" s="1"/>
  <c r="BA216" i="5"/>
  <c r="BQ216" i="5" s="1"/>
  <c r="BB216" i="5"/>
  <c r="BR216" i="5" s="1"/>
  <c r="AY216" i="5"/>
  <c r="BO216" i="5" s="1"/>
  <c r="BA212" i="5"/>
  <c r="BQ212" i="5" s="1"/>
  <c r="BB212" i="5"/>
  <c r="BR212" i="5" s="1"/>
  <c r="AY212" i="5"/>
  <c r="BO212" i="5" s="1"/>
  <c r="AZ212" i="5"/>
  <c r="BP212" i="5" s="1"/>
  <c r="AZ204" i="5"/>
  <c r="BP204" i="5" s="1"/>
  <c r="AY204" i="5"/>
  <c r="BO204" i="5" s="1"/>
  <c r="BA204" i="5"/>
  <c r="BQ204" i="5" s="1"/>
  <c r="BB204" i="5"/>
  <c r="BR204" i="5" s="1"/>
  <c r="AZ184" i="5"/>
  <c r="BP184" i="5" s="1"/>
  <c r="BB184" i="5"/>
  <c r="BR184" i="5" s="1"/>
  <c r="AY184" i="5"/>
  <c r="BO184" i="5" s="1"/>
  <c r="BA184" i="5"/>
  <c r="BQ184" i="5" s="1"/>
  <c r="BA180" i="5"/>
  <c r="BQ180" i="5" s="1"/>
  <c r="AY180" i="5"/>
  <c r="BO180" i="5" s="1"/>
  <c r="AZ180" i="5"/>
  <c r="BP180" i="5" s="1"/>
  <c r="BB180" i="5"/>
  <c r="BR180" i="5" s="1"/>
  <c r="AZ172" i="5"/>
  <c r="BP172" i="5" s="1"/>
  <c r="BB172" i="5"/>
  <c r="BR172" i="5" s="1"/>
  <c r="AY172" i="5"/>
  <c r="BO172" i="5" s="1"/>
  <c r="BA172" i="5"/>
  <c r="BQ172" i="5" s="1"/>
  <c r="AZ168" i="5"/>
  <c r="BP168" i="5" s="1"/>
  <c r="BB168" i="5"/>
  <c r="BR168" i="5" s="1"/>
  <c r="AY168" i="5"/>
  <c r="BO168" i="5" s="1"/>
  <c r="BA168" i="5"/>
  <c r="BQ168" i="5" s="1"/>
  <c r="BA164" i="5"/>
  <c r="BQ164" i="5" s="1"/>
  <c r="BB164" i="5"/>
  <c r="BR164" i="5" s="1"/>
  <c r="AY164" i="5"/>
  <c r="BO164" i="5" s="1"/>
  <c r="AZ164" i="5"/>
  <c r="BP164" i="5" s="1"/>
  <c r="BB160" i="5"/>
  <c r="BR160" i="5" s="1"/>
  <c r="AY160" i="5"/>
  <c r="BO160" i="5" s="1"/>
  <c r="AZ160" i="5"/>
  <c r="BP160" i="5" s="1"/>
  <c r="BA160" i="5"/>
  <c r="BQ160" i="5" s="1"/>
  <c r="AY155" i="5"/>
  <c r="BO155" i="5" s="1"/>
  <c r="AZ155" i="5"/>
  <c r="BP155" i="5" s="1"/>
  <c r="BA155" i="5"/>
  <c r="BQ155" i="5" s="1"/>
  <c r="BB155" i="5"/>
  <c r="BR155" i="5" s="1"/>
  <c r="AZ151" i="5"/>
  <c r="BP151" i="5" s="1"/>
  <c r="AY151" i="5"/>
  <c r="BO151" i="5" s="1"/>
  <c r="BA151" i="5"/>
  <c r="BQ151" i="5" s="1"/>
  <c r="BB151" i="5"/>
  <c r="BR151" i="5" s="1"/>
  <c r="BA147" i="5"/>
  <c r="BQ147" i="5" s="1"/>
  <c r="AZ147" i="5"/>
  <c r="BP147" i="5" s="1"/>
  <c r="AY147" i="5"/>
  <c r="BO147" i="5" s="1"/>
  <c r="BB147" i="5"/>
  <c r="BR147" i="5" s="1"/>
  <c r="BB143" i="5"/>
  <c r="BR143" i="5" s="1"/>
  <c r="BA143" i="5"/>
  <c r="BQ143" i="5" s="1"/>
  <c r="AY143" i="5"/>
  <c r="BO143" i="5" s="1"/>
  <c r="AZ143" i="5"/>
  <c r="BP143" i="5" s="1"/>
  <c r="AY139" i="5"/>
  <c r="BO139" i="5" s="1"/>
  <c r="BB139" i="5"/>
  <c r="BR139" i="5" s="1"/>
  <c r="BA139" i="5"/>
  <c r="BQ139" i="5" s="1"/>
  <c r="AZ139" i="5"/>
  <c r="BP139" i="5" s="1"/>
  <c r="AZ119" i="5"/>
  <c r="BP119" i="5" s="1"/>
  <c r="BB119" i="5"/>
  <c r="BR119" i="5" s="1"/>
  <c r="BA119" i="5"/>
  <c r="BQ119" i="5" s="1"/>
  <c r="AY119" i="5"/>
  <c r="BO119" i="5" s="1"/>
  <c r="BA115" i="5"/>
  <c r="BQ115" i="5" s="1"/>
  <c r="AY115" i="5"/>
  <c r="BO115" i="5" s="1"/>
  <c r="AZ115" i="5"/>
  <c r="BP115" i="5" s="1"/>
  <c r="BB115" i="5"/>
  <c r="BR115" i="5" s="1"/>
  <c r="BB111" i="5"/>
  <c r="BR111" i="5" s="1"/>
  <c r="AY111" i="5"/>
  <c r="BO111" i="5" s="1"/>
  <c r="AZ111" i="5"/>
  <c r="BP111" i="5" s="1"/>
  <c r="BA111" i="5"/>
  <c r="BQ111" i="5" s="1"/>
  <c r="AY103" i="5"/>
  <c r="BO103" i="5" s="1"/>
  <c r="BA103" i="5"/>
  <c r="BQ103" i="5" s="1"/>
  <c r="AZ103" i="5"/>
  <c r="BP103" i="5" s="1"/>
  <c r="BB103" i="5"/>
  <c r="BR103" i="5" s="1"/>
  <c r="BB348" i="5"/>
  <c r="BR348" i="5" s="1"/>
  <c r="AZ348" i="5"/>
  <c r="BP348" i="5" s="1"/>
  <c r="BA348" i="5"/>
  <c r="BQ348" i="5" s="1"/>
  <c r="AY348" i="5"/>
  <c r="BO348" i="5" s="1"/>
  <c r="AZ340" i="5"/>
  <c r="BP340" i="5" s="1"/>
  <c r="BB340" i="5"/>
  <c r="BR340" i="5" s="1"/>
  <c r="AY340" i="5"/>
  <c r="BO340" i="5" s="1"/>
  <c r="BA340" i="5"/>
  <c r="BQ340" i="5" s="1"/>
  <c r="BB332" i="5"/>
  <c r="BR332" i="5" s="1"/>
  <c r="AY332" i="5"/>
  <c r="BO332" i="5" s="1"/>
  <c r="AZ332" i="5"/>
  <c r="BP332" i="5" s="1"/>
  <c r="BA332" i="5"/>
  <c r="BQ332" i="5" s="1"/>
  <c r="BB314" i="5"/>
  <c r="BR314" i="5" s="1"/>
  <c r="AZ314" i="5"/>
  <c r="BP314" i="5" s="1"/>
  <c r="BA314" i="5"/>
  <c r="BQ314" i="5" s="1"/>
  <c r="AY314" i="5"/>
  <c r="BO314" i="5" s="1"/>
  <c r="AY310" i="5"/>
  <c r="BO310" i="5" s="1"/>
  <c r="BA310" i="5"/>
  <c r="BQ310" i="5" s="1"/>
  <c r="BB310" i="5"/>
  <c r="BR310" i="5" s="1"/>
  <c r="AZ310" i="5"/>
  <c r="BP310" i="5" s="1"/>
  <c r="BB298" i="5"/>
  <c r="BR298" i="5" s="1"/>
  <c r="AY298" i="5"/>
  <c r="BO298" i="5" s="1"/>
  <c r="AZ298" i="5"/>
  <c r="BP298" i="5" s="1"/>
  <c r="BA298" i="5"/>
  <c r="BQ298" i="5" s="1"/>
  <c r="BB282" i="5"/>
  <c r="BR282" i="5" s="1"/>
  <c r="AY282" i="5"/>
  <c r="BO282" i="5" s="1"/>
  <c r="AZ282" i="5"/>
  <c r="BP282" i="5" s="1"/>
  <c r="BA282" i="5"/>
  <c r="BQ282" i="5" s="1"/>
  <c r="BA254" i="5"/>
  <c r="BQ254" i="5" s="1"/>
  <c r="AY254" i="5"/>
  <c r="BO254" i="5" s="1"/>
  <c r="AZ254" i="5"/>
  <c r="BP254" i="5" s="1"/>
  <c r="BB254" i="5"/>
  <c r="BR254" i="5" s="1"/>
  <c r="BB250" i="5"/>
  <c r="BR250" i="5" s="1"/>
  <c r="AZ250" i="5"/>
  <c r="BP250" i="5" s="1"/>
  <c r="BA250" i="5"/>
  <c r="BQ250" i="5" s="1"/>
  <c r="AY250" i="5"/>
  <c r="BO250" i="5" s="1"/>
  <c r="AZ242" i="5"/>
  <c r="BP242" i="5" s="1"/>
  <c r="BB242" i="5"/>
  <c r="BR242" i="5" s="1"/>
  <c r="AY242" i="5"/>
  <c r="BO242" i="5" s="1"/>
  <c r="BA242" i="5"/>
  <c r="BQ242" i="5" s="1"/>
  <c r="AY222" i="5"/>
  <c r="BO222" i="5" s="1"/>
  <c r="BB222" i="5"/>
  <c r="BR222" i="5" s="1"/>
  <c r="AZ222" i="5"/>
  <c r="BP222" i="5" s="1"/>
  <c r="BA222" i="5"/>
  <c r="BQ222" i="5" s="1"/>
  <c r="AZ218" i="5"/>
  <c r="BP218" i="5" s="1"/>
  <c r="BA218" i="5"/>
  <c r="BQ218" i="5" s="1"/>
  <c r="BB218" i="5"/>
  <c r="BR218" i="5" s="1"/>
  <c r="AY218" i="5"/>
  <c r="BO218" i="5" s="1"/>
  <c r="AY206" i="5"/>
  <c r="BO206" i="5" s="1"/>
  <c r="BA206" i="5"/>
  <c r="BQ206" i="5" s="1"/>
  <c r="BB206" i="5"/>
  <c r="BR206" i="5" s="1"/>
  <c r="AZ206" i="5"/>
  <c r="BP206" i="5" s="1"/>
  <c r="AZ186" i="5"/>
  <c r="BP186" i="5" s="1"/>
  <c r="BA186" i="5"/>
  <c r="BQ186" i="5" s="1"/>
  <c r="BB186" i="5"/>
  <c r="BR186" i="5" s="1"/>
  <c r="AY186" i="5"/>
  <c r="BO186" i="5" s="1"/>
  <c r="BA182" i="5"/>
  <c r="BQ182" i="5" s="1"/>
  <c r="BB182" i="5"/>
  <c r="BR182" i="5" s="1"/>
  <c r="AY182" i="5"/>
  <c r="BO182" i="5" s="1"/>
  <c r="AZ182" i="5"/>
  <c r="BP182" i="5" s="1"/>
  <c r="AZ170" i="5"/>
  <c r="BP170" i="5" s="1"/>
  <c r="AY170" i="5"/>
  <c r="BO170" i="5" s="1"/>
  <c r="BA170" i="5"/>
  <c r="BQ170" i="5" s="1"/>
  <c r="BB170" i="5"/>
  <c r="BR170" i="5" s="1"/>
  <c r="BA162" i="5"/>
  <c r="BQ162" i="5" s="1"/>
  <c r="AZ162" i="5"/>
  <c r="BP162" i="5" s="1"/>
  <c r="AY162" i="5"/>
  <c r="BO162" i="5" s="1"/>
  <c r="BB162" i="5"/>
  <c r="BR162" i="5" s="1"/>
  <c r="AY158" i="5"/>
  <c r="BO158" i="5" s="1"/>
  <c r="BB158" i="5"/>
  <c r="BR158" i="5" s="1"/>
  <c r="AZ158" i="5"/>
  <c r="BP158" i="5" s="1"/>
  <c r="BA158" i="5"/>
  <c r="BQ158" i="5" s="1"/>
  <c r="BA149" i="5"/>
  <c r="BQ149" i="5" s="1"/>
  <c r="BB149" i="5"/>
  <c r="BR149" i="5" s="1"/>
  <c r="AY149" i="5"/>
  <c r="BO149" i="5" s="1"/>
  <c r="AZ149" i="5"/>
  <c r="BP149" i="5" s="1"/>
  <c r="AY141" i="5"/>
  <c r="BO141" i="5" s="1"/>
  <c r="AZ141" i="5"/>
  <c r="BP141" i="5" s="1"/>
  <c r="BA141" i="5"/>
  <c r="BQ141" i="5" s="1"/>
  <c r="BB141" i="5"/>
  <c r="BR141" i="5" s="1"/>
  <c r="AY121" i="5"/>
  <c r="BO121" i="5" s="1"/>
  <c r="AZ121" i="5"/>
  <c r="BP121" i="5" s="1"/>
  <c r="BA121" i="5"/>
  <c r="BQ121" i="5" s="1"/>
  <c r="BB121" i="5"/>
  <c r="BR121" i="5" s="1"/>
  <c r="BA117" i="5"/>
  <c r="BQ117" i="5" s="1"/>
  <c r="AZ117" i="5"/>
  <c r="BP117" i="5" s="1"/>
  <c r="AY117" i="5"/>
  <c r="BO117" i="5" s="1"/>
  <c r="BB117" i="5"/>
  <c r="BR117" i="5" s="1"/>
  <c r="AY109" i="5"/>
  <c r="BO109" i="5" s="1"/>
  <c r="BB109" i="5"/>
  <c r="BR109" i="5" s="1"/>
  <c r="BA109" i="5"/>
  <c r="BQ109" i="5" s="1"/>
  <c r="AZ109" i="5"/>
  <c r="BP109" i="5" s="1"/>
  <c r="AY105" i="5"/>
  <c r="BO105" i="5" s="1"/>
  <c r="BB105" i="5"/>
  <c r="BR105" i="5" s="1"/>
  <c r="AZ105" i="5"/>
  <c r="BP105" i="5" s="1"/>
  <c r="BA105" i="5"/>
  <c r="BQ105" i="5" s="1"/>
  <c r="AZ339" i="5"/>
  <c r="BP339" i="5" s="1"/>
  <c r="BA339" i="5"/>
  <c r="BQ339" i="5" s="1"/>
  <c r="BB339" i="5"/>
  <c r="BR339" i="5" s="1"/>
  <c r="AY339" i="5"/>
  <c r="BO339" i="5" s="1"/>
  <c r="BB331" i="5"/>
  <c r="BR331" i="5" s="1"/>
  <c r="AY331" i="5"/>
  <c r="BO331" i="5" s="1"/>
  <c r="AZ331" i="5"/>
  <c r="BP331" i="5" s="1"/>
  <c r="BA331" i="5"/>
  <c r="BQ331" i="5" s="1"/>
  <c r="BB317" i="5"/>
  <c r="BR317" i="5" s="1"/>
  <c r="AY317" i="5"/>
  <c r="BO317" i="5" s="1"/>
  <c r="AZ317" i="5"/>
  <c r="BP317" i="5" s="1"/>
  <c r="BA317" i="5"/>
  <c r="BQ317" i="5" s="1"/>
  <c r="AY309" i="5"/>
  <c r="BO309" i="5" s="1"/>
  <c r="AZ309" i="5"/>
  <c r="BP309" i="5" s="1"/>
  <c r="BA309" i="5"/>
  <c r="BQ309" i="5" s="1"/>
  <c r="BB309" i="5"/>
  <c r="BR309" i="5" s="1"/>
  <c r="BA301" i="5"/>
  <c r="BQ301" i="5" s="1"/>
  <c r="BB301" i="5"/>
  <c r="BR301" i="5" s="1"/>
  <c r="AY301" i="5"/>
  <c r="BO301" i="5" s="1"/>
  <c r="AZ301" i="5"/>
  <c r="BP301" i="5" s="1"/>
  <c r="AY293" i="5"/>
  <c r="BO293" i="5" s="1"/>
  <c r="AZ293" i="5"/>
  <c r="BP293" i="5" s="1"/>
  <c r="BA293" i="5"/>
  <c r="BQ293" i="5" s="1"/>
  <c r="BB293" i="5"/>
  <c r="BR293" i="5" s="1"/>
  <c r="AY261" i="5"/>
  <c r="BO261" i="5" s="1"/>
  <c r="BA261" i="5"/>
  <c r="BQ261" i="5" s="1"/>
  <c r="BB261" i="5"/>
  <c r="BR261" i="5" s="1"/>
  <c r="AZ261" i="5"/>
  <c r="BP261" i="5" s="1"/>
  <c r="AZ257" i="5"/>
  <c r="BP257" i="5" s="1"/>
  <c r="BB257" i="5"/>
  <c r="BR257" i="5" s="1"/>
  <c r="AY257" i="5"/>
  <c r="BO257" i="5" s="1"/>
  <c r="BA257" i="5"/>
  <c r="BQ257" i="5" s="1"/>
  <c r="AY245" i="5"/>
  <c r="BO245" i="5" s="1"/>
  <c r="AZ245" i="5"/>
  <c r="BP245" i="5" s="1"/>
  <c r="BA245" i="5"/>
  <c r="BQ245" i="5" s="1"/>
  <c r="BB245" i="5"/>
  <c r="BR245" i="5" s="1"/>
  <c r="AZ241" i="5"/>
  <c r="BP241" i="5" s="1"/>
  <c r="BA241" i="5"/>
  <c r="BQ241" i="5" s="1"/>
  <c r="BB241" i="5"/>
  <c r="BR241" i="5" s="1"/>
  <c r="AY241" i="5"/>
  <c r="BO241" i="5" s="1"/>
  <c r="AY221" i="5"/>
  <c r="BO221" i="5" s="1"/>
  <c r="BA221" i="5"/>
  <c r="BQ221" i="5" s="1"/>
  <c r="BB221" i="5"/>
  <c r="BR221" i="5" s="1"/>
  <c r="AZ221" i="5"/>
  <c r="BP221" i="5" s="1"/>
  <c r="BA213" i="5"/>
  <c r="BQ213" i="5" s="1"/>
  <c r="AZ213" i="5"/>
  <c r="BP213" i="5" s="1"/>
  <c r="BB213" i="5"/>
  <c r="BR213" i="5" s="1"/>
  <c r="AY213" i="5"/>
  <c r="BO213" i="5" s="1"/>
  <c r="BB209" i="5"/>
  <c r="BR209" i="5" s="1"/>
  <c r="AY209" i="5"/>
  <c r="BO209" i="5" s="1"/>
  <c r="AZ209" i="5"/>
  <c r="BP209" i="5" s="1"/>
  <c r="BA209" i="5"/>
  <c r="BQ209" i="5" s="1"/>
  <c r="BA181" i="5"/>
  <c r="BQ181" i="5" s="1"/>
  <c r="AZ181" i="5"/>
  <c r="BP181" i="5" s="1"/>
  <c r="BB181" i="5"/>
  <c r="BR181" i="5" s="1"/>
  <c r="AY181" i="5"/>
  <c r="BO181" i="5" s="1"/>
  <c r="BB177" i="5"/>
  <c r="BR177" i="5" s="1"/>
  <c r="BA177" i="5"/>
  <c r="BQ177" i="5" s="1"/>
  <c r="AY177" i="5"/>
  <c r="BO177" i="5" s="1"/>
  <c r="AZ177" i="5"/>
  <c r="BP177" i="5" s="1"/>
  <c r="AZ169" i="5"/>
  <c r="BP169" i="5" s="1"/>
  <c r="BB169" i="5"/>
  <c r="BR169" i="5" s="1"/>
  <c r="AY169" i="5"/>
  <c r="BO169" i="5" s="1"/>
  <c r="BA169" i="5"/>
  <c r="BQ169" i="5" s="1"/>
  <c r="BA161" i="5"/>
  <c r="BQ161" i="5" s="1"/>
  <c r="AY161" i="5"/>
  <c r="BO161" i="5" s="1"/>
  <c r="AZ161" i="5"/>
  <c r="BP161" i="5" s="1"/>
  <c r="BB161" i="5"/>
  <c r="BR161" i="5" s="1"/>
  <c r="AZ152" i="5"/>
  <c r="BP152" i="5" s="1"/>
  <c r="BA152" i="5"/>
  <c r="BQ152" i="5" s="1"/>
  <c r="AY152" i="5"/>
  <c r="BO152" i="5" s="1"/>
  <c r="BB152" i="5"/>
  <c r="BR152" i="5" s="1"/>
  <c r="BA148" i="5"/>
  <c r="BQ148" i="5" s="1"/>
  <c r="BB148" i="5"/>
  <c r="BR148" i="5" s="1"/>
  <c r="AY148" i="5"/>
  <c r="BO148" i="5" s="1"/>
  <c r="AZ148" i="5"/>
  <c r="BP148" i="5" s="1"/>
  <c r="AY140" i="5"/>
  <c r="BO140" i="5" s="1"/>
  <c r="AZ140" i="5"/>
  <c r="BP140" i="5" s="1"/>
  <c r="BA140" i="5"/>
  <c r="BQ140" i="5" s="1"/>
  <c r="BB140" i="5"/>
  <c r="BR140" i="5" s="1"/>
  <c r="AZ120" i="5"/>
  <c r="BP120" i="5" s="1"/>
  <c r="AY120" i="5"/>
  <c r="BO120" i="5" s="1"/>
  <c r="BA120" i="5"/>
  <c r="BQ120" i="5" s="1"/>
  <c r="BB120" i="5"/>
  <c r="BR120" i="5" s="1"/>
  <c r="BB112" i="5"/>
  <c r="BR112" i="5" s="1"/>
  <c r="AZ112" i="5"/>
  <c r="BP112" i="5" s="1"/>
  <c r="AY112" i="5"/>
  <c r="BO112" i="5" s="1"/>
  <c r="BA112" i="5"/>
  <c r="BQ112" i="5" s="1"/>
  <c r="AY108" i="5"/>
  <c r="BO108" i="5" s="1"/>
  <c r="BA108" i="5"/>
  <c r="BQ108" i="5" s="1"/>
  <c r="AZ108" i="5"/>
  <c r="BP108" i="5" s="1"/>
  <c r="BB108" i="5"/>
  <c r="BR108" i="5" s="1"/>
  <c r="AY342" i="5"/>
  <c r="BO342" i="5" s="1"/>
  <c r="AZ342" i="5"/>
  <c r="BP342" i="5" s="1"/>
  <c r="BA342" i="5"/>
  <c r="BQ342" i="5" s="1"/>
  <c r="BB342" i="5"/>
  <c r="BR342" i="5" s="1"/>
  <c r="BA334" i="5"/>
  <c r="BQ334" i="5" s="1"/>
  <c r="AZ334" i="5"/>
  <c r="BP334" i="5" s="1"/>
  <c r="BB334" i="5"/>
  <c r="BR334" i="5" s="1"/>
  <c r="AY334" i="5"/>
  <c r="BO334" i="5" s="1"/>
  <c r="BB312" i="5"/>
  <c r="BR312" i="5" s="1"/>
  <c r="AY312" i="5"/>
  <c r="BO312" i="5" s="1"/>
  <c r="AZ312" i="5"/>
  <c r="BP312" i="5" s="1"/>
  <c r="BA312" i="5"/>
  <c r="BQ312" i="5" s="1"/>
  <c r="BB349" i="5"/>
  <c r="BR349" i="5" s="1"/>
  <c r="BA349" i="5"/>
  <c r="BQ349" i="5" s="1"/>
  <c r="AY349" i="5"/>
  <c r="BO349" i="5" s="1"/>
  <c r="AZ349" i="5"/>
  <c r="BP349" i="5" s="1"/>
  <c r="AY341" i="5"/>
  <c r="BO341" i="5" s="1"/>
  <c r="BB341" i="5"/>
  <c r="BR341" i="5" s="1"/>
  <c r="AZ341" i="5"/>
  <c r="BP341" i="5" s="1"/>
  <c r="BA341" i="5"/>
  <c r="BQ341" i="5" s="1"/>
  <c r="BA333" i="5"/>
  <c r="BQ333" i="5" s="1"/>
  <c r="AY333" i="5"/>
  <c r="BO333" i="5" s="1"/>
  <c r="AZ333" i="5"/>
  <c r="BP333" i="5" s="1"/>
  <c r="BB333" i="5"/>
  <c r="BR333" i="5" s="1"/>
  <c r="BB315" i="5"/>
  <c r="BR315" i="5" s="1"/>
  <c r="BA315" i="5"/>
  <c r="BQ315" i="5" s="1"/>
  <c r="AY315" i="5"/>
  <c r="BO315" i="5" s="1"/>
  <c r="AZ315" i="5"/>
  <c r="BP315" i="5" s="1"/>
  <c r="AY311" i="5"/>
  <c r="BO311" i="5" s="1"/>
  <c r="BB311" i="5"/>
  <c r="BR311" i="5" s="1"/>
  <c r="AZ311" i="5"/>
  <c r="BP311" i="5" s="1"/>
  <c r="BA311" i="5"/>
  <c r="BQ311" i="5" s="1"/>
  <c r="AZ307" i="5"/>
  <c r="BP307" i="5" s="1"/>
  <c r="AY307" i="5"/>
  <c r="BO307" i="5" s="1"/>
  <c r="BA307" i="5"/>
  <c r="BQ307" i="5" s="1"/>
  <c r="BB307" i="5"/>
  <c r="BR307" i="5" s="1"/>
  <c r="BA303" i="5"/>
  <c r="BQ303" i="5" s="1"/>
  <c r="AY303" i="5"/>
  <c r="BO303" i="5" s="1"/>
  <c r="AZ303" i="5"/>
  <c r="BP303" i="5" s="1"/>
  <c r="BB303" i="5"/>
  <c r="BR303" i="5" s="1"/>
  <c r="BB299" i="5"/>
  <c r="BR299" i="5" s="1"/>
  <c r="AZ299" i="5"/>
  <c r="BP299" i="5" s="1"/>
  <c r="BA299" i="5"/>
  <c r="BQ299" i="5" s="1"/>
  <c r="AY299" i="5"/>
  <c r="BO299" i="5" s="1"/>
  <c r="AY295" i="5"/>
  <c r="BO295" i="5" s="1"/>
  <c r="BA295" i="5"/>
  <c r="BQ295" i="5" s="1"/>
  <c r="BB295" i="5"/>
  <c r="BR295" i="5" s="1"/>
  <c r="AZ295" i="5"/>
  <c r="BP295" i="5" s="1"/>
  <c r="AY291" i="5"/>
  <c r="BO291" i="5" s="1"/>
  <c r="BA291" i="5"/>
  <c r="BQ291" i="5" s="1"/>
  <c r="BB291" i="5"/>
  <c r="BR291" i="5" s="1"/>
  <c r="AZ291" i="5"/>
  <c r="BP291" i="5" s="1"/>
  <c r="BB283" i="5"/>
  <c r="BR283" i="5" s="1"/>
  <c r="AY283" i="5"/>
  <c r="BO283" i="5" s="1"/>
  <c r="AZ283" i="5"/>
  <c r="BP283" i="5" s="1"/>
  <c r="BA283" i="5"/>
  <c r="BQ283" i="5" s="1"/>
  <c r="AY279" i="5"/>
  <c r="BO279" i="5" s="1"/>
  <c r="AZ279" i="5"/>
  <c r="BP279" i="5" s="1"/>
  <c r="BA279" i="5"/>
  <c r="BQ279" i="5" s="1"/>
  <c r="BB279" i="5"/>
  <c r="BR279" i="5" s="1"/>
  <c r="AY275" i="5"/>
  <c r="BO275" i="5" s="1"/>
  <c r="AZ275" i="5"/>
  <c r="BP275" i="5" s="1"/>
  <c r="BA275" i="5"/>
  <c r="BQ275" i="5" s="1"/>
  <c r="BB275" i="5"/>
  <c r="BR275" i="5" s="1"/>
  <c r="AY259" i="5"/>
  <c r="BO259" i="5" s="1"/>
  <c r="AZ259" i="5"/>
  <c r="BP259" i="5" s="1"/>
  <c r="BA259" i="5"/>
  <c r="BQ259" i="5" s="1"/>
  <c r="BB259" i="5"/>
  <c r="BR259" i="5" s="1"/>
  <c r="BA255" i="5"/>
  <c r="BQ255" i="5" s="1"/>
  <c r="AZ255" i="5"/>
  <c r="BP255" i="5" s="1"/>
  <c r="BB255" i="5"/>
  <c r="BR255" i="5" s="1"/>
  <c r="AY255" i="5"/>
  <c r="BO255" i="5" s="1"/>
  <c r="BB251" i="5"/>
  <c r="BR251" i="5" s="1"/>
  <c r="BA251" i="5"/>
  <c r="BQ251" i="5" s="1"/>
  <c r="AY251" i="5"/>
  <c r="BO251" i="5" s="1"/>
  <c r="AZ251" i="5"/>
  <c r="BP251" i="5" s="1"/>
  <c r="AY247" i="5"/>
  <c r="BO247" i="5" s="1"/>
  <c r="BB247" i="5"/>
  <c r="BR247" i="5" s="1"/>
  <c r="AZ247" i="5"/>
  <c r="BP247" i="5" s="1"/>
  <c r="BA247" i="5"/>
  <c r="BQ247" i="5" s="1"/>
  <c r="AY243" i="5"/>
  <c r="BO243" i="5" s="1"/>
  <c r="BB243" i="5"/>
  <c r="BR243" i="5" s="1"/>
  <c r="AZ243" i="5"/>
  <c r="BP243" i="5" s="1"/>
  <c r="BA243" i="5"/>
  <c r="BQ243" i="5" s="1"/>
  <c r="AY223" i="5"/>
  <c r="BO223" i="5" s="1"/>
  <c r="BA223" i="5"/>
  <c r="BQ223" i="5" s="1"/>
  <c r="BB223" i="5"/>
  <c r="BR223" i="5" s="1"/>
  <c r="AZ223" i="5"/>
  <c r="BP223" i="5" s="1"/>
  <c r="AZ219" i="5"/>
  <c r="BP219" i="5" s="1"/>
  <c r="AY219" i="5"/>
  <c r="BO219" i="5" s="1"/>
  <c r="BA219" i="5"/>
  <c r="BQ219" i="5" s="1"/>
  <c r="BB219" i="5"/>
  <c r="BR219" i="5" s="1"/>
  <c r="BA215" i="5"/>
  <c r="BQ215" i="5" s="1"/>
  <c r="AZ215" i="5"/>
  <c r="BP215" i="5" s="1"/>
  <c r="AY215" i="5"/>
  <c r="BO215" i="5" s="1"/>
  <c r="BB215" i="5"/>
  <c r="BR215" i="5" s="1"/>
  <c r="AY207" i="5"/>
  <c r="BO207" i="5" s="1"/>
  <c r="BB207" i="5"/>
  <c r="BR207" i="5" s="1"/>
  <c r="AZ207" i="5"/>
  <c r="BP207" i="5" s="1"/>
  <c r="BA207" i="5"/>
  <c r="BQ207" i="5" s="1"/>
  <c r="AZ203" i="5"/>
  <c r="BP203" i="5" s="1"/>
  <c r="BA203" i="5"/>
  <c r="BQ203" i="5" s="1"/>
  <c r="BB203" i="5"/>
  <c r="BR203" i="5" s="1"/>
  <c r="AY203" i="5"/>
  <c r="BO203" i="5" s="1"/>
  <c r="BA183" i="5"/>
  <c r="BQ183" i="5" s="1"/>
  <c r="AZ183" i="5"/>
  <c r="BP183" i="5" s="1"/>
  <c r="BB183" i="5"/>
  <c r="BR183" i="5" s="1"/>
  <c r="AY183" i="5"/>
  <c r="BO183" i="5" s="1"/>
  <c r="BA179" i="5"/>
  <c r="BQ179" i="5" s="1"/>
  <c r="BB179" i="5"/>
  <c r="BR179" i="5" s="1"/>
  <c r="AY179" i="5"/>
  <c r="BO179" i="5" s="1"/>
  <c r="AZ179" i="5"/>
  <c r="BP179" i="5" s="1"/>
  <c r="AZ171" i="5"/>
  <c r="BP171" i="5" s="1"/>
  <c r="BA171" i="5"/>
  <c r="BQ171" i="5" s="1"/>
  <c r="BB171" i="5"/>
  <c r="BR171" i="5" s="1"/>
  <c r="AY171" i="5"/>
  <c r="BO171" i="5" s="1"/>
  <c r="BA167" i="5"/>
  <c r="BQ167" i="5" s="1"/>
  <c r="BB167" i="5"/>
  <c r="BR167" i="5" s="1"/>
  <c r="AY167" i="5"/>
  <c r="BO167" i="5" s="1"/>
  <c r="AZ167" i="5"/>
  <c r="BP167" i="5" s="1"/>
  <c r="BA163" i="5"/>
  <c r="BQ163" i="5" s="1"/>
  <c r="BB163" i="5"/>
  <c r="BR163" i="5" s="1"/>
  <c r="AY163" i="5"/>
  <c r="BO163" i="5" s="1"/>
  <c r="AZ163" i="5"/>
  <c r="BP163" i="5" s="1"/>
  <c r="BB159" i="5"/>
  <c r="BR159" i="5" s="1"/>
  <c r="BA159" i="5"/>
  <c r="BQ159" i="5" s="1"/>
  <c r="AY159" i="5"/>
  <c r="BO159" i="5" s="1"/>
  <c r="AZ159" i="5"/>
  <c r="BP159" i="5" s="1"/>
  <c r="BA150" i="5"/>
  <c r="BQ150" i="5" s="1"/>
  <c r="AY150" i="5"/>
  <c r="BO150" i="5" s="1"/>
  <c r="AZ150" i="5"/>
  <c r="BP150" i="5" s="1"/>
  <c r="BB150" i="5"/>
  <c r="BR150" i="5" s="1"/>
  <c r="BA146" i="5"/>
  <c r="BQ146" i="5" s="1"/>
  <c r="AY146" i="5"/>
  <c r="BO146" i="5" s="1"/>
  <c r="AZ146" i="5"/>
  <c r="BP146" i="5" s="1"/>
  <c r="BB146" i="5"/>
  <c r="BR146" i="5" s="1"/>
  <c r="AY142" i="5"/>
  <c r="BO142" i="5" s="1"/>
  <c r="BA142" i="5"/>
  <c r="BQ142" i="5" s="1"/>
  <c r="AZ142" i="5"/>
  <c r="BP142" i="5" s="1"/>
  <c r="BB142" i="5"/>
  <c r="BR142" i="5" s="1"/>
  <c r="AY138" i="5"/>
  <c r="BO138" i="5" s="1"/>
  <c r="BA138" i="5"/>
  <c r="BQ138" i="5" s="1"/>
  <c r="AZ138" i="5"/>
  <c r="BP138" i="5" s="1"/>
  <c r="BB138" i="5"/>
  <c r="BR138" i="5" s="1"/>
  <c r="BA118" i="5"/>
  <c r="BQ118" i="5" s="1"/>
  <c r="BB118" i="5"/>
  <c r="BR118" i="5" s="1"/>
  <c r="AY118" i="5"/>
  <c r="BO118" i="5" s="1"/>
  <c r="AZ118" i="5"/>
  <c r="BP118" i="5" s="1"/>
  <c r="BA114" i="5"/>
  <c r="BQ114" i="5" s="1"/>
  <c r="BB114" i="5"/>
  <c r="BR114" i="5" s="1"/>
  <c r="AZ114" i="5"/>
  <c r="BP114" i="5" s="1"/>
  <c r="AY114" i="5"/>
  <c r="BO114" i="5" s="1"/>
  <c r="AY110" i="5"/>
  <c r="BO110" i="5" s="1"/>
  <c r="AZ110" i="5"/>
  <c r="BP110" i="5" s="1"/>
  <c r="BA110" i="5"/>
  <c r="BQ110" i="5" s="1"/>
  <c r="BB110" i="5"/>
  <c r="BR110" i="5" s="1"/>
  <c r="AY106" i="5"/>
  <c r="BO106" i="5" s="1"/>
  <c r="AZ106" i="5"/>
  <c r="BP106" i="5" s="1"/>
  <c r="BA106" i="5"/>
  <c r="BQ106" i="5" s="1"/>
  <c r="BB106" i="5"/>
  <c r="BR106" i="5" s="1"/>
  <c r="AZ102" i="5"/>
  <c r="BP102" i="5" s="1"/>
  <c r="BB102" i="5"/>
  <c r="BR102" i="5" s="1"/>
  <c r="AY102" i="5"/>
  <c r="BO102" i="5" s="1"/>
  <c r="BA102" i="5"/>
  <c r="BQ102" i="5" s="1"/>
  <c r="R10" i="12"/>
  <c r="B50" i="12" s="1"/>
  <c r="E79" i="12"/>
  <c r="E82" i="12"/>
  <c r="D33" i="15"/>
  <c r="C62" i="15"/>
  <c r="E33" i="15"/>
  <c r="D62" i="15"/>
  <c r="S20" i="12"/>
  <c r="C56" i="12" s="1"/>
  <c r="E80" i="12"/>
  <c r="E62" i="15"/>
  <c r="C44" i="12"/>
  <c r="E78" i="12"/>
  <c r="F62" i="15"/>
  <c r="P26" i="6"/>
  <c r="H26" i="6"/>
  <c r="L26" i="6"/>
  <c r="C33" i="15"/>
  <c r="B58" i="12"/>
  <c r="S23" i="12"/>
  <c r="C61" i="12" s="1"/>
  <c r="C58" i="12"/>
  <c r="S10" i="12"/>
  <c r="C50" i="12" s="1"/>
  <c r="S14" i="12"/>
  <c r="C55" i="12" s="1"/>
  <c r="C51" i="12"/>
  <c r="C49" i="12"/>
  <c r="C47" i="12"/>
  <c r="B51" i="12"/>
  <c r="C46" i="12"/>
  <c r="B48" i="12"/>
  <c r="B52" i="12"/>
  <c r="B54" i="12"/>
  <c r="R23" i="12"/>
  <c r="B61" i="12" s="1"/>
  <c r="C48" i="12"/>
  <c r="C54" i="12"/>
  <c r="R14" i="12"/>
  <c r="B55" i="12" s="1"/>
  <c r="R20" i="12"/>
  <c r="B56" i="12" s="1"/>
  <c r="B47" i="12"/>
  <c r="B49" i="12"/>
  <c r="X9" i="5"/>
  <c r="Y9" i="5"/>
  <c r="B23" i="13" l="1"/>
  <c r="N206" i="10" s="1"/>
  <c r="AC15" i="6"/>
  <c r="AB15" i="6"/>
  <c r="AA15" i="6"/>
  <c r="Z15" i="6"/>
  <c r="Z14" i="6"/>
  <c r="BS115" i="5"/>
  <c r="BS308" i="5"/>
  <c r="BS338" i="5"/>
  <c r="BS116" i="5"/>
  <c r="BS165" i="5"/>
  <c r="BS258" i="5"/>
  <c r="BS170" i="5"/>
  <c r="BS331" i="5"/>
  <c r="BS254" i="5"/>
  <c r="BS298" i="5"/>
  <c r="BS240" i="5"/>
  <c r="BS252" i="5"/>
  <c r="BS253" i="5"/>
  <c r="BS307" i="5"/>
  <c r="BS219" i="5"/>
  <c r="BS150" i="5"/>
  <c r="BS312" i="5"/>
  <c r="BS142" i="5"/>
  <c r="K14" i="6"/>
  <c r="BQ145" i="5"/>
  <c r="AB14" i="6" s="1"/>
  <c r="BS159" i="5"/>
  <c r="BS143" i="5"/>
  <c r="BS146" i="5"/>
  <c r="BS303" i="5"/>
  <c r="BS333" i="5"/>
  <c r="BS209" i="5"/>
  <c r="BS317" i="5"/>
  <c r="BS282" i="5"/>
  <c r="BS111" i="5"/>
  <c r="BS151" i="5"/>
  <c r="BS180" i="5"/>
  <c r="BS224" i="5"/>
  <c r="BS316" i="5"/>
  <c r="BS185" i="5"/>
  <c r="BS347" i="5"/>
  <c r="BS243" i="5"/>
  <c r="BS292" i="5"/>
  <c r="BS167" i="5"/>
  <c r="BS148" i="5"/>
  <c r="BS182" i="5"/>
  <c r="BS168" i="5"/>
  <c r="BS296" i="5"/>
  <c r="BS217" i="5"/>
  <c r="BS336" i="5"/>
  <c r="BS283" i="5"/>
  <c r="BS120" i="5"/>
  <c r="BS161" i="5"/>
  <c r="BS332" i="5"/>
  <c r="BS160" i="5"/>
  <c r="BS204" i="5"/>
  <c r="BS304" i="5"/>
  <c r="BS297" i="5"/>
  <c r="BS313" i="5"/>
  <c r="BS214" i="5"/>
  <c r="BS223" i="5"/>
  <c r="BS295" i="5"/>
  <c r="BS221" i="5"/>
  <c r="BS261" i="5"/>
  <c r="BS109" i="5"/>
  <c r="BS206" i="5"/>
  <c r="BS310" i="5"/>
  <c r="BS276" i="5"/>
  <c r="BS207" i="5"/>
  <c r="BS341" i="5"/>
  <c r="BS105" i="5"/>
  <c r="BS158" i="5"/>
  <c r="BS103" i="5"/>
  <c r="BS179" i="5"/>
  <c r="BS349" i="5"/>
  <c r="BS177" i="5"/>
  <c r="BS301" i="5"/>
  <c r="BS149" i="5"/>
  <c r="AX9" i="5"/>
  <c r="BI9" i="5"/>
  <c r="BS171" i="5"/>
  <c r="BS183" i="5"/>
  <c r="BS299" i="5"/>
  <c r="BS181" i="5"/>
  <c r="BS213" i="5"/>
  <c r="BS241" i="5"/>
  <c r="BS186" i="5"/>
  <c r="BS218" i="5"/>
  <c r="BS314" i="5"/>
  <c r="BS280" i="5"/>
  <c r="BS285" i="5"/>
  <c r="BS305" i="5"/>
  <c r="BS101" i="5"/>
  <c r="O14" i="6"/>
  <c r="BR145" i="5"/>
  <c r="AC14" i="6" s="1"/>
  <c r="BS166" i="5"/>
  <c r="AR9" i="5"/>
  <c r="BH9" i="5"/>
  <c r="BS110" i="5"/>
  <c r="BS259" i="5"/>
  <c r="BS279" i="5"/>
  <c r="BS291" i="5"/>
  <c r="BS342" i="5"/>
  <c r="BS140" i="5"/>
  <c r="BS293" i="5"/>
  <c r="BS309" i="5"/>
  <c r="BS141" i="5"/>
  <c r="BS139" i="5"/>
  <c r="BS155" i="5"/>
  <c r="BS260" i="5"/>
  <c r="BS205" i="5"/>
  <c r="BS114" i="5"/>
  <c r="BS203" i="5"/>
  <c r="BS255" i="5"/>
  <c r="BS334" i="5"/>
  <c r="BS339" i="5"/>
  <c r="BS250" i="5"/>
  <c r="BS348" i="5"/>
  <c r="BS119" i="5"/>
  <c r="BS216" i="5"/>
  <c r="BS256" i="5"/>
  <c r="BS284" i="5"/>
  <c r="BS178" i="5"/>
  <c r="BS215" i="5"/>
  <c r="BS162" i="5"/>
  <c r="BS113" i="5"/>
  <c r="BS106" i="5"/>
  <c r="BS138" i="5"/>
  <c r="BS247" i="5"/>
  <c r="BS275" i="5"/>
  <c r="BS311" i="5"/>
  <c r="BS108" i="5"/>
  <c r="BS245" i="5"/>
  <c r="BS121" i="5"/>
  <c r="BS222" i="5"/>
  <c r="BS244" i="5"/>
  <c r="BS104" i="5"/>
  <c r="BS157" i="5"/>
  <c r="BS277" i="5"/>
  <c r="BS153" i="5"/>
  <c r="BS278" i="5"/>
  <c r="BS294" i="5"/>
  <c r="BS102" i="5"/>
  <c r="BS118" i="5"/>
  <c r="BS163" i="5"/>
  <c r="BS251" i="5"/>
  <c r="BS315" i="5"/>
  <c r="BS112" i="5"/>
  <c r="BS152" i="5"/>
  <c r="BS169" i="5"/>
  <c r="BS257" i="5"/>
  <c r="BS117" i="5"/>
  <c r="BS242" i="5"/>
  <c r="BS340" i="5"/>
  <c r="BS147" i="5"/>
  <c r="BS164" i="5"/>
  <c r="BS172" i="5"/>
  <c r="BS184" i="5"/>
  <c r="BS212" i="5"/>
  <c r="BS220" i="5"/>
  <c r="BS300" i="5"/>
  <c r="BS335" i="5"/>
  <c r="BS202" i="5"/>
  <c r="BS286" i="5"/>
  <c r="BS306" i="5"/>
  <c r="C60" i="12"/>
  <c r="M64" i="20"/>
  <c r="N64" i="20"/>
  <c r="N48" i="20"/>
  <c r="M48" i="20"/>
  <c r="M29" i="20"/>
  <c r="N29" i="20"/>
  <c r="M179" i="20"/>
  <c r="N179" i="20"/>
  <c r="M163" i="20"/>
  <c r="N163" i="20"/>
  <c r="M147" i="20"/>
  <c r="N147" i="20"/>
  <c r="N131" i="20"/>
  <c r="M131" i="20"/>
  <c r="N115" i="20"/>
  <c r="M115" i="20"/>
  <c r="N99" i="20"/>
  <c r="M99" i="20"/>
  <c r="N83" i="20"/>
  <c r="M83" i="20"/>
  <c r="N67" i="20"/>
  <c r="M67" i="20"/>
  <c r="N51" i="20"/>
  <c r="M51" i="20"/>
  <c r="M32" i="20"/>
  <c r="N32" i="20"/>
  <c r="M16" i="20"/>
  <c r="N16" i="20"/>
  <c r="N39" i="20"/>
  <c r="M39" i="20"/>
  <c r="M23" i="20"/>
  <c r="N23" i="20"/>
  <c r="N60" i="20"/>
  <c r="M60" i="20"/>
  <c r="N44" i="20"/>
  <c r="M44" i="20"/>
  <c r="M25" i="20"/>
  <c r="N25" i="20"/>
  <c r="M175" i="20"/>
  <c r="N175" i="20"/>
  <c r="N159" i="20"/>
  <c r="M159" i="20"/>
  <c r="M143" i="20"/>
  <c r="N143" i="20"/>
  <c r="M127" i="20"/>
  <c r="N127" i="20"/>
  <c r="M111" i="20"/>
  <c r="N111" i="20"/>
  <c r="M95" i="20"/>
  <c r="N95" i="20"/>
  <c r="M79" i="20"/>
  <c r="N79" i="20"/>
  <c r="M63" i="20"/>
  <c r="N63" i="20"/>
  <c r="M47" i="20"/>
  <c r="N47" i="20"/>
  <c r="N28" i="20"/>
  <c r="M28" i="20"/>
  <c r="M54" i="20"/>
  <c r="N54" i="20"/>
  <c r="N35" i="20"/>
  <c r="M35" i="20"/>
  <c r="N19" i="20"/>
  <c r="M19" i="20"/>
  <c r="M162" i="20"/>
  <c r="N162" i="20"/>
  <c r="N82" i="20"/>
  <c r="M82" i="20"/>
  <c r="M26" i="20"/>
  <c r="N26" i="20"/>
  <c r="M153" i="20"/>
  <c r="N153" i="20"/>
  <c r="N121" i="20"/>
  <c r="M121" i="20"/>
  <c r="N89" i="20"/>
  <c r="M89" i="20"/>
  <c r="M57" i="20"/>
  <c r="N57" i="20"/>
  <c r="M98" i="20"/>
  <c r="N98" i="20"/>
  <c r="M134" i="20"/>
  <c r="N134" i="20"/>
  <c r="N102" i="20"/>
  <c r="M102" i="20"/>
  <c r="M70" i="20"/>
  <c r="N70" i="20"/>
  <c r="N178" i="20"/>
  <c r="M178" i="20"/>
  <c r="M90" i="20"/>
  <c r="N90" i="20"/>
  <c r="M173" i="20"/>
  <c r="N173" i="20"/>
  <c r="N141" i="20"/>
  <c r="M141" i="20"/>
  <c r="M109" i="20"/>
  <c r="N109" i="20"/>
  <c r="N77" i="20"/>
  <c r="M77" i="20"/>
  <c r="M30" i="20"/>
  <c r="N30" i="20"/>
  <c r="M180" i="20"/>
  <c r="N180" i="20"/>
  <c r="N164" i="20"/>
  <c r="M164" i="20"/>
  <c r="N148" i="20"/>
  <c r="M148" i="20"/>
  <c r="M132" i="20"/>
  <c r="N132" i="20"/>
  <c r="N116" i="20"/>
  <c r="M116" i="20"/>
  <c r="N100" i="20"/>
  <c r="M100" i="20"/>
  <c r="M84" i="20"/>
  <c r="N84" i="20"/>
  <c r="M68" i="20"/>
  <c r="N68" i="20"/>
  <c r="M52" i="20"/>
  <c r="N52" i="20"/>
  <c r="M33" i="20"/>
  <c r="N33" i="20"/>
  <c r="N17" i="20"/>
  <c r="M17" i="20"/>
  <c r="M167" i="20"/>
  <c r="N167" i="20"/>
  <c r="M151" i="20"/>
  <c r="N151" i="20"/>
  <c r="M135" i="20"/>
  <c r="N135" i="20"/>
  <c r="N119" i="20"/>
  <c r="M119" i="20"/>
  <c r="M103" i="20"/>
  <c r="N103" i="20"/>
  <c r="M87" i="20"/>
  <c r="N87" i="20"/>
  <c r="N71" i="20"/>
  <c r="M71" i="20"/>
  <c r="N55" i="20"/>
  <c r="M55" i="20"/>
  <c r="M36" i="20"/>
  <c r="N36" i="20"/>
  <c r="M20" i="20"/>
  <c r="N20" i="20"/>
  <c r="M46" i="20"/>
  <c r="N46" i="20"/>
  <c r="M27" i="20"/>
  <c r="N27" i="20"/>
  <c r="M146" i="20"/>
  <c r="N146" i="20"/>
  <c r="M66" i="20"/>
  <c r="N66" i="20"/>
  <c r="N177" i="20"/>
  <c r="M177" i="20"/>
  <c r="M145" i="20"/>
  <c r="N145" i="20"/>
  <c r="N113" i="20"/>
  <c r="M113" i="20"/>
  <c r="N81" i="20"/>
  <c r="M81" i="20"/>
  <c r="M38" i="20"/>
  <c r="N38" i="20"/>
  <c r="M174" i="20"/>
  <c r="N174" i="20"/>
  <c r="M126" i="20"/>
  <c r="N126" i="20"/>
  <c r="M94" i="20"/>
  <c r="N94" i="20"/>
  <c r="N62" i="20"/>
  <c r="M62" i="20"/>
  <c r="M154" i="20"/>
  <c r="N154" i="20"/>
  <c r="N74" i="20"/>
  <c r="M74" i="20"/>
  <c r="M165" i="20"/>
  <c r="N165" i="20"/>
  <c r="M133" i="20"/>
  <c r="N133" i="20"/>
  <c r="N101" i="20"/>
  <c r="M101" i="20"/>
  <c r="M69" i="20"/>
  <c r="N69" i="20"/>
  <c r="N22" i="20"/>
  <c r="M22" i="20"/>
  <c r="M176" i="20"/>
  <c r="N176" i="20"/>
  <c r="M160" i="20"/>
  <c r="N160" i="20"/>
  <c r="N144" i="20"/>
  <c r="M144" i="20"/>
  <c r="N128" i="20"/>
  <c r="M128" i="20"/>
  <c r="M112" i="20"/>
  <c r="N112" i="20"/>
  <c r="N96" i="20"/>
  <c r="M96" i="20"/>
  <c r="N80" i="20"/>
  <c r="M80" i="20"/>
  <c r="M122" i="20"/>
  <c r="N122" i="20"/>
  <c r="N58" i="20"/>
  <c r="M58" i="20"/>
  <c r="N169" i="20"/>
  <c r="M169" i="20"/>
  <c r="M137" i="20"/>
  <c r="N137" i="20"/>
  <c r="N105" i="20"/>
  <c r="M105" i="20"/>
  <c r="N73" i="20"/>
  <c r="M73" i="20"/>
  <c r="N170" i="20"/>
  <c r="M170" i="20"/>
  <c r="M158" i="20"/>
  <c r="N158" i="20"/>
  <c r="M118" i="20"/>
  <c r="N118" i="20"/>
  <c r="N86" i="20"/>
  <c r="M86" i="20"/>
  <c r="M53" i="20"/>
  <c r="N53" i="20"/>
  <c r="M130" i="20"/>
  <c r="N130" i="20"/>
  <c r="M166" i="20"/>
  <c r="N166" i="20"/>
  <c r="N157" i="20"/>
  <c r="M157" i="20"/>
  <c r="N125" i="20"/>
  <c r="M125" i="20"/>
  <c r="M93" i="20"/>
  <c r="N93" i="20"/>
  <c r="M61" i="20"/>
  <c r="N61" i="20"/>
  <c r="M18" i="20"/>
  <c r="N18" i="20"/>
  <c r="N172" i="20"/>
  <c r="M172" i="20"/>
  <c r="M156" i="20"/>
  <c r="N156" i="20"/>
  <c r="M140" i="20"/>
  <c r="N140" i="20"/>
  <c r="N124" i="20"/>
  <c r="M124" i="20"/>
  <c r="N108" i="20"/>
  <c r="M108" i="20"/>
  <c r="N92" i="20"/>
  <c r="M92" i="20"/>
  <c r="N76" i="20"/>
  <c r="M76" i="20"/>
  <c r="M106" i="20"/>
  <c r="N106" i="20"/>
  <c r="M45" i="20"/>
  <c r="N45" i="20"/>
  <c r="M161" i="20"/>
  <c r="N161" i="20"/>
  <c r="N129" i="20"/>
  <c r="M129" i="20"/>
  <c r="N97" i="20"/>
  <c r="M97" i="20"/>
  <c r="N65" i="20"/>
  <c r="M65" i="20"/>
  <c r="M138" i="20"/>
  <c r="N138" i="20"/>
  <c r="N142" i="20"/>
  <c r="M142" i="20"/>
  <c r="N110" i="20"/>
  <c r="M110" i="20"/>
  <c r="M78" i="20"/>
  <c r="N78" i="20"/>
  <c r="M34" i="20"/>
  <c r="N34" i="20"/>
  <c r="M114" i="20"/>
  <c r="N114" i="20"/>
  <c r="M150" i="20"/>
  <c r="N150" i="20"/>
  <c r="N149" i="20"/>
  <c r="M149" i="20"/>
  <c r="N117" i="20"/>
  <c r="M117" i="20"/>
  <c r="N85" i="20"/>
  <c r="M85" i="20"/>
  <c r="M49" i="20"/>
  <c r="N49" i="20"/>
  <c r="M14" i="20"/>
  <c r="N14" i="20"/>
  <c r="M168" i="20"/>
  <c r="N168" i="20"/>
  <c r="M152" i="20"/>
  <c r="N152" i="20"/>
  <c r="M136" i="20"/>
  <c r="N136" i="20"/>
  <c r="N120" i="20"/>
  <c r="M120" i="20"/>
  <c r="M104" i="20"/>
  <c r="N104" i="20"/>
  <c r="N88" i="20"/>
  <c r="M88" i="20"/>
  <c r="M72" i="20"/>
  <c r="N72" i="20"/>
  <c r="N56" i="20"/>
  <c r="M56" i="20"/>
  <c r="N37" i="20"/>
  <c r="M37" i="20"/>
  <c r="M21" i="20"/>
  <c r="N21" i="20"/>
  <c r="M171" i="20"/>
  <c r="N171" i="20"/>
  <c r="M155" i="20"/>
  <c r="N155" i="20"/>
  <c r="M139" i="20"/>
  <c r="N139" i="20"/>
  <c r="M123" i="20"/>
  <c r="N123" i="20"/>
  <c r="M107" i="20"/>
  <c r="N107" i="20"/>
  <c r="M91" i="20"/>
  <c r="N91" i="20"/>
  <c r="N75" i="20"/>
  <c r="M75" i="20"/>
  <c r="M59" i="20"/>
  <c r="N59" i="20"/>
  <c r="M40" i="20"/>
  <c r="N40" i="20"/>
  <c r="M24" i="20"/>
  <c r="N24" i="20"/>
  <c r="M50" i="20"/>
  <c r="N50" i="20"/>
  <c r="N31" i="20"/>
  <c r="M31" i="20"/>
  <c r="N15" i="20"/>
  <c r="M15" i="20"/>
  <c r="B59" i="12"/>
  <c r="N150" i="10"/>
  <c r="N315" i="10"/>
  <c r="N259" i="10"/>
  <c r="N186" i="10"/>
  <c r="N298" i="10"/>
  <c r="O126" i="10"/>
  <c r="N187" i="10"/>
  <c r="N316" i="10"/>
  <c r="N260" i="10"/>
  <c r="N132" i="10"/>
  <c r="N95" i="10"/>
  <c r="N120" i="10"/>
  <c r="N83" i="10"/>
  <c r="N125" i="10"/>
  <c r="N88" i="10"/>
  <c r="N96" i="10"/>
  <c r="N133" i="10"/>
  <c r="O207" i="10"/>
  <c r="N245" i="10"/>
  <c r="N342" i="10"/>
  <c r="N172" i="10"/>
  <c r="N286" i="10"/>
  <c r="N339" i="10"/>
  <c r="N283" i="10"/>
  <c r="N169" i="10"/>
  <c r="N188" i="10"/>
  <c r="N317" i="10"/>
  <c r="N261" i="10"/>
  <c r="O89" i="10"/>
  <c r="N258" i="10"/>
  <c r="N314" i="10"/>
  <c r="N185" i="10"/>
  <c r="N85" i="10"/>
  <c r="N122" i="10"/>
  <c r="C57" i="12"/>
  <c r="N189" i="10"/>
  <c r="N318" i="10"/>
  <c r="N262" i="10"/>
  <c r="N91" i="10"/>
  <c r="N128" i="10"/>
  <c r="E84" i="12"/>
  <c r="N129" i="10"/>
  <c r="N92" i="10"/>
  <c r="O119" i="10"/>
  <c r="N192" i="10"/>
  <c r="N265" i="10"/>
  <c r="N321" i="10"/>
  <c r="N86" i="10"/>
  <c r="N123" i="10"/>
  <c r="N244" i="10"/>
  <c r="O206" i="10"/>
  <c r="N171" i="10"/>
  <c r="N285" i="10"/>
  <c r="N341" i="10"/>
  <c r="N197" i="10"/>
  <c r="N326" i="10"/>
  <c r="N270" i="10"/>
  <c r="N266" i="10"/>
  <c r="N322" i="10"/>
  <c r="N193" i="10"/>
  <c r="N319" i="10"/>
  <c r="N190" i="10"/>
  <c r="N263" i="10"/>
  <c r="N121" i="10"/>
  <c r="N84" i="10"/>
  <c r="N124" i="10"/>
  <c r="N87" i="10"/>
  <c r="N81" i="10"/>
  <c r="N118" i="10"/>
  <c r="N170" i="10"/>
  <c r="N284" i="10"/>
  <c r="N340" i="10"/>
  <c r="O82" i="10"/>
  <c r="BC102" i="5"/>
  <c r="BC106" i="5"/>
  <c r="BC159" i="5"/>
  <c r="BC167" i="5"/>
  <c r="BC215" i="5"/>
  <c r="BC243" i="5"/>
  <c r="BC283" i="5"/>
  <c r="BC112" i="5"/>
  <c r="BC140" i="5"/>
  <c r="BC152" i="5"/>
  <c r="BC169" i="5"/>
  <c r="BC177" i="5"/>
  <c r="BC257" i="5"/>
  <c r="BC301" i="5"/>
  <c r="BC317" i="5"/>
  <c r="BC170" i="5"/>
  <c r="BC222" i="5"/>
  <c r="BC242" i="5"/>
  <c r="BC250" i="5"/>
  <c r="BC254" i="5"/>
  <c r="BC314" i="5"/>
  <c r="BC340" i="5"/>
  <c r="BC348" i="5"/>
  <c r="BC139" i="5"/>
  <c r="BC216" i="5"/>
  <c r="BC240" i="5"/>
  <c r="BC280" i="5"/>
  <c r="BC284" i="5"/>
  <c r="BC292" i="5"/>
  <c r="BC304" i="5"/>
  <c r="BC316" i="5"/>
  <c r="BC285" i="5"/>
  <c r="BC305" i="5"/>
  <c r="BC178" i="5"/>
  <c r="BC202" i="5"/>
  <c r="BC286" i="5"/>
  <c r="BC118" i="5"/>
  <c r="BC119" i="5"/>
  <c r="BC333" i="5"/>
  <c r="BC312" i="5"/>
  <c r="BC334" i="5"/>
  <c r="BC342" i="5"/>
  <c r="BC108" i="5"/>
  <c r="BC120" i="5"/>
  <c r="BC161" i="5"/>
  <c r="BC181" i="5"/>
  <c r="BC209" i="5"/>
  <c r="BC213" i="5"/>
  <c r="BC245" i="5"/>
  <c r="BC293" i="5"/>
  <c r="BC331" i="5"/>
  <c r="BC117" i="5"/>
  <c r="BC141" i="5"/>
  <c r="BC186" i="5"/>
  <c r="BC218" i="5"/>
  <c r="BC332" i="5"/>
  <c r="BC115" i="5"/>
  <c r="BC143" i="5"/>
  <c r="BC168" i="5"/>
  <c r="BC172" i="5"/>
  <c r="BC184" i="5"/>
  <c r="BC220" i="5"/>
  <c r="BC244" i="5"/>
  <c r="BC256" i="5"/>
  <c r="BC260" i="5"/>
  <c r="BC296" i="5"/>
  <c r="BC300" i="5"/>
  <c r="BC338" i="5"/>
  <c r="BC157" i="5"/>
  <c r="BC165" i="5"/>
  <c r="BC217" i="5"/>
  <c r="BC277" i="5"/>
  <c r="BC335" i="5"/>
  <c r="BC347" i="5"/>
  <c r="BC113" i="5"/>
  <c r="BC214" i="5"/>
  <c r="BC148" i="5"/>
  <c r="BC221" i="5"/>
  <c r="BC309" i="5"/>
  <c r="BC339" i="5"/>
  <c r="BC105" i="5"/>
  <c r="BC121" i="5"/>
  <c r="BC158" i="5"/>
  <c r="BC162" i="5"/>
  <c r="BC111" i="5"/>
  <c r="BC147" i="5"/>
  <c r="BC151" i="5"/>
  <c r="BC155" i="5"/>
  <c r="BC160" i="5"/>
  <c r="BC204" i="5"/>
  <c r="BC252" i="5"/>
  <c r="BC276" i="5"/>
  <c r="BC308" i="5"/>
  <c r="BC185" i="5"/>
  <c r="BC253" i="5"/>
  <c r="BC297" i="5"/>
  <c r="BC313" i="5"/>
  <c r="BC145" i="5"/>
  <c r="BC166" i="5"/>
  <c r="BC258" i="5"/>
  <c r="BC278" i="5"/>
  <c r="BC294" i="5"/>
  <c r="BC336" i="5"/>
  <c r="BC306" i="5"/>
  <c r="BC138" i="5"/>
  <c r="BC150" i="5"/>
  <c r="BC259" i="5"/>
  <c r="BC275" i="5"/>
  <c r="BC299" i="5"/>
  <c r="BC303" i="5"/>
  <c r="BC110" i="5"/>
  <c r="BC114" i="5"/>
  <c r="BC142" i="5"/>
  <c r="BC146" i="5"/>
  <c r="K15" i="6"/>
  <c r="BC171" i="5"/>
  <c r="BC203" i="5"/>
  <c r="BC207" i="5"/>
  <c r="BC219" i="5"/>
  <c r="BC223" i="5"/>
  <c r="BC247" i="5"/>
  <c r="BC279" i="5"/>
  <c r="BC295" i="5"/>
  <c r="BC307" i="5"/>
  <c r="BC311" i="5"/>
  <c r="BC341" i="5"/>
  <c r="O15" i="6"/>
  <c r="BC163" i="5"/>
  <c r="BC179" i="5"/>
  <c r="BC183" i="5"/>
  <c r="BC251" i="5"/>
  <c r="BC255" i="5"/>
  <c r="BC291" i="5"/>
  <c r="BC315" i="5"/>
  <c r="BC349" i="5"/>
  <c r="BC241" i="5"/>
  <c r="BC261" i="5"/>
  <c r="BC109" i="5"/>
  <c r="BC149" i="5"/>
  <c r="BC182" i="5"/>
  <c r="BC206" i="5"/>
  <c r="BC282" i="5"/>
  <c r="BC298" i="5"/>
  <c r="BC310" i="5"/>
  <c r="BC103" i="5"/>
  <c r="BC164" i="5"/>
  <c r="BC180" i="5"/>
  <c r="BC212" i="5"/>
  <c r="BC224" i="5"/>
  <c r="BC104" i="5"/>
  <c r="BC116" i="5"/>
  <c r="BC205" i="5"/>
  <c r="BC101" i="5"/>
  <c r="BC153" i="5"/>
  <c r="N204" i="10"/>
  <c r="C59" i="12"/>
  <c r="S26" i="6"/>
  <c r="T26" i="6" s="1"/>
  <c r="D26" i="6"/>
  <c r="C53" i="12"/>
  <c r="B57" i="12"/>
  <c r="B53" i="12"/>
  <c r="B60" i="12"/>
  <c r="Z9" i="5"/>
  <c r="C10" i="5"/>
  <c r="C11"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9" i="5"/>
  <c r="C8" i="5"/>
  <c r="AY8" i="5" s="1"/>
  <c r="BO8" i="5" s="1"/>
  <c r="BJ9" i="5" l="1"/>
  <c r="AD15" i="6"/>
  <c r="AD14" i="6"/>
  <c r="BS145" i="5"/>
  <c r="N4" i="20"/>
  <c r="M4" i="20"/>
  <c r="AE249" i="5"/>
  <c r="AE248" i="5"/>
  <c r="N242" i="10"/>
  <c r="AE86" i="5"/>
  <c r="AY86" i="5" s="1"/>
  <c r="BO86" i="5" s="1"/>
  <c r="V86" i="5"/>
  <c r="BF86" i="5" s="1"/>
  <c r="O124" i="10"/>
  <c r="O266" i="10"/>
  <c r="P206" i="10"/>
  <c r="AO210" i="5" s="1"/>
  <c r="O244" i="10"/>
  <c r="P119" i="10"/>
  <c r="AO123" i="5" s="1"/>
  <c r="N223" i="10"/>
  <c r="O185" i="10"/>
  <c r="AE130" i="5"/>
  <c r="V130" i="5"/>
  <c r="BF130" i="5" s="1"/>
  <c r="N320" i="10"/>
  <c r="N191" i="10"/>
  <c r="N264" i="10"/>
  <c r="P82" i="10"/>
  <c r="AO86" i="5" s="1"/>
  <c r="O84" i="10"/>
  <c r="O319" i="10"/>
  <c r="O270" i="10"/>
  <c r="O285" i="10"/>
  <c r="O265" i="10"/>
  <c r="O91" i="10"/>
  <c r="P126" i="10"/>
  <c r="AO130" i="5" s="1"/>
  <c r="N323" i="10"/>
  <c r="N194" i="10"/>
  <c r="N267" i="10"/>
  <c r="O340" i="10"/>
  <c r="O81" i="10"/>
  <c r="O121" i="10"/>
  <c r="O193" i="10"/>
  <c r="N231" i="10"/>
  <c r="O326" i="10"/>
  <c r="O171" i="10"/>
  <c r="O123" i="10"/>
  <c r="N230" i="10"/>
  <c r="O192" i="10"/>
  <c r="O129" i="10"/>
  <c r="O262" i="10"/>
  <c r="O122" i="10"/>
  <c r="O258" i="10"/>
  <c r="O317" i="10"/>
  <c r="O339" i="10"/>
  <c r="AE211" i="5"/>
  <c r="V211" i="5"/>
  <c r="BF211" i="5" s="1"/>
  <c r="O96" i="10"/>
  <c r="O120" i="10"/>
  <c r="O316" i="10"/>
  <c r="O298" i="10"/>
  <c r="O150" i="10"/>
  <c r="N269" i="10"/>
  <c r="N196" i="10"/>
  <c r="N325" i="10"/>
  <c r="O170" i="10"/>
  <c r="N228" i="10"/>
  <c r="O190" i="10"/>
  <c r="O341" i="10"/>
  <c r="O321" i="10"/>
  <c r="O128" i="10"/>
  <c r="O189" i="10"/>
  <c r="N227" i="10"/>
  <c r="P89" i="10"/>
  <c r="AO93" i="5" s="1"/>
  <c r="O169" i="10"/>
  <c r="O172" i="10"/>
  <c r="P207" i="10"/>
  <c r="AO211" i="5" s="1"/>
  <c r="O245" i="10"/>
  <c r="O125" i="10"/>
  <c r="O132" i="10"/>
  <c r="O259" i="10"/>
  <c r="O118" i="10"/>
  <c r="V248" i="5"/>
  <c r="BF248" i="5" s="1"/>
  <c r="O92" i="10"/>
  <c r="N93" i="10"/>
  <c r="N130" i="10"/>
  <c r="O314" i="10"/>
  <c r="O261" i="10"/>
  <c r="O283" i="10"/>
  <c r="O342" i="10"/>
  <c r="O133" i="10"/>
  <c r="O83" i="10"/>
  <c r="O260" i="10"/>
  <c r="O315" i="10"/>
  <c r="N90" i="10"/>
  <c r="N127" i="10"/>
  <c r="N94" i="10"/>
  <c r="N131" i="10"/>
  <c r="O284" i="10"/>
  <c r="O87" i="10"/>
  <c r="O263" i="10"/>
  <c r="O322" i="10"/>
  <c r="O197" i="10"/>
  <c r="N235" i="10"/>
  <c r="AE210" i="5"/>
  <c r="V210" i="5"/>
  <c r="BF210" i="5" s="1"/>
  <c r="O86" i="10"/>
  <c r="AE123" i="5"/>
  <c r="V123" i="5"/>
  <c r="BF123" i="5" s="1"/>
  <c r="C84" i="12"/>
  <c r="N184" i="10" s="1"/>
  <c r="N183" i="10"/>
  <c r="O318" i="10"/>
  <c r="O85" i="10"/>
  <c r="AE93" i="5"/>
  <c r="V93" i="5"/>
  <c r="BF93" i="5" s="1"/>
  <c r="N226" i="10"/>
  <c r="O188" i="10"/>
  <c r="O286" i="10"/>
  <c r="V249" i="5"/>
  <c r="BF249" i="5" s="1"/>
  <c r="O88" i="10"/>
  <c r="O95" i="10"/>
  <c r="N225" i="10"/>
  <c r="O187" i="10"/>
  <c r="O186" i="10"/>
  <c r="N224" i="10"/>
  <c r="N195" i="10"/>
  <c r="N268" i="10"/>
  <c r="N324" i="10"/>
  <c r="V246" i="5"/>
  <c r="BF246" i="5" s="1"/>
  <c r="BA78" i="5"/>
  <c r="BQ78" i="5" s="1"/>
  <c r="AY78" i="5"/>
  <c r="BO78" i="5" s="1"/>
  <c r="BB78" i="5"/>
  <c r="BR78" i="5" s="1"/>
  <c r="AZ78" i="5"/>
  <c r="BP78" i="5" s="1"/>
  <c r="AY70" i="5"/>
  <c r="BO70" i="5" s="1"/>
  <c r="BA70" i="5"/>
  <c r="BQ70" i="5" s="1"/>
  <c r="BB70" i="5"/>
  <c r="BR70" i="5" s="1"/>
  <c r="AZ70" i="5"/>
  <c r="BP70" i="5" s="1"/>
  <c r="AY66" i="5"/>
  <c r="BO66" i="5" s="1"/>
  <c r="BA66" i="5"/>
  <c r="BQ66" i="5" s="1"/>
  <c r="BB66" i="5"/>
  <c r="BR66" i="5" s="1"/>
  <c r="AZ66" i="5"/>
  <c r="BP66" i="5" s="1"/>
  <c r="BA62" i="5"/>
  <c r="BQ62" i="5" s="1"/>
  <c r="AZ62" i="5"/>
  <c r="BP62" i="5" s="1"/>
  <c r="AY62" i="5"/>
  <c r="BO62" i="5" s="1"/>
  <c r="BB62" i="5"/>
  <c r="BR62" i="5" s="1"/>
  <c r="AY54" i="5"/>
  <c r="BO54" i="5" s="1"/>
  <c r="AZ54" i="5"/>
  <c r="BP54" i="5" s="1"/>
  <c r="BB54" i="5"/>
  <c r="BR54" i="5" s="1"/>
  <c r="BA54" i="5"/>
  <c r="BQ54" i="5" s="1"/>
  <c r="AY50" i="5"/>
  <c r="BO50" i="5" s="1"/>
  <c r="AZ50" i="5"/>
  <c r="BP50" i="5" s="1"/>
  <c r="BB50" i="5"/>
  <c r="BR50" i="5" s="1"/>
  <c r="BA50" i="5"/>
  <c r="BQ50" i="5" s="1"/>
  <c r="BA46" i="5"/>
  <c r="BQ46" i="5" s="1"/>
  <c r="BB46" i="5"/>
  <c r="BR46" i="5" s="1"/>
  <c r="AY46" i="5"/>
  <c r="BO46" i="5" s="1"/>
  <c r="AZ46" i="5"/>
  <c r="BP46" i="5" s="1"/>
  <c r="BA42" i="5"/>
  <c r="BQ42" i="5" s="1"/>
  <c r="BB42" i="5"/>
  <c r="BR42" i="5" s="1"/>
  <c r="AY42" i="5"/>
  <c r="BO42" i="5" s="1"/>
  <c r="AZ42" i="5"/>
  <c r="BP42" i="5" s="1"/>
  <c r="AY38" i="5"/>
  <c r="BO38" i="5" s="1"/>
  <c r="BA38" i="5"/>
  <c r="BQ38" i="5" s="1"/>
  <c r="BB38" i="5"/>
  <c r="BR38" i="5" s="1"/>
  <c r="AZ38" i="5"/>
  <c r="BP38" i="5" s="1"/>
  <c r="AY34" i="5"/>
  <c r="BO34" i="5" s="1"/>
  <c r="BA34" i="5"/>
  <c r="BQ34" i="5" s="1"/>
  <c r="AZ34" i="5"/>
  <c r="BP34" i="5" s="1"/>
  <c r="BB34" i="5"/>
  <c r="BR34" i="5" s="1"/>
  <c r="BA30" i="5"/>
  <c r="BQ30" i="5" s="1"/>
  <c r="AZ30" i="5"/>
  <c r="BP30" i="5" s="1"/>
  <c r="BB30" i="5"/>
  <c r="BR30" i="5" s="1"/>
  <c r="AY30" i="5"/>
  <c r="BO30" i="5" s="1"/>
  <c r="AY9" i="5"/>
  <c r="BO9" i="5" s="1"/>
  <c r="BA9" i="5"/>
  <c r="BQ9" i="5" s="1"/>
  <c r="BB9" i="5"/>
  <c r="BR9" i="5" s="1"/>
  <c r="AZ9" i="5"/>
  <c r="BP9" i="5" s="1"/>
  <c r="AZ79" i="5"/>
  <c r="BP79" i="5" s="1"/>
  <c r="AY79" i="5"/>
  <c r="BO79" i="5" s="1"/>
  <c r="BB79" i="5"/>
  <c r="BR79" i="5" s="1"/>
  <c r="BA79" i="5"/>
  <c r="BQ79" i="5" s="1"/>
  <c r="AY67" i="5"/>
  <c r="BO67" i="5" s="1"/>
  <c r="BB67" i="5"/>
  <c r="BR67" i="5" s="1"/>
  <c r="AZ67" i="5"/>
  <c r="BP67" i="5" s="1"/>
  <c r="BA67" i="5"/>
  <c r="BQ67" i="5" s="1"/>
  <c r="BA59" i="5"/>
  <c r="BQ59" i="5" s="1"/>
  <c r="AY59" i="5"/>
  <c r="BO59" i="5" s="1"/>
  <c r="BB59" i="5"/>
  <c r="BR59" i="5" s="1"/>
  <c r="AZ59" i="5"/>
  <c r="BP59" i="5" s="1"/>
  <c r="AY51" i="5"/>
  <c r="BO51" i="5" s="1"/>
  <c r="BA51" i="5"/>
  <c r="BQ51" i="5" s="1"/>
  <c r="BB51" i="5"/>
  <c r="BR51" i="5" s="1"/>
  <c r="AZ51" i="5"/>
  <c r="BP51" i="5" s="1"/>
  <c r="BA43" i="5"/>
  <c r="BQ43" i="5" s="1"/>
  <c r="AZ43" i="5"/>
  <c r="BP43" i="5" s="1"/>
  <c r="BB43" i="5"/>
  <c r="BR43" i="5" s="1"/>
  <c r="AY43" i="5"/>
  <c r="BO43" i="5" s="1"/>
  <c r="AY35" i="5"/>
  <c r="BO35" i="5" s="1"/>
  <c r="AZ35" i="5"/>
  <c r="BP35" i="5" s="1"/>
  <c r="BB35" i="5"/>
  <c r="BR35" i="5" s="1"/>
  <c r="BA35" i="5"/>
  <c r="BQ35" i="5" s="1"/>
  <c r="AZ10" i="5"/>
  <c r="BP10" i="5" s="1"/>
  <c r="BA10" i="5"/>
  <c r="BQ10" i="5" s="1"/>
  <c r="BB10" i="5"/>
  <c r="BR10" i="5" s="1"/>
  <c r="AY10" i="5"/>
  <c r="BO10" i="5" s="1"/>
  <c r="AY81" i="5"/>
  <c r="BO81" i="5" s="1"/>
  <c r="BA81" i="5"/>
  <c r="BQ81" i="5" s="1"/>
  <c r="BB81" i="5"/>
  <c r="BR81" i="5" s="1"/>
  <c r="AZ81" i="5"/>
  <c r="BP81" i="5" s="1"/>
  <c r="BA73" i="5"/>
  <c r="BQ73" i="5" s="1"/>
  <c r="AZ73" i="5"/>
  <c r="BP73" i="5" s="1"/>
  <c r="BB73" i="5"/>
  <c r="BR73" i="5" s="1"/>
  <c r="AY73" i="5"/>
  <c r="BO73" i="5" s="1"/>
  <c r="BA61" i="5"/>
  <c r="BQ61" i="5" s="1"/>
  <c r="BB61" i="5"/>
  <c r="BR61" i="5" s="1"/>
  <c r="AY61" i="5"/>
  <c r="BO61" i="5" s="1"/>
  <c r="AZ61" i="5"/>
  <c r="BP61" i="5" s="1"/>
  <c r="AY53" i="5"/>
  <c r="BO53" i="5" s="1"/>
  <c r="BA53" i="5"/>
  <c r="BQ53" i="5" s="1"/>
  <c r="BB53" i="5"/>
  <c r="BR53" i="5" s="1"/>
  <c r="AZ53" i="5"/>
  <c r="BP53" i="5" s="1"/>
  <c r="BA41" i="5"/>
  <c r="BQ41" i="5" s="1"/>
  <c r="AZ41" i="5"/>
  <c r="BP41" i="5" s="1"/>
  <c r="BB41" i="5"/>
  <c r="BR41" i="5" s="1"/>
  <c r="AY41" i="5"/>
  <c r="BO41" i="5" s="1"/>
  <c r="BA29" i="5"/>
  <c r="BQ29" i="5" s="1"/>
  <c r="AY29" i="5"/>
  <c r="BO29" i="5" s="1"/>
  <c r="BB29" i="5"/>
  <c r="BR29" i="5" s="1"/>
  <c r="AZ29" i="5"/>
  <c r="BP29" i="5" s="1"/>
  <c r="AY83" i="5"/>
  <c r="BO83" i="5" s="1"/>
  <c r="BA83" i="5"/>
  <c r="BQ83" i="5" s="1"/>
  <c r="BB83" i="5"/>
  <c r="BR83" i="5" s="1"/>
  <c r="AZ83" i="5"/>
  <c r="BP83" i="5" s="1"/>
  <c r="BA75" i="5"/>
  <c r="BQ75" i="5" s="1"/>
  <c r="AZ75" i="5"/>
  <c r="BP75" i="5" s="1"/>
  <c r="AY75" i="5"/>
  <c r="BO75" i="5" s="1"/>
  <c r="BB75" i="5"/>
  <c r="BR75" i="5" s="1"/>
  <c r="BB71" i="5"/>
  <c r="BR71" i="5" s="1"/>
  <c r="BA71" i="5"/>
  <c r="BQ71" i="5" s="1"/>
  <c r="AY71" i="5"/>
  <c r="BO71" i="5" s="1"/>
  <c r="AZ71" i="5"/>
  <c r="BP71" i="5" s="1"/>
  <c r="AZ63" i="5"/>
  <c r="BP63" i="5" s="1"/>
  <c r="BA63" i="5"/>
  <c r="BQ63" i="5" s="1"/>
  <c r="BB63" i="5"/>
  <c r="BR63" i="5" s="1"/>
  <c r="AY63" i="5"/>
  <c r="BO63" i="5" s="1"/>
  <c r="BB55" i="5"/>
  <c r="BR55" i="5" s="1"/>
  <c r="AZ55" i="5"/>
  <c r="BP55" i="5" s="1"/>
  <c r="AY55" i="5"/>
  <c r="BO55" i="5" s="1"/>
  <c r="BA55" i="5"/>
  <c r="BQ55" i="5" s="1"/>
  <c r="AZ47" i="5"/>
  <c r="BP47" i="5" s="1"/>
  <c r="BB47" i="5"/>
  <c r="BR47" i="5" s="1"/>
  <c r="AY47" i="5"/>
  <c r="BO47" i="5" s="1"/>
  <c r="BA47" i="5"/>
  <c r="BQ47" i="5" s="1"/>
  <c r="BB39" i="5"/>
  <c r="BR39" i="5" s="1"/>
  <c r="AY39" i="5"/>
  <c r="BO39" i="5" s="1"/>
  <c r="BA39" i="5"/>
  <c r="BQ39" i="5" s="1"/>
  <c r="AZ39" i="5"/>
  <c r="BP39" i="5" s="1"/>
  <c r="AZ31" i="5"/>
  <c r="BP31" i="5" s="1"/>
  <c r="BA31" i="5"/>
  <c r="BQ31" i="5" s="1"/>
  <c r="BB31" i="5"/>
  <c r="BR31" i="5" s="1"/>
  <c r="AY31" i="5"/>
  <c r="BO31" i="5" s="1"/>
  <c r="AY82" i="5"/>
  <c r="BO82" i="5" s="1"/>
  <c r="BB82" i="5"/>
  <c r="BR82" i="5" s="1"/>
  <c r="AZ82" i="5"/>
  <c r="BP82" i="5" s="1"/>
  <c r="BA82" i="5"/>
  <c r="BQ82" i="5" s="1"/>
  <c r="BA74" i="5"/>
  <c r="BQ74" i="5" s="1"/>
  <c r="AY74" i="5"/>
  <c r="BO74" i="5" s="1"/>
  <c r="BB74" i="5"/>
  <c r="BR74" i="5" s="1"/>
  <c r="AZ74" i="5"/>
  <c r="BP74" i="5" s="1"/>
  <c r="BA58" i="5"/>
  <c r="BQ58" i="5" s="1"/>
  <c r="AZ58" i="5"/>
  <c r="BP58" i="5" s="1"/>
  <c r="AY58" i="5"/>
  <c r="BO58" i="5" s="1"/>
  <c r="BB58" i="5"/>
  <c r="BR58" i="5" s="1"/>
  <c r="BA77" i="5"/>
  <c r="BQ77" i="5" s="1"/>
  <c r="AZ77" i="5"/>
  <c r="BP77" i="5" s="1"/>
  <c r="AY77" i="5"/>
  <c r="BO77" i="5" s="1"/>
  <c r="BB77" i="5"/>
  <c r="BR77" i="5" s="1"/>
  <c r="AY69" i="5"/>
  <c r="BO69" i="5" s="1"/>
  <c r="AZ69" i="5"/>
  <c r="BP69" i="5" s="1"/>
  <c r="BB69" i="5"/>
  <c r="BR69" i="5" s="1"/>
  <c r="BA69" i="5"/>
  <c r="BQ69" i="5" s="1"/>
  <c r="AY65" i="5"/>
  <c r="BO65" i="5" s="1"/>
  <c r="AZ65" i="5"/>
  <c r="BP65" i="5" s="1"/>
  <c r="BB65" i="5"/>
  <c r="BR65" i="5" s="1"/>
  <c r="BA65" i="5"/>
  <c r="BQ65" i="5" s="1"/>
  <c r="BA57" i="5"/>
  <c r="BQ57" i="5" s="1"/>
  <c r="BB57" i="5"/>
  <c r="BR57" i="5" s="1"/>
  <c r="AY57" i="5"/>
  <c r="BO57" i="5" s="1"/>
  <c r="AZ57" i="5"/>
  <c r="BP57" i="5" s="1"/>
  <c r="AY49" i="5"/>
  <c r="BO49" i="5" s="1"/>
  <c r="BA49" i="5"/>
  <c r="BQ49" i="5" s="1"/>
  <c r="AZ49" i="5"/>
  <c r="BP49" i="5" s="1"/>
  <c r="BB49" i="5"/>
  <c r="BR49" i="5" s="1"/>
  <c r="BA45" i="5"/>
  <c r="BQ45" i="5" s="1"/>
  <c r="AZ45" i="5"/>
  <c r="BP45" i="5" s="1"/>
  <c r="AY45" i="5"/>
  <c r="BO45" i="5" s="1"/>
  <c r="BB45" i="5"/>
  <c r="BR45" i="5" s="1"/>
  <c r="AY37" i="5"/>
  <c r="BO37" i="5" s="1"/>
  <c r="BB37" i="5"/>
  <c r="BR37" i="5" s="1"/>
  <c r="AZ37" i="5"/>
  <c r="BP37" i="5" s="1"/>
  <c r="BA37" i="5"/>
  <c r="BQ37" i="5" s="1"/>
  <c r="AY33" i="5"/>
  <c r="BO33" i="5" s="1"/>
  <c r="BB33" i="5"/>
  <c r="BR33" i="5" s="1"/>
  <c r="AZ33" i="5"/>
  <c r="BP33" i="5" s="1"/>
  <c r="BA33" i="5"/>
  <c r="BQ33" i="5" s="1"/>
  <c r="AY84" i="5"/>
  <c r="BO84" i="5" s="1"/>
  <c r="AZ84" i="5"/>
  <c r="BP84" i="5" s="1"/>
  <c r="BB84" i="5"/>
  <c r="BR84" i="5" s="1"/>
  <c r="BA84" i="5"/>
  <c r="BQ84" i="5" s="1"/>
  <c r="AZ80" i="5"/>
  <c r="BP80" i="5" s="1"/>
  <c r="BA80" i="5"/>
  <c r="BQ80" i="5" s="1"/>
  <c r="BB80" i="5"/>
  <c r="BR80" i="5" s="1"/>
  <c r="AY80" i="5"/>
  <c r="BO80" i="5" s="1"/>
  <c r="BA76" i="5"/>
  <c r="BQ76" i="5" s="1"/>
  <c r="BB76" i="5"/>
  <c r="BR76" i="5" s="1"/>
  <c r="AY76" i="5"/>
  <c r="BO76" i="5" s="1"/>
  <c r="AZ76" i="5"/>
  <c r="BP76" i="5" s="1"/>
  <c r="BB72" i="5"/>
  <c r="BR72" i="5" s="1"/>
  <c r="AZ72" i="5"/>
  <c r="BP72" i="5" s="1"/>
  <c r="AY72" i="5"/>
  <c r="BO72" i="5" s="1"/>
  <c r="BA72" i="5"/>
  <c r="BQ72" i="5" s="1"/>
  <c r="AY68" i="5"/>
  <c r="BO68" i="5" s="1"/>
  <c r="BA68" i="5"/>
  <c r="BQ68" i="5" s="1"/>
  <c r="AZ68" i="5"/>
  <c r="BP68" i="5" s="1"/>
  <c r="BB68" i="5"/>
  <c r="BR68" i="5" s="1"/>
  <c r="AZ64" i="5"/>
  <c r="BP64" i="5" s="1"/>
  <c r="AY64" i="5"/>
  <c r="BO64" i="5" s="1"/>
  <c r="BB64" i="5"/>
  <c r="BR64" i="5" s="1"/>
  <c r="BA64" i="5"/>
  <c r="BQ64" i="5" s="1"/>
  <c r="BA60" i="5"/>
  <c r="BQ60" i="5" s="1"/>
  <c r="AZ60" i="5"/>
  <c r="BP60" i="5" s="1"/>
  <c r="BB60" i="5"/>
  <c r="BR60" i="5" s="1"/>
  <c r="AY60" i="5"/>
  <c r="BO60" i="5" s="1"/>
  <c r="BB56" i="5"/>
  <c r="BR56" i="5" s="1"/>
  <c r="BA56" i="5"/>
  <c r="BQ56" i="5" s="1"/>
  <c r="AY56" i="5"/>
  <c r="BO56" i="5" s="1"/>
  <c r="AZ56" i="5"/>
  <c r="BP56" i="5" s="1"/>
  <c r="AY52" i="5"/>
  <c r="BO52" i="5" s="1"/>
  <c r="BB52" i="5"/>
  <c r="BR52" i="5" s="1"/>
  <c r="AZ52" i="5"/>
  <c r="BP52" i="5" s="1"/>
  <c r="BA52" i="5"/>
  <c r="BQ52" i="5" s="1"/>
  <c r="AZ48" i="5"/>
  <c r="BP48" i="5" s="1"/>
  <c r="BA48" i="5"/>
  <c r="BQ48" i="5" s="1"/>
  <c r="AY48" i="5"/>
  <c r="BO48" i="5" s="1"/>
  <c r="BB48" i="5"/>
  <c r="BR48" i="5" s="1"/>
  <c r="BA44" i="5"/>
  <c r="BQ44" i="5" s="1"/>
  <c r="AY44" i="5"/>
  <c r="BO44" i="5" s="1"/>
  <c r="BB44" i="5"/>
  <c r="BR44" i="5" s="1"/>
  <c r="AZ44" i="5"/>
  <c r="BP44" i="5" s="1"/>
  <c r="BB40" i="5"/>
  <c r="BR40" i="5" s="1"/>
  <c r="AZ40" i="5"/>
  <c r="BP40" i="5" s="1"/>
  <c r="BA40" i="5"/>
  <c r="BQ40" i="5" s="1"/>
  <c r="AY40" i="5"/>
  <c r="BO40" i="5" s="1"/>
  <c r="AY36" i="5"/>
  <c r="BO36" i="5" s="1"/>
  <c r="BA36" i="5"/>
  <c r="BQ36" i="5" s="1"/>
  <c r="BB36" i="5"/>
  <c r="BR36" i="5" s="1"/>
  <c r="AZ36" i="5"/>
  <c r="BP36" i="5" s="1"/>
  <c r="AZ32" i="5"/>
  <c r="BP32" i="5" s="1"/>
  <c r="BB32" i="5"/>
  <c r="BR32" i="5" s="1"/>
  <c r="AY32" i="5"/>
  <c r="BO32" i="5" s="1"/>
  <c r="BA32" i="5"/>
  <c r="BQ32" i="5" s="1"/>
  <c r="AY11" i="5"/>
  <c r="BO11" i="5" s="1"/>
  <c r="BB11" i="5"/>
  <c r="BR11" i="5" s="1"/>
  <c r="BA11" i="5"/>
  <c r="BQ11" i="5" s="1"/>
  <c r="AZ11" i="5"/>
  <c r="BP11" i="5" s="1"/>
  <c r="N103" i="10"/>
  <c r="N333" i="10"/>
  <c r="N277" i="10"/>
  <c r="N140" i="10"/>
  <c r="O204" i="10"/>
  <c r="AB10" i="6" l="1"/>
  <c r="AC9" i="6"/>
  <c r="AC11" i="6"/>
  <c r="AB11" i="6"/>
  <c r="Z9" i="6"/>
  <c r="AA11" i="6"/>
  <c r="AA9" i="6"/>
  <c r="AB9" i="6"/>
  <c r="Z11" i="6"/>
  <c r="Z10" i="6"/>
  <c r="Z8" i="6"/>
  <c r="AC10" i="6"/>
  <c r="AA10" i="6"/>
  <c r="BS52" i="5"/>
  <c r="BS68" i="5"/>
  <c r="BS37" i="5"/>
  <c r="BS49" i="5"/>
  <c r="BS54" i="5"/>
  <c r="BS84" i="5"/>
  <c r="BS65" i="5"/>
  <c r="BS32" i="5"/>
  <c r="BS48" i="5"/>
  <c r="BS56" i="5"/>
  <c r="BS72" i="5"/>
  <c r="BS45" i="5"/>
  <c r="BS57" i="5"/>
  <c r="BS58" i="5"/>
  <c r="BS55" i="5"/>
  <c r="BS71" i="5"/>
  <c r="BS61" i="5"/>
  <c r="BS42" i="5"/>
  <c r="BS62" i="5"/>
  <c r="BS64" i="5"/>
  <c r="BS83" i="5"/>
  <c r="BS81" i="5"/>
  <c r="BS35" i="5"/>
  <c r="BS51" i="5"/>
  <c r="BS9" i="5"/>
  <c r="BS70" i="5"/>
  <c r="BS39" i="5"/>
  <c r="BS60" i="5"/>
  <c r="BS31" i="5"/>
  <c r="BS63" i="5"/>
  <c r="BS73" i="5"/>
  <c r="BS10" i="5"/>
  <c r="BS43" i="5"/>
  <c r="BS30" i="5"/>
  <c r="BS33" i="5"/>
  <c r="BS69" i="5"/>
  <c r="BS82" i="5"/>
  <c r="BS67" i="5"/>
  <c r="BS34" i="5"/>
  <c r="BS50" i="5"/>
  <c r="BS76" i="5"/>
  <c r="BS77" i="5"/>
  <c r="BS47" i="5"/>
  <c r="BS75" i="5"/>
  <c r="BS46" i="5"/>
  <c r="BS44" i="5"/>
  <c r="BS74" i="5"/>
  <c r="BS29" i="5"/>
  <c r="BS59" i="5"/>
  <c r="BS79" i="5"/>
  <c r="BS78" i="5"/>
  <c r="BS11" i="5"/>
  <c r="BS53" i="5"/>
  <c r="BS38" i="5"/>
  <c r="BS66" i="5"/>
  <c r="BS36" i="5"/>
  <c r="BS40" i="5"/>
  <c r="BS80" i="5"/>
  <c r="BS41" i="5"/>
  <c r="AE107" i="5"/>
  <c r="AY107" i="5" s="1"/>
  <c r="BO107" i="5" s="1"/>
  <c r="AE230" i="5"/>
  <c r="AE239" i="5"/>
  <c r="AE246" i="5"/>
  <c r="AY246" i="5" s="1"/>
  <c r="BO246" i="5" s="1"/>
  <c r="AE144" i="5"/>
  <c r="AY144" i="5" s="1"/>
  <c r="BO144" i="5" s="1"/>
  <c r="AE229" i="5"/>
  <c r="AE234" i="5"/>
  <c r="AE235" i="5"/>
  <c r="AE227" i="5"/>
  <c r="AE231" i="5"/>
  <c r="AE228" i="5"/>
  <c r="AE232" i="5"/>
  <c r="O333" i="10"/>
  <c r="O277" i="10"/>
  <c r="AE281" i="5"/>
  <c r="AY281" i="5" s="1"/>
  <c r="BO281" i="5" s="1"/>
  <c r="O242" i="10"/>
  <c r="AK246" i="5" s="1"/>
  <c r="AF210" i="5"/>
  <c r="O268" i="10"/>
  <c r="AY249" i="5"/>
  <c r="BO249" i="5" s="1"/>
  <c r="AF93" i="5"/>
  <c r="AY93" i="5"/>
  <c r="BO93" i="5" s="1"/>
  <c r="AE91" i="5"/>
  <c r="V91" i="5"/>
  <c r="BF91" i="5" s="1"/>
  <c r="AE319" i="5"/>
  <c r="V319" i="5"/>
  <c r="BF319" i="5" s="1"/>
  <c r="AE346" i="5"/>
  <c r="V346" i="5"/>
  <c r="BF346" i="5" s="1"/>
  <c r="O130" i="10"/>
  <c r="AE263" i="5"/>
  <c r="V263" i="5"/>
  <c r="BF263" i="5" s="1"/>
  <c r="Q207" i="10"/>
  <c r="AU211" i="5" s="1"/>
  <c r="P245" i="10"/>
  <c r="AO249" i="5" s="1"/>
  <c r="V231" i="5"/>
  <c r="BF231" i="5" s="1"/>
  <c r="AE194" i="5"/>
  <c r="V194" i="5"/>
  <c r="BF194" i="5" s="1"/>
  <c r="AE154" i="5"/>
  <c r="V154" i="5"/>
  <c r="BF154" i="5" s="1"/>
  <c r="AE100" i="5"/>
  <c r="V100" i="5"/>
  <c r="BF100" i="5" s="1"/>
  <c r="AE262" i="5"/>
  <c r="V262" i="5"/>
  <c r="BF262" i="5" s="1"/>
  <c r="AE196" i="5"/>
  <c r="V196" i="5"/>
  <c r="BF196" i="5" s="1"/>
  <c r="P123" i="10"/>
  <c r="AO127" i="5" s="1"/>
  <c r="P326" i="10"/>
  <c r="AO330" i="5" s="1"/>
  <c r="AE125" i="5"/>
  <c r="V125" i="5"/>
  <c r="BF125" i="5" s="1"/>
  <c r="AE344" i="5"/>
  <c r="V344" i="5"/>
  <c r="BF344" i="5" s="1"/>
  <c r="O323" i="10"/>
  <c r="P91" i="10"/>
  <c r="AO95" i="5" s="1"/>
  <c r="P285" i="10"/>
  <c r="AO289" i="5" s="1"/>
  <c r="P319" i="10"/>
  <c r="AO323" i="5" s="1"/>
  <c r="Q82" i="10"/>
  <c r="AU86" i="5" s="1"/>
  <c r="V227" i="5"/>
  <c r="BF227" i="5" s="1"/>
  <c r="AK248" i="5"/>
  <c r="W248" i="5"/>
  <c r="AE128" i="5"/>
  <c r="V128" i="5"/>
  <c r="BF128" i="5" s="1"/>
  <c r="N233" i="10"/>
  <c r="O195" i="10"/>
  <c r="AE191" i="5"/>
  <c r="V191" i="5"/>
  <c r="BF191" i="5" s="1"/>
  <c r="AF249" i="5"/>
  <c r="O226" i="10"/>
  <c r="P188" i="10"/>
  <c r="AO192" i="5" s="1"/>
  <c r="AE90" i="5"/>
  <c r="V90" i="5"/>
  <c r="BF90" i="5" s="1"/>
  <c r="P322" i="10"/>
  <c r="AO326" i="5" s="1"/>
  <c r="O94" i="10"/>
  <c r="P342" i="10"/>
  <c r="AO346" i="5" s="1"/>
  <c r="AF248" i="5"/>
  <c r="P125" i="10"/>
  <c r="AO129" i="5" s="1"/>
  <c r="AK93" i="5"/>
  <c r="W93" i="5"/>
  <c r="BG93" i="5" s="1"/>
  <c r="P321" i="10"/>
  <c r="AO325" i="5" s="1"/>
  <c r="P150" i="10"/>
  <c r="AO154" i="5" s="1"/>
  <c r="P96" i="10"/>
  <c r="AO100" i="5" s="1"/>
  <c r="P258" i="10"/>
  <c r="AO262" i="5" s="1"/>
  <c r="P192" i="10"/>
  <c r="AO196" i="5" s="1"/>
  <c r="O230" i="10"/>
  <c r="AE197" i="5"/>
  <c r="V197" i="5"/>
  <c r="BF197" i="5" s="1"/>
  <c r="P340" i="10"/>
  <c r="AO344" i="5" s="1"/>
  <c r="AE274" i="5"/>
  <c r="V274" i="5"/>
  <c r="BF274" i="5" s="1"/>
  <c r="O264" i="10"/>
  <c r="AF130" i="5"/>
  <c r="AY130" i="5"/>
  <c r="BO130" i="5" s="1"/>
  <c r="AK123" i="5"/>
  <c r="W123" i="5"/>
  <c r="BG123" i="5" s="1"/>
  <c r="P124" i="10"/>
  <c r="AO128" i="5" s="1"/>
  <c r="AE190" i="5"/>
  <c r="V190" i="5"/>
  <c r="BF190" i="5" s="1"/>
  <c r="P187" i="10"/>
  <c r="AO191" i="5" s="1"/>
  <c r="O225" i="10"/>
  <c r="AE92" i="5"/>
  <c r="V92" i="5"/>
  <c r="BF92" i="5" s="1"/>
  <c r="AE290" i="5"/>
  <c r="V290" i="5"/>
  <c r="BF290" i="5" s="1"/>
  <c r="V230" i="5"/>
  <c r="BF230" i="5" s="1"/>
  <c r="P85" i="10"/>
  <c r="AO89" i="5" s="1"/>
  <c r="N222" i="10"/>
  <c r="O184" i="10"/>
  <c r="P86" i="10"/>
  <c r="AO90" i="5" s="1"/>
  <c r="V239" i="5"/>
  <c r="BF239" i="5" s="1"/>
  <c r="AE267" i="5"/>
  <c r="V267" i="5"/>
  <c r="BF267" i="5" s="1"/>
  <c r="AE288" i="5"/>
  <c r="V288" i="5"/>
  <c r="BF288" i="5" s="1"/>
  <c r="O127" i="10"/>
  <c r="AE264" i="5"/>
  <c r="V264" i="5"/>
  <c r="BF264" i="5" s="1"/>
  <c r="AE137" i="5"/>
  <c r="V137" i="5"/>
  <c r="BF137" i="5" s="1"/>
  <c r="AE287" i="5"/>
  <c r="V287" i="5"/>
  <c r="BF287" i="5" s="1"/>
  <c r="AE318" i="5"/>
  <c r="V318" i="5"/>
  <c r="BF318" i="5" s="1"/>
  <c r="AE96" i="5"/>
  <c r="V96" i="5"/>
  <c r="BF96" i="5" s="1"/>
  <c r="AE122" i="5"/>
  <c r="V122" i="5"/>
  <c r="BF122" i="5" s="1"/>
  <c r="AE136" i="5"/>
  <c r="V136" i="5"/>
  <c r="BF136" i="5" s="1"/>
  <c r="AK211" i="5"/>
  <c r="W211" i="5"/>
  <c r="P172" i="10"/>
  <c r="AO176" i="5" s="1"/>
  <c r="Q89" i="10"/>
  <c r="AU93" i="5" s="1"/>
  <c r="AE132" i="5"/>
  <c r="V132" i="5"/>
  <c r="BF132" i="5" s="1"/>
  <c r="AE345" i="5"/>
  <c r="V345" i="5"/>
  <c r="BF345" i="5" s="1"/>
  <c r="V232" i="5"/>
  <c r="BF232" i="5" s="1"/>
  <c r="N234" i="10"/>
  <c r="O196" i="10"/>
  <c r="AE302" i="5"/>
  <c r="V302" i="5"/>
  <c r="BF302" i="5" s="1"/>
  <c r="AE124" i="5"/>
  <c r="V124" i="5"/>
  <c r="BF124" i="5" s="1"/>
  <c r="AY211" i="5"/>
  <c r="BO211" i="5" s="1"/>
  <c r="AE321" i="5"/>
  <c r="V321" i="5"/>
  <c r="BF321" i="5" s="1"/>
  <c r="AE126" i="5"/>
  <c r="V126" i="5"/>
  <c r="BF126" i="5" s="1"/>
  <c r="AE133" i="5"/>
  <c r="V133" i="5"/>
  <c r="BF133" i="5" s="1"/>
  <c r="V234" i="5"/>
  <c r="BF234" i="5" s="1"/>
  <c r="P171" i="10"/>
  <c r="AO175" i="5" s="1"/>
  <c r="V235" i="5"/>
  <c r="BF235" i="5" s="1"/>
  <c r="AE85" i="5"/>
  <c r="V85" i="5"/>
  <c r="BF85" i="5" s="1"/>
  <c r="O267" i="10"/>
  <c r="Q126" i="10"/>
  <c r="AU130" i="5" s="1"/>
  <c r="P265" i="10"/>
  <c r="AO269" i="5" s="1"/>
  <c r="P270" i="10"/>
  <c r="AO274" i="5" s="1"/>
  <c r="P84" i="10"/>
  <c r="AO88" i="5" s="1"/>
  <c r="N229" i="10"/>
  <c r="O191" i="10"/>
  <c r="AE189" i="5"/>
  <c r="V189" i="5"/>
  <c r="BF189" i="5" s="1"/>
  <c r="Q119" i="10"/>
  <c r="AU123" i="5" s="1"/>
  <c r="AE270" i="5"/>
  <c r="V270" i="5"/>
  <c r="BF270" i="5" s="1"/>
  <c r="O224" i="10"/>
  <c r="P186" i="10"/>
  <c r="AO190" i="5" s="1"/>
  <c r="AE99" i="5"/>
  <c r="V99" i="5"/>
  <c r="BF99" i="5" s="1"/>
  <c r="AE192" i="5"/>
  <c r="V192" i="5"/>
  <c r="BF192" i="5" s="1"/>
  <c r="P318" i="10"/>
  <c r="AO322" i="5" s="1"/>
  <c r="AF123" i="5"/>
  <c r="AY123" i="5"/>
  <c r="BO123" i="5" s="1"/>
  <c r="AE326" i="5"/>
  <c r="V326" i="5"/>
  <c r="BF326" i="5" s="1"/>
  <c r="O131" i="10"/>
  <c r="AE87" i="5"/>
  <c r="V87" i="5"/>
  <c r="BF87" i="5" s="1"/>
  <c r="AE265" i="5"/>
  <c r="V265" i="5"/>
  <c r="BF265" i="5" s="1"/>
  <c r="AY248" i="5"/>
  <c r="BO248" i="5" s="1"/>
  <c r="AE129" i="5"/>
  <c r="V129" i="5"/>
  <c r="BF129" i="5" s="1"/>
  <c r="P169" i="10"/>
  <c r="AO173" i="5" s="1"/>
  <c r="AE325" i="5"/>
  <c r="V325" i="5"/>
  <c r="BF325" i="5" s="1"/>
  <c r="P170" i="10"/>
  <c r="AO174" i="5" s="1"/>
  <c r="AE320" i="5"/>
  <c r="V320" i="5"/>
  <c r="BF320" i="5" s="1"/>
  <c r="AE343" i="5"/>
  <c r="V343" i="5"/>
  <c r="BF343" i="5" s="1"/>
  <c r="AE266" i="5"/>
  <c r="V266" i="5"/>
  <c r="BF266" i="5" s="1"/>
  <c r="P95" i="10"/>
  <c r="AO99" i="5" s="1"/>
  <c r="AE89" i="5"/>
  <c r="V89" i="5"/>
  <c r="BF89" i="5" s="1"/>
  <c r="N221" i="10"/>
  <c r="O183" i="10"/>
  <c r="AE201" i="5"/>
  <c r="V201" i="5"/>
  <c r="BF201" i="5" s="1"/>
  <c r="P87" i="10"/>
  <c r="AO91" i="5" s="1"/>
  <c r="P315" i="10"/>
  <c r="AO319" i="5" s="1"/>
  <c r="P83" i="10"/>
  <c r="AO87" i="5" s="1"/>
  <c r="P261" i="10"/>
  <c r="AO265" i="5" s="1"/>
  <c r="O93" i="10"/>
  <c r="P259" i="10"/>
  <c r="AO263" i="5" s="1"/>
  <c r="AE176" i="5"/>
  <c r="V176" i="5"/>
  <c r="BF176" i="5" s="1"/>
  <c r="P189" i="10"/>
  <c r="AO193" i="5" s="1"/>
  <c r="O227" i="10"/>
  <c r="P190" i="10"/>
  <c r="AO194" i="5" s="1"/>
  <c r="O228" i="10"/>
  <c r="O325" i="10"/>
  <c r="P316" i="10"/>
  <c r="AO320" i="5" s="1"/>
  <c r="P339" i="10"/>
  <c r="AO343" i="5" s="1"/>
  <c r="P262" i="10"/>
  <c r="AO266" i="5" s="1"/>
  <c r="AE175" i="5"/>
  <c r="V175" i="5"/>
  <c r="BF175" i="5" s="1"/>
  <c r="P121" i="10"/>
  <c r="AO125" i="5" s="1"/>
  <c r="AK130" i="5"/>
  <c r="W130" i="5"/>
  <c r="BG130" i="5" s="1"/>
  <c r="AE269" i="5"/>
  <c r="V269" i="5"/>
  <c r="BF269" i="5" s="1"/>
  <c r="AE88" i="5"/>
  <c r="V88" i="5"/>
  <c r="BF88" i="5" s="1"/>
  <c r="P244" i="10"/>
  <c r="AO248" i="5" s="1"/>
  <c r="Q206" i="10"/>
  <c r="AU210" i="5" s="1"/>
  <c r="O324" i="10"/>
  <c r="V228" i="5"/>
  <c r="BF228" i="5" s="1"/>
  <c r="V229" i="5"/>
  <c r="BF229" i="5" s="1"/>
  <c r="P88" i="10"/>
  <c r="AO92" i="5" s="1"/>
  <c r="P286" i="10"/>
  <c r="AO290" i="5" s="1"/>
  <c r="AE322" i="5"/>
  <c r="V322" i="5"/>
  <c r="BF322" i="5" s="1"/>
  <c r="AY210" i="5"/>
  <c r="BO210" i="5" s="1"/>
  <c r="P197" i="10"/>
  <c r="AO201" i="5" s="1"/>
  <c r="O235" i="10"/>
  <c r="P263" i="10"/>
  <c r="AO267" i="5" s="1"/>
  <c r="P284" i="10"/>
  <c r="AO288" i="5" s="1"/>
  <c r="O90" i="10"/>
  <c r="P260" i="10"/>
  <c r="AO264" i="5" s="1"/>
  <c r="P133" i="10"/>
  <c r="AO137" i="5" s="1"/>
  <c r="P283" i="10"/>
  <c r="AO287" i="5" s="1"/>
  <c r="P314" i="10"/>
  <c r="AO318" i="5" s="1"/>
  <c r="P92" i="10"/>
  <c r="AO96" i="5" s="1"/>
  <c r="P118" i="10"/>
  <c r="AO122" i="5" s="1"/>
  <c r="P132" i="10"/>
  <c r="AO136" i="5" s="1"/>
  <c r="AK249" i="5"/>
  <c r="W249" i="5"/>
  <c r="AE173" i="5"/>
  <c r="V173" i="5"/>
  <c r="BF173" i="5" s="1"/>
  <c r="AE193" i="5"/>
  <c r="V193" i="5"/>
  <c r="BF193" i="5" s="1"/>
  <c r="P128" i="10"/>
  <c r="AO132" i="5" s="1"/>
  <c r="P341" i="10"/>
  <c r="AO345" i="5" s="1"/>
  <c r="AE174" i="5"/>
  <c r="V174" i="5"/>
  <c r="BF174" i="5" s="1"/>
  <c r="O269" i="10"/>
  <c r="P298" i="10"/>
  <c r="AO302" i="5" s="1"/>
  <c r="P120" i="10"/>
  <c r="AO124" i="5" s="1"/>
  <c r="AF211" i="5"/>
  <c r="P317" i="10"/>
  <c r="AO321" i="5" s="1"/>
  <c r="P122" i="10"/>
  <c r="AO126" i="5" s="1"/>
  <c r="P129" i="10"/>
  <c r="AO133" i="5" s="1"/>
  <c r="AE127" i="5"/>
  <c r="V127" i="5"/>
  <c r="BF127" i="5" s="1"/>
  <c r="AE330" i="5"/>
  <c r="V330" i="5"/>
  <c r="BF330" i="5" s="1"/>
  <c r="P193" i="10"/>
  <c r="AO197" i="5" s="1"/>
  <c r="O231" i="10"/>
  <c r="P81" i="10"/>
  <c r="AO85" i="5" s="1"/>
  <c r="N232" i="10"/>
  <c r="O194" i="10"/>
  <c r="AE95" i="5"/>
  <c r="V95" i="5"/>
  <c r="BF95" i="5" s="1"/>
  <c r="AE289" i="5"/>
  <c r="V289" i="5"/>
  <c r="BF289" i="5" s="1"/>
  <c r="AE323" i="5"/>
  <c r="V323" i="5"/>
  <c r="BF323" i="5" s="1"/>
  <c r="AK86" i="5"/>
  <c r="W86" i="5"/>
  <c r="BG86" i="5" s="1"/>
  <c r="O320" i="10"/>
  <c r="P185" i="10"/>
  <c r="AO189" i="5" s="1"/>
  <c r="O223" i="10"/>
  <c r="AK210" i="5"/>
  <c r="W210" i="5"/>
  <c r="P266" i="10"/>
  <c r="AO270" i="5" s="1"/>
  <c r="AF86" i="5"/>
  <c r="W246" i="5"/>
  <c r="BG246" i="5" s="1"/>
  <c r="BC52" i="5"/>
  <c r="BC80" i="5"/>
  <c r="BC84" i="5"/>
  <c r="BC82" i="5"/>
  <c r="BC83" i="5"/>
  <c r="BC41" i="5"/>
  <c r="BC53" i="5"/>
  <c r="BC51" i="5"/>
  <c r="BC50" i="5"/>
  <c r="BC40" i="5"/>
  <c r="BC30" i="5"/>
  <c r="BC31" i="5"/>
  <c r="BC63" i="5"/>
  <c r="BC61" i="5"/>
  <c r="BC73" i="5"/>
  <c r="BC59" i="5"/>
  <c r="BC29" i="5"/>
  <c r="K11" i="6"/>
  <c r="BC32" i="5"/>
  <c r="BC48" i="5"/>
  <c r="BC56" i="5"/>
  <c r="BC72" i="5"/>
  <c r="BC37" i="5"/>
  <c r="BC57" i="5"/>
  <c r="BC47" i="5"/>
  <c r="BC55" i="5"/>
  <c r="BC71" i="5"/>
  <c r="O9" i="6"/>
  <c r="O10" i="6"/>
  <c r="BC67" i="5"/>
  <c r="BC46" i="5"/>
  <c r="O11" i="6"/>
  <c r="BC62" i="5"/>
  <c r="BC36" i="5"/>
  <c r="BC64" i="5"/>
  <c r="BC68" i="5"/>
  <c r="BC45" i="5"/>
  <c r="BC69" i="5"/>
  <c r="BC77" i="5"/>
  <c r="BC39" i="5"/>
  <c r="BC75" i="5"/>
  <c r="BC10" i="5"/>
  <c r="BC35" i="5"/>
  <c r="BC43" i="5"/>
  <c r="BC79" i="5"/>
  <c r="BC34" i="5"/>
  <c r="BC66" i="5"/>
  <c r="BC78" i="5"/>
  <c r="BC11" i="5"/>
  <c r="BC44" i="5"/>
  <c r="BC60" i="5"/>
  <c r="BC76" i="5"/>
  <c r="BC33" i="5"/>
  <c r="BC49" i="5"/>
  <c r="BC65" i="5"/>
  <c r="BC58" i="5"/>
  <c r="BC74" i="5"/>
  <c r="K9" i="6"/>
  <c r="K10" i="6"/>
  <c r="BC81" i="5"/>
  <c r="BC9" i="5"/>
  <c r="BC38" i="5"/>
  <c r="BC42" i="5"/>
  <c r="BC54" i="5"/>
  <c r="BC70" i="5"/>
  <c r="V337" i="5"/>
  <c r="BF337" i="5" s="1"/>
  <c r="O140" i="10"/>
  <c r="O103" i="10"/>
  <c r="P204" i="10"/>
  <c r="V107" i="5"/>
  <c r="BF107" i="5" s="1"/>
  <c r="V144" i="5"/>
  <c r="BF144" i="5" s="1"/>
  <c r="AE208" i="5"/>
  <c r="AY208" i="5" s="1"/>
  <c r="BO208" i="5" s="1"/>
  <c r="V208" i="5"/>
  <c r="BF208" i="5" s="1"/>
  <c r="Y11" i="5"/>
  <c r="BI11" i="5" s="1"/>
  <c r="Y10" i="5"/>
  <c r="V10" i="5"/>
  <c r="BF10" i="5" s="1"/>
  <c r="AF8" i="5"/>
  <c r="V11" i="5"/>
  <c r="X10" i="5"/>
  <c r="BH10" i="5" s="1"/>
  <c r="W11" i="5"/>
  <c r="X11" i="5"/>
  <c r="W10" i="5"/>
  <c r="AK8" i="5"/>
  <c r="AD10" i="6" l="1"/>
  <c r="U16" i="6"/>
  <c r="AD11" i="6"/>
  <c r="U20" i="6"/>
  <c r="AD9" i="6"/>
  <c r="AR11" i="5"/>
  <c r="BH11" i="5"/>
  <c r="AZ249" i="5"/>
  <c r="BP249" i="5" s="1"/>
  <c r="BG249" i="5"/>
  <c r="AZ248" i="5"/>
  <c r="BP248" i="5" s="1"/>
  <c r="BG248" i="5"/>
  <c r="AL11" i="5"/>
  <c r="BG11" i="5"/>
  <c r="AX10" i="5"/>
  <c r="BI10" i="5"/>
  <c r="AL10" i="5"/>
  <c r="BG10" i="5"/>
  <c r="AF11" i="5"/>
  <c r="BF11" i="5"/>
  <c r="AZ211" i="5"/>
  <c r="BP211" i="5" s="1"/>
  <c r="BG211" i="5"/>
  <c r="AZ210" i="5"/>
  <c r="BP210" i="5" s="1"/>
  <c r="BG210" i="5"/>
  <c r="AX11" i="5"/>
  <c r="AR10" i="5"/>
  <c r="AF246" i="5"/>
  <c r="AE226" i="5"/>
  <c r="AE237" i="5"/>
  <c r="AE233" i="5"/>
  <c r="AE225" i="5"/>
  <c r="AE238" i="5"/>
  <c r="P277" i="10"/>
  <c r="AO281" i="5" s="1"/>
  <c r="AF10" i="5"/>
  <c r="P333" i="10"/>
  <c r="AO337" i="5" s="1"/>
  <c r="P103" i="10"/>
  <c r="AO107" i="5" s="1"/>
  <c r="P140" i="10"/>
  <c r="AO144" i="5" s="1"/>
  <c r="P242" i="10"/>
  <c r="AO246" i="5" s="1"/>
  <c r="AQ246" i="5" s="1"/>
  <c r="AO208" i="5"/>
  <c r="AL249" i="5"/>
  <c r="AL248" i="5"/>
  <c r="AK227" i="5"/>
  <c r="W227" i="5"/>
  <c r="BG227" i="5" s="1"/>
  <c r="AK321" i="5"/>
  <c r="W321" i="5"/>
  <c r="BG321" i="5" s="1"/>
  <c r="Q341" i="10"/>
  <c r="AU345" i="5" s="1"/>
  <c r="Q314" i="10"/>
  <c r="AU318" i="5" s="1"/>
  <c r="Q133" i="10"/>
  <c r="AU137" i="5" s="1"/>
  <c r="Q263" i="10"/>
  <c r="AU267" i="5" s="1"/>
  <c r="AF322" i="5"/>
  <c r="AY322" i="5"/>
  <c r="BO322" i="5" s="1"/>
  <c r="AK92" i="5"/>
  <c r="W92" i="5"/>
  <c r="BG92" i="5" s="1"/>
  <c r="AQ210" i="5"/>
  <c r="X210" i="5"/>
  <c r="AL130" i="5"/>
  <c r="AZ130" i="5"/>
  <c r="BP130" i="5" s="1"/>
  <c r="Q339" i="10"/>
  <c r="AU343" i="5" s="1"/>
  <c r="AK193" i="5"/>
  <c r="W193" i="5"/>
  <c r="BG193" i="5" s="1"/>
  <c r="P93" i="10"/>
  <c r="AO97" i="5" s="1"/>
  <c r="Q87" i="10"/>
  <c r="AU91" i="5" s="1"/>
  <c r="AK99" i="5"/>
  <c r="W99" i="5"/>
  <c r="BG99" i="5" s="1"/>
  <c r="AE135" i="5"/>
  <c r="V135" i="5"/>
  <c r="BF135" i="5" s="1"/>
  <c r="AK190" i="5"/>
  <c r="W190" i="5"/>
  <c r="BG190" i="5" s="1"/>
  <c r="Q270" i="10"/>
  <c r="AU274" i="5" s="1"/>
  <c r="AF85" i="5"/>
  <c r="AY85" i="5"/>
  <c r="BO85" i="5" s="1"/>
  <c r="AF133" i="5"/>
  <c r="AY133" i="5"/>
  <c r="BO133" i="5" s="1"/>
  <c r="AF124" i="5"/>
  <c r="AY124" i="5"/>
  <c r="BO124" i="5" s="1"/>
  <c r="AQ93" i="5"/>
  <c r="X93" i="5"/>
  <c r="BH93" i="5" s="1"/>
  <c r="AK90" i="5"/>
  <c r="W90" i="5"/>
  <c r="BG90" i="5" s="1"/>
  <c r="AF230" i="5"/>
  <c r="AY230" i="5"/>
  <c r="BO230" i="5" s="1"/>
  <c r="AE268" i="5"/>
  <c r="V268" i="5"/>
  <c r="BF268" i="5" s="1"/>
  <c r="AK196" i="5"/>
  <c r="W196" i="5"/>
  <c r="BG196" i="5" s="1"/>
  <c r="Q150" i="10"/>
  <c r="AU154" i="5" s="1"/>
  <c r="AK326" i="5"/>
  <c r="W326" i="5"/>
  <c r="BG326" i="5" s="1"/>
  <c r="V237" i="5"/>
  <c r="BF237" i="5" s="1"/>
  <c r="AW86" i="5"/>
  <c r="Y86" i="5"/>
  <c r="BI86" i="5" s="1"/>
  <c r="AF125" i="5"/>
  <c r="AY125" i="5"/>
  <c r="BO125" i="5" s="1"/>
  <c r="AF262" i="5"/>
  <c r="AY262" i="5"/>
  <c r="BO262" i="5" s="1"/>
  <c r="AF231" i="5"/>
  <c r="AY231" i="5"/>
  <c r="BO231" i="5" s="1"/>
  <c r="AL86" i="5"/>
  <c r="AZ86" i="5"/>
  <c r="BP86" i="5" s="1"/>
  <c r="P194" i="10"/>
  <c r="AO198" i="5" s="1"/>
  <c r="O232" i="10"/>
  <c r="AK197" i="5"/>
  <c r="W197" i="5"/>
  <c r="BG197" i="5" s="1"/>
  <c r="Q129" i="10"/>
  <c r="AU133" i="5" s="1"/>
  <c r="AK302" i="5"/>
  <c r="W302" i="5"/>
  <c r="BG302" i="5" s="1"/>
  <c r="V20" i="6" s="1"/>
  <c r="AK132" i="5"/>
  <c r="W132" i="5"/>
  <c r="BG132" i="5" s="1"/>
  <c r="AK136" i="5"/>
  <c r="W136" i="5"/>
  <c r="BG136" i="5" s="1"/>
  <c r="AK287" i="5"/>
  <c r="W287" i="5"/>
  <c r="BG287" i="5" s="1"/>
  <c r="AK288" i="5"/>
  <c r="W288" i="5"/>
  <c r="BG288" i="5" s="1"/>
  <c r="AF228" i="5"/>
  <c r="AY228" i="5"/>
  <c r="BO228" i="5" s="1"/>
  <c r="AK266" i="5"/>
  <c r="W266" i="5"/>
  <c r="BG266" i="5" s="1"/>
  <c r="AK231" i="5"/>
  <c r="W231" i="5"/>
  <c r="BG231" i="5" s="1"/>
  <c r="AK265" i="5"/>
  <c r="W265" i="5"/>
  <c r="BG265" i="5" s="1"/>
  <c r="V225" i="5"/>
  <c r="BF225" i="5" s="1"/>
  <c r="AF266" i="5"/>
  <c r="AY266" i="5"/>
  <c r="BO266" i="5" s="1"/>
  <c r="AF325" i="5"/>
  <c r="AY325" i="5"/>
  <c r="BO325" i="5" s="1"/>
  <c r="P131" i="10"/>
  <c r="AO135" i="5" s="1"/>
  <c r="AF192" i="5"/>
  <c r="AY192" i="5"/>
  <c r="BO192" i="5" s="1"/>
  <c r="Q186" i="10"/>
  <c r="AU190" i="5" s="1"/>
  <c r="P224" i="10"/>
  <c r="AO228" i="5" s="1"/>
  <c r="AF189" i="5"/>
  <c r="AY189" i="5"/>
  <c r="BO189" i="5" s="1"/>
  <c r="AE271" i="5"/>
  <c r="V271" i="5"/>
  <c r="BF271" i="5" s="1"/>
  <c r="AF345" i="5"/>
  <c r="AY345" i="5"/>
  <c r="BO345" i="5" s="1"/>
  <c r="AF122" i="5"/>
  <c r="AY122" i="5"/>
  <c r="BO122" i="5" s="1"/>
  <c r="Q188" i="10"/>
  <c r="AU192" i="5" s="1"/>
  <c r="P226" i="10"/>
  <c r="AO230" i="5" s="1"/>
  <c r="AL210" i="5"/>
  <c r="AE324" i="5"/>
  <c r="V324" i="5"/>
  <c r="BF324" i="5" s="1"/>
  <c r="AE236" i="5"/>
  <c r="V236" i="5"/>
  <c r="BF236" i="5" s="1"/>
  <c r="AK235" i="5"/>
  <c r="W235" i="5"/>
  <c r="BG235" i="5" s="1"/>
  <c r="AK126" i="5"/>
  <c r="W126" i="5"/>
  <c r="BG126" i="5" s="1"/>
  <c r="Q298" i="10"/>
  <c r="AU302" i="5" s="1"/>
  <c r="AF174" i="5"/>
  <c r="AY174" i="5"/>
  <c r="BO174" i="5" s="1"/>
  <c r="Q128" i="10"/>
  <c r="AU132" i="5" s="1"/>
  <c r="AF173" i="5"/>
  <c r="AY173" i="5"/>
  <c r="BO173" i="5" s="1"/>
  <c r="Q132" i="10"/>
  <c r="AU136" i="5" s="1"/>
  <c r="Q92" i="10"/>
  <c r="AU96" i="5" s="1"/>
  <c r="Q283" i="10"/>
  <c r="AU287" i="5" s="1"/>
  <c r="Q260" i="10"/>
  <c r="AU264" i="5" s="1"/>
  <c r="Q284" i="10"/>
  <c r="AU288" i="5" s="1"/>
  <c r="AK239" i="5"/>
  <c r="W239" i="5"/>
  <c r="BG239" i="5" s="1"/>
  <c r="AK290" i="5"/>
  <c r="W290" i="5"/>
  <c r="BG290" i="5" s="1"/>
  <c r="AE328" i="5"/>
  <c r="V328" i="5"/>
  <c r="BF328" i="5" s="1"/>
  <c r="AQ248" i="5"/>
  <c r="X248" i="5"/>
  <c r="BH248" i="5" s="1"/>
  <c r="AF269" i="5"/>
  <c r="AY269" i="5"/>
  <c r="BO269" i="5" s="1"/>
  <c r="Q121" i="10"/>
  <c r="AU125" i="5" s="1"/>
  <c r="Q262" i="10"/>
  <c r="AU266" i="5" s="1"/>
  <c r="Q316" i="10"/>
  <c r="AU320" i="5" s="1"/>
  <c r="AK232" i="5"/>
  <c r="W232" i="5"/>
  <c r="BG232" i="5" s="1"/>
  <c r="Q189" i="10"/>
  <c r="AU193" i="5" s="1"/>
  <c r="P227" i="10"/>
  <c r="AO231" i="5" s="1"/>
  <c r="Q259" i="10"/>
  <c r="AU263" i="5" s="1"/>
  <c r="Q261" i="10"/>
  <c r="AU265" i="5" s="1"/>
  <c r="Q315" i="10"/>
  <c r="AU319" i="5" s="1"/>
  <c r="AF201" i="5"/>
  <c r="AY201" i="5"/>
  <c r="BO201" i="5" s="1"/>
  <c r="AK174" i="5"/>
  <c r="W174" i="5"/>
  <c r="BG174" i="5" s="1"/>
  <c r="AK173" i="5"/>
  <c r="W173" i="5"/>
  <c r="BG173" i="5" s="1"/>
  <c r="AK322" i="5"/>
  <c r="W322" i="5"/>
  <c r="BG322" i="5" s="1"/>
  <c r="AK228" i="5"/>
  <c r="W228" i="5"/>
  <c r="BG228" i="5" s="1"/>
  <c r="AQ123" i="5"/>
  <c r="X123" i="5"/>
  <c r="BH123" i="5" s="1"/>
  <c r="AE195" i="5"/>
  <c r="V195" i="5"/>
  <c r="BF195" i="5" s="1"/>
  <c r="Q84" i="10"/>
  <c r="AU88" i="5" s="1"/>
  <c r="Q265" i="10"/>
  <c r="AU269" i="5" s="1"/>
  <c r="P267" i="10"/>
  <c r="AO271" i="5" s="1"/>
  <c r="AF235" i="5"/>
  <c r="AY235" i="5"/>
  <c r="BO235" i="5" s="1"/>
  <c r="AF234" i="5"/>
  <c r="AY234" i="5"/>
  <c r="BO234" i="5" s="1"/>
  <c r="AF126" i="5"/>
  <c r="AY126" i="5"/>
  <c r="BO126" i="5" s="1"/>
  <c r="AF302" i="5"/>
  <c r="AY302" i="5"/>
  <c r="BO302" i="5" s="1"/>
  <c r="Z20" i="6" s="1"/>
  <c r="AK176" i="5"/>
  <c r="W176" i="5"/>
  <c r="BG176" i="5" s="1"/>
  <c r="AE188" i="5"/>
  <c r="V188" i="5"/>
  <c r="BF188" i="5" s="1"/>
  <c r="Q85" i="10"/>
  <c r="AU89" i="5" s="1"/>
  <c r="AF290" i="5"/>
  <c r="AY290" i="5"/>
  <c r="BO290" i="5" s="1"/>
  <c r="AK229" i="5"/>
  <c r="W229" i="5"/>
  <c r="BG229" i="5" s="1"/>
  <c r="AK128" i="5"/>
  <c r="W128" i="5"/>
  <c r="BG128" i="5" s="1"/>
  <c r="Q192" i="10"/>
  <c r="AU196" i="5" s="1"/>
  <c r="P230" i="10"/>
  <c r="AO234" i="5" s="1"/>
  <c r="Q96" i="10"/>
  <c r="AU100" i="5" s="1"/>
  <c r="Q321" i="10"/>
  <c r="AU325" i="5" s="1"/>
  <c r="Q125" i="10"/>
  <c r="AU129" i="5" s="1"/>
  <c r="AE98" i="5"/>
  <c r="V98" i="5"/>
  <c r="BF98" i="5" s="1"/>
  <c r="AK230" i="5"/>
  <c r="W230" i="5"/>
  <c r="BG230" i="5" s="1"/>
  <c r="AE199" i="5"/>
  <c r="V199" i="5"/>
  <c r="BF199" i="5" s="1"/>
  <c r="AF128" i="5"/>
  <c r="AY128" i="5"/>
  <c r="BO128" i="5" s="1"/>
  <c r="AF227" i="5"/>
  <c r="AY227" i="5"/>
  <c r="BO227" i="5" s="1"/>
  <c r="Q319" i="10"/>
  <c r="AU323" i="5" s="1"/>
  <c r="Q91" i="10"/>
  <c r="AU95" i="5" s="1"/>
  <c r="AF344" i="5"/>
  <c r="AY344" i="5"/>
  <c r="BO344" i="5" s="1"/>
  <c r="Q326" i="10"/>
  <c r="AU330" i="5" s="1"/>
  <c r="AF196" i="5"/>
  <c r="AY196" i="5"/>
  <c r="BO196" i="5" s="1"/>
  <c r="AF100" i="5"/>
  <c r="AY100" i="5"/>
  <c r="BO100" i="5" s="1"/>
  <c r="AF194" i="5"/>
  <c r="AY194" i="5"/>
  <c r="BO194" i="5" s="1"/>
  <c r="AQ249" i="5"/>
  <c r="X249" i="5"/>
  <c r="BH249" i="5" s="1"/>
  <c r="AE134" i="5"/>
  <c r="V134" i="5"/>
  <c r="BF134" i="5" s="1"/>
  <c r="AE272" i="5"/>
  <c r="V272" i="5"/>
  <c r="BF272" i="5" s="1"/>
  <c r="Q266" i="10"/>
  <c r="AU270" i="5" s="1"/>
  <c r="AE198" i="5"/>
  <c r="V198" i="5"/>
  <c r="BF198" i="5" s="1"/>
  <c r="Q81" i="10"/>
  <c r="AU85" i="5" s="1"/>
  <c r="AK133" i="5"/>
  <c r="W133" i="5"/>
  <c r="BG133" i="5" s="1"/>
  <c r="Q120" i="10"/>
  <c r="AU124" i="5" s="1"/>
  <c r="P269" i="10"/>
  <c r="AO273" i="5" s="1"/>
  <c r="AF193" i="5"/>
  <c r="AY193" i="5"/>
  <c r="BO193" i="5" s="1"/>
  <c r="Q118" i="10"/>
  <c r="AU122" i="5" s="1"/>
  <c r="P90" i="10"/>
  <c r="AO94" i="5" s="1"/>
  <c r="AF88" i="5"/>
  <c r="AY88" i="5"/>
  <c r="BO88" i="5" s="1"/>
  <c r="AF175" i="5"/>
  <c r="AY175" i="5"/>
  <c r="BO175" i="5" s="1"/>
  <c r="P325" i="10"/>
  <c r="AO329" i="5" s="1"/>
  <c r="AF176" i="5"/>
  <c r="AY176" i="5"/>
  <c r="BO176" i="5" s="1"/>
  <c r="Q83" i="10"/>
  <c r="AU87" i="5" s="1"/>
  <c r="P183" i="10"/>
  <c r="AO187" i="5" s="1"/>
  <c r="O221" i="10"/>
  <c r="V233" i="5"/>
  <c r="BF233" i="5" s="1"/>
  <c r="AW130" i="5"/>
  <c r="Y130" i="5"/>
  <c r="BI130" i="5" s="1"/>
  <c r="Q171" i="10"/>
  <c r="AU175" i="5" s="1"/>
  <c r="AF321" i="5"/>
  <c r="AY321" i="5"/>
  <c r="BO321" i="5" s="1"/>
  <c r="P196" i="10"/>
  <c r="AO200" i="5" s="1"/>
  <c r="O234" i="10"/>
  <c r="AE131" i="5"/>
  <c r="V131" i="5"/>
  <c r="BF131" i="5" s="1"/>
  <c r="V226" i="5"/>
  <c r="BF226" i="5" s="1"/>
  <c r="AF92" i="5"/>
  <c r="AY92" i="5"/>
  <c r="BO92" i="5" s="1"/>
  <c r="AK344" i="5"/>
  <c r="W344" i="5"/>
  <c r="BG344" i="5" s="1"/>
  <c r="Q258" i="10"/>
  <c r="AU262" i="5" s="1"/>
  <c r="AL93" i="5"/>
  <c r="AZ93" i="5"/>
  <c r="BP93" i="5" s="1"/>
  <c r="AK346" i="5"/>
  <c r="W346" i="5"/>
  <c r="BG346" i="5" s="1"/>
  <c r="AK192" i="5"/>
  <c r="W192" i="5"/>
  <c r="BG192" i="5" s="1"/>
  <c r="Q285" i="10"/>
  <c r="AU289" i="5" s="1"/>
  <c r="P323" i="10"/>
  <c r="AO327" i="5" s="1"/>
  <c r="Q123" i="10"/>
  <c r="AU127" i="5" s="1"/>
  <c r="AF154" i="5"/>
  <c r="AY154" i="5"/>
  <c r="BO154" i="5" s="1"/>
  <c r="Z16" i="6" s="1"/>
  <c r="Q185" i="10"/>
  <c r="AU189" i="5" s="1"/>
  <c r="P223" i="10"/>
  <c r="AO227" i="5" s="1"/>
  <c r="AF289" i="5"/>
  <c r="AY289" i="5"/>
  <c r="BO289" i="5" s="1"/>
  <c r="AF330" i="5"/>
  <c r="AY330" i="5"/>
  <c r="BO330" i="5" s="1"/>
  <c r="Q317" i="10"/>
  <c r="AU321" i="5" s="1"/>
  <c r="AK96" i="5"/>
  <c r="W96" i="5"/>
  <c r="BG96" i="5" s="1"/>
  <c r="AK264" i="5"/>
  <c r="W264" i="5"/>
  <c r="BG264" i="5" s="1"/>
  <c r="AK201" i="5"/>
  <c r="W201" i="5"/>
  <c r="BG201" i="5" s="1"/>
  <c r="Q88" i="10"/>
  <c r="AU92" i="5" s="1"/>
  <c r="Q244" i="10"/>
  <c r="AU248" i="5" s="1"/>
  <c r="AK125" i="5"/>
  <c r="W125" i="5"/>
  <c r="BG125" i="5" s="1"/>
  <c r="AK320" i="5"/>
  <c r="W320" i="5"/>
  <c r="BG320" i="5" s="1"/>
  <c r="AK194" i="5"/>
  <c r="W194" i="5"/>
  <c r="BG194" i="5" s="1"/>
  <c r="AK263" i="5"/>
  <c r="W263" i="5"/>
  <c r="BG263" i="5" s="1"/>
  <c r="AK319" i="5"/>
  <c r="W319" i="5"/>
  <c r="BG319" i="5" s="1"/>
  <c r="Q95" i="10"/>
  <c r="AU99" i="5" s="1"/>
  <c r="AF320" i="5"/>
  <c r="AY320" i="5"/>
  <c r="BO320" i="5" s="1"/>
  <c r="AF129" i="5"/>
  <c r="AY129" i="5"/>
  <c r="BO129" i="5" s="1"/>
  <c r="AF265" i="5"/>
  <c r="AY265" i="5"/>
  <c r="BO265" i="5" s="1"/>
  <c r="AF270" i="5"/>
  <c r="AY270" i="5"/>
  <c r="BO270" i="5" s="1"/>
  <c r="AK88" i="5"/>
  <c r="W88" i="5"/>
  <c r="BG88" i="5" s="1"/>
  <c r="AK269" i="5"/>
  <c r="W269" i="5"/>
  <c r="BG269" i="5" s="1"/>
  <c r="V238" i="5"/>
  <c r="BF238" i="5" s="1"/>
  <c r="AW93" i="5"/>
  <c r="Y93" i="5"/>
  <c r="BI93" i="5" s="1"/>
  <c r="AL211" i="5"/>
  <c r="AF318" i="5"/>
  <c r="AY318" i="5"/>
  <c r="BO318" i="5" s="1"/>
  <c r="AF137" i="5"/>
  <c r="AY137" i="5"/>
  <c r="BO137" i="5" s="1"/>
  <c r="P127" i="10"/>
  <c r="AO131" i="5" s="1"/>
  <c r="AF267" i="5"/>
  <c r="AY267" i="5"/>
  <c r="BO267" i="5" s="1"/>
  <c r="Q86" i="10"/>
  <c r="AU90" i="5" s="1"/>
  <c r="AK89" i="5"/>
  <c r="W89" i="5"/>
  <c r="BG89" i="5" s="1"/>
  <c r="AK191" i="5"/>
  <c r="W191" i="5"/>
  <c r="BG191" i="5" s="1"/>
  <c r="AF190" i="5"/>
  <c r="AY190" i="5"/>
  <c r="BO190" i="5" s="1"/>
  <c r="AL123" i="5"/>
  <c r="AZ123" i="5"/>
  <c r="BP123" i="5" s="1"/>
  <c r="P264" i="10"/>
  <c r="AO268" i="5" s="1"/>
  <c r="Q340" i="10"/>
  <c r="AU344" i="5" s="1"/>
  <c r="AK234" i="5"/>
  <c r="W234" i="5"/>
  <c r="BG234" i="5" s="1"/>
  <c r="AK100" i="5"/>
  <c r="W100" i="5"/>
  <c r="BG100" i="5" s="1"/>
  <c r="AK325" i="5"/>
  <c r="W325" i="5"/>
  <c r="BG325" i="5" s="1"/>
  <c r="AK129" i="5"/>
  <c r="W129" i="5"/>
  <c r="BG129" i="5" s="1"/>
  <c r="Q342" i="10"/>
  <c r="AU346" i="5" s="1"/>
  <c r="Q322" i="10"/>
  <c r="AU326" i="5" s="1"/>
  <c r="AF191" i="5"/>
  <c r="AY191" i="5"/>
  <c r="BO191" i="5" s="1"/>
  <c r="AK323" i="5"/>
  <c r="W323" i="5"/>
  <c r="BG323" i="5" s="1"/>
  <c r="AK95" i="5"/>
  <c r="W95" i="5"/>
  <c r="BG95" i="5" s="1"/>
  <c r="AK330" i="5"/>
  <c r="W330" i="5"/>
  <c r="BG330" i="5" s="1"/>
  <c r="AQ211" i="5"/>
  <c r="X211" i="5"/>
  <c r="AF263" i="5"/>
  <c r="AY263" i="5"/>
  <c r="BO263" i="5" s="1"/>
  <c r="AF346" i="5"/>
  <c r="AY346" i="5"/>
  <c r="BO346" i="5" s="1"/>
  <c r="AF91" i="5"/>
  <c r="AY91" i="5"/>
  <c r="BO91" i="5" s="1"/>
  <c r="AK270" i="5"/>
  <c r="W270" i="5"/>
  <c r="BG270" i="5" s="1"/>
  <c r="AK189" i="5"/>
  <c r="W189" i="5"/>
  <c r="BG189" i="5" s="1"/>
  <c r="P320" i="10"/>
  <c r="AO324" i="5" s="1"/>
  <c r="AF323" i="5"/>
  <c r="AY323" i="5"/>
  <c r="BO323" i="5" s="1"/>
  <c r="AF95" i="5"/>
  <c r="AY95" i="5"/>
  <c r="BO95" i="5" s="1"/>
  <c r="AK85" i="5"/>
  <c r="W85" i="5"/>
  <c r="BG85" i="5" s="1"/>
  <c r="P231" i="10"/>
  <c r="AO235" i="5" s="1"/>
  <c r="Q193" i="10"/>
  <c r="AU197" i="5" s="1"/>
  <c r="AF127" i="5"/>
  <c r="AY127" i="5"/>
  <c r="BO127" i="5" s="1"/>
  <c r="Q122" i="10"/>
  <c r="AU126" i="5" s="1"/>
  <c r="AK124" i="5"/>
  <c r="W124" i="5"/>
  <c r="BG124" i="5" s="1"/>
  <c r="AE273" i="5"/>
  <c r="V273" i="5"/>
  <c r="BF273" i="5" s="1"/>
  <c r="AK345" i="5"/>
  <c r="W345" i="5"/>
  <c r="BG345" i="5" s="1"/>
  <c r="AK122" i="5"/>
  <c r="W122" i="5"/>
  <c r="BG122" i="5" s="1"/>
  <c r="AK318" i="5"/>
  <c r="W318" i="5"/>
  <c r="BG318" i="5" s="1"/>
  <c r="AK137" i="5"/>
  <c r="W137" i="5"/>
  <c r="BG137" i="5" s="1"/>
  <c r="AE94" i="5"/>
  <c r="V94" i="5"/>
  <c r="BF94" i="5" s="1"/>
  <c r="AK267" i="5"/>
  <c r="W267" i="5"/>
  <c r="BG267" i="5" s="1"/>
  <c r="P235" i="10"/>
  <c r="AO239" i="5" s="1"/>
  <c r="Q197" i="10"/>
  <c r="AU201" i="5" s="1"/>
  <c r="Q286" i="10"/>
  <c r="AU290" i="5" s="1"/>
  <c r="AF229" i="5"/>
  <c r="AY229" i="5"/>
  <c r="BO229" i="5" s="1"/>
  <c r="P324" i="10"/>
  <c r="AO328" i="5" s="1"/>
  <c r="AK343" i="5"/>
  <c r="W343" i="5"/>
  <c r="BG343" i="5" s="1"/>
  <c r="AE329" i="5"/>
  <c r="V329" i="5"/>
  <c r="BF329" i="5" s="1"/>
  <c r="P228" i="10"/>
  <c r="AO232" i="5" s="1"/>
  <c r="Q190" i="10"/>
  <c r="AU194" i="5" s="1"/>
  <c r="AE97" i="5"/>
  <c r="V97" i="5"/>
  <c r="BF97" i="5" s="1"/>
  <c r="AK87" i="5"/>
  <c r="W87" i="5"/>
  <c r="BG87" i="5" s="1"/>
  <c r="AK91" i="5"/>
  <c r="W91" i="5"/>
  <c r="BG91" i="5" s="1"/>
  <c r="AE187" i="5"/>
  <c r="V187" i="5"/>
  <c r="BF187" i="5" s="1"/>
  <c r="AF89" i="5"/>
  <c r="AY89" i="5"/>
  <c r="BO89" i="5" s="1"/>
  <c r="AF343" i="5"/>
  <c r="AY343" i="5"/>
  <c r="BO343" i="5" s="1"/>
  <c r="Q170" i="10"/>
  <c r="AU174" i="5" s="1"/>
  <c r="Q169" i="10"/>
  <c r="AU173" i="5" s="1"/>
  <c r="AF87" i="5"/>
  <c r="AY87" i="5"/>
  <c r="BO87" i="5" s="1"/>
  <c r="AF326" i="5"/>
  <c r="AY326" i="5"/>
  <c r="BO326" i="5" s="1"/>
  <c r="Q318" i="10"/>
  <c r="AU322" i="5" s="1"/>
  <c r="AF99" i="5"/>
  <c r="AY99" i="5"/>
  <c r="BO99" i="5" s="1"/>
  <c r="AW123" i="5"/>
  <c r="Y123" i="5"/>
  <c r="BI123" i="5" s="1"/>
  <c r="O229" i="10"/>
  <c r="P191" i="10"/>
  <c r="AO195" i="5" s="1"/>
  <c r="AK274" i="5"/>
  <c r="W274" i="5"/>
  <c r="BG274" i="5" s="1"/>
  <c r="AQ130" i="5"/>
  <c r="X130" i="5"/>
  <c r="BH130" i="5" s="1"/>
  <c r="AK175" i="5"/>
  <c r="W175" i="5"/>
  <c r="BG175" i="5" s="1"/>
  <c r="AE200" i="5"/>
  <c r="V200" i="5"/>
  <c r="BF200" i="5" s="1"/>
  <c r="AF232" i="5"/>
  <c r="AY232" i="5"/>
  <c r="BO232" i="5" s="1"/>
  <c r="AF132" i="5"/>
  <c r="AY132" i="5"/>
  <c r="BO132" i="5" s="1"/>
  <c r="Q172" i="10"/>
  <c r="AU176" i="5" s="1"/>
  <c r="AF136" i="5"/>
  <c r="AY136" i="5"/>
  <c r="BO136" i="5" s="1"/>
  <c r="AF96" i="5"/>
  <c r="AY96" i="5"/>
  <c r="BO96" i="5" s="1"/>
  <c r="AF287" i="5"/>
  <c r="AY287" i="5"/>
  <c r="BO287" i="5" s="1"/>
  <c r="AF264" i="5"/>
  <c r="AY264" i="5"/>
  <c r="BO264" i="5" s="1"/>
  <c r="AF288" i="5"/>
  <c r="AY288" i="5"/>
  <c r="BO288" i="5" s="1"/>
  <c r="AF239" i="5"/>
  <c r="AY239" i="5"/>
  <c r="BO239" i="5" s="1"/>
  <c r="O222" i="10"/>
  <c r="P184" i="10"/>
  <c r="AO188" i="5" s="1"/>
  <c r="P225" i="10"/>
  <c r="AO229" i="5" s="1"/>
  <c r="Q187" i="10"/>
  <c r="AU191" i="5" s="1"/>
  <c r="Q124" i="10"/>
  <c r="AU128" i="5" s="1"/>
  <c r="AF274" i="5"/>
  <c r="AY274" i="5"/>
  <c r="BO274" i="5" s="1"/>
  <c r="AF197" i="5"/>
  <c r="AY197" i="5"/>
  <c r="BO197" i="5" s="1"/>
  <c r="AK262" i="5"/>
  <c r="W262" i="5"/>
  <c r="BG262" i="5" s="1"/>
  <c r="AK154" i="5"/>
  <c r="W154" i="5"/>
  <c r="BG154" i="5" s="1"/>
  <c r="V16" i="6" s="1"/>
  <c r="P94" i="10"/>
  <c r="AO98" i="5" s="1"/>
  <c r="AF90" i="5"/>
  <c r="AY90" i="5"/>
  <c r="BO90" i="5" s="1"/>
  <c r="P195" i="10"/>
  <c r="AO199" i="5" s="1"/>
  <c r="O233" i="10"/>
  <c r="AQ86" i="5"/>
  <c r="X86" i="5"/>
  <c r="BH86" i="5" s="1"/>
  <c r="BJ86" i="5" s="1"/>
  <c r="AK289" i="5"/>
  <c r="W289" i="5"/>
  <c r="BG289" i="5" s="1"/>
  <c r="AE327" i="5"/>
  <c r="V327" i="5"/>
  <c r="BF327" i="5" s="1"/>
  <c r="AK127" i="5"/>
  <c r="W127" i="5"/>
  <c r="BG127" i="5" s="1"/>
  <c r="Q245" i="10"/>
  <c r="AU249" i="5" s="1"/>
  <c r="P130" i="10"/>
  <c r="AO134" i="5" s="1"/>
  <c r="AF319" i="5"/>
  <c r="AY319" i="5"/>
  <c r="BO319" i="5" s="1"/>
  <c r="P268" i="10"/>
  <c r="AO272" i="5" s="1"/>
  <c r="X246" i="5"/>
  <c r="BH246" i="5" s="1"/>
  <c r="AL246" i="5"/>
  <c r="AZ246" i="5"/>
  <c r="BP246" i="5" s="1"/>
  <c r="B35" i="6"/>
  <c r="AE337" i="5"/>
  <c r="AY337" i="5" s="1"/>
  <c r="BO337" i="5" s="1"/>
  <c r="V281" i="5"/>
  <c r="BF281" i="5" s="1"/>
  <c r="W144" i="5"/>
  <c r="BG144" i="5" s="1"/>
  <c r="AF107" i="5"/>
  <c r="W107" i="5"/>
  <c r="BG107" i="5" s="1"/>
  <c r="AF208" i="5"/>
  <c r="AF144" i="5"/>
  <c r="AK281" i="5"/>
  <c r="AZ281" i="5" s="1"/>
  <c r="BP281" i="5" s="1"/>
  <c r="W281" i="5"/>
  <c r="BG281" i="5" s="1"/>
  <c r="AK337" i="5"/>
  <c r="AZ337" i="5" s="1"/>
  <c r="BP337" i="5" s="1"/>
  <c r="W337" i="5"/>
  <c r="BG337" i="5" s="1"/>
  <c r="AK208" i="5"/>
  <c r="AZ208" i="5" s="1"/>
  <c r="BP208" i="5" s="1"/>
  <c r="W208" i="5"/>
  <c r="BG208" i="5" s="1"/>
  <c r="Q204" i="10"/>
  <c r="AU208" i="5" s="1"/>
  <c r="R14" i="6"/>
  <c r="L25" i="6"/>
  <c r="D25" i="6"/>
  <c r="S25" i="6"/>
  <c r="L14" i="6"/>
  <c r="P14" i="6"/>
  <c r="Z11" i="5"/>
  <c r="R25" i="6"/>
  <c r="H14" i="6"/>
  <c r="Z10" i="5"/>
  <c r="P25" i="6"/>
  <c r="AZ8" i="5"/>
  <c r="BP8" i="5" s="1"/>
  <c r="AA8" i="6" s="1"/>
  <c r="W8" i="5"/>
  <c r="BG8" i="5" s="1"/>
  <c r="V8" i="6" s="1"/>
  <c r="U13" i="6" l="1"/>
  <c r="BJ130" i="5"/>
  <c r="U8" i="6"/>
  <c r="U19" i="6"/>
  <c r="U21" i="6"/>
  <c r="U12" i="6"/>
  <c r="U18" i="6"/>
  <c r="U17" i="6"/>
  <c r="BJ93" i="5"/>
  <c r="BF426" i="5"/>
  <c r="BJ123" i="5"/>
  <c r="BJ10" i="5"/>
  <c r="BA211" i="5"/>
  <c r="BQ211" i="5" s="1"/>
  <c r="BH211" i="5"/>
  <c r="BJ11" i="5"/>
  <c r="BA210" i="5"/>
  <c r="BQ210" i="5" s="1"/>
  <c r="BH210" i="5"/>
  <c r="F35" i="6"/>
  <c r="Q277" i="10"/>
  <c r="AU281" i="5" s="1"/>
  <c r="AW281" i="5" s="1"/>
  <c r="BB281" i="5" s="1"/>
  <c r="BR281" i="5" s="1"/>
  <c r="Q140" i="10"/>
  <c r="AU144" i="5" s="1"/>
  <c r="AW144" i="5" s="1"/>
  <c r="BB144" i="5" s="1"/>
  <c r="BR144" i="5" s="1"/>
  <c r="Q103" i="10"/>
  <c r="AU107" i="5" s="1"/>
  <c r="AW107" i="5" s="1"/>
  <c r="BB107" i="5" s="1"/>
  <c r="BR107" i="5" s="1"/>
  <c r="Q333" i="10"/>
  <c r="AU337" i="5" s="1"/>
  <c r="AW337" i="5" s="1"/>
  <c r="BB337" i="5" s="1"/>
  <c r="BR337" i="5" s="1"/>
  <c r="Z86" i="5"/>
  <c r="B42" i="6"/>
  <c r="Z130" i="5"/>
  <c r="AR211" i="5"/>
  <c r="Z123" i="5"/>
  <c r="AR249" i="5"/>
  <c r="Q268" i="10"/>
  <c r="AU272" i="5" s="1"/>
  <c r="Q130" i="10"/>
  <c r="AU134" i="5" s="1"/>
  <c r="AL127" i="5"/>
  <c r="AZ127" i="5"/>
  <c r="BP127" i="5" s="1"/>
  <c r="AK199" i="5"/>
  <c r="W199" i="5"/>
  <c r="BG199" i="5" s="1"/>
  <c r="AL154" i="5"/>
  <c r="AZ154" i="5"/>
  <c r="BP154" i="5" s="1"/>
  <c r="AA16" i="6" s="1"/>
  <c r="AW128" i="5"/>
  <c r="Y128" i="5"/>
  <c r="BI128" i="5" s="1"/>
  <c r="AK226" i="5"/>
  <c r="W226" i="5"/>
  <c r="BG226" i="5" s="1"/>
  <c r="AF200" i="5"/>
  <c r="AY200" i="5"/>
  <c r="BO200" i="5" s="1"/>
  <c r="AR130" i="5"/>
  <c r="BA130" i="5"/>
  <c r="BQ130" i="5" s="1"/>
  <c r="Q191" i="10"/>
  <c r="AU195" i="5" s="1"/>
  <c r="P229" i="10"/>
  <c r="AO233" i="5" s="1"/>
  <c r="AQ173" i="5"/>
  <c r="X173" i="5"/>
  <c r="BH173" i="5" s="1"/>
  <c r="AL345" i="5"/>
  <c r="AZ345" i="5"/>
  <c r="BP345" i="5" s="1"/>
  <c r="AL124" i="5"/>
  <c r="AZ124" i="5"/>
  <c r="BP124" i="5" s="1"/>
  <c r="AW326" i="5"/>
  <c r="Y326" i="5"/>
  <c r="BI326" i="5" s="1"/>
  <c r="AL100" i="5"/>
  <c r="AZ100" i="5"/>
  <c r="BP100" i="5" s="1"/>
  <c r="AX93" i="5"/>
  <c r="BB93" i="5"/>
  <c r="BR93" i="5" s="1"/>
  <c r="AW330" i="5"/>
  <c r="Y330" i="5"/>
  <c r="BI330" i="5" s="1"/>
  <c r="AW95" i="5"/>
  <c r="Y95" i="5"/>
  <c r="BI95" i="5" s="1"/>
  <c r="AF199" i="5"/>
  <c r="AY199" i="5"/>
  <c r="BO199" i="5" s="1"/>
  <c r="AQ325" i="5"/>
  <c r="X325" i="5"/>
  <c r="BH325" i="5" s="1"/>
  <c r="AQ196" i="5"/>
  <c r="X196" i="5"/>
  <c r="BH196" i="5" s="1"/>
  <c r="AQ89" i="5"/>
  <c r="X89" i="5"/>
  <c r="BH89" i="5" s="1"/>
  <c r="Q267" i="10"/>
  <c r="AU271" i="5" s="1"/>
  <c r="AW88" i="5"/>
  <c r="Y88" i="5"/>
  <c r="BI88" i="5" s="1"/>
  <c r="AR123" i="5"/>
  <c r="BA123" i="5"/>
  <c r="BQ123" i="5" s="1"/>
  <c r="AL174" i="5"/>
  <c r="AZ174" i="5"/>
  <c r="BP174" i="5" s="1"/>
  <c r="AW265" i="5"/>
  <c r="Y265" i="5"/>
  <c r="BI265" i="5" s="1"/>
  <c r="AQ231" i="5"/>
  <c r="X231" i="5"/>
  <c r="BH231" i="5" s="1"/>
  <c r="AQ320" i="5"/>
  <c r="X320" i="5"/>
  <c r="BH320" i="5" s="1"/>
  <c r="AQ125" i="5"/>
  <c r="X125" i="5"/>
  <c r="BH125" i="5" s="1"/>
  <c r="BA248" i="5"/>
  <c r="BQ248" i="5" s="1"/>
  <c r="AL239" i="5"/>
  <c r="AZ239" i="5"/>
  <c r="BP239" i="5" s="1"/>
  <c r="AW264" i="5"/>
  <c r="Y264" i="5"/>
  <c r="BI264" i="5" s="1"/>
  <c r="AW96" i="5"/>
  <c r="Y96" i="5"/>
  <c r="BI96" i="5" s="1"/>
  <c r="AL126" i="5"/>
  <c r="AZ126" i="5"/>
  <c r="BP126" i="5" s="1"/>
  <c r="AL302" i="5"/>
  <c r="AZ302" i="5"/>
  <c r="BP302" i="5" s="1"/>
  <c r="AA20" i="6" s="1"/>
  <c r="AW211" i="5"/>
  <c r="Y211" i="5"/>
  <c r="BI211" i="5" s="1"/>
  <c r="AL289" i="5"/>
  <c r="AZ289" i="5"/>
  <c r="BP289" i="5" s="1"/>
  <c r="AK237" i="5"/>
  <c r="W237" i="5"/>
  <c r="BG237" i="5" s="1"/>
  <c r="AK98" i="5"/>
  <c r="W98" i="5"/>
  <c r="BG98" i="5" s="1"/>
  <c r="AQ191" i="5"/>
  <c r="X191" i="5"/>
  <c r="BH191" i="5" s="1"/>
  <c r="AQ176" i="5"/>
  <c r="X176" i="5"/>
  <c r="BH176" i="5" s="1"/>
  <c r="AL175" i="5"/>
  <c r="AZ175" i="5"/>
  <c r="BP175" i="5" s="1"/>
  <c r="AK233" i="5"/>
  <c r="W233" i="5"/>
  <c r="BG233" i="5" s="1"/>
  <c r="AW173" i="5"/>
  <c r="Y173" i="5"/>
  <c r="BI173" i="5" s="1"/>
  <c r="AF187" i="5"/>
  <c r="AY187" i="5"/>
  <c r="BO187" i="5" s="1"/>
  <c r="AL87" i="5"/>
  <c r="AZ87" i="5"/>
  <c r="BP87" i="5" s="1"/>
  <c r="AQ194" i="5"/>
  <c r="X194" i="5"/>
  <c r="BH194" i="5" s="1"/>
  <c r="AF329" i="5"/>
  <c r="AY329" i="5"/>
  <c r="BO329" i="5" s="1"/>
  <c r="AQ201" i="5"/>
  <c r="X201" i="5"/>
  <c r="BH201" i="5" s="1"/>
  <c r="AL267" i="5"/>
  <c r="AZ267" i="5"/>
  <c r="BP267" i="5" s="1"/>
  <c r="AL137" i="5"/>
  <c r="AZ137" i="5"/>
  <c r="BP137" i="5" s="1"/>
  <c r="AL122" i="5"/>
  <c r="AZ122" i="5"/>
  <c r="BP122" i="5" s="1"/>
  <c r="AQ126" i="5"/>
  <c r="X126" i="5"/>
  <c r="BH126" i="5" s="1"/>
  <c r="AQ197" i="5"/>
  <c r="X197" i="5"/>
  <c r="BH197" i="5" s="1"/>
  <c r="AL85" i="5"/>
  <c r="AZ85" i="5"/>
  <c r="BP85" i="5" s="1"/>
  <c r="AL189" i="5"/>
  <c r="AZ189" i="5"/>
  <c r="BP189" i="5" s="1"/>
  <c r="AL330" i="5"/>
  <c r="AZ330" i="5"/>
  <c r="BP330" i="5" s="1"/>
  <c r="AQ346" i="5"/>
  <c r="X346" i="5"/>
  <c r="BH346" i="5" s="1"/>
  <c r="AK268" i="5"/>
  <c r="W268" i="5"/>
  <c r="BG268" i="5" s="1"/>
  <c r="AW90" i="5"/>
  <c r="Y90" i="5"/>
  <c r="BI90" i="5" s="1"/>
  <c r="Q127" i="10"/>
  <c r="AU131" i="5" s="1"/>
  <c r="AQ99" i="5"/>
  <c r="X99" i="5"/>
  <c r="BH99" i="5" s="1"/>
  <c r="AL319" i="5"/>
  <c r="AZ319" i="5"/>
  <c r="BP319" i="5" s="1"/>
  <c r="AL194" i="5"/>
  <c r="AZ194" i="5"/>
  <c r="BP194" i="5" s="1"/>
  <c r="AL125" i="5"/>
  <c r="AZ125" i="5"/>
  <c r="BP125" i="5" s="1"/>
  <c r="AW92" i="5"/>
  <c r="Y92" i="5"/>
  <c r="BI92" i="5" s="1"/>
  <c r="AL264" i="5"/>
  <c r="AZ264" i="5"/>
  <c r="BP264" i="5" s="1"/>
  <c r="AQ227" i="5"/>
  <c r="X227" i="5"/>
  <c r="BH227" i="5" s="1"/>
  <c r="AK327" i="5"/>
  <c r="W327" i="5"/>
  <c r="BG327" i="5" s="1"/>
  <c r="AL346" i="5"/>
  <c r="AZ346" i="5"/>
  <c r="BP346" i="5" s="1"/>
  <c r="AW262" i="5"/>
  <c r="Y262" i="5"/>
  <c r="BI262" i="5" s="1"/>
  <c r="AF131" i="5"/>
  <c r="AY131" i="5"/>
  <c r="BO131" i="5" s="1"/>
  <c r="P234" i="10"/>
  <c r="AO238" i="5" s="1"/>
  <c r="Q196" i="10"/>
  <c r="AU200" i="5" s="1"/>
  <c r="AW175" i="5"/>
  <c r="Y175" i="5"/>
  <c r="BI175" i="5" s="1"/>
  <c r="AF233" i="5"/>
  <c r="AY233" i="5"/>
  <c r="BO233" i="5" s="1"/>
  <c r="Q183" i="10"/>
  <c r="AU187" i="5" s="1"/>
  <c r="P221" i="10"/>
  <c r="AO225" i="5" s="1"/>
  <c r="AW122" i="5"/>
  <c r="Y122" i="5"/>
  <c r="BI122" i="5" s="1"/>
  <c r="Q269" i="10"/>
  <c r="AU273" i="5" s="1"/>
  <c r="AL133" i="5"/>
  <c r="AZ133" i="5"/>
  <c r="BP133" i="5" s="1"/>
  <c r="AF198" i="5"/>
  <c r="AY198" i="5"/>
  <c r="BO198" i="5" s="1"/>
  <c r="AQ323" i="5"/>
  <c r="X323" i="5"/>
  <c r="BH323" i="5" s="1"/>
  <c r="AF98" i="5"/>
  <c r="AY98" i="5"/>
  <c r="BO98" i="5" s="1"/>
  <c r="AW325" i="5"/>
  <c r="Y325" i="5"/>
  <c r="BI325" i="5" s="1"/>
  <c r="AQ234" i="5"/>
  <c r="X234" i="5"/>
  <c r="BH234" i="5" s="1"/>
  <c r="AL229" i="5"/>
  <c r="AZ229" i="5"/>
  <c r="BP229" i="5" s="1"/>
  <c r="AW89" i="5"/>
  <c r="Y89" i="5"/>
  <c r="BI89" i="5" s="1"/>
  <c r="AQ269" i="5"/>
  <c r="X269" i="5"/>
  <c r="BH269" i="5" s="1"/>
  <c r="AL322" i="5"/>
  <c r="AZ322" i="5"/>
  <c r="BP322" i="5" s="1"/>
  <c r="AQ319" i="5"/>
  <c r="X319" i="5"/>
  <c r="BH319" i="5" s="1"/>
  <c r="AQ263" i="5"/>
  <c r="X263" i="5"/>
  <c r="BH263" i="5" s="1"/>
  <c r="Q227" i="10"/>
  <c r="AU231" i="5" s="1"/>
  <c r="AW320" i="5"/>
  <c r="Y320" i="5"/>
  <c r="BI320" i="5" s="1"/>
  <c r="AW125" i="5"/>
  <c r="Y125" i="5"/>
  <c r="BI125" i="5" s="1"/>
  <c r="AR248" i="5"/>
  <c r="AQ288" i="5"/>
  <c r="X288" i="5"/>
  <c r="BH288" i="5" s="1"/>
  <c r="AQ287" i="5"/>
  <c r="X287" i="5"/>
  <c r="BH287" i="5" s="1"/>
  <c r="AQ136" i="5"/>
  <c r="X136" i="5"/>
  <c r="BH136" i="5" s="1"/>
  <c r="AQ132" i="5"/>
  <c r="X132" i="5"/>
  <c r="BH132" i="5" s="1"/>
  <c r="AQ302" i="5"/>
  <c r="X302" i="5"/>
  <c r="BH302" i="5" s="1"/>
  <c r="AF236" i="5"/>
  <c r="AY236" i="5"/>
  <c r="BO236" i="5" s="1"/>
  <c r="AF324" i="5"/>
  <c r="AY324" i="5"/>
  <c r="BO324" i="5" s="1"/>
  <c r="AQ192" i="5"/>
  <c r="X192" i="5"/>
  <c r="BH192" i="5" s="1"/>
  <c r="AF271" i="5"/>
  <c r="AY271" i="5"/>
  <c r="BO271" i="5" s="1"/>
  <c r="AQ343" i="5"/>
  <c r="X343" i="5"/>
  <c r="BH343" i="5" s="1"/>
  <c r="B40" i="6"/>
  <c r="AW249" i="5"/>
  <c r="Y249" i="5"/>
  <c r="Q195" i="10"/>
  <c r="AU199" i="5" s="1"/>
  <c r="P233" i="10"/>
  <c r="AO237" i="5" s="1"/>
  <c r="Q94" i="10"/>
  <c r="AU98" i="5" s="1"/>
  <c r="AL262" i="5"/>
  <c r="AZ262" i="5"/>
  <c r="BP262" i="5" s="1"/>
  <c r="Q225" i="10"/>
  <c r="AU229" i="5" s="1"/>
  <c r="AK188" i="5"/>
  <c r="W188" i="5"/>
  <c r="BG188" i="5" s="1"/>
  <c r="AW176" i="5"/>
  <c r="Y176" i="5"/>
  <c r="BI176" i="5" s="1"/>
  <c r="AL274" i="5"/>
  <c r="AZ274" i="5"/>
  <c r="BP274" i="5" s="1"/>
  <c r="AQ322" i="5"/>
  <c r="X322" i="5"/>
  <c r="BH322" i="5" s="1"/>
  <c r="AQ174" i="5"/>
  <c r="X174" i="5"/>
  <c r="BH174" i="5" s="1"/>
  <c r="Q228" i="10"/>
  <c r="AU232" i="5" s="1"/>
  <c r="AK328" i="5"/>
  <c r="W328" i="5"/>
  <c r="BG328" i="5" s="1"/>
  <c r="AQ290" i="5"/>
  <c r="X290" i="5"/>
  <c r="BH290" i="5" s="1"/>
  <c r="Q235" i="10"/>
  <c r="AU239" i="5" s="1"/>
  <c r="AF273" i="5"/>
  <c r="AY273" i="5"/>
  <c r="BO273" i="5" s="1"/>
  <c r="AW126" i="5"/>
  <c r="Y126" i="5"/>
  <c r="BI126" i="5" s="1"/>
  <c r="Q231" i="10"/>
  <c r="AU235" i="5" s="1"/>
  <c r="AK324" i="5"/>
  <c r="W324" i="5"/>
  <c r="BG324" i="5" s="1"/>
  <c r="AL323" i="5"/>
  <c r="AZ323" i="5"/>
  <c r="BP323" i="5" s="1"/>
  <c r="AW346" i="5"/>
  <c r="Y346" i="5"/>
  <c r="BI346" i="5" s="1"/>
  <c r="AL325" i="5"/>
  <c r="AZ325" i="5"/>
  <c r="BP325" i="5" s="1"/>
  <c r="AL234" i="5"/>
  <c r="AZ234" i="5"/>
  <c r="BP234" i="5" s="1"/>
  <c r="Q264" i="10"/>
  <c r="AU268" i="5" s="1"/>
  <c r="AF238" i="5"/>
  <c r="AY238" i="5"/>
  <c r="BO238" i="5" s="1"/>
  <c r="AL269" i="5"/>
  <c r="AZ269" i="5"/>
  <c r="BP269" i="5" s="1"/>
  <c r="AW99" i="5"/>
  <c r="Y99" i="5"/>
  <c r="BI99" i="5" s="1"/>
  <c r="AW210" i="5"/>
  <c r="Y210" i="5"/>
  <c r="AQ321" i="5"/>
  <c r="X321" i="5"/>
  <c r="BH321" i="5" s="1"/>
  <c r="Q223" i="10"/>
  <c r="AU227" i="5" s="1"/>
  <c r="Q323" i="10"/>
  <c r="AU327" i="5" s="1"/>
  <c r="AQ87" i="5"/>
  <c r="X87" i="5"/>
  <c r="BH87" i="5" s="1"/>
  <c r="AK329" i="5"/>
  <c r="W329" i="5"/>
  <c r="BG329" i="5" s="1"/>
  <c r="AK94" i="5"/>
  <c r="W94" i="5"/>
  <c r="BG94" i="5" s="1"/>
  <c r="AQ124" i="5"/>
  <c r="X124" i="5"/>
  <c r="BH124" i="5" s="1"/>
  <c r="AQ85" i="5"/>
  <c r="X85" i="5"/>
  <c r="BH85" i="5" s="1"/>
  <c r="AQ270" i="5"/>
  <c r="X270" i="5"/>
  <c r="BH270" i="5" s="1"/>
  <c r="AF272" i="5"/>
  <c r="AY272" i="5"/>
  <c r="BO272" i="5" s="1"/>
  <c r="AF134" i="5"/>
  <c r="AY134" i="5"/>
  <c r="BO134" i="5" s="1"/>
  <c r="AW323" i="5"/>
  <c r="Y323" i="5"/>
  <c r="BI323" i="5" s="1"/>
  <c r="AL230" i="5"/>
  <c r="AZ230" i="5"/>
  <c r="BP230" i="5" s="1"/>
  <c r="AQ129" i="5"/>
  <c r="X129" i="5"/>
  <c r="BH129" i="5" s="1"/>
  <c r="AQ100" i="5"/>
  <c r="X100" i="5"/>
  <c r="BH100" i="5" s="1"/>
  <c r="Q230" i="10"/>
  <c r="AU234" i="5" s="1"/>
  <c r="AW269" i="5"/>
  <c r="Y269" i="5"/>
  <c r="BI269" i="5" s="1"/>
  <c r="AF195" i="5"/>
  <c r="AY195" i="5"/>
  <c r="BO195" i="5" s="1"/>
  <c r="AL228" i="5"/>
  <c r="AZ228" i="5"/>
  <c r="BP228" i="5" s="1"/>
  <c r="AL173" i="5"/>
  <c r="AZ173" i="5"/>
  <c r="BP173" i="5" s="1"/>
  <c r="AW319" i="5"/>
  <c r="Y319" i="5"/>
  <c r="BI319" i="5" s="1"/>
  <c r="AW263" i="5"/>
  <c r="Y263" i="5"/>
  <c r="BI263" i="5" s="1"/>
  <c r="AQ266" i="5"/>
  <c r="X266" i="5"/>
  <c r="BH266" i="5" s="1"/>
  <c r="AL290" i="5"/>
  <c r="AZ290" i="5"/>
  <c r="BP290" i="5" s="1"/>
  <c r="AW288" i="5"/>
  <c r="Y288" i="5"/>
  <c r="BI288" i="5" s="1"/>
  <c r="AW287" i="5"/>
  <c r="Y287" i="5"/>
  <c r="BI287" i="5" s="1"/>
  <c r="AW136" i="5"/>
  <c r="Y136" i="5"/>
  <c r="BI136" i="5" s="1"/>
  <c r="AW132" i="5"/>
  <c r="Y132" i="5"/>
  <c r="BI132" i="5" s="1"/>
  <c r="AW302" i="5"/>
  <c r="Y302" i="5"/>
  <c r="BI302" i="5" s="1"/>
  <c r="X20" i="6" s="1"/>
  <c r="AQ230" i="5"/>
  <c r="X230" i="5"/>
  <c r="BH230" i="5" s="1"/>
  <c r="Q224" i="10"/>
  <c r="AU228" i="5" s="1"/>
  <c r="Q131" i="10"/>
  <c r="AU135" i="5" s="1"/>
  <c r="AL265" i="5"/>
  <c r="AZ265" i="5"/>
  <c r="BP265" i="5" s="1"/>
  <c r="AL266" i="5"/>
  <c r="AZ266" i="5"/>
  <c r="BP266" i="5" s="1"/>
  <c r="AL287" i="5"/>
  <c r="AZ287" i="5"/>
  <c r="BP287" i="5" s="1"/>
  <c r="AL132" i="5"/>
  <c r="AZ132" i="5"/>
  <c r="BP132" i="5" s="1"/>
  <c r="AW133" i="5"/>
  <c r="Y133" i="5"/>
  <c r="BI133" i="5" s="1"/>
  <c r="AK236" i="5"/>
  <c r="W236" i="5"/>
  <c r="BG236" i="5" s="1"/>
  <c r="AL90" i="5"/>
  <c r="AZ90" i="5"/>
  <c r="BP90" i="5" s="1"/>
  <c r="Z93" i="5"/>
  <c r="AF135" i="5"/>
  <c r="AY135" i="5"/>
  <c r="BO135" i="5" s="1"/>
  <c r="AL99" i="5"/>
  <c r="AZ99" i="5"/>
  <c r="BP99" i="5" s="1"/>
  <c r="Q93" i="10"/>
  <c r="AU97" i="5" s="1"/>
  <c r="AW343" i="5"/>
  <c r="Y343" i="5"/>
  <c r="BI343" i="5" s="1"/>
  <c r="AR210" i="5"/>
  <c r="AW137" i="5"/>
  <c r="Y137" i="5"/>
  <c r="BI137" i="5" s="1"/>
  <c r="AW345" i="5"/>
  <c r="Y345" i="5"/>
  <c r="BI345" i="5" s="1"/>
  <c r="AL95" i="5"/>
  <c r="AZ95" i="5"/>
  <c r="BP95" i="5" s="1"/>
  <c r="AL129" i="5"/>
  <c r="AZ129" i="5"/>
  <c r="BP129" i="5" s="1"/>
  <c r="AW344" i="5"/>
  <c r="Y344" i="5"/>
  <c r="BI344" i="5" s="1"/>
  <c r="AL191" i="5"/>
  <c r="AZ191" i="5"/>
  <c r="BP191" i="5" s="1"/>
  <c r="AQ90" i="5"/>
  <c r="X90" i="5"/>
  <c r="BH90" i="5" s="1"/>
  <c r="AK131" i="5"/>
  <c r="W131" i="5"/>
  <c r="BG131" i="5" s="1"/>
  <c r="AL88" i="5"/>
  <c r="AZ88" i="5"/>
  <c r="BP88" i="5" s="1"/>
  <c r="AQ92" i="5"/>
  <c r="X92" i="5"/>
  <c r="BH92" i="5" s="1"/>
  <c r="BJ92" i="5" s="1"/>
  <c r="AQ189" i="5"/>
  <c r="X189" i="5"/>
  <c r="BH189" i="5" s="1"/>
  <c r="AW127" i="5"/>
  <c r="Y127" i="5"/>
  <c r="BI127" i="5" s="1"/>
  <c r="AW289" i="5"/>
  <c r="Y289" i="5"/>
  <c r="BI289" i="5" s="1"/>
  <c r="AQ262" i="5"/>
  <c r="X262" i="5"/>
  <c r="BH262" i="5" s="1"/>
  <c r="AK238" i="5"/>
  <c r="W238" i="5"/>
  <c r="BG238" i="5" s="1"/>
  <c r="AQ175" i="5"/>
  <c r="X175" i="5"/>
  <c r="BH175" i="5" s="1"/>
  <c r="AK225" i="5"/>
  <c r="W225" i="5"/>
  <c r="BG225" i="5" s="1"/>
  <c r="AQ122" i="5"/>
  <c r="X122" i="5"/>
  <c r="BH122" i="5" s="1"/>
  <c r="AK273" i="5"/>
  <c r="W273" i="5"/>
  <c r="BG273" i="5" s="1"/>
  <c r="AQ190" i="5"/>
  <c r="X190" i="5"/>
  <c r="BH190" i="5" s="1"/>
  <c r="AF225" i="5"/>
  <c r="AY225" i="5"/>
  <c r="BO225" i="5" s="1"/>
  <c r="AL231" i="5"/>
  <c r="AZ231" i="5"/>
  <c r="BP231" i="5" s="1"/>
  <c r="AL288" i="5"/>
  <c r="AZ288" i="5"/>
  <c r="BP288" i="5" s="1"/>
  <c r="AL136" i="5"/>
  <c r="AZ136" i="5"/>
  <c r="BP136" i="5" s="1"/>
  <c r="AL197" i="5"/>
  <c r="AZ197" i="5"/>
  <c r="BP197" i="5" s="1"/>
  <c r="AQ154" i="5"/>
  <c r="X154" i="5"/>
  <c r="BH154" i="5" s="1"/>
  <c r="W16" i="6" s="1"/>
  <c r="AW274" i="5"/>
  <c r="Y274" i="5"/>
  <c r="BI274" i="5" s="1"/>
  <c r="AW91" i="5"/>
  <c r="Y91" i="5"/>
  <c r="BI91" i="5" s="1"/>
  <c r="AL193" i="5"/>
  <c r="AZ193" i="5"/>
  <c r="BP193" i="5" s="1"/>
  <c r="AL92" i="5"/>
  <c r="AZ92" i="5"/>
  <c r="BP92" i="5" s="1"/>
  <c r="AW267" i="5"/>
  <c r="Y267" i="5"/>
  <c r="BI267" i="5" s="1"/>
  <c r="AW318" i="5"/>
  <c r="Y318" i="5"/>
  <c r="BI318" i="5" s="1"/>
  <c r="AL321" i="5"/>
  <c r="AZ321" i="5"/>
  <c r="BP321" i="5" s="1"/>
  <c r="AL227" i="5"/>
  <c r="AZ227" i="5"/>
  <c r="BP227" i="5" s="1"/>
  <c r="AQ228" i="5"/>
  <c r="X228" i="5"/>
  <c r="BH228" i="5" s="1"/>
  <c r="AK135" i="5"/>
  <c r="W135" i="5"/>
  <c r="BG135" i="5" s="1"/>
  <c r="AQ133" i="5"/>
  <c r="X133" i="5"/>
  <c r="BH133" i="5" s="1"/>
  <c r="AK198" i="5"/>
  <c r="W198" i="5"/>
  <c r="BG198" i="5" s="1"/>
  <c r="AF237" i="5"/>
  <c r="AY237" i="5"/>
  <c r="BO237" i="5" s="1"/>
  <c r="AW154" i="5"/>
  <c r="Y154" i="5"/>
  <c r="BI154" i="5" s="1"/>
  <c r="AF268" i="5"/>
  <c r="AY268" i="5"/>
  <c r="BO268" i="5" s="1"/>
  <c r="AK97" i="5"/>
  <c r="W97" i="5"/>
  <c r="BG97" i="5" s="1"/>
  <c r="AQ137" i="5"/>
  <c r="X137" i="5"/>
  <c r="BH137" i="5" s="1"/>
  <c r="AQ345" i="5"/>
  <c r="X345" i="5"/>
  <c r="BH345" i="5" s="1"/>
  <c r="AK272" i="5"/>
  <c r="W272" i="5"/>
  <c r="BG272" i="5" s="1"/>
  <c r="AK134" i="5"/>
  <c r="W134" i="5"/>
  <c r="BG134" i="5" s="1"/>
  <c r="AF327" i="5"/>
  <c r="AY327" i="5"/>
  <c r="BO327" i="5" s="1"/>
  <c r="AR86" i="5"/>
  <c r="BA86" i="5"/>
  <c r="BQ86" i="5" s="1"/>
  <c r="AQ128" i="5"/>
  <c r="X128" i="5"/>
  <c r="BH128" i="5" s="1"/>
  <c r="BJ128" i="5" s="1"/>
  <c r="AQ229" i="5"/>
  <c r="X229" i="5"/>
  <c r="BH229" i="5" s="1"/>
  <c r="P222" i="10"/>
  <c r="AO226" i="5" s="1"/>
  <c r="Q184" i="10"/>
  <c r="AU188" i="5" s="1"/>
  <c r="AK195" i="5"/>
  <c r="W195" i="5"/>
  <c r="BG195" i="5" s="1"/>
  <c r="AX123" i="5"/>
  <c r="BB123" i="5"/>
  <c r="BR123" i="5" s="1"/>
  <c r="AW322" i="5"/>
  <c r="Y322" i="5"/>
  <c r="BI322" i="5" s="1"/>
  <c r="AW174" i="5"/>
  <c r="Y174" i="5"/>
  <c r="BI174" i="5" s="1"/>
  <c r="AL91" i="5"/>
  <c r="AZ91" i="5"/>
  <c r="BP91" i="5" s="1"/>
  <c r="AF97" i="5"/>
  <c r="AY97" i="5"/>
  <c r="BO97" i="5" s="1"/>
  <c r="AQ232" i="5"/>
  <c r="X232" i="5"/>
  <c r="BH232" i="5" s="1"/>
  <c r="AL343" i="5"/>
  <c r="AZ343" i="5"/>
  <c r="BP343" i="5" s="1"/>
  <c r="Q324" i="10"/>
  <c r="AU328" i="5" s="1"/>
  <c r="AW290" i="5"/>
  <c r="Y290" i="5"/>
  <c r="BI290" i="5" s="1"/>
  <c r="AQ239" i="5"/>
  <c r="X239" i="5"/>
  <c r="BH239" i="5" s="1"/>
  <c r="AF94" i="5"/>
  <c r="AY94" i="5"/>
  <c r="BO94" i="5" s="1"/>
  <c r="AL318" i="5"/>
  <c r="AZ318" i="5"/>
  <c r="BP318" i="5" s="1"/>
  <c r="AQ235" i="5"/>
  <c r="X235" i="5"/>
  <c r="BH235" i="5" s="1"/>
  <c r="Q320" i="10"/>
  <c r="AU324" i="5" s="1"/>
  <c r="AL270" i="5"/>
  <c r="AZ270" i="5"/>
  <c r="BP270" i="5" s="1"/>
  <c r="AQ326" i="5"/>
  <c r="X326" i="5"/>
  <c r="BH326" i="5" s="1"/>
  <c r="BJ326" i="5" s="1"/>
  <c r="AQ344" i="5"/>
  <c r="X344" i="5"/>
  <c r="BH344" i="5" s="1"/>
  <c r="AL89" i="5"/>
  <c r="AZ89" i="5"/>
  <c r="BP89" i="5" s="1"/>
  <c r="AL263" i="5"/>
  <c r="AZ263" i="5"/>
  <c r="BP263" i="5" s="1"/>
  <c r="AL320" i="5"/>
  <c r="AZ320" i="5"/>
  <c r="BP320" i="5" s="1"/>
  <c r="AW248" i="5"/>
  <c r="Y248" i="5"/>
  <c r="AL201" i="5"/>
  <c r="AZ201" i="5"/>
  <c r="BP201" i="5" s="1"/>
  <c r="AL96" i="5"/>
  <c r="AZ96" i="5"/>
  <c r="BP96" i="5" s="1"/>
  <c r="AW321" i="5"/>
  <c r="Y321" i="5"/>
  <c r="BI321" i="5" s="1"/>
  <c r="AQ127" i="5"/>
  <c r="X127" i="5"/>
  <c r="BH127" i="5" s="1"/>
  <c r="BJ127" i="5" s="1"/>
  <c r="AQ289" i="5"/>
  <c r="X289" i="5"/>
  <c r="BH289" i="5" s="1"/>
  <c r="BJ289" i="5" s="1"/>
  <c r="AL192" i="5"/>
  <c r="AZ192" i="5"/>
  <c r="BP192" i="5" s="1"/>
  <c r="AL344" i="5"/>
  <c r="AZ344" i="5"/>
  <c r="BP344" i="5" s="1"/>
  <c r="AF226" i="5"/>
  <c r="AY226" i="5"/>
  <c r="BO226" i="5" s="1"/>
  <c r="AK200" i="5"/>
  <c r="W200" i="5"/>
  <c r="BG200" i="5" s="1"/>
  <c r="AX130" i="5"/>
  <c r="BB130" i="5"/>
  <c r="BR130" i="5" s="1"/>
  <c r="AK187" i="5"/>
  <c r="W187" i="5"/>
  <c r="BG187" i="5" s="1"/>
  <c r="AW87" i="5"/>
  <c r="Y87" i="5"/>
  <c r="BI87" i="5" s="1"/>
  <c r="Q325" i="10"/>
  <c r="AU329" i="5" s="1"/>
  <c r="Q90" i="10"/>
  <c r="AU94" i="5" s="1"/>
  <c r="AW124" i="5"/>
  <c r="Y124" i="5"/>
  <c r="BI124" i="5" s="1"/>
  <c r="AW85" i="5"/>
  <c r="Y85" i="5"/>
  <c r="BI85" i="5" s="1"/>
  <c r="AW270" i="5"/>
  <c r="Y270" i="5"/>
  <c r="BI270" i="5" s="1"/>
  <c r="BA249" i="5"/>
  <c r="BQ249" i="5" s="1"/>
  <c r="AQ330" i="5"/>
  <c r="X330" i="5"/>
  <c r="BH330" i="5" s="1"/>
  <c r="BJ330" i="5" s="1"/>
  <c r="AQ95" i="5"/>
  <c r="X95" i="5"/>
  <c r="BH95" i="5" s="1"/>
  <c r="BJ95" i="5" s="1"/>
  <c r="AW129" i="5"/>
  <c r="Y129" i="5"/>
  <c r="BI129" i="5" s="1"/>
  <c r="AW100" i="5"/>
  <c r="Y100" i="5"/>
  <c r="BI100" i="5" s="1"/>
  <c r="AL128" i="5"/>
  <c r="AZ128" i="5"/>
  <c r="BP128" i="5" s="1"/>
  <c r="AF188" i="5"/>
  <c r="AY188" i="5"/>
  <c r="BO188" i="5" s="1"/>
  <c r="AL176" i="5"/>
  <c r="AZ176" i="5"/>
  <c r="BP176" i="5" s="1"/>
  <c r="AK271" i="5"/>
  <c r="W271" i="5"/>
  <c r="BG271" i="5" s="1"/>
  <c r="AQ88" i="5"/>
  <c r="X88" i="5"/>
  <c r="BH88" i="5" s="1"/>
  <c r="AQ265" i="5"/>
  <c r="X265" i="5"/>
  <c r="BH265" i="5" s="1"/>
  <c r="AQ193" i="5"/>
  <c r="X193" i="5"/>
  <c r="BH193" i="5" s="1"/>
  <c r="AL232" i="5"/>
  <c r="AZ232" i="5"/>
  <c r="BP232" i="5" s="1"/>
  <c r="AW266" i="5"/>
  <c r="Y266" i="5"/>
  <c r="BI266" i="5" s="1"/>
  <c r="AF328" i="5"/>
  <c r="AY328" i="5"/>
  <c r="BO328" i="5" s="1"/>
  <c r="AQ264" i="5"/>
  <c r="X264" i="5"/>
  <c r="BH264" i="5" s="1"/>
  <c r="BJ264" i="5" s="1"/>
  <c r="AQ96" i="5"/>
  <c r="X96" i="5"/>
  <c r="BH96" i="5" s="1"/>
  <c r="AL235" i="5"/>
  <c r="AZ235" i="5"/>
  <c r="BP235" i="5" s="1"/>
  <c r="Q226" i="10"/>
  <c r="AU230" i="5" s="1"/>
  <c r="P232" i="10"/>
  <c r="AO236" i="5" s="1"/>
  <c r="Q194" i="10"/>
  <c r="AU198" i="5" s="1"/>
  <c r="AX86" i="5"/>
  <c r="BB86" i="5"/>
  <c r="BR86" i="5" s="1"/>
  <c r="AL326" i="5"/>
  <c r="AZ326" i="5"/>
  <c r="BP326" i="5" s="1"/>
  <c r="AL196" i="5"/>
  <c r="AZ196" i="5"/>
  <c r="BP196" i="5" s="1"/>
  <c r="AR93" i="5"/>
  <c r="BA93" i="5"/>
  <c r="BQ93" i="5" s="1"/>
  <c r="AQ274" i="5"/>
  <c r="X274" i="5"/>
  <c r="BH274" i="5" s="1"/>
  <c r="AL190" i="5"/>
  <c r="AZ190" i="5"/>
  <c r="BP190" i="5" s="1"/>
  <c r="AQ91" i="5"/>
  <c r="X91" i="5"/>
  <c r="BH91" i="5" s="1"/>
  <c r="AQ267" i="5"/>
  <c r="X267" i="5"/>
  <c r="BH267" i="5" s="1"/>
  <c r="BJ267" i="5" s="1"/>
  <c r="AQ318" i="5"/>
  <c r="X318" i="5"/>
  <c r="BH318" i="5" s="1"/>
  <c r="AW208" i="5"/>
  <c r="BB208" i="5" s="1"/>
  <c r="BR208" i="5" s="1"/>
  <c r="Q242" i="10"/>
  <c r="AU246" i="5" s="1"/>
  <c r="AR246" i="5"/>
  <c r="BA246" i="5"/>
  <c r="BQ246" i="5" s="1"/>
  <c r="AF337" i="5"/>
  <c r="AK107" i="5"/>
  <c r="AZ107" i="5" s="1"/>
  <c r="BP107" i="5" s="1"/>
  <c r="AF281" i="5"/>
  <c r="AK144" i="5"/>
  <c r="AZ144" i="5" s="1"/>
  <c r="BP144" i="5" s="1"/>
  <c r="AL281" i="5"/>
  <c r="Y144" i="5"/>
  <c r="BI144" i="5" s="1"/>
  <c r="Y107" i="5"/>
  <c r="BI107" i="5" s="1"/>
  <c r="AL208" i="5"/>
  <c r="Y281" i="5"/>
  <c r="BI281" i="5" s="1"/>
  <c r="AQ208" i="5"/>
  <c r="BA208" i="5" s="1"/>
  <c r="BQ208" i="5" s="1"/>
  <c r="X208" i="5"/>
  <c r="BH208" i="5" s="1"/>
  <c r="AQ337" i="5"/>
  <c r="BA337" i="5" s="1"/>
  <c r="BQ337" i="5" s="1"/>
  <c r="X337" i="5"/>
  <c r="BH337" i="5" s="1"/>
  <c r="Y337" i="5"/>
  <c r="BI337" i="5" s="1"/>
  <c r="AL337" i="5"/>
  <c r="AQ144" i="5"/>
  <c r="BA144" i="5" s="1"/>
  <c r="BQ144" i="5" s="1"/>
  <c r="X144" i="5"/>
  <c r="BH144" i="5" s="1"/>
  <c r="AQ107" i="5"/>
  <c r="BA107" i="5" s="1"/>
  <c r="BQ107" i="5" s="1"/>
  <c r="X107" i="5"/>
  <c r="BH107" i="5" s="1"/>
  <c r="AQ281" i="5"/>
  <c r="BA281" i="5" s="1"/>
  <c r="BQ281" i="5" s="1"/>
  <c r="X281" i="5"/>
  <c r="BH281" i="5" s="1"/>
  <c r="R9" i="6"/>
  <c r="V426" i="5"/>
  <c r="V3" i="5" s="1"/>
  <c r="S14" i="6"/>
  <c r="T14" i="6" s="1"/>
  <c r="D14" i="6"/>
  <c r="D22" i="6"/>
  <c r="P24" i="6"/>
  <c r="H24" i="6"/>
  <c r="L23" i="6"/>
  <c r="P23" i="6"/>
  <c r="H23" i="6"/>
  <c r="R24" i="6"/>
  <c r="L24" i="6"/>
  <c r="T25" i="6"/>
  <c r="R23" i="6"/>
  <c r="AL8" i="5"/>
  <c r="L9" i="6"/>
  <c r="BJ265" i="5" l="1"/>
  <c r="Z17" i="6"/>
  <c r="BJ290" i="5"/>
  <c r="BJ346" i="5"/>
  <c r="BJ211" i="5"/>
  <c r="V19" i="6"/>
  <c r="BJ274" i="5"/>
  <c r="BJ344" i="5"/>
  <c r="BJ345" i="5"/>
  <c r="BJ175" i="5"/>
  <c r="BJ129" i="5"/>
  <c r="BJ321" i="5"/>
  <c r="BJ174" i="5"/>
  <c r="V17" i="6"/>
  <c r="Z18" i="6"/>
  <c r="Z19" i="6"/>
  <c r="BJ137" i="5"/>
  <c r="V21" i="6"/>
  <c r="Z12" i="6"/>
  <c r="Z21" i="6"/>
  <c r="BJ281" i="5"/>
  <c r="BJ337" i="5"/>
  <c r="BJ96" i="5"/>
  <c r="BJ100" i="5"/>
  <c r="BJ266" i="5"/>
  <c r="BJ323" i="5"/>
  <c r="BJ325" i="5"/>
  <c r="U27" i="6"/>
  <c r="Z13" i="6"/>
  <c r="V18" i="6"/>
  <c r="BJ269" i="5"/>
  <c r="V13" i="6"/>
  <c r="V12" i="6"/>
  <c r="BJ318" i="5"/>
  <c r="BJ154" i="5"/>
  <c r="X16" i="6"/>
  <c r="Y16" i="6" s="1"/>
  <c r="BJ122" i="5"/>
  <c r="BJ262" i="5"/>
  <c r="BJ302" i="5"/>
  <c r="W20" i="6"/>
  <c r="Y20" i="6" s="1"/>
  <c r="BJ288" i="5"/>
  <c r="BJ126" i="5"/>
  <c r="BJ176" i="5"/>
  <c r="BJ90" i="5"/>
  <c r="BJ270" i="5"/>
  <c r="BJ322" i="5"/>
  <c r="BJ173" i="5"/>
  <c r="BJ144" i="5"/>
  <c r="BJ343" i="5"/>
  <c r="BJ287" i="5"/>
  <c r="BJ89" i="5"/>
  <c r="BG426" i="5"/>
  <c r="BJ107" i="5"/>
  <c r="BJ136" i="5"/>
  <c r="BJ85" i="5"/>
  <c r="BJ87" i="5"/>
  <c r="BJ99" i="5"/>
  <c r="BJ125" i="5"/>
  <c r="BJ88" i="5"/>
  <c r="BJ263" i="5"/>
  <c r="BJ133" i="5"/>
  <c r="BJ124" i="5"/>
  <c r="BJ320" i="5"/>
  <c r="BS337" i="5"/>
  <c r="BS130" i="5"/>
  <c r="BS281" i="5"/>
  <c r="BS93" i="5"/>
  <c r="BS208" i="5"/>
  <c r="BS123" i="5"/>
  <c r="BS144" i="5"/>
  <c r="BS86" i="5"/>
  <c r="BJ132" i="5"/>
  <c r="BJ319" i="5"/>
  <c r="BB248" i="5"/>
  <c r="BR248" i="5" s="1"/>
  <c r="BS248" i="5" s="1"/>
  <c r="BI248" i="5"/>
  <c r="BJ248" i="5" s="1"/>
  <c r="BS107" i="5"/>
  <c r="BB210" i="5"/>
  <c r="BI210" i="5"/>
  <c r="BJ210" i="5" s="1"/>
  <c r="BB249" i="5"/>
  <c r="BR249" i="5" s="1"/>
  <c r="BS249" i="5" s="1"/>
  <c r="BI249" i="5"/>
  <c r="BJ249" i="5" s="1"/>
  <c r="BJ91" i="5"/>
  <c r="BO426" i="5"/>
  <c r="Z330" i="5"/>
  <c r="Z96" i="5"/>
  <c r="BC93" i="5"/>
  <c r="Z318" i="5"/>
  <c r="Z91" i="5"/>
  <c r="Z326" i="5"/>
  <c r="AY426" i="5"/>
  <c r="AF426" i="5"/>
  <c r="Z289" i="5"/>
  <c r="Z89" i="5"/>
  <c r="Z262" i="5"/>
  <c r="Z137" i="5"/>
  <c r="Z133" i="5"/>
  <c r="Z319" i="5"/>
  <c r="Z100" i="5"/>
  <c r="Z266" i="5"/>
  <c r="Z270" i="5"/>
  <c r="Z124" i="5"/>
  <c r="Z346" i="5"/>
  <c r="AX211" i="5"/>
  <c r="Z125" i="5"/>
  <c r="Z325" i="5"/>
  <c r="Z90" i="5"/>
  <c r="Z264" i="5"/>
  <c r="BC86" i="5"/>
  <c r="Z249" i="5"/>
  <c r="Z344" i="5"/>
  <c r="Z122" i="5"/>
  <c r="Z92" i="5"/>
  <c r="Z129" i="5"/>
  <c r="Z85" i="5"/>
  <c r="Z87" i="5"/>
  <c r="Z322" i="5"/>
  <c r="F42" i="6"/>
  <c r="Z136" i="5"/>
  <c r="Z288" i="5"/>
  <c r="Z88" i="5"/>
  <c r="Z267" i="5"/>
  <c r="Z175" i="5"/>
  <c r="Z210" i="5"/>
  <c r="Z320" i="5"/>
  <c r="BC123" i="5"/>
  <c r="Z132" i="5"/>
  <c r="Z287" i="5"/>
  <c r="AL107" i="5"/>
  <c r="F40" i="6"/>
  <c r="Z95" i="5"/>
  <c r="Z127" i="5"/>
  <c r="Z345" i="5"/>
  <c r="AX210" i="5"/>
  <c r="Z269" i="5"/>
  <c r="Z323" i="5"/>
  <c r="Z99" i="5"/>
  <c r="AR267" i="5"/>
  <c r="BA267" i="5"/>
  <c r="BQ267" i="5" s="1"/>
  <c r="AR137" i="5"/>
  <c r="BA137" i="5"/>
  <c r="BQ137" i="5" s="1"/>
  <c r="AR133" i="5"/>
  <c r="BA133" i="5"/>
  <c r="BQ133" i="5" s="1"/>
  <c r="AR154" i="5"/>
  <c r="BA154" i="5"/>
  <c r="BQ154" i="5" s="1"/>
  <c r="AB16" i="6" s="1"/>
  <c r="AW231" i="5"/>
  <c r="Y231" i="5"/>
  <c r="AR323" i="5"/>
  <c r="BA323" i="5"/>
  <c r="BQ323" i="5" s="1"/>
  <c r="AX175" i="5"/>
  <c r="BB175" i="5"/>
  <c r="BR175" i="5" s="1"/>
  <c r="AL268" i="5"/>
  <c r="AZ268" i="5"/>
  <c r="BP268" i="5" s="1"/>
  <c r="AR201" i="5"/>
  <c r="BA201" i="5"/>
  <c r="BQ201" i="5" s="1"/>
  <c r="AR194" i="5"/>
  <c r="BA194" i="5"/>
  <c r="BQ194" i="5" s="1"/>
  <c r="AL233" i="5"/>
  <c r="AZ233" i="5"/>
  <c r="BP233" i="5" s="1"/>
  <c r="Z176" i="5"/>
  <c r="Z248" i="5"/>
  <c r="AQ271" i="5"/>
  <c r="X271" i="5"/>
  <c r="BH271" i="5" s="1"/>
  <c r="AX95" i="5"/>
  <c r="BB95" i="5"/>
  <c r="BR95" i="5" s="1"/>
  <c r="AR173" i="5"/>
  <c r="BA173" i="5"/>
  <c r="BQ173" i="5" s="1"/>
  <c r="AQ233" i="5"/>
  <c r="X233" i="5"/>
  <c r="BH233" i="5" s="1"/>
  <c r="AQ134" i="5"/>
  <c r="X134" i="5"/>
  <c r="BH134" i="5" s="1"/>
  <c r="Z274" i="5"/>
  <c r="AQ198" i="5"/>
  <c r="X198" i="5"/>
  <c r="BH198" i="5" s="1"/>
  <c r="AW230" i="5"/>
  <c r="Y230" i="5"/>
  <c r="AL271" i="5"/>
  <c r="AZ271" i="5"/>
  <c r="BP271" i="5" s="1"/>
  <c r="AX85" i="5"/>
  <c r="BB85" i="5"/>
  <c r="BR85" i="5" s="1"/>
  <c r="AW94" i="5"/>
  <c r="Y94" i="5"/>
  <c r="BI94" i="5" s="1"/>
  <c r="AX87" i="5"/>
  <c r="BB87" i="5"/>
  <c r="BR87" i="5" s="1"/>
  <c r="AR127" i="5"/>
  <c r="BA127" i="5"/>
  <c r="BQ127" i="5" s="1"/>
  <c r="AX248" i="5"/>
  <c r="AR326" i="5"/>
  <c r="BA326" i="5"/>
  <c r="BQ326" i="5" s="1"/>
  <c r="AQ324" i="5"/>
  <c r="X324" i="5"/>
  <c r="BH324" i="5" s="1"/>
  <c r="AX290" i="5"/>
  <c r="BB290" i="5"/>
  <c r="BR290" i="5" s="1"/>
  <c r="AX174" i="5"/>
  <c r="BB174" i="5"/>
  <c r="BR174" i="5" s="1"/>
  <c r="AQ188" i="5"/>
  <c r="X188" i="5"/>
  <c r="BH188" i="5" s="1"/>
  <c r="AR229" i="5"/>
  <c r="BA229" i="5"/>
  <c r="BQ229" i="5" s="1"/>
  <c r="AL272" i="5"/>
  <c r="AZ272" i="5"/>
  <c r="BP272" i="5" s="1"/>
  <c r="AR228" i="5"/>
  <c r="BA228" i="5"/>
  <c r="BQ228" i="5" s="1"/>
  <c r="AX267" i="5"/>
  <c r="BB267" i="5"/>
  <c r="BR267" i="5" s="1"/>
  <c r="AX274" i="5"/>
  <c r="BB274" i="5"/>
  <c r="BR274" i="5" s="1"/>
  <c r="AR190" i="5"/>
  <c r="BA190" i="5"/>
  <c r="BQ190" i="5" s="1"/>
  <c r="AR122" i="5"/>
  <c r="BA122" i="5"/>
  <c r="BQ122" i="5" s="1"/>
  <c r="AL225" i="5"/>
  <c r="AZ225" i="5"/>
  <c r="BP225" i="5" s="1"/>
  <c r="AX343" i="5"/>
  <c r="BB343" i="5"/>
  <c r="BR343" i="5" s="1"/>
  <c r="AL236" i="5"/>
  <c r="AZ236" i="5"/>
  <c r="BP236" i="5" s="1"/>
  <c r="AQ135" i="5"/>
  <c r="X135" i="5"/>
  <c r="BH135" i="5" s="1"/>
  <c r="AW234" i="5"/>
  <c r="Y234" i="5"/>
  <c r="AR129" i="5"/>
  <c r="BA129" i="5"/>
  <c r="BQ129" i="5" s="1"/>
  <c r="AX323" i="5"/>
  <c r="BB323" i="5"/>
  <c r="BR323" i="5" s="1"/>
  <c r="AR85" i="5"/>
  <c r="BA85" i="5"/>
  <c r="BQ85" i="5" s="1"/>
  <c r="AL329" i="5"/>
  <c r="AZ329" i="5"/>
  <c r="BP329" i="5" s="1"/>
  <c r="AW227" i="5"/>
  <c r="Y227" i="5"/>
  <c r="BI227" i="5" s="1"/>
  <c r="BJ227" i="5" s="1"/>
  <c r="AW235" i="5"/>
  <c r="Y235" i="5"/>
  <c r="Z290" i="5"/>
  <c r="AW194" i="5"/>
  <c r="Y194" i="5"/>
  <c r="Z174" i="5"/>
  <c r="AR322" i="5"/>
  <c r="BA322" i="5"/>
  <c r="BQ322" i="5" s="1"/>
  <c r="AX176" i="5"/>
  <c r="BB176" i="5"/>
  <c r="BR176" i="5" s="1"/>
  <c r="AW229" i="5"/>
  <c r="Y229" i="5"/>
  <c r="AW98" i="5"/>
  <c r="Y98" i="5"/>
  <c r="BI98" i="5" s="1"/>
  <c r="AR302" i="5"/>
  <c r="BA302" i="5"/>
  <c r="AR136" i="5"/>
  <c r="BA136" i="5"/>
  <c r="BQ136" i="5" s="1"/>
  <c r="AR288" i="5"/>
  <c r="BA288" i="5"/>
  <c r="BQ288" i="5" s="1"/>
  <c r="Z263" i="5"/>
  <c r="AR269" i="5"/>
  <c r="BA269" i="5"/>
  <c r="BQ269" i="5" s="1"/>
  <c r="AX89" i="5"/>
  <c r="BB89" i="5"/>
  <c r="BR89" i="5" s="1"/>
  <c r="AR234" i="5"/>
  <c r="BA234" i="5"/>
  <c r="BQ234" i="5" s="1"/>
  <c r="AX122" i="5"/>
  <c r="BB122" i="5"/>
  <c r="BR122" i="5" s="1"/>
  <c r="AQ200" i="5"/>
  <c r="X200" i="5"/>
  <c r="BH200" i="5" s="1"/>
  <c r="Z227" i="5"/>
  <c r="AX90" i="5"/>
  <c r="BB90" i="5"/>
  <c r="BR90" i="5" s="1"/>
  <c r="AR197" i="5"/>
  <c r="BA197" i="5"/>
  <c r="BQ197" i="5" s="1"/>
  <c r="AR176" i="5"/>
  <c r="BA176" i="5"/>
  <c r="BQ176" i="5" s="1"/>
  <c r="AL98" i="5"/>
  <c r="AZ98" i="5"/>
  <c r="BP98" i="5" s="1"/>
  <c r="AX264" i="5"/>
  <c r="BB264" i="5"/>
  <c r="BR264" i="5" s="1"/>
  <c r="AR320" i="5"/>
  <c r="BA320" i="5"/>
  <c r="BQ320" i="5" s="1"/>
  <c r="AX265" i="5"/>
  <c r="BB265" i="5"/>
  <c r="BR265" i="5" s="1"/>
  <c r="AW271" i="5"/>
  <c r="Y271" i="5"/>
  <c r="BI271" i="5" s="1"/>
  <c r="AR196" i="5"/>
  <c r="BA196" i="5"/>
  <c r="BQ196" i="5" s="1"/>
  <c r="AX326" i="5"/>
  <c r="BB326" i="5"/>
  <c r="BR326" i="5" s="1"/>
  <c r="Q229" i="10"/>
  <c r="AU233" i="5" s="1"/>
  <c r="AX128" i="5"/>
  <c r="BB128" i="5"/>
  <c r="BR128" i="5" s="1"/>
  <c r="AL199" i="5"/>
  <c r="AZ199" i="5"/>
  <c r="BP199" i="5" s="1"/>
  <c r="AW134" i="5"/>
  <c r="Y134" i="5"/>
  <c r="BI134" i="5" s="1"/>
  <c r="AR230" i="5"/>
  <c r="BA230" i="5"/>
  <c r="BQ230" i="5" s="1"/>
  <c r="AW197" i="5"/>
  <c r="Y197" i="5"/>
  <c r="AL94" i="5"/>
  <c r="AZ94" i="5"/>
  <c r="BP94" i="5" s="1"/>
  <c r="AQ327" i="5"/>
  <c r="X327" i="5"/>
  <c r="BH327" i="5" s="1"/>
  <c r="AX346" i="5"/>
  <c r="BB346" i="5"/>
  <c r="BR346" i="5" s="1"/>
  <c r="AL324" i="5"/>
  <c r="AZ324" i="5"/>
  <c r="BP324" i="5" s="1"/>
  <c r="AR290" i="5"/>
  <c r="BA290" i="5"/>
  <c r="BQ290" i="5" s="1"/>
  <c r="AW232" i="5"/>
  <c r="Y232" i="5"/>
  <c r="AR174" i="5"/>
  <c r="BA174" i="5"/>
  <c r="BQ174" i="5" s="1"/>
  <c r="AQ199" i="5"/>
  <c r="X199" i="5"/>
  <c r="BH199" i="5" s="1"/>
  <c r="Z343" i="5"/>
  <c r="AX320" i="5"/>
  <c r="BB320" i="5"/>
  <c r="BR320" i="5" s="1"/>
  <c r="AR263" i="5"/>
  <c r="BA263" i="5"/>
  <c r="BQ263" i="5" s="1"/>
  <c r="AQ273" i="5"/>
  <c r="X273" i="5"/>
  <c r="BH273" i="5" s="1"/>
  <c r="AQ187" i="5"/>
  <c r="X187" i="5"/>
  <c r="BH187" i="5" s="1"/>
  <c r="Q234" i="10"/>
  <c r="AU238" i="5" s="1"/>
  <c r="AR227" i="5"/>
  <c r="BA227" i="5"/>
  <c r="BQ227" i="5" s="1"/>
  <c r="AX92" i="5"/>
  <c r="BB92" i="5"/>
  <c r="BR92" i="5" s="1"/>
  <c r="AR99" i="5"/>
  <c r="BA99" i="5"/>
  <c r="BQ99" i="5" s="1"/>
  <c r="AQ131" i="5"/>
  <c r="X131" i="5"/>
  <c r="BH131" i="5" s="1"/>
  <c r="AR346" i="5"/>
  <c r="BA346" i="5"/>
  <c r="BQ346" i="5" s="1"/>
  <c r="Z126" i="5"/>
  <c r="AX173" i="5"/>
  <c r="BB173" i="5"/>
  <c r="BR173" i="5" s="1"/>
  <c r="AR191" i="5"/>
  <c r="BA191" i="5"/>
  <c r="BQ191" i="5" s="1"/>
  <c r="BB211" i="5"/>
  <c r="Z211" i="5"/>
  <c r="AX330" i="5"/>
  <c r="BB330" i="5"/>
  <c r="BR330" i="5" s="1"/>
  <c r="BC130" i="5"/>
  <c r="AQ272" i="5"/>
  <c r="X272" i="5"/>
  <c r="BH272" i="5" s="1"/>
  <c r="AW192" i="5"/>
  <c r="Y192" i="5"/>
  <c r="AR96" i="5"/>
  <c r="BA96" i="5"/>
  <c r="BQ96" i="5" s="1"/>
  <c r="AR265" i="5"/>
  <c r="BA265" i="5"/>
  <c r="BQ265" i="5" s="1"/>
  <c r="AX129" i="5"/>
  <c r="BB129" i="5"/>
  <c r="BR129" i="5" s="1"/>
  <c r="AR95" i="5"/>
  <c r="BA95" i="5"/>
  <c r="BQ95" i="5" s="1"/>
  <c r="AQ94" i="5"/>
  <c r="X94" i="5"/>
  <c r="BH94" i="5" s="1"/>
  <c r="BJ94" i="5" s="1"/>
  <c r="AR235" i="5"/>
  <c r="BA235" i="5"/>
  <c r="BQ235" i="5" s="1"/>
  <c r="AR175" i="5"/>
  <c r="BA175" i="5"/>
  <c r="BQ175" i="5" s="1"/>
  <c r="AX289" i="5"/>
  <c r="BB289" i="5"/>
  <c r="BR289" i="5" s="1"/>
  <c r="AR189" i="5"/>
  <c r="BA189" i="5"/>
  <c r="BQ189" i="5" s="1"/>
  <c r="AL131" i="5"/>
  <c r="AZ131" i="5"/>
  <c r="BP131" i="5" s="1"/>
  <c r="AX345" i="5"/>
  <c r="BB345" i="5"/>
  <c r="BR345" i="5" s="1"/>
  <c r="AW228" i="5"/>
  <c r="Y228" i="5"/>
  <c r="AX132" i="5"/>
  <c r="BB132" i="5"/>
  <c r="BR132" i="5" s="1"/>
  <c r="AX287" i="5"/>
  <c r="BB287" i="5"/>
  <c r="BR287" i="5" s="1"/>
  <c r="AR266" i="5"/>
  <c r="BA266" i="5"/>
  <c r="BQ266" i="5" s="1"/>
  <c r="AX319" i="5"/>
  <c r="BB319" i="5"/>
  <c r="BR319" i="5" s="1"/>
  <c r="AX269" i="5"/>
  <c r="BB269" i="5"/>
  <c r="BR269" i="5" s="1"/>
  <c r="AW196" i="5"/>
  <c r="Y196" i="5"/>
  <c r="AW189" i="5"/>
  <c r="Y189" i="5"/>
  <c r="AR321" i="5"/>
  <c r="BA321" i="5"/>
  <c r="BQ321" i="5" s="1"/>
  <c r="AX99" i="5"/>
  <c r="BB99" i="5"/>
  <c r="BR99" i="5" s="1"/>
  <c r="AW268" i="5"/>
  <c r="Y268" i="5"/>
  <c r="BI268" i="5" s="1"/>
  <c r="AW239" i="5"/>
  <c r="Y239" i="5"/>
  <c r="AL328" i="5"/>
  <c r="AZ328" i="5"/>
  <c r="BP328" i="5" s="1"/>
  <c r="AW191" i="5"/>
  <c r="Y191" i="5"/>
  <c r="AQ98" i="5"/>
  <c r="X98" i="5"/>
  <c r="BH98" i="5" s="1"/>
  <c r="BJ98" i="5" s="1"/>
  <c r="Q233" i="10"/>
  <c r="AU237" i="5" s="1"/>
  <c r="Z302" i="5"/>
  <c r="AX125" i="5"/>
  <c r="BB125" i="5"/>
  <c r="BR125" i="5" s="1"/>
  <c r="AR319" i="5"/>
  <c r="BA319" i="5"/>
  <c r="BQ319" i="5" s="1"/>
  <c r="Q221" i="10"/>
  <c r="AU225" i="5" s="1"/>
  <c r="W426" i="5"/>
  <c r="W3" i="5" s="1"/>
  <c r="AR318" i="5"/>
  <c r="BA318" i="5"/>
  <c r="BQ318" i="5" s="1"/>
  <c r="AR91" i="5"/>
  <c r="BA91" i="5"/>
  <c r="BQ91" i="5" s="1"/>
  <c r="AR274" i="5"/>
  <c r="BA274" i="5"/>
  <c r="BQ274" i="5" s="1"/>
  <c r="Q232" i="10"/>
  <c r="AU236" i="5" s="1"/>
  <c r="B37" i="6"/>
  <c r="B34" i="6" s="1"/>
  <c r="AR264" i="5"/>
  <c r="BA264" i="5"/>
  <c r="BQ264" i="5" s="1"/>
  <c r="AX266" i="5"/>
  <c r="BB266" i="5"/>
  <c r="BR266" i="5" s="1"/>
  <c r="AR193" i="5"/>
  <c r="BA193" i="5"/>
  <c r="BQ193" i="5" s="1"/>
  <c r="AX100" i="5"/>
  <c r="BB100" i="5"/>
  <c r="BR100" i="5" s="1"/>
  <c r="AR330" i="5"/>
  <c r="BA330" i="5"/>
  <c r="BQ330" i="5" s="1"/>
  <c r="AQ329" i="5"/>
  <c r="X329" i="5"/>
  <c r="BH329" i="5" s="1"/>
  <c r="AW324" i="5"/>
  <c r="Y324" i="5"/>
  <c r="BI324" i="5" s="1"/>
  <c r="AQ328" i="5"/>
  <c r="X328" i="5"/>
  <c r="BH328" i="5" s="1"/>
  <c r="Q222" i="10"/>
  <c r="AU226" i="5" s="1"/>
  <c r="Z128" i="5"/>
  <c r="AR345" i="5"/>
  <c r="BA345" i="5"/>
  <c r="BQ345" i="5" s="1"/>
  <c r="AX154" i="5"/>
  <c r="BB154" i="5"/>
  <c r="AL198" i="5"/>
  <c r="AZ198" i="5"/>
  <c r="BP198" i="5" s="1"/>
  <c r="AL238" i="5"/>
  <c r="AZ238" i="5"/>
  <c r="BP238" i="5" s="1"/>
  <c r="AR262" i="5"/>
  <c r="BA262" i="5"/>
  <c r="BQ262" i="5" s="1"/>
  <c r="AX127" i="5"/>
  <c r="BB127" i="5"/>
  <c r="BR127" i="5" s="1"/>
  <c r="AR90" i="5"/>
  <c r="BA90" i="5"/>
  <c r="BQ90" i="5" s="1"/>
  <c r="AX344" i="5"/>
  <c r="BB344" i="5"/>
  <c r="BR344" i="5" s="1"/>
  <c r="AX137" i="5"/>
  <c r="BB137" i="5"/>
  <c r="BR137" i="5" s="1"/>
  <c r="AQ97" i="5"/>
  <c r="X97" i="5"/>
  <c r="BH97" i="5" s="1"/>
  <c r="AW135" i="5"/>
  <c r="Y135" i="5"/>
  <c r="BI135" i="5" s="1"/>
  <c r="AX302" i="5"/>
  <c r="BB302" i="5"/>
  <c r="AX136" i="5"/>
  <c r="BB136" i="5"/>
  <c r="BR136" i="5" s="1"/>
  <c r="AX288" i="5"/>
  <c r="BB288" i="5"/>
  <c r="BR288" i="5" s="1"/>
  <c r="AX263" i="5"/>
  <c r="BB263" i="5"/>
  <c r="BR263" i="5" s="1"/>
  <c r="AQ236" i="5"/>
  <c r="X236" i="5"/>
  <c r="BH236" i="5" s="1"/>
  <c r="Z265" i="5"/>
  <c r="AR88" i="5"/>
  <c r="BA88" i="5"/>
  <c r="BQ88" i="5" s="1"/>
  <c r="AX270" i="5"/>
  <c r="BB270" i="5"/>
  <c r="BR270" i="5" s="1"/>
  <c r="AX124" i="5"/>
  <c r="BB124" i="5"/>
  <c r="BR124" i="5" s="1"/>
  <c r="AW329" i="5"/>
  <c r="Y329" i="5"/>
  <c r="BI329" i="5" s="1"/>
  <c r="AL187" i="5"/>
  <c r="AZ187" i="5"/>
  <c r="BP187" i="5" s="1"/>
  <c r="AL200" i="5"/>
  <c r="AZ200" i="5"/>
  <c r="BP200" i="5" s="1"/>
  <c r="AR289" i="5"/>
  <c r="BA289" i="5"/>
  <c r="BQ289" i="5" s="1"/>
  <c r="AX321" i="5"/>
  <c r="BB321" i="5"/>
  <c r="BR321" i="5" s="1"/>
  <c r="AR344" i="5"/>
  <c r="BA344" i="5"/>
  <c r="BQ344" i="5" s="1"/>
  <c r="AR239" i="5"/>
  <c r="BA239" i="5"/>
  <c r="BQ239" i="5" s="1"/>
  <c r="AW328" i="5"/>
  <c r="Y328" i="5"/>
  <c r="BI328" i="5" s="1"/>
  <c r="AR232" i="5"/>
  <c r="BA232" i="5"/>
  <c r="BQ232" i="5" s="1"/>
  <c r="AX322" i="5"/>
  <c r="BB322" i="5"/>
  <c r="BR322" i="5" s="1"/>
  <c r="AL195" i="5"/>
  <c r="AZ195" i="5"/>
  <c r="BP195" i="5" s="1"/>
  <c r="AQ226" i="5"/>
  <c r="X226" i="5"/>
  <c r="BH226" i="5" s="1"/>
  <c r="AR128" i="5"/>
  <c r="BA128" i="5"/>
  <c r="BQ128" i="5" s="1"/>
  <c r="AL134" i="5"/>
  <c r="AZ134" i="5"/>
  <c r="BP134" i="5" s="1"/>
  <c r="AL97" i="5"/>
  <c r="AZ97" i="5"/>
  <c r="BP97" i="5" s="1"/>
  <c r="AL135" i="5"/>
  <c r="AZ135" i="5"/>
  <c r="BP135" i="5" s="1"/>
  <c r="AX318" i="5"/>
  <c r="BB318" i="5"/>
  <c r="BR318" i="5" s="1"/>
  <c r="AX91" i="5"/>
  <c r="BB91" i="5"/>
  <c r="BR91" i="5" s="1"/>
  <c r="Z154" i="5"/>
  <c r="AL273" i="5"/>
  <c r="AZ273" i="5"/>
  <c r="BP273" i="5" s="1"/>
  <c r="AR92" i="5"/>
  <c r="BA92" i="5"/>
  <c r="BQ92" i="5" s="1"/>
  <c r="AW97" i="5"/>
  <c r="Y97" i="5"/>
  <c r="BI97" i="5" s="1"/>
  <c r="AX133" i="5"/>
  <c r="BB133" i="5"/>
  <c r="BR133" i="5" s="1"/>
  <c r="AW190" i="5"/>
  <c r="Y190" i="5"/>
  <c r="AR100" i="5"/>
  <c r="BA100" i="5"/>
  <c r="BQ100" i="5" s="1"/>
  <c r="AR270" i="5"/>
  <c r="BA270" i="5"/>
  <c r="BQ270" i="5" s="1"/>
  <c r="AR124" i="5"/>
  <c r="BA124" i="5"/>
  <c r="BQ124" i="5" s="1"/>
  <c r="AR87" i="5"/>
  <c r="BA87" i="5"/>
  <c r="BQ87" i="5" s="1"/>
  <c r="AW327" i="5"/>
  <c r="Y327" i="5"/>
  <c r="BI327" i="5" s="1"/>
  <c r="Z321" i="5"/>
  <c r="AQ268" i="5"/>
  <c r="X268" i="5"/>
  <c r="BH268" i="5" s="1"/>
  <c r="AX126" i="5"/>
  <c r="BB126" i="5"/>
  <c r="BR126" i="5" s="1"/>
  <c r="AW201" i="5"/>
  <c r="Y201" i="5"/>
  <c r="BI201" i="5" s="1"/>
  <c r="BJ201" i="5" s="1"/>
  <c r="AL188" i="5"/>
  <c r="AZ188" i="5"/>
  <c r="BP188" i="5" s="1"/>
  <c r="AQ237" i="5"/>
  <c r="X237" i="5"/>
  <c r="BH237" i="5" s="1"/>
  <c r="AX249" i="5"/>
  <c r="AR343" i="5"/>
  <c r="BA343" i="5"/>
  <c r="BQ343" i="5" s="1"/>
  <c r="AR192" i="5"/>
  <c r="BA192" i="5"/>
  <c r="BQ192" i="5" s="1"/>
  <c r="AR132" i="5"/>
  <c r="BA132" i="5"/>
  <c r="BQ132" i="5" s="1"/>
  <c r="AR287" i="5"/>
  <c r="BA287" i="5"/>
  <c r="BQ287" i="5" s="1"/>
  <c r="AW193" i="5"/>
  <c r="Y193" i="5"/>
  <c r="AX325" i="5"/>
  <c r="BB325" i="5"/>
  <c r="BR325" i="5" s="1"/>
  <c r="AW273" i="5"/>
  <c r="Y273" i="5"/>
  <c r="BI273" i="5" s="1"/>
  <c r="AQ225" i="5"/>
  <c r="X225" i="5"/>
  <c r="BH225" i="5" s="1"/>
  <c r="AQ238" i="5"/>
  <c r="X238" i="5"/>
  <c r="BH238" i="5" s="1"/>
  <c r="AX262" i="5"/>
  <c r="BB262" i="5"/>
  <c r="BR262" i="5" s="1"/>
  <c r="AL327" i="5"/>
  <c r="AZ327" i="5"/>
  <c r="BP327" i="5" s="1"/>
  <c r="AW131" i="5"/>
  <c r="Y131" i="5"/>
  <c r="BI131" i="5" s="1"/>
  <c r="AR126" i="5"/>
  <c r="BA126" i="5"/>
  <c r="BQ126" i="5" s="1"/>
  <c r="Z201" i="5"/>
  <c r="AL237" i="5"/>
  <c r="AZ237" i="5"/>
  <c r="BP237" i="5" s="1"/>
  <c r="AX96" i="5"/>
  <c r="BB96" i="5"/>
  <c r="BR96" i="5" s="1"/>
  <c r="AR125" i="5"/>
  <c r="BA125" i="5"/>
  <c r="BQ125" i="5" s="1"/>
  <c r="AR231" i="5"/>
  <c r="BA231" i="5"/>
  <c r="BQ231" i="5" s="1"/>
  <c r="AX88" i="5"/>
  <c r="BB88" i="5"/>
  <c r="BR88" i="5" s="1"/>
  <c r="AR89" i="5"/>
  <c r="BA89" i="5"/>
  <c r="BQ89" i="5" s="1"/>
  <c r="AR325" i="5"/>
  <c r="BA325" i="5"/>
  <c r="BQ325" i="5" s="1"/>
  <c r="B41" i="6"/>
  <c r="B39" i="6" s="1"/>
  <c r="Z173" i="5"/>
  <c r="AQ195" i="5"/>
  <c r="X195" i="5"/>
  <c r="BH195" i="5" s="1"/>
  <c r="AL226" i="5"/>
  <c r="AZ226" i="5"/>
  <c r="BP226" i="5" s="1"/>
  <c r="AW272" i="5"/>
  <c r="Y272" i="5"/>
  <c r="BI272" i="5" s="1"/>
  <c r="AL144" i="5"/>
  <c r="Y208" i="5"/>
  <c r="BI208" i="5" s="1"/>
  <c r="BJ208" i="5" s="1"/>
  <c r="AW246" i="5"/>
  <c r="Y246" i="5"/>
  <c r="BI246" i="5" s="1"/>
  <c r="BJ246" i="5" s="1"/>
  <c r="BC144" i="5"/>
  <c r="BC281" i="5"/>
  <c r="BC208" i="5"/>
  <c r="BC107" i="5"/>
  <c r="BC337" i="5"/>
  <c r="P9" i="6"/>
  <c r="P10" i="6"/>
  <c r="Z144" i="5"/>
  <c r="Z337" i="5"/>
  <c r="Z107" i="5"/>
  <c r="AX281" i="5"/>
  <c r="Z281" i="5"/>
  <c r="AR208" i="5"/>
  <c r="AR107" i="5"/>
  <c r="AX144" i="5"/>
  <c r="AR281" i="5"/>
  <c r="AR144" i="5"/>
  <c r="AX337" i="5"/>
  <c r="AX107" i="5"/>
  <c r="AR337" i="5"/>
  <c r="L10" i="6"/>
  <c r="H10" i="6"/>
  <c r="R10" i="6"/>
  <c r="D8" i="6"/>
  <c r="R15" i="6"/>
  <c r="P15" i="6"/>
  <c r="L15" i="6"/>
  <c r="H15" i="6"/>
  <c r="P22" i="6"/>
  <c r="H9" i="6"/>
  <c r="S10" i="6"/>
  <c r="D10" i="6"/>
  <c r="S24" i="6"/>
  <c r="T24" i="6" s="1"/>
  <c r="D24" i="6"/>
  <c r="S9" i="6"/>
  <c r="T9" i="6" s="1"/>
  <c r="D9" i="6"/>
  <c r="D23" i="6"/>
  <c r="S23" i="6"/>
  <c r="T23" i="6" s="1"/>
  <c r="X8" i="5"/>
  <c r="BH8" i="5" s="1"/>
  <c r="W8" i="6" s="1"/>
  <c r="AQ8" i="5"/>
  <c r="BS290" i="5" l="1"/>
  <c r="BS175" i="5"/>
  <c r="BC248" i="5"/>
  <c r="W18" i="6"/>
  <c r="W13" i="6"/>
  <c r="BJ324" i="5"/>
  <c r="AA21" i="6"/>
  <c r="BJ328" i="5"/>
  <c r="AA17" i="6"/>
  <c r="BJ97" i="5"/>
  <c r="BJ135" i="5"/>
  <c r="BJ271" i="5"/>
  <c r="X12" i="6"/>
  <c r="V27" i="6"/>
  <c r="AA18" i="6"/>
  <c r="X21" i="6"/>
  <c r="AA19" i="6"/>
  <c r="W21" i="6"/>
  <c r="W12" i="6"/>
  <c r="W17" i="6"/>
  <c r="AA13" i="6"/>
  <c r="X13" i="6"/>
  <c r="W19" i="6"/>
  <c r="BJ268" i="5"/>
  <c r="AA12" i="6"/>
  <c r="Z27" i="6"/>
  <c r="BJ327" i="5"/>
  <c r="X17" i="6"/>
  <c r="BJ329" i="5"/>
  <c r="BJ131" i="5"/>
  <c r="BJ134" i="5"/>
  <c r="BJ272" i="5"/>
  <c r="BS343" i="5"/>
  <c r="BS274" i="5"/>
  <c r="BS345" i="5"/>
  <c r="BS320" i="5"/>
  <c r="BS128" i="5"/>
  <c r="BS125" i="5"/>
  <c r="BS174" i="5"/>
  <c r="BS90" i="5"/>
  <c r="BS176" i="5"/>
  <c r="BS323" i="5"/>
  <c r="BS319" i="5"/>
  <c r="BS264" i="5"/>
  <c r="BS126" i="5"/>
  <c r="BS87" i="5"/>
  <c r="BS265" i="5"/>
  <c r="BS326" i="5"/>
  <c r="BS137" i="5"/>
  <c r="BS325" i="5"/>
  <c r="BS124" i="5"/>
  <c r="BS96" i="5"/>
  <c r="BS344" i="5"/>
  <c r="BS91" i="5"/>
  <c r="BS322" i="5"/>
  <c r="BS346" i="5"/>
  <c r="BS288" i="5"/>
  <c r="BS85" i="5"/>
  <c r="BS122" i="5"/>
  <c r="BS267" i="5"/>
  <c r="BS263" i="5"/>
  <c r="BS89" i="5"/>
  <c r="BS88" i="5"/>
  <c r="BS127" i="5"/>
  <c r="BS132" i="5"/>
  <c r="BS270" i="5"/>
  <c r="BS262" i="5"/>
  <c r="BS321" i="5"/>
  <c r="BS95" i="5"/>
  <c r="BS136" i="5"/>
  <c r="BS287" i="5"/>
  <c r="BS100" i="5"/>
  <c r="BS330" i="5"/>
  <c r="BS318" i="5"/>
  <c r="BS266" i="5"/>
  <c r="BS99" i="5"/>
  <c r="BS129" i="5"/>
  <c r="BS173" i="5"/>
  <c r="BS133" i="5"/>
  <c r="BS92" i="5"/>
  <c r="BS289" i="5"/>
  <c r="BS269" i="5"/>
  <c r="Z228" i="5"/>
  <c r="BI228" i="5"/>
  <c r="BJ228" i="5" s="1"/>
  <c r="Z192" i="5"/>
  <c r="BI192" i="5"/>
  <c r="BJ192" i="5" s="1"/>
  <c r="BP426" i="5"/>
  <c r="Z235" i="5"/>
  <c r="BI235" i="5"/>
  <c r="BJ235" i="5" s="1"/>
  <c r="Z194" i="5"/>
  <c r="BI194" i="5"/>
  <c r="BJ194" i="5" s="1"/>
  <c r="O16" i="6"/>
  <c r="BR154" i="5"/>
  <c r="Z229" i="5"/>
  <c r="BI229" i="5"/>
  <c r="BJ229" i="5" s="1"/>
  <c r="BC211" i="5"/>
  <c r="BR211" i="5"/>
  <c r="BS211" i="5" s="1"/>
  <c r="Z230" i="5"/>
  <c r="BI230" i="5"/>
  <c r="BJ230" i="5" s="1"/>
  <c r="Z231" i="5"/>
  <c r="BI231" i="5"/>
  <c r="BJ231" i="5" s="1"/>
  <c r="BH426" i="5"/>
  <c r="O20" i="6"/>
  <c r="P20" i="6" s="1"/>
  <c r="BR302" i="5"/>
  <c r="AC20" i="6" s="1"/>
  <c r="Z239" i="5"/>
  <c r="BI239" i="5"/>
  <c r="BJ239" i="5" s="1"/>
  <c r="Z189" i="5"/>
  <c r="BI189" i="5"/>
  <c r="BJ189" i="5" s="1"/>
  <c r="Z197" i="5"/>
  <c r="BI197" i="5"/>
  <c r="BJ197" i="5" s="1"/>
  <c r="K20" i="6"/>
  <c r="L20" i="6" s="1"/>
  <c r="BQ302" i="5"/>
  <c r="AB20" i="6" s="1"/>
  <c r="AD20" i="6" s="1"/>
  <c r="BJ273" i="5"/>
  <c r="BC249" i="5"/>
  <c r="BC210" i="5"/>
  <c r="BR210" i="5"/>
  <c r="BS210" i="5" s="1"/>
  <c r="Z191" i="5"/>
  <c r="BI191" i="5"/>
  <c r="BJ191" i="5" s="1"/>
  <c r="Z232" i="5"/>
  <c r="BI232" i="5"/>
  <c r="BJ232" i="5" s="1"/>
  <c r="Z193" i="5"/>
  <c r="BI193" i="5"/>
  <c r="BJ193" i="5" s="1"/>
  <c r="Z190" i="5"/>
  <c r="BI190" i="5"/>
  <c r="BJ190" i="5" s="1"/>
  <c r="Z196" i="5"/>
  <c r="BI196" i="5"/>
  <c r="BJ196" i="5" s="1"/>
  <c r="Z234" i="5"/>
  <c r="BI234" i="5"/>
  <c r="BJ234" i="5" s="1"/>
  <c r="BC176" i="5"/>
  <c r="J35" i="6"/>
  <c r="AZ426" i="5"/>
  <c r="BC264" i="5"/>
  <c r="AL426" i="5"/>
  <c r="BC128" i="5"/>
  <c r="Z98" i="5"/>
  <c r="Z135" i="5"/>
  <c r="F41" i="6"/>
  <c r="F39" i="6" s="1"/>
  <c r="BC175" i="5"/>
  <c r="BC290" i="5"/>
  <c r="F37" i="6"/>
  <c r="F34" i="6" s="1"/>
  <c r="BC92" i="5"/>
  <c r="Z97" i="5"/>
  <c r="Z94" i="5"/>
  <c r="BC323" i="5"/>
  <c r="BC126" i="5"/>
  <c r="BC90" i="5"/>
  <c r="Z271" i="5"/>
  <c r="BC87" i="5"/>
  <c r="Z327" i="5"/>
  <c r="BC89" i="5"/>
  <c r="BC320" i="5"/>
  <c r="BC95" i="5"/>
  <c r="BC343" i="5"/>
  <c r="BC270" i="5"/>
  <c r="BC330" i="5"/>
  <c r="BC266" i="5"/>
  <c r="BC129" i="5"/>
  <c r="BC325" i="5"/>
  <c r="BC274" i="5"/>
  <c r="BC346" i="5"/>
  <c r="BC263" i="5"/>
  <c r="BC267" i="5"/>
  <c r="BC132" i="5"/>
  <c r="BC318" i="5"/>
  <c r="J42" i="6"/>
  <c r="N42" i="6"/>
  <c r="BC96" i="5"/>
  <c r="BC133" i="5"/>
  <c r="Z272" i="5"/>
  <c r="BC125" i="5"/>
  <c r="Z329" i="5"/>
  <c r="N40" i="6"/>
  <c r="BC321" i="5"/>
  <c r="Z324" i="5"/>
  <c r="BC99" i="5"/>
  <c r="BC287" i="5"/>
  <c r="BC344" i="5"/>
  <c r="BC289" i="5"/>
  <c r="BC88" i="5"/>
  <c r="BC262" i="5"/>
  <c r="BC91" i="5"/>
  <c r="BC136" i="5"/>
  <c r="BC326" i="5"/>
  <c r="J40" i="6"/>
  <c r="AX135" i="5"/>
  <c r="BB135" i="5"/>
  <c r="BR135" i="5" s="1"/>
  <c r="AW187" i="5"/>
  <c r="Y187" i="5"/>
  <c r="AX189" i="5"/>
  <c r="BB189" i="5"/>
  <c r="AX229" i="5"/>
  <c r="BB229" i="5"/>
  <c r="AX227" i="5"/>
  <c r="BB227" i="5"/>
  <c r="AR188" i="5"/>
  <c r="BA188" i="5"/>
  <c r="BQ188" i="5" s="1"/>
  <c r="AX272" i="5"/>
  <c r="BB272" i="5"/>
  <c r="BR272" i="5" s="1"/>
  <c r="AR195" i="5"/>
  <c r="BA195" i="5"/>
  <c r="BQ195" i="5" s="1"/>
  <c r="AR238" i="5"/>
  <c r="BA238" i="5"/>
  <c r="BQ238" i="5" s="1"/>
  <c r="AX273" i="5"/>
  <c r="BB273" i="5"/>
  <c r="BR273" i="5" s="1"/>
  <c r="AX193" i="5"/>
  <c r="BB193" i="5"/>
  <c r="AR226" i="5"/>
  <c r="BA226" i="5"/>
  <c r="BQ226" i="5" s="1"/>
  <c r="AW188" i="5"/>
  <c r="Y188" i="5"/>
  <c r="AR328" i="5"/>
  <c r="BA328" i="5"/>
  <c r="BQ328" i="5" s="1"/>
  <c r="AW225" i="5"/>
  <c r="Y225" i="5"/>
  <c r="AR98" i="5"/>
  <c r="BA98" i="5"/>
  <c r="BQ98" i="5" s="1"/>
  <c r="AR94" i="5"/>
  <c r="BA94" i="5"/>
  <c r="BQ94" i="5" s="1"/>
  <c r="Z134" i="5"/>
  <c r="AR233" i="5"/>
  <c r="BA233" i="5"/>
  <c r="BQ233" i="5" s="1"/>
  <c r="AR271" i="5"/>
  <c r="BA271" i="5"/>
  <c r="BQ271" i="5" s="1"/>
  <c r="BC122" i="5"/>
  <c r="Z328" i="5"/>
  <c r="AX324" i="5"/>
  <c r="BB324" i="5"/>
  <c r="BR324" i="5" s="1"/>
  <c r="AR272" i="5"/>
  <c r="BA272" i="5"/>
  <c r="BQ272" i="5" s="1"/>
  <c r="AR131" i="5"/>
  <c r="BA131" i="5"/>
  <c r="BQ131" i="5" s="1"/>
  <c r="AW238" i="5"/>
  <c r="Y238" i="5"/>
  <c r="AR273" i="5"/>
  <c r="BA273" i="5"/>
  <c r="BQ273" i="5" s="1"/>
  <c r="AW233" i="5"/>
  <c r="Y233" i="5"/>
  <c r="AR236" i="5"/>
  <c r="BA236" i="5"/>
  <c r="BQ236" i="5" s="1"/>
  <c r="BC345" i="5"/>
  <c r="AW226" i="5"/>
  <c r="Y226" i="5"/>
  <c r="AR329" i="5"/>
  <c r="BA329" i="5"/>
  <c r="BQ329" i="5" s="1"/>
  <c r="AW198" i="5"/>
  <c r="Y198" i="5"/>
  <c r="AW199" i="5"/>
  <c r="Y199" i="5"/>
  <c r="AX268" i="5"/>
  <c r="BB268" i="5"/>
  <c r="BR268" i="5" s="1"/>
  <c r="BC265" i="5"/>
  <c r="AR187" i="5"/>
  <c r="BA187" i="5"/>
  <c r="BQ187" i="5" s="1"/>
  <c r="AR199" i="5"/>
  <c r="BA199" i="5"/>
  <c r="BQ199" i="5" s="1"/>
  <c r="AX232" i="5"/>
  <c r="BB232" i="5"/>
  <c r="AR327" i="5"/>
  <c r="BA327" i="5"/>
  <c r="BQ327" i="5" s="1"/>
  <c r="AX197" i="5"/>
  <c r="BB197" i="5"/>
  <c r="AX134" i="5"/>
  <c r="BB134" i="5"/>
  <c r="BR134" i="5" s="1"/>
  <c r="BC288" i="5"/>
  <c r="AX98" i="5"/>
  <c r="BB98" i="5"/>
  <c r="BR98" i="5" s="1"/>
  <c r="AX235" i="5"/>
  <c r="BB235" i="5"/>
  <c r="AX234" i="5"/>
  <c r="BB234" i="5"/>
  <c r="AR135" i="5"/>
  <c r="BA135" i="5"/>
  <c r="BQ135" i="5" s="1"/>
  <c r="AR324" i="5"/>
  <c r="BA324" i="5"/>
  <c r="BQ324" i="5" s="1"/>
  <c r="BC127" i="5"/>
  <c r="AR198" i="5"/>
  <c r="BA198" i="5"/>
  <c r="BQ198" i="5" s="1"/>
  <c r="AR134" i="5"/>
  <c r="BA134" i="5"/>
  <c r="BQ134" i="5" s="1"/>
  <c r="BS134" i="5" s="1"/>
  <c r="BC173" i="5"/>
  <c r="AX231" i="5"/>
  <c r="BB231" i="5"/>
  <c r="K16" i="6"/>
  <c r="BC154" i="5"/>
  <c r="AR237" i="5"/>
  <c r="BA237" i="5"/>
  <c r="BQ237" i="5" s="1"/>
  <c r="AX201" i="5"/>
  <c r="BB201" i="5"/>
  <c r="AR268" i="5"/>
  <c r="BA268" i="5"/>
  <c r="BQ268" i="5" s="1"/>
  <c r="BS268" i="5" s="1"/>
  <c r="AX327" i="5"/>
  <c r="BB327" i="5"/>
  <c r="BR327" i="5" s="1"/>
  <c r="AX329" i="5"/>
  <c r="BB329" i="5"/>
  <c r="BR329" i="5" s="1"/>
  <c r="AX328" i="5"/>
  <c r="BB328" i="5"/>
  <c r="BR328" i="5" s="1"/>
  <c r="AX131" i="5"/>
  <c r="BB131" i="5"/>
  <c r="BR131" i="5" s="1"/>
  <c r="AR225" i="5"/>
  <c r="BA225" i="5"/>
  <c r="BQ225" i="5" s="1"/>
  <c r="Z268" i="5"/>
  <c r="BC124" i="5"/>
  <c r="BC100" i="5"/>
  <c r="AX190" i="5"/>
  <c r="BB190" i="5"/>
  <c r="AX97" i="5"/>
  <c r="BB97" i="5"/>
  <c r="BR97" i="5" s="1"/>
  <c r="AR97" i="5"/>
  <c r="BA97" i="5"/>
  <c r="BQ97" i="5" s="1"/>
  <c r="AW236" i="5"/>
  <c r="Y236" i="5"/>
  <c r="BC319" i="5"/>
  <c r="AW237" i="5"/>
  <c r="Y237" i="5"/>
  <c r="AX191" i="5"/>
  <c r="BB191" i="5"/>
  <c r="AX239" i="5"/>
  <c r="BB239" i="5"/>
  <c r="AX196" i="5"/>
  <c r="BB196" i="5"/>
  <c r="AX228" i="5"/>
  <c r="BB228" i="5"/>
  <c r="AX192" i="5"/>
  <c r="BB192" i="5"/>
  <c r="Z131" i="5"/>
  <c r="AW200" i="5"/>
  <c r="Y200" i="5"/>
  <c r="Z273" i="5"/>
  <c r="BC174" i="5"/>
  <c r="AW195" i="5"/>
  <c r="Y195" i="5"/>
  <c r="AX271" i="5"/>
  <c r="BB271" i="5"/>
  <c r="BR271" i="5" s="1"/>
  <c r="AR200" i="5"/>
  <c r="BA200" i="5"/>
  <c r="BQ200" i="5" s="1"/>
  <c r="BC269" i="5"/>
  <c r="BC322" i="5"/>
  <c r="AX194" i="5"/>
  <c r="BB194" i="5"/>
  <c r="BC85" i="5"/>
  <c r="BC302" i="5"/>
  <c r="AX94" i="5"/>
  <c r="BB94" i="5"/>
  <c r="BR94" i="5" s="1"/>
  <c r="AX230" i="5"/>
  <c r="BB230" i="5"/>
  <c r="BC137" i="5"/>
  <c r="Z208" i="5"/>
  <c r="AX208" i="5"/>
  <c r="Z246" i="5"/>
  <c r="AX246" i="5"/>
  <c r="BB246" i="5"/>
  <c r="BR246" i="5" s="1"/>
  <c r="BS246" i="5" s="1"/>
  <c r="T10" i="6"/>
  <c r="X426" i="5"/>
  <c r="X3" i="5" s="1"/>
  <c r="R11" i="6"/>
  <c r="P11" i="6"/>
  <c r="L11" i="6"/>
  <c r="R20" i="6"/>
  <c r="H22" i="6"/>
  <c r="R22" i="6"/>
  <c r="H11" i="6"/>
  <c r="H20" i="6"/>
  <c r="Y8" i="5"/>
  <c r="BI8" i="5" s="1"/>
  <c r="AW8" i="5"/>
  <c r="AR8" i="5"/>
  <c r="BA8" i="5"/>
  <c r="BQ8" i="5" s="1"/>
  <c r="AB8" i="6" s="1"/>
  <c r="H8" i="6"/>
  <c r="Y13" i="6" l="1"/>
  <c r="AC12" i="6"/>
  <c r="AB13" i="6"/>
  <c r="AB17" i="6"/>
  <c r="AB12" i="6"/>
  <c r="Y12" i="6"/>
  <c r="AC21" i="6"/>
  <c r="Y21" i="6"/>
  <c r="BJ8" i="5"/>
  <c r="X8" i="6"/>
  <c r="AA27" i="6"/>
  <c r="Y17" i="6"/>
  <c r="AC13" i="6"/>
  <c r="AD13" i="6" s="1"/>
  <c r="AB18" i="6"/>
  <c r="AC17" i="6"/>
  <c r="AB21" i="6"/>
  <c r="AB19" i="6"/>
  <c r="W27" i="6"/>
  <c r="BS154" i="5"/>
  <c r="AC16" i="6"/>
  <c r="AD16" i="6" s="1"/>
  <c r="BS272" i="5"/>
  <c r="BS327" i="5"/>
  <c r="BS273" i="5"/>
  <c r="BS97" i="5"/>
  <c r="BS324" i="5"/>
  <c r="BS135" i="5"/>
  <c r="BS98" i="5"/>
  <c r="BS131" i="5"/>
  <c r="BS271" i="5"/>
  <c r="BS94" i="5"/>
  <c r="BS329" i="5"/>
  <c r="BS328" i="5"/>
  <c r="BC196" i="5"/>
  <c r="BR196" i="5"/>
  <c r="BS196" i="5" s="1"/>
  <c r="Z236" i="5"/>
  <c r="BI236" i="5"/>
  <c r="BJ236" i="5" s="1"/>
  <c r="BC239" i="5"/>
  <c r="BR239" i="5"/>
  <c r="BS239" i="5" s="1"/>
  <c r="BC234" i="5"/>
  <c r="BR234" i="5"/>
  <c r="BS234" i="5" s="1"/>
  <c r="Z198" i="5"/>
  <c r="BI198" i="5"/>
  <c r="BJ198" i="5" s="1"/>
  <c r="Z225" i="5"/>
  <c r="BI225" i="5"/>
  <c r="BC193" i="5"/>
  <c r="BR193" i="5"/>
  <c r="BS193" i="5" s="1"/>
  <c r="BC189" i="5"/>
  <c r="BR189" i="5"/>
  <c r="BS189" i="5" s="1"/>
  <c r="BC197" i="5"/>
  <c r="BR197" i="5"/>
  <c r="BS197" i="5" s="1"/>
  <c r="Z233" i="5"/>
  <c r="BI233" i="5"/>
  <c r="BJ233" i="5" s="1"/>
  <c r="Z199" i="5"/>
  <c r="BI199" i="5"/>
  <c r="BJ199" i="5" s="1"/>
  <c r="BC201" i="5"/>
  <c r="BR201" i="5"/>
  <c r="BS201" i="5" s="1"/>
  <c r="BQ426" i="5"/>
  <c r="Z200" i="5"/>
  <c r="BI200" i="5"/>
  <c r="BJ200" i="5" s="1"/>
  <c r="BC192" i="5"/>
  <c r="BR192" i="5"/>
  <c r="BS192" i="5" s="1"/>
  <c r="BC191" i="5"/>
  <c r="BR191" i="5"/>
  <c r="BS191" i="5" s="1"/>
  <c r="BC235" i="5"/>
  <c r="BR235" i="5"/>
  <c r="BS235" i="5" s="1"/>
  <c r="Z187" i="5"/>
  <c r="BI187" i="5"/>
  <c r="BC194" i="5"/>
  <c r="BR194" i="5"/>
  <c r="BS194" i="5" s="1"/>
  <c r="Z195" i="5"/>
  <c r="BI195" i="5"/>
  <c r="BJ195" i="5" s="1"/>
  <c r="Z237" i="5"/>
  <c r="BI237" i="5"/>
  <c r="BJ237" i="5" s="1"/>
  <c r="BC231" i="5"/>
  <c r="BR231" i="5"/>
  <c r="BS231" i="5" s="1"/>
  <c r="Z226" i="5"/>
  <c r="BI226" i="5"/>
  <c r="BJ226" i="5" s="1"/>
  <c r="Z188" i="5"/>
  <c r="BI188" i="5"/>
  <c r="BJ188" i="5" s="1"/>
  <c r="BC227" i="5"/>
  <c r="BR227" i="5"/>
  <c r="BS227" i="5" s="1"/>
  <c r="BC228" i="5"/>
  <c r="BR228" i="5"/>
  <c r="BS228" i="5" s="1"/>
  <c r="BC230" i="5"/>
  <c r="BR230" i="5"/>
  <c r="BS230" i="5" s="1"/>
  <c r="BC190" i="5"/>
  <c r="BR190" i="5"/>
  <c r="BS190" i="5" s="1"/>
  <c r="BC232" i="5"/>
  <c r="BR232" i="5"/>
  <c r="BS232" i="5" s="1"/>
  <c r="Z238" i="5"/>
  <c r="BI238" i="5"/>
  <c r="BJ238" i="5" s="1"/>
  <c r="BS302" i="5"/>
  <c r="BC229" i="5"/>
  <c r="BR229" i="5"/>
  <c r="BS229" i="5" s="1"/>
  <c r="BC134" i="5"/>
  <c r="BC273" i="5"/>
  <c r="N35" i="6"/>
  <c r="J37" i="6"/>
  <c r="J34" i="6" s="1"/>
  <c r="K8" i="6"/>
  <c r="L8" i="6" s="1"/>
  <c r="BA426" i="5"/>
  <c r="AR426" i="5"/>
  <c r="N37" i="6"/>
  <c r="BC97" i="5"/>
  <c r="R19" i="6"/>
  <c r="BC135" i="5"/>
  <c r="K12" i="6"/>
  <c r="K18" i="6"/>
  <c r="K13" i="6"/>
  <c r="O12" i="6"/>
  <c r="K21" i="6"/>
  <c r="O21" i="6"/>
  <c r="BC131" i="5"/>
  <c r="J41" i="6"/>
  <c r="J39" i="6" s="1"/>
  <c r="BC327" i="5"/>
  <c r="BC272" i="5"/>
  <c r="BC324" i="5"/>
  <c r="O17" i="6"/>
  <c r="AX233" i="5"/>
  <c r="BB233" i="5"/>
  <c r="AX238" i="5"/>
  <c r="BB238" i="5"/>
  <c r="O13" i="6"/>
  <c r="AX195" i="5"/>
  <c r="BB195" i="5"/>
  <c r="AX198" i="5"/>
  <c r="BB198" i="5"/>
  <c r="AX226" i="5"/>
  <c r="BB226" i="5"/>
  <c r="BC98" i="5"/>
  <c r="BC328" i="5"/>
  <c r="AX187" i="5"/>
  <c r="BB187" i="5"/>
  <c r="BR187" i="5" s="1"/>
  <c r="BS187" i="5" s="1"/>
  <c r="AX225" i="5"/>
  <c r="BB225" i="5"/>
  <c r="AX188" i="5"/>
  <c r="BB188" i="5"/>
  <c r="AX200" i="5"/>
  <c r="BB200" i="5"/>
  <c r="K19" i="6"/>
  <c r="L19" i="6" s="1"/>
  <c r="BC268" i="5"/>
  <c r="BC329" i="5"/>
  <c r="BC271" i="5"/>
  <c r="BC94" i="5"/>
  <c r="K17" i="6"/>
  <c r="AX237" i="5"/>
  <c r="BB237" i="5"/>
  <c r="AX236" i="5"/>
  <c r="BB236" i="5"/>
  <c r="AX199" i="5"/>
  <c r="BB199" i="5"/>
  <c r="BC246" i="5"/>
  <c r="Y426" i="5"/>
  <c r="Y3" i="5" s="1"/>
  <c r="P16" i="6"/>
  <c r="L16" i="6"/>
  <c r="R16" i="6"/>
  <c r="H16" i="6"/>
  <c r="L22" i="6"/>
  <c r="S22" i="6"/>
  <c r="T22" i="6" s="1"/>
  <c r="H19" i="6"/>
  <c r="Z8" i="5"/>
  <c r="AX8" i="5"/>
  <c r="BB8" i="5"/>
  <c r="BR8" i="5" s="1"/>
  <c r="AD17" i="6" l="1"/>
  <c r="AD12" i="6"/>
  <c r="AD21" i="6"/>
  <c r="AB27" i="6"/>
  <c r="BJ225" i="5"/>
  <c r="X19" i="6"/>
  <c r="Y19" i="6" s="1"/>
  <c r="Y8" i="6"/>
  <c r="BS8" i="5"/>
  <c r="AC8" i="6"/>
  <c r="BJ187" i="5"/>
  <c r="BJ426" i="5" s="1"/>
  <c r="X18" i="6"/>
  <c r="Y18" i="6" s="1"/>
  <c r="BC233" i="5"/>
  <c r="BR233" i="5"/>
  <c r="BS233" i="5" s="1"/>
  <c r="BC188" i="5"/>
  <c r="BR188" i="5"/>
  <c r="BS188" i="5" s="1"/>
  <c r="BC226" i="5"/>
  <c r="BR226" i="5"/>
  <c r="BS226" i="5" s="1"/>
  <c r="BC199" i="5"/>
  <c r="BR199" i="5"/>
  <c r="BS199" i="5" s="1"/>
  <c r="BC225" i="5"/>
  <c r="BR225" i="5"/>
  <c r="BC198" i="5"/>
  <c r="BR198" i="5"/>
  <c r="BS198" i="5" s="1"/>
  <c r="BC236" i="5"/>
  <c r="BR236" i="5"/>
  <c r="BS236" i="5" s="1"/>
  <c r="BC195" i="5"/>
  <c r="BR195" i="5"/>
  <c r="BS195" i="5" s="1"/>
  <c r="BC237" i="5"/>
  <c r="BR237" i="5"/>
  <c r="BS237" i="5" s="1"/>
  <c r="BC200" i="5"/>
  <c r="BR200" i="5"/>
  <c r="BS200" i="5" s="1"/>
  <c r="BC238" i="5"/>
  <c r="BR238" i="5"/>
  <c r="BS238" i="5" s="1"/>
  <c r="BI426" i="5"/>
  <c r="R8" i="6"/>
  <c r="N34" i="6"/>
  <c r="Z426" i="5"/>
  <c r="AX426" i="5"/>
  <c r="O8" i="6"/>
  <c r="S8" i="6" s="1"/>
  <c r="BB426" i="5"/>
  <c r="N41" i="6"/>
  <c r="N39" i="6" s="1"/>
  <c r="O19" i="6"/>
  <c r="O18" i="6"/>
  <c r="P18" i="6" s="1"/>
  <c r="BC187" i="5"/>
  <c r="D19" i="6"/>
  <c r="L17" i="6"/>
  <c r="R18" i="6"/>
  <c r="H21" i="6"/>
  <c r="N27" i="6"/>
  <c r="L18" i="6"/>
  <c r="R21" i="6"/>
  <c r="H18" i="6"/>
  <c r="L21" i="6"/>
  <c r="R17" i="6"/>
  <c r="J27" i="6"/>
  <c r="W28" i="6" s="1"/>
  <c r="F9" i="19" s="1"/>
  <c r="P21" i="6"/>
  <c r="P17" i="6"/>
  <c r="L13" i="6"/>
  <c r="H17" i="6"/>
  <c r="D21" i="6"/>
  <c r="F27" i="6"/>
  <c r="H13" i="6"/>
  <c r="P13" i="6"/>
  <c r="D20" i="6"/>
  <c r="S20" i="6"/>
  <c r="T20" i="6" s="1"/>
  <c r="R12" i="6"/>
  <c r="B27" i="6"/>
  <c r="U28" i="6" s="1"/>
  <c r="D9" i="19" s="1"/>
  <c r="R13" i="6"/>
  <c r="P12" i="6"/>
  <c r="BC8" i="5"/>
  <c r="AD8" i="6" l="1"/>
  <c r="BS225" i="5"/>
  <c r="AC19" i="6"/>
  <c r="AD19" i="6" s="1"/>
  <c r="Y27" i="6"/>
  <c r="Y28" i="6" s="1"/>
  <c r="H9" i="19" s="1"/>
  <c r="X27" i="6"/>
  <c r="X28" i="6" s="1"/>
  <c r="G9" i="19" s="1"/>
  <c r="AC18" i="6"/>
  <c r="AD18" i="6" s="1"/>
  <c r="V28" i="6"/>
  <c r="E9" i="19" s="1"/>
  <c r="BS426" i="5"/>
  <c r="BR426" i="5"/>
  <c r="BC426" i="5"/>
  <c r="S19" i="6"/>
  <c r="T19" i="6" s="1"/>
  <c r="D17" i="6"/>
  <c r="S13" i="6"/>
  <c r="T13" i="6" s="1"/>
  <c r="D18" i="6"/>
  <c r="P19" i="6"/>
  <c r="S21" i="6"/>
  <c r="T21" i="6" s="1"/>
  <c r="R27" i="6"/>
  <c r="S12" i="6"/>
  <c r="T12" i="6" s="1"/>
  <c r="D12" i="6"/>
  <c r="L12" i="6"/>
  <c r="L27" i="6" s="1"/>
  <c r="K27" i="6"/>
  <c r="AB28" i="6" s="1"/>
  <c r="F10" i="19" s="1"/>
  <c r="H12" i="6"/>
  <c r="H27" i="6" s="1"/>
  <c r="G27" i="6"/>
  <c r="AA28" i="6" s="1"/>
  <c r="E10" i="19" s="1"/>
  <c r="O27" i="6"/>
  <c r="P8" i="6"/>
  <c r="T8" i="6"/>
  <c r="AD27" i="6" l="1"/>
  <c r="AC27" i="6"/>
  <c r="AC28" i="6" s="1"/>
  <c r="G10" i="19" s="1"/>
  <c r="S17" i="6"/>
  <c r="T17" i="6" s="1"/>
  <c r="D13" i="6"/>
  <c r="P27" i="6"/>
  <c r="S18" i="6"/>
  <c r="T18" i="6" s="1"/>
  <c r="S11" i="6"/>
  <c r="T11" i="6" s="1"/>
  <c r="D11" i="6"/>
  <c r="D16" i="6"/>
  <c r="S16" i="6"/>
  <c r="T16" i="6" s="1"/>
  <c r="C27" i="6"/>
  <c r="D15" i="6"/>
  <c r="S15" i="6"/>
  <c r="T15" i="6" s="1"/>
  <c r="AD28" i="6" l="1"/>
  <c r="H10" i="19" s="1"/>
  <c r="Z28" i="6"/>
  <c r="D10" i="19" s="1"/>
  <c r="T27" i="6"/>
  <c r="D27" i="6"/>
  <c r="S2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Jennifer H. Morris</author>
    <author>Jennifer H Morris</author>
    <author>ICC Staff</author>
  </authors>
  <commentList>
    <comment ref="A1" authorId="0" shapeId="0" xr:uid="{00000000-0006-0000-01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comment boxes as well as the column headers and column labels (row 7) in the EEPS Adjustable Savings Goal Template.
</t>
        </r>
      </text>
    </comment>
    <comment ref="A2" authorId="0" shapeId="0" xr:uid="{00000000-0006-0000-0100-000002000000}">
      <text>
        <r>
          <rPr>
            <sz val="9"/>
            <color indexed="81"/>
            <rFont val="Tahoma"/>
            <family val="2"/>
          </rPr>
          <t xml:space="preserve">Please specify the current date in this cell and in the filename when saving the document.
</t>
        </r>
      </text>
    </comment>
    <comment ref="A3" authorId="0" shapeId="0" xr:uid="{00000000-0006-0000-0100-000003000000}">
      <text>
        <r>
          <rPr>
            <sz val="9"/>
            <color indexed="81"/>
            <rFont val="Tahoma"/>
            <family val="2"/>
          </rPr>
          <t>Please specify the name of the Program Administrator.</t>
        </r>
      </text>
    </comment>
    <comment ref="B5" authorId="0" shapeId="0" xr:uid="{00000000-0006-0000-0100-000004000000}">
      <text>
        <r>
          <rPr>
            <b/>
            <sz val="9"/>
            <color indexed="81"/>
            <rFont val="Tahoma"/>
            <family val="2"/>
          </rPr>
          <t>2018 Plan Energy Savings Goal:</t>
        </r>
        <r>
          <rPr>
            <sz val="9"/>
            <color indexed="81"/>
            <rFont val="Tahoma"/>
            <family val="2"/>
          </rPr>
          <t xml:space="preserve"> The value contained in column (b) – 2018 Plan Energy Savings Goal for the “Program A” row of the Program-Level Adjustments Tab should be equal to the sum of the values set forth in column (t) – 2018 Plan Goal for the rows associated with “Program A” Measures (Program designation specified in column (a)) of the Measure-Level Adjustments Tab.
</t>
        </r>
      </text>
    </comment>
    <comment ref="C5" authorId="0" shapeId="0" xr:uid="{00000000-0006-0000-0100-000005000000}">
      <text>
        <r>
          <rPr>
            <b/>
            <sz val="9"/>
            <color indexed="81"/>
            <rFont val="Tahoma"/>
            <family val="2"/>
          </rPr>
          <t xml:space="preserve">2018 Adjusted Energy Savings Goal: </t>
        </r>
        <r>
          <rPr>
            <sz val="9"/>
            <color indexed="81"/>
            <rFont val="Tahoma"/>
            <family val="2"/>
          </rPr>
          <t xml:space="preserve">The value contained in column (c) – 2018 Adjusted Energy Savings Goal for the “Program A” row of the Program-Level Adjustments Tab should be equal to the sum of the values set forth in column (aw) – 2018 Final Goal for the rows associated with “Program A” Measures (as listed in column (a)) of the Measure-Level Adjustments Tab.
</t>
        </r>
      </text>
    </comment>
    <comment ref="D5" authorId="0" shapeId="0" xr:uid="{00000000-0006-0000-0100-000006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t>
        </r>
      </text>
    </comment>
    <comment ref="E5" authorId="0" shapeId="0" xr:uid="{00000000-0006-0000-0100-000007000000}">
      <text>
        <r>
          <rPr>
            <sz val="9"/>
            <color indexed="81"/>
            <rFont val="Tahoma"/>
            <family val="2"/>
          </rPr>
          <t>Briefly describe the main cause of the significant savings goal adjustments.</t>
        </r>
      </text>
    </comment>
    <comment ref="F5" authorId="0" shapeId="0" xr:uid="{00000000-0006-0000-0100-000008000000}">
      <text>
        <r>
          <rPr>
            <b/>
            <sz val="9"/>
            <color indexed="81"/>
            <rFont val="Tahoma"/>
            <family val="2"/>
          </rPr>
          <t>2019 Plan Energy Savings Goal:</t>
        </r>
        <r>
          <rPr>
            <sz val="9"/>
            <color indexed="81"/>
            <rFont val="Tahoma"/>
            <family val="2"/>
          </rPr>
          <t xml:space="preserve"> The value contained in column (f) – 2019 Plan Energy Savings Goal for the “Program A” row of the Program-Level Adjustments Tab should be equal to the sum of the values set forth in column (u) – 2019 Plan Goal for the rows associated with “Program A” Measures (Program designation specified in column (a)) of the Measure-Level Adjustments Tab.
</t>
        </r>
      </text>
    </comment>
    <comment ref="G5" authorId="0" shapeId="0" xr:uid="{00000000-0006-0000-0100-000009000000}">
      <text>
        <r>
          <rPr>
            <b/>
            <sz val="9"/>
            <color indexed="81"/>
            <rFont val="Tahoma"/>
            <family val="2"/>
          </rPr>
          <t xml:space="preserve">2019 Adjusted Energy Savings Goal: </t>
        </r>
        <r>
          <rPr>
            <sz val="9"/>
            <color indexed="81"/>
            <rFont val="Tahoma"/>
            <family val="2"/>
          </rPr>
          <t xml:space="preserve">The value contained in column (g) – 2019 Adjusted Energy Savings Goal for the “Program A” row of the Program-Level Adjustments Tab should be equal to the sum of the values set forth in column (ax) – 2019 Final Goal for the rows associated with “Program A” Measures (as listed in column (a)) of the Measure-Level Adjustments Tab.
</t>
        </r>
        <r>
          <rPr>
            <b/>
            <sz val="9"/>
            <color indexed="81"/>
            <rFont val="Tahoma"/>
            <family val="2"/>
          </rPr>
          <t xml:space="preserve">
</t>
        </r>
      </text>
    </comment>
    <comment ref="H5" authorId="0" shapeId="0" xr:uid="{00000000-0006-0000-0100-00000A000000}">
      <text>
        <r>
          <rPr>
            <sz val="9"/>
            <color indexed="81"/>
            <rFont val="Tahoma"/>
            <family val="2"/>
          </rPr>
          <t xml:space="preserve">Complete </t>
        </r>
        <r>
          <rPr>
            <b/>
            <sz val="9"/>
            <color indexed="81"/>
            <rFont val="Tahoma"/>
            <family val="2"/>
          </rPr>
          <t>columns (d), (h), (l), (p), and (t) – Energy Savings Adjustment to Plan Goa</t>
        </r>
        <r>
          <rPr>
            <sz val="9"/>
            <color indexed="81"/>
            <rFont val="Tahoma"/>
            <family val="2"/>
          </rPr>
          <t xml:space="preserve">l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I5" authorId="0" shapeId="0" xr:uid="{00000000-0006-0000-0100-00000B000000}">
      <text>
        <r>
          <rPr>
            <sz val="9"/>
            <color indexed="81"/>
            <rFont val="Tahoma"/>
            <family val="2"/>
          </rPr>
          <t xml:space="preserve">Briefly describe the main cause of the significant savings goal adjustments.
</t>
        </r>
      </text>
    </comment>
    <comment ref="J5" authorId="0" shapeId="0" xr:uid="{00000000-0006-0000-0100-00000C000000}">
      <text>
        <r>
          <rPr>
            <b/>
            <sz val="9"/>
            <color indexed="81"/>
            <rFont val="Tahoma"/>
            <family val="2"/>
          </rPr>
          <t>2019 Plan Energy Savings Goal:</t>
        </r>
        <r>
          <rPr>
            <sz val="9"/>
            <color indexed="81"/>
            <rFont val="Tahoma"/>
            <family val="2"/>
          </rPr>
          <t xml:space="preserve"> The value contained in column (f) – 2019 Plan Energy Savings Goal for the “Program A” row of the Program-Level Adjustments Tab should be equal to the sum of the values set forth in column (u) – 2019 Plan Goal for the rows associated with “Program A” Measures (Program designation specified in column (a)) of the Measure-Level Adjustments Tab.
</t>
        </r>
      </text>
    </comment>
    <comment ref="K5" authorId="0" shapeId="0" xr:uid="{00000000-0006-0000-0100-00000D000000}">
      <text>
        <r>
          <rPr>
            <b/>
            <sz val="9"/>
            <color indexed="81"/>
            <rFont val="Tahoma"/>
            <family val="2"/>
          </rPr>
          <t xml:space="preserve">2020 Adjusted Energy Savings Goal: </t>
        </r>
        <r>
          <rPr>
            <sz val="9"/>
            <color indexed="81"/>
            <rFont val="Tahoma"/>
            <family val="2"/>
          </rPr>
          <t xml:space="preserve">The value contained in column (k) – 2020 Adjusted Energy Savings Goal for the “Program A” row of the Program-Level Adjustments Tab should be equal to the sum of the values set forth in column (ay) – 2020 Final Goal for the rows associated with “Program A” Measures (as listed in column (a)) of the Measure-Level Adjustments Tab.
</t>
        </r>
      </text>
    </comment>
    <comment ref="L5" authorId="0" shapeId="0" xr:uid="{00000000-0006-0000-0100-00000E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M5" authorId="0" shapeId="0" xr:uid="{00000000-0006-0000-0100-00000F000000}">
      <text>
        <r>
          <rPr>
            <sz val="9"/>
            <color indexed="81"/>
            <rFont val="Tahoma"/>
            <family val="2"/>
          </rPr>
          <t>Briefly describe the main cause of the significant savings goal adjustments.</t>
        </r>
      </text>
    </comment>
    <comment ref="N5" authorId="0" shapeId="0" xr:uid="{00000000-0006-0000-0100-000010000000}">
      <text>
        <r>
          <rPr>
            <b/>
            <sz val="9"/>
            <color indexed="81"/>
            <rFont val="Tahoma"/>
            <family val="2"/>
          </rPr>
          <t>2019 Plan Energy Savings Goal:</t>
        </r>
        <r>
          <rPr>
            <sz val="9"/>
            <color indexed="81"/>
            <rFont val="Tahoma"/>
            <family val="2"/>
          </rPr>
          <t xml:space="preserve"> The value contained in column (f) – 2019 Plan Energy Savings Goal for the “Program A” row of the Program-Level Adjustments Tab should be equal to the sum of the values set forth in column (u) – 2019 Plan Goal for the rows associated with “Program A” Measures (Program designation specified in column (a)) of the Measure-Level Adjustments Tab.
</t>
        </r>
      </text>
    </comment>
    <comment ref="O5" authorId="0" shapeId="0" xr:uid="{00000000-0006-0000-0100-000011000000}">
      <text>
        <r>
          <rPr>
            <b/>
            <sz val="9"/>
            <color indexed="81"/>
            <rFont val="Tahoma"/>
            <family val="2"/>
          </rPr>
          <t xml:space="preserve">2021 Adjusted Energy Savings Goal: </t>
        </r>
        <r>
          <rPr>
            <sz val="9"/>
            <color indexed="81"/>
            <rFont val="Tahoma"/>
            <family val="2"/>
          </rPr>
          <t xml:space="preserve">The value contained in column (o) – 2021 Adjusted Energy Savings Goal for the “Program A” row of the Program-Level Adjustments Tab should be equal to the sum of the values set forth in column (az) – 2021 Final Goal for the rows associated with “Program A” Measures (as listed in column (a)) of the Measure-Level Adjustments Tab.
</t>
        </r>
      </text>
    </comment>
    <comment ref="P5" authorId="0" shapeId="0" xr:uid="{00000000-0006-0000-0100-000012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Q5" authorId="0" shapeId="0" xr:uid="{00000000-0006-0000-0100-000013000000}">
      <text>
        <r>
          <rPr>
            <sz val="9"/>
            <color indexed="81"/>
            <rFont val="Tahoma"/>
            <family val="2"/>
          </rPr>
          <t>Briefly describe the main cause of the significant savings goal adjustments.</t>
        </r>
      </text>
    </comment>
    <comment ref="R5" authorId="1" shapeId="0" xr:uid="{00000000-0006-0000-0100-000014000000}">
      <text>
        <r>
          <rPr>
            <sz val="9"/>
            <color indexed="81"/>
            <rFont val="Tahoma"/>
            <family val="2"/>
          </rPr>
          <t xml:space="preserve">Complete </t>
        </r>
        <r>
          <rPr>
            <b/>
            <sz val="9"/>
            <color indexed="81"/>
            <rFont val="Tahoma"/>
            <family val="2"/>
          </rPr>
          <t>column (r) – Plan Period Plan Energy Savings Goal</t>
        </r>
        <r>
          <rPr>
            <sz val="9"/>
            <color indexed="81"/>
            <rFont val="Tahoma"/>
            <family val="2"/>
          </rPr>
          <t xml:space="preserve"> by following the calculation instructions specified in the header row containing column labels; column (r)=(b+f+j+n). Thus, the resulting value contained in column (r) should be equal to the sum of the values contained in column (b) – 2018 Plan Energy Savings Goal, column (f) – 2019 Plan Energy Savings Goal, column (j) – 2020 Plan Energy Savings Goal, and column (n) – 2021 Plan Energy Savings Goal. 
</t>
        </r>
      </text>
    </comment>
    <comment ref="S5" authorId="0" shapeId="0" xr:uid="{00000000-0006-0000-0100-000015000000}">
      <text>
        <r>
          <rPr>
            <sz val="9"/>
            <color indexed="81"/>
            <rFont val="Tahoma"/>
            <family val="2"/>
          </rPr>
          <t xml:space="preserve">Complete </t>
        </r>
        <r>
          <rPr>
            <b/>
            <sz val="9"/>
            <color indexed="81"/>
            <rFont val="Tahoma"/>
            <family val="2"/>
          </rPr>
          <t>column (s) – Plan Period Adjusted Energy Savings Goal</t>
        </r>
        <r>
          <rPr>
            <sz val="9"/>
            <color indexed="81"/>
            <rFont val="Tahoma"/>
            <family val="2"/>
          </rPr>
          <t xml:space="preserve"> by following the calculation instructions specified in the header row containing column labels; column (s)=(c+g+k+o). Thus, the resulting value contained in column (s) should be equal to the sum of the values contained in column (c) – 2018 Adjusted Energy Savings Goal, column (g) – 2019 Adjusted Energy Savings Goal, column (k) – 2020 Adjusted Energy Savings Goal, and column (o) – 2021 Adjusted Energy Savings Goal.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 ref="T5" authorId="0" shapeId="0" xr:uid="{00000000-0006-0000-0100-000016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A6" authorId="0" shapeId="0" xr:uid="{00000000-0006-0000-0100-000017000000}">
      <text>
        <r>
          <rPr>
            <b/>
            <sz val="9"/>
            <color indexed="81"/>
            <rFont val="Tahoma"/>
            <family val="2"/>
          </rPr>
          <t xml:space="preserve">Column (a) – Program: </t>
        </r>
        <r>
          <rPr>
            <sz val="9"/>
            <color indexed="81"/>
            <rFont val="Tahoma"/>
            <family val="2"/>
          </rPr>
          <t>List the name of the Energy Efficiency Program. The name of the Program should correspond with one of the 
Program names specified in column (a) of the Measure-Level Adjustments Tab.</t>
        </r>
        <r>
          <rPr>
            <b/>
            <sz val="9"/>
            <color indexed="81"/>
            <rFont val="Tahoma"/>
            <family val="2"/>
          </rPr>
          <t xml:space="preserve">
</t>
        </r>
        <r>
          <rPr>
            <b/>
            <sz val="9"/>
            <color indexed="81"/>
            <rFont val="Tahoma"/>
            <family val="2"/>
          </rPr>
          <t xml:space="preserve">
</t>
        </r>
      </text>
    </comment>
    <comment ref="A27" authorId="0" shapeId="0" xr:uid="{00000000-0006-0000-0100-000018000000}">
      <text>
        <r>
          <rPr>
            <b/>
            <sz val="9"/>
            <color indexed="81"/>
            <rFont val="Tahoma"/>
            <family val="2"/>
          </rPr>
          <t xml:space="preserve">Portfolio Total (Therms): </t>
        </r>
        <r>
          <rPr>
            <sz val="9"/>
            <color indexed="81"/>
            <rFont val="Tahoma"/>
            <family val="2"/>
          </rPr>
          <t xml:space="preserve">Below the rows of Programs, calculate the sum of the rows of Program savings within a column for the respective fuel type (Therms).
Note: The values contained in the row, Portfolio Total (Therms), in the Program-Level Adjustments Tab for columns (b), (f), (j), (n), and (r) should be equal to the values contained in the row, Portfolio Total (Therms), of the Measure-Level Adjustments Tab for columns (t), (u), (v), (w), and (x) respectively. </t>
        </r>
        <r>
          <rPr>
            <b/>
            <sz val="9"/>
            <color indexed="81"/>
            <rFont val="Tahoma"/>
            <family val="2"/>
          </rPr>
          <t xml:space="preserve">
</t>
        </r>
        <r>
          <rPr>
            <sz val="9"/>
            <color indexed="81"/>
            <rFont val="Tahoma"/>
            <family val="2"/>
          </rPr>
          <t xml:space="preserve">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B27" authorId="0" shapeId="0" xr:uid="{00000000-0006-0000-0100-000019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C27" authorId="0" shapeId="0" xr:uid="{00000000-0006-0000-0100-00001A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F27" authorId="0" shapeId="0" xr:uid="{00000000-0006-0000-0100-00001B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G27" authorId="0" shapeId="0" xr:uid="{00000000-0006-0000-0100-00001C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J27" authorId="0" shapeId="0" xr:uid="{00000000-0006-0000-0100-00001D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K27" authorId="0" shapeId="0" xr:uid="{00000000-0006-0000-0100-00001E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N27" authorId="0" shapeId="0" xr:uid="{00000000-0006-0000-0100-00001F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O27" authorId="0" shapeId="0" xr:uid="{00000000-0006-0000-0100-000020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R27" authorId="2" shapeId="0" xr:uid="{00000000-0006-0000-0100-000021000000}">
      <text>
        <r>
          <rPr>
            <b/>
            <sz val="9"/>
            <color indexed="81"/>
            <rFont val="Tahoma"/>
            <family val="2"/>
          </rPr>
          <t xml:space="preserve">Portfolio Total (Therms) Plan Energy Savings Goal: </t>
        </r>
        <r>
          <rPr>
            <sz val="9"/>
            <color indexed="81"/>
            <rFont val="Tahoma"/>
            <family val="2"/>
          </rPr>
          <t xml:space="preserve">Below the rows of Programs, calculate the sum of the rows of Program savings within a column for the respective fuel type (Therms).
 The resulting value contained in column (r) in the row, Portfolio Total (Therms), should be equal to the value of the Program Administrator’s energy savings goal specified in its approved Plan from the Plan docket, and this value should also be equal to the value contained in column (x) in the row, Portfolio Total (Therms), of the Measure-Level Adjustments Tab.
</t>
        </r>
      </text>
    </comment>
    <comment ref="S27" authorId="0" shapeId="0" xr:uid="{00000000-0006-0000-0100-000022000000}">
      <text>
        <r>
          <rPr>
            <b/>
            <sz val="9"/>
            <color indexed="81"/>
            <rFont val="Tahoma"/>
            <family val="2"/>
          </rPr>
          <t>Portfolio Total (Therms) Adjusted Energy Savings Goal:</t>
        </r>
        <r>
          <rPr>
            <sz val="9"/>
            <color indexed="81"/>
            <rFont val="Tahoma"/>
            <family val="2"/>
          </rPr>
          <t xml:space="preserve"> Below the rows of Programs, calculate the sum of the rows of Program savings within a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Jennifer H. Morris</author>
    <author>ICC Staff</author>
    <author>Jen Morris</author>
  </authors>
  <commentList>
    <comment ref="A1" authorId="0" shapeId="0" xr:uid="{00000000-0006-0000-02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header row containing column labels (row 7) in the EEPS Adjustable Savings Goal Template, unless a deviation is specified.
</t>
        </r>
      </text>
    </comment>
    <comment ref="A2" authorId="0" shapeId="0" xr:uid="{00000000-0006-0000-0200-000002000000}">
      <text>
        <r>
          <rPr>
            <sz val="9"/>
            <color indexed="81"/>
            <rFont val="Tahoma"/>
            <family val="2"/>
          </rPr>
          <t xml:space="preserve">Please specify the current date in this cell and in the filename when saving the document.
</t>
        </r>
      </text>
    </comment>
    <comment ref="A3" authorId="0" shapeId="0" xr:uid="{00000000-0006-0000-0200-000003000000}">
      <text>
        <r>
          <rPr>
            <sz val="9"/>
            <color indexed="81"/>
            <rFont val="Tahoma"/>
            <family val="2"/>
          </rPr>
          <t xml:space="preserve">Please specify the name of the Program Administrator.
</t>
        </r>
      </text>
    </comment>
    <comment ref="AG4" authorId="1" shapeId="0" xr:uid="{00000000-0006-0000-0200-000004000000}">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second Program Year of the Plan, namely the </t>
        </r>
        <r>
          <rPr>
            <b/>
            <sz val="9"/>
            <color indexed="81"/>
            <rFont val="Tahoma"/>
            <family val="2"/>
          </rPr>
          <t>2019 Savings Goal Adjustment</t>
        </r>
        <r>
          <rPr>
            <sz val="9"/>
            <color indexed="81"/>
            <rFont val="Tahoma"/>
            <family val="2"/>
          </rPr>
          <t xml:space="preserve">, by completing the following columns: column (ae) – IL-TRM Measure Code from the 2019 IL-TRM or errata applicable to 2019, column (af) – Reference Document Explaining Gross Unit Savings Calculation Details, column (ag) – 2019 Gross Unit Savings (Therms), column (ah) – Gross Unit Savings Adjustment Explanation, column (ai) – 2019 Adjusted Goal, column (aj) – 2019 IL-TRM Adjustment, and column (ax) – 2019 Final Savings Goal (Therms), by following the calculation instructions specified in the headers of these columns within the Measure-Level Adjustments Tab. 
Note: Complete column (af)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2019 Gross Unit Savings values contained in column (ag) for the relevant Measure. 
As described in the provisions contained in these guidelines for column (c), the rows of Measures that are not IL-TRM Adjustable (column (c)=0) should be left blank and shaded gray for columns (y) – (av) and (bb) – (bc). The value contained in column (ax) – 2019 Final Savings Goal (Therms) should be set equal to the value contained in column (u) – 2019 Plan Goal for each row with a Measure that is not IL-TRM Adjustable (column (c)=0). 
The value contained in column (ax) – 2019 Final Savings Goal (Therms) should be set equal to the value contained in column (ai) – 2019 Adjusted Goal for each row with a Measure designated as IL-TRM Adjustable (column (c)=1).
</t>
        </r>
      </text>
    </comment>
    <comment ref="AS4" authorId="1" shapeId="0" xr:uid="{00000000-0006-0000-0200-000005000000}">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fourth Program Year of the Plan, namely the </t>
        </r>
        <r>
          <rPr>
            <b/>
            <sz val="9"/>
            <color indexed="81"/>
            <rFont val="Tahoma"/>
            <family val="2"/>
          </rPr>
          <t>2021 Savings Goal Adjustment</t>
        </r>
        <r>
          <rPr>
            <sz val="9"/>
            <color indexed="81"/>
            <rFont val="Tahoma"/>
            <family val="2"/>
          </rPr>
          <t xml:space="preserve">, by completing the following columns: column (aq) – IL-TRM Measure Code from the 2021 IL-TRM or errata applicable to 2021, column (ar) – Reference Document Explaining Gross Unit Savings Calculation Details, column (as) – 2021 Gross Unit Savings (Therms), column (at) – Gross Unit Savings Adjustment Explanation, column (au) – 2021 Adjusted Goal, column (av) – 2021 IL-TRM Adjustment, and column (az) – 2021 Final Savings Goal (Therms), by following the calculation instructions specified in the headers of these columns within the Measure-Level Adjustments Tab. 
Note: Complete column (ar)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As described in the provisions contained in these guidelines for column (c), the rows of Measures that are not IL-TRM Adjustable (column (c)=0) should be left blank and shaded gray for columns (y) – (av) and (bb) – (bc). The value contained in column (az) – 2021 Final Savings Goal (Therms) should be set equal to the value contained in column (w) – 2021 Plan Goal for each row with a Measure that is not IL-TRM Adjustable (column (c)=0). 
The value contained in column (az) – 2021 Final Savings Goal (Therms) should be set equal to the value contained in column (au) – 2021 Adjusted Goal for each row with a Measure designated as IL-TRM Adjustable (column (c)=1).
</t>
        </r>
      </text>
    </comment>
    <comment ref="R5" authorId="0" shapeId="0" xr:uid="{00000000-0006-0000-0200-000006000000}">
      <text>
        <r>
          <rPr>
            <b/>
            <sz val="9"/>
            <color indexed="81"/>
            <rFont val="Tahoma"/>
            <family val="2"/>
          </rPr>
          <t>Columns (p), (q), (r), and (s) – Plan NTG (Fixed)</t>
        </r>
        <r>
          <rPr>
            <sz val="9"/>
            <color indexed="81"/>
            <rFont val="Tahoma"/>
            <family val="2"/>
          </rPr>
          <t xml:space="preserve">: Insert the assumed NTG value for the applicable Program Year, used to derive the Plan Energy Savings Goals set forth in columns (t), (u), (v), and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A6" authorId="0" shapeId="0" xr:uid="{00000000-0006-0000-0200-000007000000}">
      <text>
        <r>
          <rPr>
            <b/>
            <sz val="9"/>
            <color indexed="81"/>
            <rFont val="Tahoma"/>
            <family val="2"/>
          </rPr>
          <t>Column (a) – Program:</t>
        </r>
        <r>
          <rPr>
            <sz val="9"/>
            <color indexed="81"/>
            <rFont val="Tahoma"/>
            <family val="2"/>
          </rPr>
          <t xml:space="preserve"> List the name of the Energy Efficiency Program. The name of the Program should correspond with one of the Program names specified in column (a) of the Program-Level Adjustments Tab.</t>
        </r>
      </text>
    </comment>
    <comment ref="B6" authorId="0" shapeId="0" xr:uid="{00000000-0006-0000-0200-000008000000}">
      <text>
        <r>
          <rPr>
            <b/>
            <sz val="9"/>
            <color indexed="81"/>
            <rFont val="Tahoma"/>
            <family val="2"/>
          </rPr>
          <t xml:space="preserve">Column (b) – Measure: </t>
        </r>
        <r>
          <rPr>
            <sz val="9"/>
            <color indexed="81"/>
            <rFont val="Tahoma"/>
            <family val="2"/>
          </rPr>
          <t xml:space="preserve">List the detailed name of the Energy Efficiency Measure, including the efficiency level, where applicable. For example, Gas High Efficiency Furnace 95% AFUE Early Replacement. </t>
        </r>
      </text>
    </comment>
    <comment ref="C6" authorId="0" shapeId="0" xr:uid="{00000000-0006-0000-0200-000009000000}">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D6" authorId="0" shapeId="0" xr:uid="{00000000-0006-0000-0200-00000A000000}">
      <text>
        <r>
          <rPr>
            <b/>
            <sz val="9"/>
            <color indexed="81"/>
            <rFont val="Tahoma"/>
            <family val="2"/>
          </rPr>
          <t xml:space="preserve">Column (d) – IL-TRM Section / Custom: </t>
        </r>
        <r>
          <rPr>
            <sz val="9"/>
            <color indexed="81"/>
            <rFont val="Tahoma"/>
            <family val="2"/>
          </rPr>
          <t>If the Measure is using the IL-TRM to calculate savings, insert the IL-TRM section number that corresponds to this Measure. For example, 5.3.16 is the IL-TRM section number for Advanced Thermostats. If savings are calculated on a custom basis, insert the word “Custom”.</t>
        </r>
      </text>
    </comment>
    <comment ref="G6" authorId="0" shapeId="0" xr:uid="{00000000-0006-0000-0200-00000B000000}">
      <text>
        <r>
          <rPr>
            <b/>
            <sz val="9"/>
            <color indexed="81"/>
            <rFont val="Tahoma"/>
            <family val="2"/>
          </rPr>
          <t xml:space="preserve">Column (e) – Unit of Participation: </t>
        </r>
        <r>
          <rPr>
            <sz val="9"/>
            <color indexed="81"/>
            <rFont val="Tahoma"/>
            <family val="2"/>
          </rPr>
          <t>Describe the unit of participation for the Measure. For example, is participation calculated on a per home basis?</t>
        </r>
      </text>
    </comment>
    <comment ref="H6" authorId="0" shapeId="0" xr:uid="{00000000-0006-0000-0200-00000C000000}">
      <text>
        <r>
          <rPr>
            <b/>
            <sz val="9"/>
            <color indexed="81"/>
            <rFont val="Tahoma"/>
            <family val="2"/>
          </rPr>
          <t xml:space="preserve">Column (f) – 2018 Plan Number of Units (Fixed): </t>
        </r>
        <r>
          <rPr>
            <sz val="9"/>
            <color indexed="81"/>
            <rFont val="Tahoma"/>
            <family val="2"/>
          </rPr>
          <t xml:space="preserve">Complete the forecasted Measure participation levels for 2018 used to derive the 2018 Plan Goal set forth in column (t).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I6" authorId="0" shapeId="0" xr:uid="{00000000-0006-0000-0200-00000D000000}">
      <text>
        <r>
          <rPr>
            <b/>
            <sz val="9"/>
            <color indexed="81"/>
            <rFont val="Tahoma"/>
            <family val="2"/>
          </rPr>
          <t xml:space="preserve">Column (g) – 2019 Plan Number of Units (Fixed): </t>
        </r>
        <r>
          <rPr>
            <sz val="9"/>
            <color indexed="81"/>
            <rFont val="Tahoma"/>
            <family val="2"/>
          </rPr>
          <t xml:space="preserve">Complete the forecasted Measure participation levels for 2019 used to derive the 2019 Plan Goal set forth in column (u).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J6" authorId="0" shapeId="0" xr:uid="{00000000-0006-0000-0200-00000E000000}">
      <text>
        <r>
          <rPr>
            <b/>
            <sz val="9"/>
            <color indexed="81"/>
            <rFont val="Tahoma"/>
            <family val="2"/>
          </rPr>
          <t xml:space="preserve">Column (h) – 2020 Plan Number of Units (Fixed): </t>
        </r>
        <r>
          <rPr>
            <sz val="9"/>
            <color indexed="81"/>
            <rFont val="Tahoma"/>
            <family val="2"/>
          </rPr>
          <t xml:space="preserve">Complete the forecasted Measure participation levels for 2020 used to derive the 2020 Plan Goal set forth in column (v).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K6" authorId="0" shapeId="0" xr:uid="{00000000-0006-0000-0200-00000F000000}">
      <text>
        <r>
          <rPr>
            <b/>
            <sz val="9"/>
            <color indexed="81"/>
            <rFont val="Tahoma"/>
            <family val="2"/>
          </rPr>
          <t xml:space="preserve">Column (i) – 2021 Plan Number of Units (Fixed): </t>
        </r>
        <r>
          <rPr>
            <sz val="9"/>
            <color indexed="81"/>
            <rFont val="Tahoma"/>
            <family val="2"/>
          </rPr>
          <t xml:space="preserve">Complete the forecasted Measure participation levels for 2021 used to derive the 2021 Plan Goal set forth in column (w).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L6" authorId="0" shapeId="0" xr:uid="{00000000-0006-0000-0200-000010000000}">
      <text>
        <r>
          <rPr>
            <b/>
            <sz val="9"/>
            <color indexed="81"/>
            <rFont val="Tahoma"/>
            <family val="2"/>
          </rPr>
          <t>Column (j) – IL-TRM Measure Code from IL-TRMv6.0:</t>
        </r>
        <r>
          <rPr>
            <sz val="9"/>
            <color indexed="81"/>
            <rFont val="Tahoma"/>
            <family val="2"/>
          </rPr>
          <t xml:space="preserve"> List the applicable IL-TRM Measure Code from the IL-TRM Version 6.0, dated February 8, 2017. The IL-TRM Measure Code can be found at the end of each Measure characterization in the IL-TRM and is structured using five parts: Code Structure = Market + End-use Category + Measure + Version # + Effective Date. The IL-TRM Measure Codes are used to uniquely identify each Measure in the IL-TRM through the use of abbreviations for the major organizational elements of the IL-TRM. When these abbreviations are combined and delimited by a dash (‘-‘) a unique, approximately 18-character alphanumeric code is formed that can be used for tracking the Measures and their associated savings estimates. For example, RS-HVC-ADTH-V02-180101 is the IL-TRM Measure Code for Advanced Thermostats. </t>
        </r>
        <r>
          <rPr>
            <b/>
            <sz val="9"/>
            <color indexed="81"/>
            <rFont val="Tahoma"/>
            <family val="2"/>
          </rPr>
          <t>Leave blank for Measures not covered by the IL-TRMv6.0.</t>
        </r>
        <r>
          <rPr>
            <sz val="9"/>
            <color indexed="81"/>
            <rFont val="Tahoma"/>
            <family val="2"/>
          </rPr>
          <t xml:space="preserve">
The official IL-TRMv6.0 is filed in ICC Docket No. 17-0106 and can be downloaded from the following webpage: https://www.icc.illinois.gov/downloads/public/edocket/442527.pdf    
</t>
        </r>
      </text>
    </comment>
    <comment ref="M6" authorId="0" shapeId="0" xr:uid="{00000000-0006-0000-0200-000011000000}">
      <text>
        <r>
          <rPr>
            <b/>
            <sz val="9"/>
            <color indexed="81"/>
            <rFont val="Tahoma"/>
            <family val="2"/>
          </rPr>
          <t>Column (k) – Reference Document Explaining Gross Unit Savings Calculation Details:</t>
        </r>
        <r>
          <rPr>
            <sz val="9"/>
            <color indexed="81"/>
            <rFont val="Tahoma"/>
            <family val="2"/>
          </rPr>
          <t xml:space="preserve"> Provide the name of the document, and date and tab name if applicable, where the supporting calculation details and Key Custom and IL-TRM Input Assumptions for calculating the Plan Gross Unit Savings values contained in columns (l), (m), (n), and (o) can be found for the relevant Measure.
</t>
        </r>
      </text>
    </comment>
    <comment ref="N6" authorId="0" shapeId="0" xr:uid="{00000000-0006-0000-0200-000012000000}">
      <text>
        <r>
          <rPr>
            <b/>
            <sz val="9"/>
            <color indexed="81"/>
            <rFont val="Tahoma"/>
            <family val="2"/>
          </rPr>
          <t xml:space="preserve">Column (l) – 2018 Plan Gross Unit Savings: </t>
        </r>
        <r>
          <rPr>
            <sz val="9"/>
            <color indexed="81"/>
            <rFont val="Tahoma"/>
            <family val="2"/>
          </rPr>
          <t>Complete the gross Therm savings per unit of participation, for 2018, used to derive the 2018 Plan Goal set forth in column (t).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t>
        </r>
      </text>
    </comment>
    <comment ref="O6" authorId="0" shapeId="0" xr:uid="{00000000-0006-0000-0200-000013000000}">
      <text>
        <r>
          <rPr>
            <b/>
            <sz val="9"/>
            <color indexed="81"/>
            <rFont val="Tahoma"/>
            <family val="2"/>
          </rPr>
          <t>Column (m) – 2019 Plan Gross Unit Savings:</t>
        </r>
        <r>
          <rPr>
            <sz val="9"/>
            <color indexed="81"/>
            <rFont val="Tahoma"/>
            <family val="2"/>
          </rPr>
          <t xml:space="preserve"> Complete the gross Therm savings per unit of participation, for 2019, used to derive the 2019 Plan Goal set forth in column (u).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P6" authorId="0" shapeId="0" xr:uid="{00000000-0006-0000-0200-000014000000}">
      <text>
        <r>
          <rPr>
            <b/>
            <sz val="9"/>
            <color indexed="81"/>
            <rFont val="Tahoma"/>
            <family val="2"/>
          </rPr>
          <t>Column (n) – 2020 Plan Gross Unit Savings:</t>
        </r>
        <r>
          <rPr>
            <sz val="9"/>
            <color indexed="81"/>
            <rFont val="Tahoma"/>
            <family val="2"/>
          </rPr>
          <t xml:space="preserve"> Complete the gross Therm savings per unit of participation, for 2020, used to derive the 2020 Plan Goal set forth in column (v).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Q6" authorId="0" shapeId="0" xr:uid="{00000000-0006-0000-0200-000015000000}">
      <text>
        <r>
          <rPr>
            <b/>
            <sz val="9"/>
            <color indexed="81"/>
            <rFont val="Tahoma"/>
            <family val="2"/>
          </rPr>
          <t>Column (o) – 2021 Plan Gross Unit Savings:</t>
        </r>
        <r>
          <rPr>
            <sz val="9"/>
            <color indexed="81"/>
            <rFont val="Tahoma"/>
            <family val="2"/>
          </rPr>
          <t xml:space="preserve"> Complete the gross Therm savings per unit of participation, for 2021, used to derive the 2021 Plan Goal set forth in column (w).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R6" authorId="0" shapeId="0" xr:uid="{00000000-0006-0000-0200-000016000000}">
      <text>
        <r>
          <rPr>
            <b/>
            <sz val="9"/>
            <color indexed="81"/>
            <rFont val="Tahoma"/>
            <family val="2"/>
          </rPr>
          <t>Column (p) – 2018 Plan NTG:</t>
        </r>
        <r>
          <rPr>
            <sz val="9"/>
            <color indexed="81"/>
            <rFont val="Tahoma"/>
            <family val="2"/>
          </rPr>
          <t xml:space="preserve"> Insert the assumed NTG value for 2018, used to derive the 2018 Plan Goal set forth in column (t).
Note: These NTG values identified in the approved Plan and in columns (p), (q), (r), and (s)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S6" authorId="0" shapeId="0" xr:uid="{00000000-0006-0000-0200-000017000000}">
      <text>
        <r>
          <rPr>
            <b/>
            <sz val="9"/>
            <color indexed="81"/>
            <rFont val="Tahoma"/>
            <family val="2"/>
          </rPr>
          <t xml:space="preserve">Column (q) – 2019 Plan NTG: </t>
        </r>
        <r>
          <rPr>
            <sz val="9"/>
            <color indexed="81"/>
            <rFont val="Tahoma"/>
            <family val="2"/>
          </rPr>
          <t xml:space="preserve">Insert the assumed NTG value for 2019, used to derive the 2019 Plan Goal set forth in column (u).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T6" authorId="0" shapeId="0" xr:uid="{00000000-0006-0000-0200-000018000000}">
      <text>
        <r>
          <rPr>
            <b/>
            <sz val="9"/>
            <color indexed="81"/>
            <rFont val="Tahoma"/>
            <family val="2"/>
          </rPr>
          <t>Column (r) – 2020 Plan NTG:</t>
        </r>
        <r>
          <rPr>
            <sz val="9"/>
            <color indexed="81"/>
            <rFont val="Tahoma"/>
            <family val="2"/>
          </rPr>
          <t xml:space="preserve"> Insert the assumed NTG value for 2020, used to derive the 2020 Plan Goal set forth in column (v).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U6" authorId="0" shapeId="0" xr:uid="{00000000-0006-0000-0200-000019000000}">
      <text>
        <r>
          <rPr>
            <b/>
            <sz val="9"/>
            <color indexed="81"/>
            <rFont val="Tahoma"/>
            <family val="2"/>
          </rPr>
          <t>Column (s) – 2021 Plan NTG:</t>
        </r>
        <r>
          <rPr>
            <sz val="9"/>
            <color indexed="81"/>
            <rFont val="Tahoma"/>
            <family val="2"/>
          </rPr>
          <t xml:space="preserve"> Insert the assumed NTG value for 2021, used to derive the 2021 Plan Goal set forth in column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V6" authorId="0" shapeId="0" xr:uid="{00000000-0006-0000-0200-00001A000000}">
      <text>
        <r>
          <rPr>
            <b/>
            <sz val="9"/>
            <color indexed="81"/>
            <rFont val="Tahoma"/>
            <family val="2"/>
          </rPr>
          <t>Column (t) – 2018 Plan Goal:</t>
        </r>
        <r>
          <rPr>
            <sz val="9"/>
            <color indexed="81"/>
            <rFont val="Tahoma"/>
            <family val="2"/>
          </rPr>
          <t xml:space="preserve"> Calculate the Plan energy savings goal for 2018; column (t)=(f x l x p). The value contained in column (t) – 2018 Plan Goal should be calculated by taking the product of the values contained in column (f) – 2018 Plan Number of Units (Fixed), column (l) – 2018 Plan Gross Unit Savings, and column (p) – 2018 Plan NTG (Fixed). 
</t>
        </r>
      </text>
    </comment>
    <comment ref="W6" authorId="0" shapeId="0" xr:uid="{00000000-0006-0000-0200-00001B000000}">
      <text>
        <r>
          <rPr>
            <b/>
            <sz val="9"/>
            <color indexed="81"/>
            <rFont val="Tahoma"/>
            <family val="2"/>
          </rPr>
          <t>Column (u) – 2019 Plan Goal:</t>
        </r>
        <r>
          <rPr>
            <sz val="9"/>
            <color indexed="81"/>
            <rFont val="Tahoma"/>
            <family val="2"/>
          </rPr>
          <t xml:space="preserve"> Calculate the Plan energy savings goal for 2019; column (u)=(g x m x q). The value contained in column (u) – 2019 Plan Goal should be calculated by taking the product of the values contained in column (g) – 2019 Plan Number of Units (Fixed), column (m) – 2019 Plan Gross Unit Savings, and column (q) – 2019 Plan NTG (Fixed). 
</t>
        </r>
      </text>
    </comment>
    <comment ref="X6" authorId="0" shapeId="0" xr:uid="{00000000-0006-0000-0200-00001C000000}">
      <text>
        <r>
          <rPr>
            <b/>
            <sz val="9"/>
            <color indexed="81"/>
            <rFont val="Tahoma"/>
            <family val="2"/>
          </rPr>
          <t>Column (v) – 2020 Plan Goal:</t>
        </r>
        <r>
          <rPr>
            <sz val="9"/>
            <color indexed="81"/>
            <rFont val="Tahoma"/>
            <family val="2"/>
          </rPr>
          <t xml:space="preserve"> Calculate the Plan energy savings goal for 2020; column (v)=(h x n x r). The value contained in column (v) – 2020 Plan Goal should be calculated by taking the product of the values contained in column (h) – 2020 Plan Number of Units (Fixed), column (n) – 2020 Plan Gross Unit Savings, and column (r) – 2020 Plan NTG (Fixed).</t>
        </r>
      </text>
    </comment>
    <comment ref="Y6" authorId="0" shapeId="0" xr:uid="{00000000-0006-0000-0200-00001D000000}">
      <text>
        <r>
          <rPr>
            <b/>
            <sz val="9"/>
            <color indexed="81"/>
            <rFont val="Tahoma"/>
            <family val="2"/>
          </rPr>
          <t>Column (w) – 2021 Plan Goal:</t>
        </r>
        <r>
          <rPr>
            <sz val="9"/>
            <color indexed="81"/>
            <rFont val="Tahoma"/>
            <family val="2"/>
          </rPr>
          <t xml:space="preserve"> Calculate the Plan energy savings goal for 2021; column (w)=(i x o x s). The value contained in column (w) – 2021 Plan Goal should be calculated by taking the product of the values contained in column (i) – 2021 Plan Number of Units (Fixed), column (o) – 2021 Plan Gross Unit Savings, and column (s) – 2021 Plan NTG (Fixed).
</t>
        </r>
      </text>
    </comment>
    <comment ref="Z6" authorId="0" shapeId="0" xr:uid="{00000000-0006-0000-0200-00001E000000}">
      <text>
        <r>
          <rPr>
            <b/>
            <sz val="9"/>
            <color indexed="81"/>
            <rFont val="Tahoma"/>
            <family val="2"/>
          </rPr>
          <t>Column (x) – Total Plan Period Goal:</t>
        </r>
        <r>
          <rPr>
            <sz val="9"/>
            <color indexed="81"/>
            <rFont val="Tahoma"/>
            <family val="2"/>
          </rPr>
          <t xml:space="preserve"> Calculate the total Plan energy savings goal; column (x)=(t+u+v+w). The value contained in column (x) – Total Plan Period Goal should be calculated by taking the sum of the values contained in column (t) – 2018 Plan Goal, column (u) – 2019 Plan Goal, column (v) – 2020 Plan Goal, and column (w) – 2021 Plan Goal.
</t>
        </r>
      </text>
    </comment>
    <comment ref="AA6" authorId="0" shapeId="0" xr:uid="{00000000-0006-0000-0200-00001F000000}">
      <text>
        <r>
          <rPr>
            <b/>
            <sz val="9"/>
            <color indexed="81"/>
            <rFont val="Tahoma"/>
            <family val="2"/>
          </rPr>
          <t>Column (y) – IL-TRM Measure Code from IL-TRMv6.0 or errata applicable to 2018:</t>
        </r>
        <r>
          <rPr>
            <sz val="9"/>
            <color indexed="81"/>
            <rFont val="Tahoma"/>
            <family val="2"/>
          </rPr>
          <t xml:space="preserve"> List the applicable IL-TRM Measure Code from the IL-TRM Version 6.0 or errata applicable to 2018. The IL-TRM Measure Code can be found at the end of each Measure characterization in the IL-TRM. 
If the IL-TRM Measure Code is identical to the one contained in the IL-TRM Version 6.0, responses in column (y) – IL-TRM Measure Code from IL-TRMv6.0 or errata applicable to 2018 and column (aa) – 2018 Gross Unit Savings (Therms) should be the same as the approved Plan assumptions specified in column (j) – IL-TRM Measure Code from IL-TRMv6.0 and column (l) – 2018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(aa) – 2018 Gross Unit Savings. The details and specific changes to the Key IL-TRM Input Assumptions underlying this IL-TRM adjusted Gross Unit Savings calculation for the Measure should be clearly specified in the document listed in column (z) – Reference Document Explaining Gross Unit Savings Calculation Details.
Note: Errata are generally posted to the following ICC webpage: https://www.icc.illinois.gov/Electricity/programs/TRM.aspx  
</t>
        </r>
      </text>
    </comment>
    <comment ref="AB6" authorId="0" shapeId="0" xr:uid="{00000000-0006-0000-0200-000020000000}">
      <text>
        <r>
          <rPr>
            <b/>
            <sz val="9"/>
            <color indexed="81"/>
            <rFont val="Tahoma"/>
            <family val="2"/>
          </rPr>
          <t>Column (z)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2018 Gross Unit Savings values contained in column (aa) for the relevant Measure. 
</t>
        </r>
      </text>
    </comment>
    <comment ref="AC6" authorId="1" shapeId="0" xr:uid="{00000000-0006-0000-0200-000021000000}">
      <text>
        <r>
          <rPr>
            <b/>
            <sz val="9"/>
            <color indexed="81"/>
            <rFont val="Tahoma"/>
            <family val="2"/>
          </rPr>
          <t>Column (aa) – 2018 Gross Unit Savings (Therms):</t>
        </r>
        <r>
          <rPr>
            <sz val="9"/>
            <color indexed="81"/>
            <rFont val="Tahoma"/>
            <family val="2"/>
          </rPr>
          <t xml:space="preserve"> Complete the gross Therm savings per unit of participation for 2018 by applying the applicable IL-TRM provisions contained in the IL-TRM Version 6.0 or errata document applicable to 2018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2018 Gross Unit Savings for the Measure. The calculation details and specific changes to Key IL-TRM Input Assumptions associated with the 2018 Gross Unit Savings calculation for the Measure should be clearly specified in the document listed in column (z) – Reference Document Explaining Gross Unit Savings Calculation Details. 
Note: If the IL-TRM Measure Code specified in column (y) is identical to the one contained in column (j), the resulting value contained in column (aa) – 2018 Gross Unit Savings should be set equal to the approved Plan value specified in column (l) – 2018 Plan Gross Unit Savings.
</t>
        </r>
      </text>
    </comment>
    <comment ref="AD6" authorId="1" shapeId="0" xr:uid="{00000000-0006-0000-0200-000022000000}">
      <text>
        <r>
          <rPr>
            <b/>
            <sz val="9"/>
            <color indexed="81"/>
            <rFont val="Tahoma"/>
            <family val="2"/>
          </rPr>
          <t>Column (ab) – Gross Unit Savings Adjustment Explanation:</t>
        </r>
        <r>
          <rPr>
            <sz val="9"/>
            <color indexed="81"/>
            <rFont val="Tahoma"/>
            <family val="2"/>
          </rPr>
          <t xml:space="preserve"> Briefly describe the cause of the adjusted Gross Unit Savings reflected in column (aa) – 2018 Gross Unit Savings. Note: Where applicable, document in both column (ab) and the reference document specified in column (z) if the adjustment is the result of SAG consensus concerning an extenuating circumstance as contemplated in the provisions contained in the guidelines for columns (bb) and (bc). 
</t>
        </r>
      </text>
    </comment>
    <comment ref="AE6" authorId="0" shapeId="0" xr:uid="{00000000-0006-0000-0200-000023000000}">
      <text>
        <r>
          <rPr>
            <b/>
            <sz val="9"/>
            <color indexed="81"/>
            <rFont val="Tahoma"/>
            <family val="2"/>
          </rPr>
          <t xml:space="preserve">Column (ac) – 2018 Adjusted Goal: </t>
        </r>
        <r>
          <rPr>
            <sz val="9"/>
            <color indexed="81"/>
            <rFont val="Tahoma"/>
            <family val="2"/>
          </rPr>
          <t xml:space="preserve">Calculate the adjusted energy savings goal for 2018 by taking the product of the values contained in column (f) – 2018 Plan Number of Units (Fixed), column (aa) – 2018 Gross Unit Savings (Therms), and column (p) – 2018 Plan NTG (Fixed); column (ac)=(f x aa x p).
</t>
        </r>
      </text>
    </comment>
    <comment ref="AF6" authorId="0" shapeId="0" xr:uid="{00000000-0006-0000-0200-000024000000}">
      <text>
        <r>
          <rPr>
            <b/>
            <sz val="9"/>
            <color indexed="81"/>
            <rFont val="Tahoma"/>
            <family val="2"/>
          </rPr>
          <t xml:space="preserve">Column (ad) – 2018 IL-TRM Adjustment: </t>
        </r>
        <r>
          <rPr>
            <sz val="9"/>
            <color indexed="81"/>
            <rFont val="Tahoma"/>
            <family val="2"/>
          </rPr>
          <t xml:space="preserve">Calculate the savings differential between the 2018 Adjusted Goal and the 2018 Plan Goal by following the calculation instructions specified in the header row containing column labels; column (ad)=(ac-t). 
</t>
        </r>
      </text>
    </comment>
    <comment ref="AG6" authorId="0" shapeId="0" xr:uid="{00000000-0006-0000-0200-000025000000}">
      <text>
        <r>
          <rPr>
            <b/>
            <sz val="9"/>
            <color indexed="81"/>
            <rFont val="Tahoma"/>
            <family val="2"/>
          </rPr>
          <t>Column (ae) – IL-TRM Measure Code from the 2019 IL-TRM or errata applicable to 2019:</t>
        </r>
        <r>
          <rPr>
            <sz val="9"/>
            <color indexed="81"/>
            <rFont val="Tahoma"/>
            <family val="2"/>
          </rPr>
          <t xml:space="preserve"> List the applicable IL-TRM Measure Code from the 2019 IL-TRM or errata applicable to 2019. The IL-TRM Measure Code can be found at the end of each Measure characterization in the IL-TRM or errata document. 
</t>
        </r>
      </text>
    </comment>
    <comment ref="AH6" authorId="0" shapeId="0" xr:uid="{00000000-0006-0000-0200-000026000000}">
      <text>
        <r>
          <rPr>
            <b/>
            <sz val="9"/>
            <color indexed="81"/>
            <rFont val="Tahoma"/>
            <family val="2"/>
          </rPr>
          <t>Column (af)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2019 Gross Unit Savings values contained in column (ag) for the relevant Measure. 
</t>
        </r>
      </text>
    </comment>
    <comment ref="AI6" authorId="0" shapeId="0" xr:uid="{00000000-0006-0000-0200-000027000000}">
      <text>
        <r>
          <rPr>
            <b/>
            <sz val="9"/>
            <color indexed="81"/>
            <rFont val="Tahoma"/>
            <family val="2"/>
          </rPr>
          <t>Column (ag) – 2019 Gross Unit Savings (Therms):</t>
        </r>
        <r>
          <rPr>
            <sz val="9"/>
            <color indexed="81"/>
            <rFont val="Tahoma"/>
            <family val="2"/>
          </rPr>
          <t xml:space="preserve"> Complete the gross Therm savings per unit of participation for 2019 by applying the applicable IL-TRM provisions contained in the 2019 IL-TRM or errata document applicable to 2019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2019 Gross Unit Savings for the Measure. The calculation details and specific changes to Key IL-TRM Input Assumptions associated with the 2019 Gross Unit Savings calculation for the Measure should be clearly specified in the document listed in column (af) – Reference Document Explaining Gross Unit Savings Calculation Details. 
Note: If the IL-TRM Measure Code specified in column (ae) is identical to the one contained in column (j), the resulting value contained in column (ag) – 2019 Gross Unit Savings (Therms) should be set equal to the approved Plan value specified in column (m) – 2019 Plan Gross Unit Savings.</t>
        </r>
      </text>
    </comment>
    <comment ref="AJ6" authorId="0" shapeId="0" xr:uid="{00000000-0006-0000-0200-000028000000}">
      <text>
        <r>
          <rPr>
            <b/>
            <sz val="9"/>
            <color indexed="81"/>
            <rFont val="Tahoma"/>
            <family val="2"/>
          </rPr>
          <t>Column (ah) – Gross Unit Savings Adjustment Explanation:</t>
        </r>
        <r>
          <rPr>
            <sz val="9"/>
            <color indexed="81"/>
            <rFont val="Tahoma"/>
            <family val="2"/>
          </rPr>
          <t xml:space="preserve"> Briefly describe the cause of the adjusted Gross Unit Savings reflected in column (ag) – 2019 Gross Unit Savings. 
Note: Where applicable, document in both column (ah) and the reference document specified in column (af) if the adjustment is the result of SAG consensus concerning an extenuating circumstance as contemplated in the provisions contained in the guidelines for columns (bb) and (bc). 
</t>
        </r>
      </text>
    </comment>
    <comment ref="AK6" authorId="0" shapeId="0" xr:uid="{00000000-0006-0000-0200-000029000000}">
      <text>
        <r>
          <rPr>
            <b/>
            <sz val="9"/>
            <color indexed="81"/>
            <rFont val="Tahoma"/>
            <family val="2"/>
          </rPr>
          <t>Column (ai) – 2019 Adjusted Goal:</t>
        </r>
        <r>
          <rPr>
            <sz val="9"/>
            <color indexed="81"/>
            <rFont val="Tahoma"/>
            <family val="2"/>
          </rPr>
          <t xml:space="preserve"> Calculate the adjusted energy savings goal for 2019 by taking the product of the values contained in column (g) – 2019 Plan Number of Units (Fixed), column (ag) – 2019 Gross Unit Savings (Therms), and column (q) – 2019 Plan NTG (Fixed); column (ai)=(g x ag x q).
</t>
        </r>
      </text>
    </comment>
    <comment ref="AL6" authorId="0" shapeId="0" xr:uid="{00000000-0006-0000-0200-00002A000000}">
      <text>
        <r>
          <rPr>
            <b/>
            <sz val="9"/>
            <color indexed="81"/>
            <rFont val="Tahoma"/>
            <family val="2"/>
          </rPr>
          <t>Column (aj) – 2019 IL-TRM Adjustment</t>
        </r>
        <r>
          <rPr>
            <sz val="9"/>
            <color indexed="81"/>
            <rFont val="Tahoma"/>
            <family val="2"/>
          </rPr>
          <t xml:space="preserve">: Calculate the savings differential between the 2019 Adjusted Goal and the 2019 Plan Goal by following the calculation instructions specified in the header row containing column labels; column (aj)=(ai-u).
</t>
        </r>
      </text>
    </comment>
    <comment ref="AM6" authorId="0" shapeId="0" xr:uid="{00000000-0006-0000-0200-00002B000000}">
      <text>
        <r>
          <rPr>
            <b/>
            <sz val="9"/>
            <color indexed="81"/>
            <rFont val="Tahoma"/>
            <family val="2"/>
          </rPr>
          <t xml:space="preserve">Column (ak) – IL-TRM Measure Code from the 2020 IL-TRM or errata applicable to 2020: </t>
        </r>
        <r>
          <rPr>
            <sz val="9"/>
            <color indexed="81"/>
            <rFont val="Tahoma"/>
            <family val="2"/>
          </rPr>
          <t xml:space="preserve">List the applicable IL-TRM Measure Code from the 2020 IL-TRM or errata applicable to 2020. The IL-TRM Measure Code can be found at the end of each Measure characterization in the IL-TRM or errata document.  
Note: Errata are generally posted to the following ICC webpage: https://www.icc.illinois.gov/Electricity/programs/TRM.aspx  
</t>
        </r>
      </text>
    </comment>
    <comment ref="AN6" authorId="0" shapeId="0" xr:uid="{00000000-0006-0000-0200-00002C000000}">
      <text>
        <r>
          <rPr>
            <b/>
            <sz val="9"/>
            <color indexed="81"/>
            <rFont val="Tahoma"/>
            <family val="2"/>
          </rPr>
          <t>Column (al)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2020 Gross Unit Savings values contained in column (am) for the relevant Measure.
</t>
        </r>
      </text>
    </comment>
    <comment ref="AO6" authorId="0" shapeId="0" xr:uid="{00000000-0006-0000-0200-00002D000000}">
      <text>
        <r>
          <rPr>
            <b/>
            <sz val="9"/>
            <color indexed="81"/>
            <rFont val="Tahoma"/>
            <family val="2"/>
          </rPr>
          <t>Column (am) – 2020 Gross Unit Savings (Therms):</t>
        </r>
        <r>
          <rPr>
            <sz val="9"/>
            <color indexed="81"/>
            <rFont val="Tahoma"/>
            <family val="2"/>
          </rPr>
          <t xml:space="preserve"> Complete the gross Therm savings per unit of participation for 2020 by applying the applicable IL-TRM provisions contained in the 2020 IL-TRM or errata document applicable to 2020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2020 Gross Unit Savings for the Measure. The calculation details and specific changes to Key IL-TRM Input Assumptions associated with the 2020 Gross Unit Savings calculation for the Measure should be clearly specified in the document listed in column (al) – Reference Document Explaining Gross Unit Savings Calculation Details. 
Note: If the IL-TRM Measure Code specified in column (ak) is identical to the one contained in column (j), the resulting value contained in column (am) – 2020 Gross Unit Savings should be set equal to the approved Plan value specified in column (n) – 2020 Plan Gross Unit Savings.
</t>
        </r>
      </text>
    </comment>
    <comment ref="AP6" authorId="0" shapeId="0" xr:uid="{00000000-0006-0000-0200-00002E000000}">
      <text>
        <r>
          <rPr>
            <b/>
            <sz val="9"/>
            <color indexed="81"/>
            <rFont val="Tahoma"/>
            <family val="2"/>
          </rPr>
          <t>Column (an) – Gross Unit Savings Adjustment Explanation:</t>
        </r>
        <r>
          <rPr>
            <sz val="9"/>
            <color indexed="81"/>
            <rFont val="Tahoma"/>
            <family val="2"/>
          </rPr>
          <t xml:space="preserve"> Briefly describe the cause of the adjusted Gross Unit Savings reflected in column (am) – 2020 Gross Unit Savings. 
Note: Where applicable, document in both column (an) and the reference document specified in column (al) if the adjustment is the result of SAG consensus concerning an extenuating circumstance as contemplated in the provisions contained in the guidelines for columns (bb) and (bc). 
</t>
        </r>
      </text>
    </comment>
    <comment ref="AQ6" authorId="0" shapeId="0" xr:uid="{00000000-0006-0000-0200-00002F000000}">
      <text>
        <r>
          <rPr>
            <b/>
            <sz val="9"/>
            <color indexed="81"/>
            <rFont val="Tahoma"/>
            <family val="2"/>
          </rPr>
          <t>Column (ao) – 2020 Adjusted Goal:</t>
        </r>
        <r>
          <rPr>
            <sz val="9"/>
            <color indexed="81"/>
            <rFont val="Tahoma"/>
            <family val="2"/>
          </rPr>
          <t xml:space="preserve"> Calculate the adjusted energy savings goal for 2020 by taking the product of the values contained in column (h) – 2020 Plan Number of Units (Fixed), column (am) – 2020 Gross Unit Savings (Therms), and column (r) – 2020 Plan NTG (Fixed); column (ao)=(h x am x r).
</t>
        </r>
      </text>
    </comment>
    <comment ref="AR6" authorId="0" shapeId="0" xr:uid="{00000000-0006-0000-0200-000030000000}">
      <text>
        <r>
          <rPr>
            <b/>
            <sz val="9"/>
            <color indexed="81"/>
            <rFont val="Tahoma"/>
            <family val="2"/>
          </rPr>
          <t>Column (ap) – 2020 IL-TRM Adjustment:</t>
        </r>
        <r>
          <rPr>
            <sz val="9"/>
            <color indexed="81"/>
            <rFont val="Tahoma"/>
            <family val="2"/>
          </rPr>
          <t xml:space="preserve"> Calculate the savings differential between the 2020 Adjusted Goal and the 2020 Plan Goal by following the calculation instructions specified in the header row containing column labels; column (ap)=(ao-v).
</t>
        </r>
      </text>
    </comment>
    <comment ref="AS6" authorId="0" shapeId="0" xr:uid="{00000000-0006-0000-0200-000031000000}">
      <text>
        <r>
          <rPr>
            <b/>
            <sz val="9"/>
            <color indexed="81"/>
            <rFont val="Tahoma"/>
            <family val="2"/>
          </rPr>
          <t xml:space="preserve">Column (aq) – IL-TRM Measure Code from the 2021 IL-TRM or errata applicable to 2021: </t>
        </r>
        <r>
          <rPr>
            <sz val="9"/>
            <color indexed="81"/>
            <rFont val="Tahoma"/>
            <family val="2"/>
          </rPr>
          <t xml:space="preserve">List the applicable IL-TRM Measure Code from the 2021 IL-TRM or errata applicable to 2021. The IL-TRM Measure Code can be found at the end of each Measure characterization in the IL-TRM or errata document.  
If the IL-TRM Measure Code is identical to the one contained in the IL-TRM Version 6.0, responses in column (aq) – IL-TRM Measure Code from the 2021 IL-TRM or errata applicable to 2021 and column (as) – 2021 Gross Unit Savings (Therms) should be the same as the approved Plan assumptions specified in column (j) – IL-TRM Measure Code from IL-TRMv6.0 and column (o) – 2021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(as) – 2021 Gross Unit Savings (Therms). The details and specific changes to the Key IL-TRM Input Assumptions underlying this IL-TRM adjusted Gross Unit Savings calculation for the Measure should be clearly specified in the document listed in column (ar) – Reference Document Explaining Gross Unit Savings Calculation Details.
Note: Errata are generally posted to the following ICC webpage: https://www.icc.illinois.gov/Electricity/programs/TRM.aspx  
</t>
        </r>
      </text>
    </comment>
    <comment ref="AT6" authorId="0" shapeId="0" xr:uid="{00000000-0006-0000-0200-000032000000}">
      <text>
        <r>
          <rPr>
            <b/>
            <sz val="9"/>
            <color indexed="81"/>
            <rFont val="Tahoma"/>
            <family val="2"/>
          </rPr>
          <t>Column (ar)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t>
        </r>
      </text>
    </comment>
    <comment ref="AU6" authorId="0" shapeId="0" xr:uid="{00000000-0006-0000-0200-000033000000}">
      <text>
        <r>
          <rPr>
            <b/>
            <sz val="9"/>
            <color indexed="81"/>
            <rFont val="Tahoma"/>
            <family val="2"/>
          </rPr>
          <t>Column (as) – 2021 Gross Unit Savings (Therms):</t>
        </r>
        <r>
          <rPr>
            <sz val="9"/>
            <color indexed="81"/>
            <rFont val="Tahoma"/>
            <family val="2"/>
          </rPr>
          <t xml:space="preserve"> Complete the gross Therm savings per unit of participation for 2021 by applying the applicable IL-TRM provisions contained in the 2021 IL-TRM or errata document applicable to 2021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2021 Gross Unit Savings for the Measure. The calculation details and specific changes to Key IL-TRM Input Assumptions associated with the 2021 Gross Unit Savings calculation for the Measure should be clearly specified in the document listed in column (ar) – Reference Document Explaining Gross Unit Savings Calculation Details. 
Note: If the IL-TRM Measure Code specified in column (aq) is identical to the one contained in column (j), the resulting value contained in column (as) – 2021 Gross Unit Savings should be set equal to the approved Plan value specified in column (o) – 2021 Plan Gross Unit Savings.
</t>
        </r>
      </text>
    </comment>
    <comment ref="AV6" authorId="0" shapeId="0" xr:uid="{00000000-0006-0000-0200-000034000000}">
      <text>
        <r>
          <rPr>
            <b/>
            <sz val="9"/>
            <color indexed="81"/>
            <rFont val="Tahoma"/>
            <family val="2"/>
          </rPr>
          <t>Column (at) – Gross Unit Savings Adjustment Explanation:</t>
        </r>
        <r>
          <rPr>
            <sz val="9"/>
            <color indexed="81"/>
            <rFont val="Tahoma"/>
            <family val="2"/>
          </rPr>
          <t xml:space="preserve"> Briefly describe the cause of the adjusted Gross Unit Savings reflected in column (as) – 2021 Gross Unit Savings. 
Note: Where applicable, document in both column (at) and the reference document specified in column (ar) if the adjustment is the result of SAG consensus concerning an extenuating circumstance as contemplated in the provisions contained in the guidelines for columns (bb) and (bc). 
</t>
        </r>
      </text>
    </comment>
    <comment ref="AW6" authorId="0" shapeId="0" xr:uid="{00000000-0006-0000-0200-000035000000}">
      <text>
        <r>
          <rPr>
            <b/>
            <sz val="9"/>
            <color indexed="81"/>
            <rFont val="Tahoma"/>
            <family val="2"/>
          </rPr>
          <t>Column (au) – 2021 Adjusted Goal:</t>
        </r>
        <r>
          <rPr>
            <sz val="9"/>
            <color indexed="81"/>
            <rFont val="Tahoma"/>
            <family val="2"/>
          </rPr>
          <t xml:space="preserve"> Calculate the adjusted energy savings goal for 2021 by taking the product of the values contained in column (i) – 2021 Plan Number of Units (Fixed), column (as) – 2021 Gross Unit Savings (Therms), and column (s) – 2021 Plan NTG (Fixed); column (au)=(i x as x s).
</t>
        </r>
      </text>
    </comment>
    <comment ref="AX6" authorId="0" shapeId="0" xr:uid="{00000000-0006-0000-0200-000036000000}">
      <text>
        <r>
          <rPr>
            <b/>
            <sz val="9"/>
            <color indexed="81"/>
            <rFont val="Tahoma"/>
            <family val="2"/>
          </rPr>
          <t>Column (av) – 2021 IL-TRM Adjustment:</t>
        </r>
        <r>
          <rPr>
            <sz val="9"/>
            <color indexed="81"/>
            <rFont val="Tahoma"/>
            <family val="2"/>
          </rPr>
          <t xml:space="preserve"> Calculate the savings differential between the 2021 Adjusted Goal and the 2021 Plan Goal by following the calculation instructions specified in the header row containing column labels; column (av)=(au-w).
</t>
        </r>
      </text>
    </comment>
    <comment ref="AY6" authorId="0" shapeId="0" xr:uid="{00000000-0006-0000-0200-000037000000}">
      <text>
        <r>
          <rPr>
            <b/>
            <sz val="9"/>
            <color indexed="81"/>
            <rFont val="Tahoma"/>
            <family val="2"/>
          </rPr>
          <t>Column (aw) – 2018 Final Savings Goal:</t>
        </r>
        <r>
          <rPr>
            <sz val="9"/>
            <color indexed="81"/>
            <rFont val="Tahoma"/>
            <family val="2"/>
          </rPr>
          <t xml:space="preserve"> Set equal to the value contained in </t>
        </r>
        <r>
          <rPr>
            <b/>
            <sz val="9"/>
            <color indexed="81"/>
            <rFont val="Tahoma"/>
            <family val="2"/>
          </rPr>
          <t>column (ac)</t>
        </r>
        <r>
          <rPr>
            <sz val="9"/>
            <color indexed="81"/>
            <rFont val="Tahoma"/>
            <family val="2"/>
          </rPr>
          <t xml:space="preserve"> – 2018 Adjusted Goal </t>
        </r>
        <r>
          <rPr>
            <u/>
            <sz val="9"/>
            <color indexed="81"/>
            <rFont val="Tahoma"/>
            <family val="2"/>
          </rPr>
          <t>for the rows containing Measures designated as IL-TRM Adjustable (column (c)=1)</t>
        </r>
        <r>
          <rPr>
            <sz val="9"/>
            <color indexed="81"/>
            <rFont val="Tahoma"/>
            <family val="2"/>
          </rPr>
          <t xml:space="preserve">. 
</t>
        </r>
        <r>
          <rPr>
            <b/>
            <sz val="9"/>
            <color indexed="81"/>
            <rFont val="Tahoma"/>
            <family val="2"/>
          </rPr>
          <t xml:space="preserve">Column (aw) – 2018 Final Savings Goal: </t>
        </r>
        <r>
          <rPr>
            <sz val="9"/>
            <color indexed="81"/>
            <rFont val="Tahoma"/>
            <family val="2"/>
          </rPr>
          <t xml:space="preserve">Set equal to the value contained in </t>
        </r>
        <r>
          <rPr>
            <b/>
            <sz val="9"/>
            <color indexed="81"/>
            <rFont val="Tahoma"/>
            <family val="2"/>
          </rPr>
          <t>column (t)</t>
        </r>
        <r>
          <rPr>
            <sz val="9"/>
            <color indexed="81"/>
            <rFont val="Tahoma"/>
            <family val="2"/>
          </rPr>
          <t xml:space="preserve"> – 2018 Plan Goal </t>
        </r>
        <r>
          <rPr>
            <u/>
            <sz val="9"/>
            <color indexed="81"/>
            <rFont val="Tahoma"/>
            <family val="2"/>
          </rPr>
          <t xml:space="preserve">for the rows of Measures that are </t>
        </r>
        <r>
          <rPr>
            <b/>
            <u/>
            <sz val="9"/>
            <color indexed="81"/>
            <rFont val="Tahoma"/>
            <family val="2"/>
          </rPr>
          <t>not</t>
        </r>
        <r>
          <rPr>
            <u/>
            <sz val="9"/>
            <color indexed="81"/>
            <rFont val="Tahoma"/>
            <family val="2"/>
          </rPr>
          <t xml:space="preserve"> IL-TRM Adjustable (column (c)=0)</t>
        </r>
        <r>
          <rPr>
            <sz val="9"/>
            <color indexed="81"/>
            <rFont val="Tahoma"/>
            <family val="2"/>
          </rPr>
          <t xml:space="preserve">.
</t>
        </r>
      </text>
    </comment>
    <comment ref="AZ6" authorId="0" shapeId="0" xr:uid="{00000000-0006-0000-0200-000038000000}">
      <text>
        <r>
          <rPr>
            <b/>
            <sz val="9"/>
            <color indexed="81"/>
            <rFont val="Tahoma"/>
            <family val="2"/>
          </rPr>
          <t>Column (ax) – 2019 Final Savings Goal:</t>
        </r>
        <r>
          <rPr>
            <sz val="9"/>
            <color indexed="81"/>
            <rFont val="Tahoma"/>
            <family val="2"/>
          </rPr>
          <t xml:space="preserve"> Set equal to the value contained in </t>
        </r>
        <r>
          <rPr>
            <b/>
            <sz val="9"/>
            <color indexed="81"/>
            <rFont val="Tahoma"/>
            <family val="2"/>
          </rPr>
          <t xml:space="preserve">column (ai) </t>
        </r>
        <r>
          <rPr>
            <sz val="9"/>
            <color indexed="81"/>
            <rFont val="Tahoma"/>
            <family val="2"/>
          </rPr>
          <t xml:space="preserve">– 2019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(ax) – 2019 Final Savings Goal: </t>
        </r>
        <r>
          <rPr>
            <sz val="9"/>
            <color indexed="81"/>
            <rFont val="Tahoma"/>
            <family val="2"/>
          </rPr>
          <t xml:space="preserve">Set equal to the value contained in </t>
        </r>
        <r>
          <rPr>
            <b/>
            <sz val="9"/>
            <color indexed="81"/>
            <rFont val="Tahoma"/>
            <family val="2"/>
          </rPr>
          <t xml:space="preserve">column (u) </t>
        </r>
        <r>
          <rPr>
            <sz val="9"/>
            <color indexed="81"/>
            <rFont val="Tahoma"/>
            <family val="2"/>
          </rPr>
          <t xml:space="preserve">– 2019 Plan Goal </t>
        </r>
        <r>
          <rPr>
            <u/>
            <sz val="9"/>
            <color indexed="81"/>
            <rFont val="Tahoma"/>
            <family val="2"/>
          </rPr>
          <t>for each row with a Measure that is</t>
        </r>
        <r>
          <rPr>
            <b/>
            <u/>
            <sz val="9"/>
            <color indexed="81"/>
            <rFont val="Tahoma"/>
            <family val="2"/>
          </rPr>
          <t xml:space="preserve"> not </t>
        </r>
        <r>
          <rPr>
            <u/>
            <sz val="9"/>
            <color indexed="81"/>
            <rFont val="Tahoma"/>
            <family val="2"/>
          </rPr>
          <t>IL-TRM Adjustable (column (c)=0)</t>
        </r>
        <r>
          <rPr>
            <sz val="9"/>
            <color indexed="81"/>
            <rFont val="Tahoma"/>
            <family val="2"/>
          </rPr>
          <t xml:space="preserve">. 
</t>
        </r>
      </text>
    </comment>
    <comment ref="BA6" authorId="0" shapeId="0" xr:uid="{00000000-0006-0000-0200-000039000000}">
      <text>
        <r>
          <rPr>
            <b/>
            <sz val="9"/>
            <color indexed="81"/>
            <rFont val="Tahoma"/>
            <family val="2"/>
          </rPr>
          <t>Column (ay) – 2020 Final Savings Goal:</t>
        </r>
        <r>
          <rPr>
            <sz val="9"/>
            <color indexed="81"/>
            <rFont val="Tahoma"/>
            <family val="2"/>
          </rPr>
          <t xml:space="preserve"> Set equal to the value contained in </t>
        </r>
        <r>
          <rPr>
            <b/>
            <sz val="9"/>
            <color indexed="81"/>
            <rFont val="Tahoma"/>
            <family val="2"/>
          </rPr>
          <t xml:space="preserve">column (ao) </t>
        </r>
        <r>
          <rPr>
            <sz val="9"/>
            <color indexed="81"/>
            <rFont val="Tahoma"/>
            <family val="2"/>
          </rPr>
          <t xml:space="preserve">– 2020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(ay) – 2020 Final Savings Goal: </t>
        </r>
        <r>
          <rPr>
            <sz val="9"/>
            <color indexed="81"/>
            <rFont val="Tahoma"/>
            <family val="2"/>
          </rPr>
          <t xml:space="preserve">Set equal to the value contained in </t>
        </r>
        <r>
          <rPr>
            <b/>
            <sz val="9"/>
            <color indexed="81"/>
            <rFont val="Tahoma"/>
            <family val="2"/>
          </rPr>
          <t xml:space="preserve">column (v) </t>
        </r>
        <r>
          <rPr>
            <sz val="9"/>
            <color indexed="81"/>
            <rFont val="Tahoma"/>
            <family val="2"/>
          </rPr>
          <t xml:space="preserve">– 2020 Plan Goal </t>
        </r>
        <r>
          <rPr>
            <u/>
            <sz val="9"/>
            <color indexed="81"/>
            <rFont val="Tahoma"/>
            <family val="2"/>
          </rPr>
          <t>for each row with a Measure that is not IL-TRM Adjustable (column (c)=0)</t>
        </r>
        <r>
          <rPr>
            <sz val="9"/>
            <color indexed="81"/>
            <rFont val="Tahoma"/>
            <family val="2"/>
          </rPr>
          <t xml:space="preserve">.
</t>
        </r>
      </text>
    </comment>
    <comment ref="BB6" authorId="0" shapeId="0" xr:uid="{00000000-0006-0000-0200-00003A000000}">
      <text>
        <r>
          <rPr>
            <b/>
            <sz val="9"/>
            <color indexed="81"/>
            <rFont val="Tahoma"/>
            <family val="2"/>
          </rPr>
          <t>Column (az) – 2021 Final Savings Goal:</t>
        </r>
        <r>
          <rPr>
            <sz val="9"/>
            <color indexed="81"/>
            <rFont val="Tahoma"/>
            <family val="2"/>
          </rPr>
          <t xml:space="preserve"> Set equal to the value contained in </t>
        </r>
        <r>
          <rPr>
            <b/>
            <sz val="9"/>
            <color indexed="81"/>
            <rFont val="Tahoma"/>
            <family val="2"/>
          </rPr>
          <t xml:space="preserve">column (au) </t>
        </r>
        <r>
          <rPr>
            <sz val="9"/>
            <color indexed="81"/>
            <rFont val="Tahoma"/>
            <family val="2"/>
          </rPr>
          <t xml:space="preserve">– 2021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(az) – 2021 Final Savings Goal: </t>
        </r>
        <r>
          <rPr>
            <sz val="9"/>
            <color indexed="81"/>
            <rFont val="Tahoma"/>
            <family val="2"/>
          </rPr>
          <t xml:space="preserve">Set equal to the value contained in </t>
        </r>
        <r>
          <rPr>
            <b/>
            <sz val="9"/>
            <color indexed="81"/>
            <rFont val="Tahoma"/>
            <family val="2"/>
          </rPr>
          <t xml:space="preserve">column (w) </t>
        </r>
        <r>
          <rPr>
            <sz val="9"/>
            <color indexed="81"/>
            <rFont val="Tahoma"/>
            <family val="2"/>
          </rPr>
          <t xml:space="preserve">– 2021 Plan Goal </t>
        </r>
        <r>
          <rPr>
            <u/>
            <sz val="9"/>
            <color indexed="81"/>
            <rFont val="Tahoma"/>
            <family val="2"/>
          </rPr>
          <t>for each row with a Measure that is not IL-TRM Adjustable (column (c)=0)</t>
        </r>
        <r>
          <rPr>
            <sz val="9"/>
            <color indexed="81"/>
            <rFont val="Tahoma"/>
            <family val="2"/>
          </rPr>
          <t xml:space="preserve">.
</t>
        </r>
      </text>
    </comment>
    <comment ref="BC6" authorId="1" shapeId="0" xr:uid="{00000000-0006-0000-0200-00003B000000}">
      <text>
        <r>
          <rPr>
            <sz val="9"/>
            <color indexed="81"/>
            <rFont val="Tahoma"/>
            <family val="2"/>
          </rPr>
          <t>Calculate an estimate of the Plan Period Final Adjusted Net Energy Savings Goal by completing</t>
        </r>
        <r>
          <rPr>
            <b/>
            <sz val="9"/>
            <color indexed="81"/>
            <rFont val="Tahoma"/>
            <family val="2"/>
          </rPr>
          <t xml:space="preserve"> column (ba) – Plan Period Final Savings Goal (Therms) </t>
        </r>
        <r>
          <rPr>
            <sz val="9"/>
            <color indexed="81"/>
            <rFont val="Tahoma"/>
            <family val="2"/>
          </rPr>
          <t xml:space="preserve">for all Measures by following the calculation instructions specified in the header row of the column: column (ba)=(aw+ax+ay+az); and then below the list of Measures, include the Portfolio Total (Therms) savings by calculating the sum of the rows of Measure savings for column (ba) to determine an estimate of the Portfolio Final Adjusted Net Energy Savings Goal for the Plan Period.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Note: Below the list of Measures in the row, Portfolio Total (Therms), calculate a total summation of all the Measure savings to determine the Portfolio savings goal. The value contained in the row, Portfolio Total (Therms), of the Measure-Level Adjustments Tab for column (ba) – Plan Period Final Savings Goal (Therms) should be equal to the value contained in the row, Portfolio Total (Therms), in the Program-Level Adjustments Tab for column (s) – Plan Period Adjusted Energy Savings Goal (Therms).
</t>
        </r>
      </text>
    </comment>
    <comment ref="BD6" authorId="2" shapeId="0" xr:uid="{00000000-0006-0000-0200-00003C000000}">
      <text>
        <r>
          <rPr>
            <b/>
            <sz val="9"/>
            <color indexed="81"/>
            <rFont val="Tahoma"/>
            <family val="2"/>
          </rPr>
          <t xml:space="preserve">Column (bb) – Key Custom Input Assumptions (if none, specify NA): </t>
        </r>
        <r>
          <rPr>
            <sz val="9"/>
            <color indexed="81"/>
            <rFont val="Tahoma"/>
            <family val="2"/>
          </rPr>
          <t xml:space="preserve">Assumptions in savings estimates that are custom and are not derived from values in the IL-TRM, and therefore will not necessitate a change in savings goals if the IL-TRM is updated, unless consensus is reached at SAG that the extenuating circumstance warrants an adjustment. List any custom assumptions selected by the Program Administrator to calculate the Plan Gross Unit Savings for the IL-TRM Adjustable Measure in the Plan and specified in columns (l), (m), (n), and (o). Answer “NA” if there are no custom assumptions selected by the Program Administrator to calculate the Plan Gross Unit Savings for the IL-TRM Adjustable Measure. The assumptions listed in column (bb) should be consistent with and clearly outlined in the reference document specified in column (k) – Reference Document Explaining Gross Unit Savings Calculation Details. </t>
        </r>
        <r>
          <rPr>
            <b/>
            <sz val="9"/>
            <color indexed="81"/>
            <rFont val="Tahoma"/>
            <family val="2"/>
          </rPr>
          <t xml:space="preserve">Program Administrators have the flexibility to specify the custom assumptions selected by the Program Administrator within a separate tab or across multiple columns of the Measure-Level Adjustments Tab. In cases where the custom assumptions are provided within a separate tab, the name of the tab where the custom assumptions can be found should be clearly specified in column (bb). </t>
        </r>
        <r>
          <rPr>
            <sz val="9"/>
            <color indexed="81"/>
            <rFont val="Tahoma"/>
            <family val="2"/>
          </rPr>
          <t xml:space="preserve">
Note: In general, if a custom input assumption specified in this column (bb) is changed by the Program Administrator during Program implementation and tracking of the Measure savings during the Plan period, given such a change to the custom input assumptions during Program implementation of the Measure is not the result of a change to the IL-TRM, the changed custom input assumption should </t>
        </r>
        <r>
          <rPr>
            <u/>
            <sz val="9"/>
            <color indexed="81"/>
            <rFont val="Tahoma"/>
            <family val="2"/>
          </rPr>
          <t>not</t>
        </r>
        <r>
          <rPr>
            <sz val="9"/>
            <color indexed="81"/>
            <rFont val="Tahoma"/>
            <family val="2"/>
          </rPr>
          <t xml:space="preserve"> be used to adjust the Program Administrator’s energy savings goals. In other words, the custom input assumptions selected by the Program Administrator in its Plan filing (as specified in column (bb)) should remain fixed over the Plan period when calculating the Gross Unit Savings for the applicable Program Years set forth in columns (aa), (ag), (am) and (as) and the Final Adjusted Net Energy Savings Goals set forth in columns (aw), (ax), (ay), (az), and (ba) unless consensus is reached at SAG that the extenuating circumstance warrants an adjustment.     
</t>
        </r>
      </text>
    </comment>
    <comment ref="BE6" authorId="2" shapeId="0" xr:uid="{00000000-0006-0000-0200-00003D000000}">
      <text>
        <r>
          <rPr>
            <b/>
            <sz val="9"/>
            <color indexed="81"/>
            <rFont val="Tahoma"/>
            <family val="2"/>
          </rPr>
          <t xml:space="preserve">Column (bc) – Key IL-TRM Input Assumptions: </t>
        </r>
        <r>
          <rPr>
            <sz val="9"/>
            <color indexed="81"/>
            <rFont val="Tahoma"/>
            <family val="2"/>
          </rPr>
          <t xml:space="preserve">Assumptions derived from the IL-TRM that, if changed in the IL-TRM in the future, would necessitate a savings goal adjustment, unless consensus is reached at SAG that the extenuating circumstance warrants no adjustment. List the specific assumptions and values from the IL-TRM relied upon to calculate the Plan Gross Unit Savings for the Measure specified in columns (l), (m), (n), and (o). The assumptions listed in column (bc) should be consistent with and clearly outlined in the reference document specified in column (k) – Reference Document Explaining Gross Unit Savings Calculation Details. </t>
        </r>
        <r>
          <rPr>
            <b/>
            <sz val="9"/>
            <color indexed="81"/>
            <rFont val="Tahoma"/>
            <family val="2"/>
          </rPr>
          <t>Program Administrators have the flexibility to specify the assumptions and values derived from the IL-TRM to calculate the Plan Gross Unit Savings for the Measure within a separate tab or across multiple columns of the Measure-Level Adjustments Tab. In cases where the assumptions and values derived from the IL-TRM are provided within a separate tab, the name of the tab where the assumptions and values derived from the IL-TRM can be found should be clearly specified in column (bc).</t>
        </r>
        <r>
          <rPr>
            <sz val="9"/>
            <color indexed="81"/>
            <rFont val="Tahoma"/>
            <family val="2"/>
          </rPr>
          <t xml:space="preserve">
Examples of Key IL-TRM Input Assumptions: 1) Cooling_Reduction = 8.0% for 5.3.16 Advanced Thermostats Measure; or 2) Hours (Unknown Installation Location) = 847 for 5.5.8 LED Screw Based Omnidirectional Bulbs Measure. 
</t>
        </r>
        <r>
          <rPr>
            <b/>
            <sz val="9"/>
            <color indexed="81"/>
            <rFont val="Tahoma"/>
            <family val="2"/>
          </rPr>
          <t xml:space="preserve">
</t>
        </r>
      </text>
    </comment>
    <comment ref="AY7" authorId="0" shapeId="0" xr:uid="{00000000-0006-0000-0200-00003E000000}">
      <text>
        <r>
          <rPr>
            <sz val="9"/>
            <color indexed="81"/>
            <rFont val="Tahoma"/>
            <family val="2"/>
          </rPr>
          <t xml:space="preserve">Note:
(aw)=(ac) for IL-TRM Adjustable Measures (if column (c)=1); 
(aw)=(t) for Measures that are </t>
        </r>
        <r>
          <rPr>
            <u/>
            <sz val="9"/>
            <color indexed="81"/>
            <rFont val="Tahoma"/>
            <family val="2"/>
          </rPr>
          <t>not</t>
        </r>
        <r>
          <rPr>
            <sz val="9"/>
            <color indexed="81"/>
            <rFont val="Tahoma"/>
            <family val="2"/>
          </rPr>
          <t xml:space="preserve"> IL-TRM Adjustable (if column (c)=0).
</t>
        </r>
      </text>
    </comment>
    <comment ref="AZ7" authorId="0" shapeId="0" xr:uid="{00000000-0006-0000-0200-00003F000000}">
      <text>
        <r>
          <rPr>
            <sz val="9"/>
            <color indexed="81"/>
            <rFont val="Tahoma"/>
            <family val="2"/>
          </rPr>
          <t xml:space="preserve">Note:
(ax)=(ai) for IL-TRM Adjustable Measures (if column (c)=1); 
(ax)=(u) for Measures that are </t>
        </r>
        <r>
          <rPr>
            <u/>
            <sz val="9"/>
            <color indexed="81"/>
            <rFont val="Tahoma"/>
            <family val="2"/>
          </rPr>
          <t>not</t>
        </r>
        <r>
          <rPr>
            <sz val="9"/>
            <color indexed="81"/>
            <rFont val="Tahoma"/>
            <family val="2"/>
          </rPr>
          <t xml:space="preserve"> IL-TRM Adjustable (if column (c)=0).
</t>
        </r>
      </text>
    </comment>
    <comment ref="BA7" authorId="0" shapeId="0" xr:uid="{00000000-0006-0000-0200-000040000000}">
      <text>
        <r>
          <rPr>
            <sz val="9"/>
            <color indexed="81"/>
            <rFont val="Tahoma"/>
            <family val="2"/>
          </rPr>
          <t xml:space="preserve">Note:
(ay)=(ao) for IL-TRM Adjustable Measures (if column (c)=1); 
(ay)=(v) for Measures that are </t>
        </r>
        <r>
          <rPr>
            <u/>
            <sz val="9"/>
            <color indexed="81"/>
            <rFont val="Tahoma"/>
            <family val="2"/>
          </rPr>
          <t>not</t>
        </r>
        <r>
          <rPr>
            <sz val="9"/>
            <color indexed="81"/>
            <rFont val="Tahoma"/>
            <family val="2"/>
          </rPr>
          <t xml:space="preserve"> IL-TRM Adjustable (if column (c)=0).
</t>
        </r>
      </text>
    </comment>
    <comment ref="BB7" authorId="0" shapeId="0" xr:uid="{00000000-0006-0000-0200-000041000000}">
      <text>
        <r>
          <rPr>
            <sz val="9"/>
            <color indexed="81"/>
            <rFont val="Tahoma"/>
            <family val="2"/>
          </rPr>
          <t xml:space="preserve">Note:
(az)=(au) for IL-TRM Adjustable Measures (if column (c)=1); 
(az)=(w) for Measures that are </t>
        </r>
        <r>
          <rPr>
            <u/>
            <sz val="9"/>
            <color indexed="81"/>
            <rFont val="Tahoma"/>
            <family val="2"/>
          </rPr>
          <t>not</t>
        </r>
        <r>
          <rPr>
            <sz val="9"/>
            <color indexed="81"/>
            <rFont val="Tahoma"/>
            <family val="2"/>
          </rPr>
          <t xml:space="preserve"> IL-TRM Adjustable (if column (c)=0).
</t>
        </r>
      </text>
    </comment>
    <comment ref="A426" authorId="0" shapeId="0" xr:uid="{00000000-0006-0000-0200-000042000000}">
      <text>
        <r>
          <rPr>
            <b/>
            <sz val="9"/>
            <color indexed="81"/>
            <rFont val="Tahoma"/>
            <family val="2"/>
          </rPr>
          <t>Portfolio Total (Therms):</t>
        </r>
        <r>
          <rPr>
            <sz val="9"/>
            <color indexed="81"/>
            <rFont val="Tahoma"/>
            <family val="2"/>
          </rPr>
          <t xml:space="preserve"> Below the list of Measures, calculate a total summation of all the Measure savings (with applicable fuel type savings (Therms)) to determine the Portfolio savings goals and adjustments for columns (t) – (x), (ad), (aj), (ap), (av) – (az), and (ba).
Note: The values contained in the row, Portfolio Total (Therms), of the Measure-Level Adjustments Tab for columns (t), (u), (v), (w), and (x) – Plan Energy Savings Goals, and columns (aw), (ax), (ay), (az), and (ba) – Final Adjusted Net Energy Savings Goals, should be equal to the values contained in the row, Portfolio Total (Therms), in the Program-Level Adjustments Tab for columns (b), (f), (j), (n), and (r) – Plan Energy Savings Goal, and columns (c), (g), (k), (o), and (s) – Adjusted Energy Savings Goal, respectively. </t>
        </r>
      </text>
    </comment>
    <comment ref="V426" authorId="0" shapeId="0" xr:uid="{00000000-0006-0000-0200-000043000000}">
      <text>
        <r>
          <rPr>
            <b/>
            <sz val="9"/>
            <color indexed="81"/>
            <rFont val="Tahoma"/>
            <family val="2"/>
          </rPr>
          <t>Portfolio Total (Therms) 2018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(b) – 2018 Plan Energy Savings Goal should be equal to the value contained in the row, Portfolio Total (Therms), of the Measure-Level Adjustments Tab for column (t) – 2018 Plan Goal.
</t>
        </r>
      </text>
    </comment>
    <comment ref="W426" authorId="0" shapeId="0" xr:uid="{00000000-0006-0000-0200-000044000000}">
      <text>
        <r>
          <rPr>
            <b/>
            <sz val="9"/>
            <color indexed="81"/>
            <rFont val="Tahoma"/>
            <family val="2"/>
          </rPr>
          <t>Portfolio Total (Therms) 2019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(f) – 2019 Plan Energy Savings Goal should be equal to the value contained in the row, Portfolio Total (Therms), of the Measure-Level Adjustments Tab for column (u) – 2019 Plan Goal.
</t>
        </r>
      </text>
    </comment>
    <comment ref="X426" authorId="0" shapeId="0" xr:uid="{00000000-0006-0000-0200-000045000000}">
      <text>
        <r>
          <rPr>
            <b/>
            <sz val="9"/>
            <color indexed="81"/>
            <rFont val="Tahoma"/>
            <family val="2"/>
          </rPr>
          <t>Portfolio Total (Therms) 2020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(j) – 2020 Plan Energy Savings Goal should be equal to the value contained in the row, Portfolio Total (Therms), of the Measure-Level Adjustments Tab for column (v) – 2020 Plan Goal. </t>
        </r>
      </text>
    </comment>
    <comment ref="Y426" authorId="0" shapeId="0" xr:uid="{00000000-0006-0000-0200-000046000000}">
      <text>
        <r>
          <rPr>
            <b/>
            <sz val="9"/>
            <color indexed="81"/>
            <rFont val="Tahoma"/>
            <family val="2"/>
          </rPr>
          <t>Portfolio Total (Therms) 2021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(n) – 2021 Plan Energy Savings Goal should be equal to the value contained in the row, Portfolio Total (Therms), of the Measure-Level Adjustments Tab for column (w) – 2021 Plan Goal. </t>
        </r>
      </text>
    </comment>
    <comment ref="Z426" authorId="0" shapeId="0" xr:uid="{00000000-0006-0000-0200-000047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F426" authorId="0" shapeId="0" xr:uid="{00000000-0006-0000-0200-000048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L426" authorId="0" shapeId="0" xr:uid="{00000000-0006-0000-0200-000049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R426" authorId="0" shapeId="0" xr:uid="{00000000-0006-0000-0200-00004A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X426" authorId="0" shapeId="0" xr:uid="{00000000-0006-0000-0200-00004B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Y426" authorId="0" shapeId="0" xr:uid="{00000000-0006-0000-0200-00004C000000}">
      <text>
        <r>
          <rPr>
            <b/>
            <sz val="9"/>
            <color indexed="81"/>
            <rFont val="Tahoma"/>
            <family val="2"/>
          </rPr>
          <t xml:space="preserve">Portfolio Total (Therms) 2018 Final Savings Goal: </t>
        </r>
        <r>
          <rPr>
            <sz val="9"/>
            <color indexed="81"/>
            <rFont val="Tahoma"/>
            <family val="2"/>
          </rPr>
          <t xml:space="preserve">Calculate the sum of the rows of Measure savings within the column for the respective fuel type (Therms).
The value contained in the row, Portfolio Total (Therms), of the Measure-Level Adjustments Tab for column (aw) – 2018 Final Savings Goal should be equal to the value contained in the row, Portfolio Total (Therms), in the Program-Level Adjustments Tab for column (c) – 2018 Adjusted Energy Savings Goal.
</t>
        </r>
      </text>
    </comment>
    <comment ref="AZ426" authorId="0" shapeId="0" xr:uid="{00000000-0006-0000-0200-00004D000000}">
      <text>
        <r>
          <rPr>
            <b/>
            <sz val="9"/>
            <color indexed="81"/>
            <rFont val="Tahoma"/>
            <family val="2"/>
          </rPr>
          <t>Portfolio Total (Therms) 2019 Final Savings Goal:</t>
        </r>
        <r>
          <rPr>
            <sz val="9"/>
            <color indexed="81"/>
            <rFont val="Tahoma"/>
            <family val="2"/>
          </rPr>
          <t xml:space="preserve"> Calculate the sum of the rows of Measure savings within the column for the respective fuel type (Therms).
The value contained in the row, Portfolio Total (Therms), of the Measure-Level Adjustments Tab for column (ax) should be equal to the value contained in the row, Portfolio Total (Therms), in the Program-Level Adjustments Tab for column (g).
</t>
        </r>
      </text>
    </comment>
    <comment ref="BA426" authorId="0" shapeId="0" xr:uid="{00000000-0006-0000-0200-00004E000000}">
      <text>
        <r>
          <rPr>
            <b/>
            <sz val="9"/>
            <color indexed="81"/>
            <rFont val="Tahoma"/>
            <family val="2"/>
          </rPr>
          <t>Portfolio Total (Therms) 2020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(ay) should be equal to the value contained in the row, Portfolio Total (Therms), in the Program-Level Adjustments Tab for column (k).
</t>
        </r>
      </text>
    </comment>
    <comment ref="BB426" authorId="0" shapeId="0" xr:uid="{00000000-0006-0000-0200-00004F000000}">
      <text>
        <r>
          <rPr>
            <b/>
            <sz val="9"/>
            <color indexed="81"/>
            <rFont val="Tahoma"/>
            <family val="2"/>
          </rPr>
          <t>Portfolio Total (Therms) 2021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(az) should be equal to the value contained in the row, Portfolio Total (Therms), in the Program-Level Adjustments Tab for column (o).
</t>
        </r>
      </text>
    </comment>
    <comment ref="BC426" authorId="0" shapeId="0" xr:uid="{00000000-0006-0000-0200-000050000000}">
      <text>
        <r>
          <rPr>
            <b/>
            <sz val="9"/>
            <color indexed="81"/>
            <rFont val="Tahoma"/>
            <family val="2"/>
          </rPr>
          <t>Portfolio Total (Therms) Plan Period Final Savings Goal:</t>
        </r>
        <r>
          <rPr>
            <sz val="9"/>
            <color indexed="81"/>
            <rFont val="Tahoma"/>
            <family val="2"/>
          </rPr>
          <t xml:space="preserve"> Calculate the sum of the rows of Measure savings within the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 ref="BF426" authorId="0" shapeId="0" xr:uid="{00000000-0006-0000-0200-000051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BG426" authorId="0" shapeId="0" xr:uid="{00000000-0006-0000-0200-000052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BH426" authorId="0" shapeId="0" xr:uid="{00000000-0006-0000-0200-000053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BI426" authorId="0" shapeId="0" xr:uid="{00000000-0006-0000-0200-000054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BJ426" authorId="0" shapeId="0" xr:uid="{00000000-0006-0000-0200-000055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BO426" authorId="0" shapeId="0" xr:uid="{00000000-0006-0000-0200-000056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Nielsen, Victoria</author>
    <author>Froio, Zach</author>
    <author>Leah Maggio</author>
    <author>Maxwell Weiland</author>
  </authors>
  <commentList>
    <comment ref="I25" authorId="0" shapeId="0" xr:uid="{00000000-0006-0000-0400-000001000000}">
      <text>
        <r>
          <rPr>
            <b/>
            <sz val="9"/>
            <color indexed="81"/>
            <rFont val="Tahoma"/>
            <family val="2"/>
          </rPr>
          <t>Nielsen, Victoria:</t>
        </r>
        <r>
          <rPr>
            <sz val="9"/>
            <color indexed="81"/>
            <rFont val="Tahoma"/>
            <family val="2"/>
          </rPr>
          <t xml:space="preserve">
Changed measure life from 9 to 10 years. IL TRM V7 5.5.4 pg 184
</t>
        </r>
      </text>
    </comment>
    <comment ref="W25" authorId="1" shapeId="0" xr:uid="{00000000-0006-0000-0400-000002000000}">
      <text>
        <r>
          <rPr>
            <b/>
            <sz val="9"/>
            <color indexed="81"/>
            <rFont val="Tahoma"/>
            <family val="2"/>
          </rPr>
          <t>Froio, Zach:</t>
        </r>
        <r>
          <rPr>
            <sz val="9"/>
            <color indexed="81"/>
            <rFont val="Tahoma"/>
            <family val="2"/>
          </rPr>
          <t xml:space="preserve">
Updated per IL TRM v7 p. 185</t>
        </r>
      </text>
    </comment>
    <comment ref="AA25" authorId="2" shapeId="0" xr:uid="{00000000-0006-0000-0400-000003000000}">
      <text>
        <r>
          <rPr>
            <b/>
            <sz val="9"/>
            <color indexed="81"/>
            <rFont val="Tahoma"/>
            <family val="2"/>
          </rPr>
          <t>Leah Maggio:</t>
        </r>
        <r>
          <rPr>
            <sz val="9"/>
            <color indexed="81"/>
            <rFont val="Tahoma"/>
            <family val="2"/>
          </rPr>
          <t xml:space="preserve">
L_base = L_low</t>
        </r>
      </text>
    </comment>
    <comment ref="I26" authorId="0" shapeId="0" xr:uid="{00000000-0006-0000-0400-000004000000}">
      <text>
        <r>
          <rPr>
            <b/>
            <sz val="9"/>
            <color indexed="81"/>
            <rFont val="Tahoma"/>
            <family val="2"/>
          </rPr>
          <t>Nielsen, Victoria:</t>
        </r>
        <r>
          <rPr>
            <sz val="9"/>
            <color indexed="81"/>
            <rFont val="Tahoma"/>
            <family val="2"/>
          </rPr>
          <t xml:space="preserve">
Changed measure life from 9 to 10 years. IL TRM V7 5.5.4 pg 184
</t>
        </r>
      </text>
    </comment>
    <comment ref="W26" authorId="1" shapeId="0" xr:uid="{00000000-0006-0000-0400-000005000000}">
      <text>
        <r>
          <rPr>
            <b/>
            <sz val="9"/>
            <color indexed="81"/>
            <rFont val="Tahoma"/>
            <family val="2"/>
          </rPr>
          <t>Froio, Zach:</t>
        </r>
        <r>
          <rPr>
            <sz val="9"/>
            <color indexed="81"/>
            <rFont val="Tahoma"/>
            <family val="2"/>
          </rPr>
          <t xml:space="preserve">
Updated per IL TRM v7 p. 185</t>
        </r>
      </text>
    </comment>
    <comment ref="AA26" authorId="2" shapeId="0" xr:uid="{00000000-0006-0000-0400-000006000000}">
      <text>
        <r>
          <rPr>
            <b/>
            <sz val="9"/>
            <color indexed="81"/>
            <rFont val="Tahoma"/>
            <family val="2"/>
          </rPr>
          <t>Leah Maggio:</t>
        </r>
        <r>
          <rPr>
            <sz val="9"/>
            <color indexed="81"/>
            <rFont val="Tahoma"/>
            <family val="2"/>
          </rPr>
          <t xml:space="preserve">
L_base = L_low</t>
        </r>
      </text>
    </comment>
    <comment ref="W27" authorId="1" shapeId="0" xr:uid="{00000000-0006-0000-0400-000007000000}">
      <text>
        <r>
          <rPr>
            <b/>
            <sz val="9"/>
            <color indexed="81"/>
            <rFont val="Tahoma"/>
            <family val="2"/>
          </rPr>
          <t>Froio, Zach:</t>
        </r>
        <r>
          <rPr>
            <sz val="9"/>
            <color indexed="81"/>
            <rFont val="Tahoma"/>
            <family val="2"/>
          </rPr>
          <t xml:space="preserve">
Updated per IL TRM v7 p. 194</t>
        </r>
      </text>
    </comment>
    <comment ref="AA27" authorId="2" shapeId="0" xr:uid="{00000000-0006-0000-0400-000008000000}">
      <text>
        <r>
          <rPr>
            <b/>
            <sz val="9"/>
            <color indexed="81"/>
            <rFont val="Tahoma"/>
            <family val="2"/>
          </rPr>
          <t>Leah Maggio:</t>
        </r>
        <r>
          <rPr>
            <sz val="9"/>
            <color indexed="81"/>
            <rFont val="Tahoma"/>
            <family val="2"/>
          </rPr>
          <t xml:space="preserve">
L_base = L_low</t>
        </r>
      </text>
    </comment>
    <comment ref="AI27" authorId="1" shapeId="0" xr:uid="{00000000-0006-0000-0400-000009000000}">
      <text>
        <r>
          <rPr>
            <b/>
            <sz val="9"/>
            <color indexed="81"/>
            <rFont val="Tahoma"/>
            <charset val="1"/>
          </rPr>
          <t>Froio, Zach:</t>
        </r>
        <r>
          <rPr>
            <sz val="9"/>
            <color indexed="81"/>
            <rFont val="Tahoma"/>
            <charset val="1"/>
          </rPr>
          <t xml:space="preserve">
Updated per IL TRM v8 p. 207</t>
        </r>
      </text>
    </comment>
    <comment ref="V28" authorId="1" shapeId="0" xr:uid="{00000000-0006-0000-0400-00000A000000}">
      <text>
        <r>
          <rPr>
            <b/>
            <sz val="9"/>
            <color indexed="81"/>
            <rFont val="Tahoma"/>
            <family val="2"/>
          </rPr>
          <t>Froio, Zach:</t>
        </r>
        <r>
          <rPr>
            <sz val="9"/>
            <color indexed="81"/>
            <rFont val="Tahoma"/>
            <family val="2"/>
          </rPr>
          <t xml:space="preserve">
Updated per IL TRM v7 p. 173</t>
        </r>
      </text>
    </comment>
    <comment ref="I30" authorId="0" shapeId="0" xr:uid="{00000000-0006-0000-0400-00000B000000}">
      <text>
        <r>
          <rPr>
            <b/>
            <sz val="9"/>
            <color indexed="81"/>
            <rFont val="Tahoma"/>
            <family val="2"/>
          </rPr>
          <t>Nielsen, Victoria:</t>
        </r>
        <r>
          <rPr>
            <sz val="9"/>
            <color indexed="81"/>
            <rFont val="Tahoma"/>
            <family val="2"/>
          </rPr>
          <t xml:space="preserve">
Changed from 5 to 8
</t>
        </r>
      </text>
    </comment>
    <comment ref="I31" authorId="0" shapeId="0" xr:uid="{00000000-0006-0000-0400-00000C000000}">
      <text>
        <r>
          <rPr>
            <b/>
            <sz val="9"/>
            <color indexed="81"/>
            <rFont val="Tahoma"/>
            <family val="2"/>
          </rPr>
          <t>Nielsen, Victoria:</t>
        </r>
        <r>
          <rPr>
            <sz val="9"/>
            <color indexed="81"/>
            <rFont val="Tahoma"/>
            <family val="2"/>
          </rPr>
          <t xml:space="preserve">
Changed from 5 to 8
</t>
        </r>
      </text>
    </comment>
    <comment ref="I32" authorId="0" shapeId="0" xr:uid="{00000000-0006-0000-0400-00000D000000}">
      <text>
        <r>
          <rPr>
            <b/>
            <sz val="9"/>
            <color indexed="81"/>
            <rFont val="Tahoma"/>
            <family val="2"/>
          </rPr>
          <t>Nielsen, Victoria:</t>
        </r>
        <r>
          <rPr>
            <sz val="9"/>
            <color indexed="81"/>
            <rFont val="Tahoma"/>
            <family val="2"/>
          </rPr>
          <t xml:space="preserve">
Changed from 10 to 11. IL TRM V 7 pg 160
</t>
        </r>
      </text>
    </comment>
    <comment ref="I33" authorId="0" shapeId="0" xr:uid="{00000000-0006-0000-0400-00000E000000}">
      <text>
        <r>
          <rPr>
            <b/>
            <sz val="9"/>
            <color indexed="81"/>
            <rFont val="Tahoma"/>
            <family val="2"/>
          </rPr>
          <t>Nielsen, Victoria:</t>
        </r>
        <r>
          <rPr>
            <sz val="9"/>
            <color indexed="81"/>
            <rFont val="Tahoma"/>
            <family val="2"/>
          </rPr>
          <t xml:space="preserve">
Changed from 10 to 11. IL TRM V 7 pg 160
</t>
        </r>
      </text>
    </comment>
    <comment ref="I34" authorId="0" shapeId="0" xr:uid="{00000000-0006-0000-0400-00000F000000}">
      <text>
        <r>
          <rPr>
            <b/>
            <sz val="9"/>
            <color indexed="81"/>
            <rFont val="Tahoma"/>
            <family val="2"/>
          </rPr>
          <t>Nielsen, Victoria:</t>
        </r>
        <r>
          <rPr>
            <sz val="9"/>
            <color indexed="81"/>
            <rFont val="Tahoma"/>
            <family val="2"/>
          </rPr>
          <t xml:space="preserve">
Changed from 10 to 11. IL TRM V 7 pg 160
</t>
        </r>
      </text>
    </comment>
    <comment ref="I35" authorId="0" shapeId="0" xr:uid="{00000000-0006-0000-0400-000010000000}">
      <text>
        <r>
          <rPr>
            <b/>
            <sz val="9"/>
            <color indexed="81"/>
            <rFont val="Tahoma"/>
            <family val="2"/>
          </rPr>
          <t>Nielsen, Victoria:</t>
        </r>
        <r>
          <rPr>
            <sz val="9"/>
            <color indexed="81"/>
            <rFont val="Tahoma"/>
            <family val="2"/>
          </rPr>
          <t xml:space="preserve">
Changed from 10 to 11. IL TRM V 7 pg 160
</t>
        </r>
      </text>
    </comment>
    <comment ref="I37" authorId="0" shapeId="0" xr:uid="{00000000-0006-0000-0400-000011000000}">
      <text>
        <r>
          <rPr>
            <b/>
            <sz val="9"/>
            <color indexed="81"/>
            <rFont val="Tahoma"/>
            <family val="2"/>
          </rPr>
          <t>Nielsen, Victoria:</t>
        </r>
        <r>
          <rPr>
            <sz val="9"/>
            <color indexed="81"/>
            <rFont val="Tahoma"/>
            <family val="2"/>
          </rPr>
          <t xml:space="preserve">
Changed measure life from 9 to 10 years. IL TRM V7 5.5.4 pg 184
</t>
        </r>
      </text>
    </comment>
    <comment ref="W37" authorId="1" shapeId="0" xr:uid="{00000000-0006-0000-0400-000012000000}">
      <text>
        <r>
          <rPr>
            <b/>
            <sz val="9"/>
            <color indexed="81"/>
            <rFont val="Tahoma"/>
            <family val="2"/>
          </rPr>
          <t>Froio, Zach:</t>
        </r>
        <r>
          <rPr>
            <sz val="9"/>
            <color indexed="81"/>
            <rFont val="Tahoma"/>
            <family val="2"/>
          </rPr>
          <t xml:space="preserve">
Updated per IL TRM v7 p. 185</t>
        </r>
      </text>
    </comment>
    <comment ref="AA37" authorId="2" shapeId="0" xr:uid="{00000000-0006-0000-0400-000013000000}">
      <text>
        <r>
          <rPr>
            <b/>
            <sz val="9"/>
            <color indexed="81"/>
            <rFont val="Tahoma"/>
            <family val="2"/>
          </rPr>
          <t>Leah Maggio:</t>
        </r>
        <r>
          <rPr>
            <sz val="9"/>
            <color indexed="81"/>
            <rFont val="Tahoma"/>
            <family val="2"/>
          </rPr>
          <t xml:space="preserve">
L_base = L_low</t>
        </r>
      </text>
    </comment>
    <comment ref="I38" authorId="0" shapeId="0" xr:uid="{00000000-0006-0000-0400-000014000000}">
      <text>
        <r>
          <rPr>
            <b/>
            <sz val="9"/>
            <color indexed="81"/>
            <rFont val="Tahoma"/>
            <family val="2"/>
          </rPr>
          <t>Nielsen, Victoria:</t>
        </r>
        <r>
          <rPr>
            <sz val="9"/>
            <color indexed="81"/>
            <rFont val="Tahoma"/>
            <family val="2"/>
          </rPr>
          <t xml:space="preserve">
Changed measure life from 9 to 10 years. IL TRM V7 5.5.4 pg 184
</t>
        </r>
      </text>
    </comment>
    <comment ref="W38" authorId="1" shapeId="0" xr:uid="{00000000-0006-0000-0400-000015000000}">
      <text>
        <r>
          <rPr>
            <b/>
            <sz val="9"/>
            <color indexed="81"/>
            <rFont val="Tahoma"/>
            <family val="2"/>
          </rPr>
          <t>Froio, Zach:</t>
        </r>
        <r>
          <rPr>
            <sz val="9"/>
            <color indexed="81"/>
            <rFont val="Tahoma"/>
            <family val="2"/>
          </rPr>
          <t xml:space="preserve">
Updated per IL TRM v7 p. 185</t>
        </r>
      </text>
    </comment>
    <comment ref="AA38" authorId="2" shapeId="0" xr:uid="{00000000-0006-0000-0400-000016000000}">
      <text>
        <r>
          <rPr>
            <b/>
            <sz val="9"/>
            <color indexed="81"/>
            <rFont val="Tahoma"/>
            <family val="2"/>
          </rPr>
          <t>Leah Maggio:</t>
        </r>
        <r>
          <rPr>
            <sz val="9"/>
            <color indexed="81"/>
            <rFont val="Tahoma"/>
            <family val="2"/>
          </rPr>
          <t xml:space="preserve">
L_base = L_low</t>
        </r>
      </text>
    </comment>
    <comment ref="W39" authorId="1" shapeId="0" xr:uid="{00000000-0006-0000-0400-000017000000}">
      <text>
        <r>
          <rPr>
            <b/>
            <sz val="9"/>
            <color indexed="81"/>
            <rFont val="Tahoma"/>
            <family val="2"/>
          </rPr>
          <t>Froio, Zach:</t>
        </r>
        <r>
          <rPr>
            <sz val="9"/>
            <color indexed="81"/>
            <rFont val="Tahoma"/>
            <family val="2"/>
          </rPr>
          <t xml:space="preserve">
Updated per IL TRM v7 p. 194</t>
        </r>
      </text>
    </comment>
    <comment ref="AA39" authorId="2" shapeId="0" xr:uid="{00000000-0006-0000-0400-000018000000}">
      <text>
        <r>
          <rPr>
            <b/>
            <sz val="9"/>
            <color indexed="81"/>
            <rFont val="Tahoma"/>
            <family val="2"/>
          </rPr>
          <t>Leah Maggio:</t>
        </r>
        <r>
          <rPr>
            <sz val="9"/>
            <color indexed="81"/>
            <rFont val="Tahoma"/>
            <family val="2"/>
          </rPr>
          <t xml:space="preserve">
L_base = L_low</t>
        </r>
      </text>
    </comment>
    <comment ref="V40" authorId="1" shapeId="0" xr:uid="{00000000-0006-0000-0400-000019000000}">
      <text>
        <r>
          <rPr>
            <b/>
            <sz val="9"/>
            <color indexed="81"/>
            <rFont val="Tahoma"/>
            <family val="2"/>
          </rPr>
          <t>Froio, Zach:</t>
        </r>
        <r>
          <rPr>
            <sz val="9"/>
            <color indexed="81"/>
            <rFont val="Tahoma"/>
            <family val="2"/>
          </rPr>
          <t xml:space="preserve">
Updated per IL TRM v7 p. 173</t>
        </r>
      </text>
    </comment>
    <comment ref="I42" authorId="0" shapeId="0" xr:uid="{00000000-0006-0000-0400-00001A000000}">
      <text>
        <r>
          <rPr>
            <b/>
            <sz val="9"/>
            <color indexed="81"/>
            <rFont val="Tahoma"/>
            <family val="2"/>
          </rPr>
          <t>Nielsen, Victoria:</t>
        </r>
        <r>
          <rPr>
            <sz val="9"/>
            <color indexed="81"/>
            <rFont val="Tahoma"/>
            <family val="2"/>
          </rPr>
          <t xml:space="preserve">
Changed from 5 to 8
</t>
        </r>
      </text>
    </comment>
    <comment ref="I43" authorId="0" shapeId="0" xr:uid="{00000000-0006-0000-0400-00001B000000}">
      <text>
        <r>
          <rPr>
            <b/>
            <sz val="9"/>
            <color indexed="81"/>
            <rFont val="Tahoma"/>
            <family val="2"/>
          </rPr>
          <t>Nielsen, Victoria:</t>
        </r>
        <r>
          <rPr>
            <sz val="9"/>
            <color indexed="81"/>
            <rFont val="Tahoma"/>
            <family val="2"/>
          </rPr>
          <t xml:space="preserve">
Changed from 5 to 8
</t>
        </r>
      </text>
    </comment>
    <comment ref="I44" authorId="0" shapeId="0" xr:uid="{00000000-0006-0000-0400-00001C000000}">
      <text>
        <r>
          <rPr>
            <b/>
            <sz val="9"/>
            <color indexed="81"/>
            <rFont val="Tahoma"/>
            <family val="2"/>
          </rPr>
          <t>Nielsen, Victoria:</t>
        </r>
        <r>
          <rPr>
            <sz val="9"/>
            <color indexed="81"/>
            <rFont val="Tahoma"/>
            <family val="2"/>
          </rPr>
          <t xml:space="preserve">
Changed from 10 to 11. IL TRM V 7 pg 160
</t>
        </r>
      </text>
    </comment>
    <comment ref="I45" authorId="0" shapeId="0" xr:uid="{00000000-0006-0000-0400-00001D000000}">
      <text>
        <r>
          <rPr>
            <b/>
            <sz val="9"/>
            <color indexed="81"/>
            <rFont val="Tahoma"/>
            <family val="2"/>
          </rPr>
          <t>Nielsen, Victoria:</t>
        </r>
        <r>
          <rPr>
            <sz val="9"/>
            <color indexed="81"/>
            <rFont val="Tahoma"/>
            <family val="2"/>
          </rPr>
          <t xml:space="preserve">
Changed from 10 to 11. IL TRM V 7 pg 160
</t>
        </r>
      </text>
    </comment>
    <comment ref="I46" authorId="0" shapeId="0" xr:uid="{00000000-0006-0000-0400-00001E000000}">
      <text>
        <r>
          <rPr>
            <b/>
            <sz val="9"/>
            <color indexed="81"/>
            <rFont val="Tahoma"/>
            <family val="2"/>
          </rPr>
          <t>Nielsen, Victoria:</t>
        </r>
        <r>
          <rPr>
            <sz val="9"/>
            <color indexed="81"/>
            <rFont val="Tahoma"/>
            <family val="2"/>
          </rPr>
          <t xml:space="preserve">
Changed from 10 to 11. IL TRM V 7 pg 160
</t>
        </r>
      </text>
    </comment>
    <comment ref="I47" authorId="0" shapeId="0" xr:uid="{00000000-0006-0000-0400-00001F000000}">
      <text>
        <r>
          <rPr>
            <b/>
            <sz val="9"/>
            <color indexed="81"/>
            <rFont val="Tahoma"/>
            <family val="2"/>
          </rPr>
          <t>Nielsen, Victoria:</t>
        </r>
        <r>
          <rPr>
            <sz val="9"/>
            <color indexed="81"/>
            <rFont val="Tahoma"/>
            <family val="2"/>
          </rPr>
          <t xml:space="preserve">
Changed from 10 to 11. IL TRM V 7 pg 160
</t>
        </r>
      </text>
    </comment>
    <comment ref="V51" authorId="1" shapeId="0" xr:uid="{00000000-0006-0000-0400-000020000000}">
      <text>
        <r>
          <rPr>
            <b/>
            <sz val="9"/>
            <color indexed="81"/>
            <rFont val="Tahoma"/>
            <family val="2"/>
          </rPr>
          <t>Froio, Zach:</t>
        </r>
        <r>
          <rPr>
            <sz val="9"/>
            <color indexed="81"/>
            <rFont val="Tahoma"/>
            <family val="2"/>
          </rPr>
          <t xml:space="preserve">
Updated per IL TRM v7 p. 101</t>
        </r>
      </text>
    </comment>
    <comment ref="V52" authorId="1" shapeId="0" xr:uid="{00000000-0006-0000-0400-000021000000}">
      <text>
        <r>
          <rPr>
            <b/>
            <sz val="9"/>
            <color indexed="81"/>
            <rFont val="Tahoma"/>
            <family val="2"/>
          </rPr>
          <t>Froio, Zach:</t>
        </r>
        <r>
          <rPr>
            <sz val="9"/>
            <color indexed="81"/>
            <rFont val="Tahoma"/>
            <family val="2"/>
          </rPr>
          <t xml:space="preserve">
Updated per IL TRM v7 p. 101</t>
        </r>
      </text>
    </comment>
    <comment ref="V53" authorId="1" shapeId="0" xr:uid="{00000000-0006-0000-0400-000022000000}">
      <text>
        <r>
          <rPr>
            <b/>
            <sz val="9"/>
            <color indexed="81"/>
            <rFont val="Tahoma"/>
            <family val="2"/>
          </rPr>
          <t>Froio, Zach:</t>
        </r>
        <r>
          <rPr>
            <sz val="9"/>
            <color indexed="81"/>
            <rFont val="Tahoma"/>
            <family val="2"/>
          </rPr>
          <t xml:space="preserve">
Updated per IL TRM v7 p. 105</t>
        </r>
      </text>
    </comment>
    <comment ref="V54" authorId="1" shapeId="0" xr:uid="{00000000-0006-0000-0400-000023000000}">
      <text>
        <r>
          <rPr>
            <b/>
            <sz val="9"/>
            <color indexed="81"/>
            <rFont val="Tahoma"/>
            <family val="2"/>
          </rPr>
          <t>Froio, Zach:</t>
        </r>
        <r>
          <rPr>
            <sz val="9"/>
            <color indexed="81"/>
            <rFont val="Tahoma"/>
            <family val="2"/>
          </rPr>
          <t xml:space="preserve">
Updated per IL TRM v7 p. 105</t>
        </r>
      </text>
    </comment>
    <comment ref="I55" authorId="0" shapeId="0" xr:uid="{00000000-0006-0000-0400-000024000000}">
      <text>
        <r>
          <rPr>
            <b/>
            <sz val="9"/>
            <color indexed="81"/>
            <rFont val="Tahoma"/>
            <family val="2"/>
          </rPr>
          <t>Nielsen, Victoria:</t>
        </r>
        <r>
          <rPr>
            <sz val="9"/>
            <color indexed="81"/>
            <rFont val="Tahoma"/>
            <family val="2"/>
          </rPr>
          <t xml:space="preserve">
Changed from 5 to 8
</t>
        </r>
      </text>
    </comment>
    <comment ref="I56" authorId="0" shapeId="0" xr:uid="{00000000-0006-0000-0400-000025000000}">
      <text>
        <r>
          <rPr>
            <b/>
            <sz val="9"/>
            <color indexed="81"/>
            <rFont val="Tahoma"/>
            <family val="2"/>
          </rPr>
          <t>Nielsen, Victoria:</t>
        </r>
        <r>
          <rPr>
            <sz val="9"/>
            <color indexed="81"/>
            <rFont val="Tahoma"/>
            <family val="2"/>
          </rPr>
          <t xml:space="preserve">
Changed from 5 to 8
</t>
        </r>
      </text>
    </comment>
    <comment ref="I57" authorId="0" shapeId="0" xr:uid="{00000000-0006-0000-0400-000026000000}">
      <text>
        <r>
          <rPr>
            <b/>
            <sz val="9"/>
            <color indexed="81"/>
            <rFont val="Tahoma"/>
            <family val="2"/>
          </rPr>
          <t>Nielsen, Victoria:</t>
        </r>
        <r>
          <rPr>
            <sz val="9"/>
            <color indexed="81"/>
            <rFont val="Tahoma"/>
            <family val="2"/>
          </rPr>
          <t xml:space="preserve">
Changed from 10 to 11. IL TRM V 7 pg 160
</t>
        </r>
      </text>
    </comment>
    <comment ref="I58" authorId="0" shapeId="0" xr:uid="{00000000-0006-0000-0400-000027000000}">
      <text>
        <r>
          <rPr>
            <b/>
            <sz val="9"/>
            <color indexed="81"/>
            <rFont val="Tahoma"/>
            <family val="2"/>
          </rPr>
          <t>Nielsen, Victoria:</t>
        </r>
        <r>
          <rPr>
            <sz val="9"/>
            <color indexed="81"/>
            <rFont val="Tahoma"/>
            <family val="2"/>
          </rPr>
          <t xml:space="preserve">
Changed from 10 to 11. IL TRM V 7 pg 160
</t>
        </r>
      </text>
    </comment>
    <comment ref="I59" authorId="0" shapeId="0" xr:uid="{00000000-0006-0000-0400-000028000000}">
      <text>
        <r>
          <rPr>
            <b/>
            <sz val="9"/>
            <color indexed="81"/>
            <rFont val="Tahoma"/>
            <family val="2"/>
          </rPr>
          <t>Nielsen, Victoria:</t>
        </r>
        <r>
          <rPr>
            <sz val="9"/>
            <color indexed="81"/>
            <rFont val="Tahoma"/>
            <family val="2"/>
          </rPr>
          <t xml:space="preserve">
Changed from 10 to 11. IL TRM V 7 pg 160
</t>
        </r>
      </text>
    </comment>
    <comment ref="I60" authorId="0" shapeId="0" xr:uid="{00000000-0006-0000-0400-000029000000}">
      <text>
        <r>
          <rPr>
            <b/>
            <sz val="9"/>
            <color indexed="81"/>
            <rFont val="Tahoma"/>
            <family val="2"/>
          </rPr>
          <t>Nielsen, Victoria:</t>
        </r>
        <r>
          <rPr>
            <sz val="9"/>
            <color indexed="81"/>
            <rFont val="Tahoma"/>
            <family val="2"/>
          </rPr>
          <t xml:space="preserve">
Changed from 10 to 11. IL TRM V 7 pg 160
</t>
        </r>
      </text>
    </comment>
    <comment ref="I61" authorId="0" shapeId="0" xr:uid="{00000000-0006-0000-0400-00002A000000}">
      <text>
        <r>
          <rPr>
            <b/>
            <sz val="9"/>
            <color indexed="81"/>
            <rFont val="Tahoma"/>
            <family val="2"/>
          </rPr>
          <t>Nielsen, Victoria:</t>
        </r>
        <r>
          <rPr>
            <sz val="9"/>
            <color indexed="81"/>
            <rFont val="Tahoma"/>
            <family val="2"/>
          </rPr>
          <t xml:space="preserve">
Increased from 15 to 20 years. Pg 295
</t>
        </r>
      </text>
    </comment>
    <comment ref="V61" authorId="1" shapeId="0" xr:uid="{00000000-0006-0000-0400-00002B000000}">
      <text>
        <r>
          <rPr>
            <b/>
            <sz val="9"/>
            <color indexed="81"/>
            <rFont val="Tahoma"/>
            <family val="2"/>
          </rPr>
          <t>Froio, Zach:</t>
        </r>
        <r>
          <rPr>
            <sz val="9"/>
            <color indexed="81"/>
            <rFont val="Tahoma"/>
            <family val="2"/>
          </rPr>
          <t xml:space="preserve">
Updated per IL TRM v8 p. 293</t>
        </r>
      </text>
    </comment>
    <comment ref="X61" authorId="3" shapeId="0" xr:uid="{00000000-0006-0000-0400-00002C000000}">
      <text>
        <r>
          <rPr>
            <b/>
            <sz val="9"/>
            <color indexed="81"/>
            <rFont val="Tahoma"/>
            <family val="2"/>
          </rPr>
          <t>Maxwell Weiland:</t>
        </r>
        <r>
          <rPr>
            <sz val="9"/>
            <color indexed="81"/>
            <rFont val="Tahoma"/>
            <family val="2"/>
          </rPr>
          <t xml:space="preserve">
Changed from 22.2 to 23.9 based on 1 story in Chicago.</t>
        </r>
      </text>
    </comment>
    <comment ref="Z61" authorId="3" shapeId="0" xr:uid="{00000000-0006-0000-0400-00002D000000}">
      <text>
        <r>
          <rPr>
            <b/>
            <sz val="9"/>
            <color indexed="81"/>
            <rFont val="Tahoma"/>
            <family val="2"/>
          </rPr>
          <t>Maxwell Weiland:</t>
        </r>
        <r>
          <rPr>
            <sz val="9"/>
            <color indexed="81"/>
            <rFont val="Tahoma"/>
            <family val="2"/>
          </rPr>
          <t xml:space="preserve">
Changed HDD_65 to HDD_60, resulting in HDD being 5113 instead of 6339
</t>
        </r>
      </text>
    </comment>
    <comment ref="AB61" authorId="3" shapeId="0" xr:uid="{00000000-0006-0000-0400-00002E000000}">
      <text>
        <r>
          <rPr>
            <b/>
            <sz val="9"/>
            <color indexed="81"/>
            <rFont val="Tahoma"/>
            <family val="2"/>
          </rPr>
          <t>Maxwell Weiland:</t>
        </r>
        <r>
          <rPr>
            <sz val="9"/>
            <color indexed="81"/>
            <rFont val="Tahoma"/>
            <family val="2"/>
          </rPr>
          <t xml:space="preserve">
Changed from 70% to 72%</t>
        </r>
      </text>
    </comment>
    <comment ref="AC61" authorId="1" shapeId="0" xr:uid="{00000000-0006-0000-0400-00002F000000}">
      <text>
        <r>
          <rPr>
            <b/>
            <sz val="9"/>
            <color indexed="81"/>
            <rFont val="Tahoma"/>
            <family val="2"/>
          </rPr>
          <t>Froio, Zach:</t>
        </r>
        <r>
          <rPr>
            <sz val="9"/>
            <color indexed="81"/>
            <rFont val="Tahoma"/>
            <family val="2"/>
          </rPr>
          <t xml:space="preserve">
Added per IL TRM v7 p. 303</t>
        </r>
      </text>
    </comment>
    <comment ref="AE61" authorId="1" shapeId="0" xr:uid="{00000000-0006-0000-0400-000030000000}">
      <text>
        <r>
          <rPr>
            <b/>
            <sz val="9"/>
            <color indexed="81"/>
            <rFont val="Tahoma"/>
            <charset val="1"/>
          </rPr>
          <t>Froio, Zach:</t>
        </r>
        <r>
          <rPr>
            <sz val="9"/>
            <color indexed="81"/>
            <rFont val="Tahoma"/>
            <charset val="1"/>
          </rPr>
          <t xml:space="preserve">
Added per IL TRM v8 p. 293</t>
        </r>
      </text>
    </comment>
    <comment ref="I62" authorId="0" shapeId="0" xr:uid="{00000000-0006-0000-0400-000031000000}">
      <text>
        <r>
          <rPr>
            <b/>
            <sz val="9"/>
            <color indexed="81"/>
            <rFont val="Tahoma"/>
            <family val="2"/>
          </rPr>
          <t>Nielsen, Victoria:</t>
        </r>
        <r>
          <rPr>
            <sz val="9"/>
            <color indexed="81"/>
            <rFont val="Tahoma"/>
            <family val="2"/>
          </rPr>
          <t xml:space="preserve">
Increased from 15 to 20 years. Pg 327
</t>
        </r>
      </text>
    </comment>
    <comment ref="V62" authorId="1" shapeId="0" xr:uid="{00000000-0006-0000-0400-000032000000}">
      <text>
        <r>
          <rPr>
            <b/>
            <sz val="9"/>
            <color indexed="81"/>
            <rFont val="Tahoma"/>
            <family val="2"/>
          </rPr>
          <t>Froio, Zach:</t>
        </r>
        <r>
          <rPr>
            <sz val="9"/>
            <color indexed="81"/>
            <rFont val="Tahoma"/>
            <family val="2"/>
          </rPr>
          <t xml:space="preserve">
Updated per IL TRM v8 p. 328</t>
        </r>
      </text>
    </comment>
    <comment ref="AC62" authorId="1" shapeId="0" xr:uid="{00000000-0006-0000-0400-000033000000}">
      <text>
        <r>
          <rPr>
            <b/>
            <sz val="9"/>
            <color indexed="81"/>
            <rFont val="Tahoma"/>
            <family val="2"/>
          </rPr>
          <t>Froio, Zach:</t>
        </r>
        <r>
          <rPr>
            <sz val="9"/>
            <color indexed="81"/>
            <rFont val="Tahoma"/>
            <family val="2"/>
          </rPr>
          <t xml:space="preserve">
Updated per IL TRM v7 p. 333</t>
        </r>
      </text>
    </comment>
    <comment ref="AH62" authorId="3" shapeId="0" xr:uid="{00000000-0006-0000-0400-000034000000}">
      <text>
        <r>
          <rPr>
            <b/>
            <sz val="9"/>
            <color indexed="81"/>
            <rFont val="Tahoma"/>
            <family val="2"/>
          </rPr>
          <t>Maxwell Weiland:</t>
        </r>
        <r>
          <rPr>
            <sz val="9"/>
            <color indexed="81"/>
            <rFont val="Tahoma"/>
            <family val="2"/>
          </rPr>
          <t xml:space="preserve">
Changed from 70% to 72%</t>
        </r>
      </text>
    </comment>
    <comment ref="AI62" authorId="1" shapeId="0" xr:uid="{00000000-0006-0000-0400-000035000000}">
      <text>
        <r>
          <rPr>
            <b/>
            <sz val="9"/>
            <color indexed="81"/>
            <rFont val="Tahoma"/>
            <family val="2"/>
          </rPr>
          <t>Froio, Zach:</t>
        </r>
        <r>
          <rPr>
            <sz val="9"/>
            <color indexed="81"/>
            <rFont val="Tahoma"/>
            <family val="2"/>
          </rPr>
          <t xml:space="preserve">
Added per IL TRM v8 p. 329</t>
        </r>
      </text>
    </comment>
    <comment ref="AK62" authorId="1" shapeId="0" xr:uid="{00000000-0006-0000-0400-000036000000}">
      <text>
        <r>
          <rPr>
            <b/>
            <sz val="9"/>
            <color indexed="81"/>
            <rFont val="Tahoma"/>
            <family val="2"/>
          </rPr>
          <t>Froio, Zach:</t>
        </r>
        <r>
          <rPr>
            <sz val="9"/>
            <color indexed="81"/>
            <rFont val="Tahoma"/>
            <family val="2"/>
          </rPr>
          <t xml:space="preserve">
Added per IL TRM v8 p. 329</t>
        </r>
      </text>
    </comment>
    <comment ref="I64" authorId="0" shapeId="0" xr:uid="{00000000-0006-0000-0400-000037000000}">
      <text>
        <r>
          <rPr>
            <b/>
            <sz val="9"/>
            <color indexed="81"/>
            <rFont val="Tahoma"/>
            <family val="2"/>
          </rPr>
          <t>Nielsen, Victoria:</t>
        </r>
        <r>
          <rPr>
            <sz val="9"/>
            <color indexed="81"/>
            <rFont val="Tahoma"/>
            <family val="2"/>
          </rPr>
          <t xml:space="preserve">
Decreased from 25 to 20 years. Pg 320
</t>
        </r>
      </text>
    </comment>
    <comment ref="V64" authorId="1" shapeId="0" xr:uid="{00000000-0006-0000-0400-000038000000}">
      <text>
        <r>
          <rPr>
            <b/>
            <sz val="9"/>
            <color indexed="81"/>
            <rFont val="Tahoma"/>
            <family val="2"/>
          </rPr>
          <t>Froio, Zach:</t>
        </r>
        <r>
          <rPr>
            <sz val="9"/>
            <color indexed="81"/>
            <rFont val="Tahoma"/>
            <family val="2"/>
          </rPr>
          <t xml:space="preserve">
Updated per IL TRM v7 p. 325</t>
        </r>
      </text>
    </comment>
    <comment ref="AD64" authorId="3" shapeId="0" xr:uid="{00000000-0006-0000-0400-000039000000}">
      <text>
        <r>
          <rPr>
            <b/>
            <sz val="9"/>
            <color indexed="81"/>
            <rFont val="Tahoma"/>
            <family val="2"/>
          </rPr>
          <t>Maxwell Weiland:</t>
        </r>
        <r>
          <rPr>
            <sz val="9"/>
            <color indexed="81"/>
            <rFont val="Tahoma"/>
            <family val="2"/>
          </rPr>
          <t xml:space="preserve">
Changed from 74% to 60%</t>
        </r>
      </text>
    </comment>
    <comment ref="AD65" authorId="3" shapeId="0" xr:uid="{00000000-0006-0000-0400-00003A000000}">
      <text>
        <r>
          <rPr>
            <b/>
            <sz val="9"/>
            <color indexed="81"/>
            <rFont val="Tahoma"/>
            <family val="2"/>
          </rPr>
          <t>Maxwell Weiland:</t>
        </r>
        <r>
          <rPr>
            <sz val="9"/>
            <color indexed="81"/>
            <rFont val="Tahoma"/>
            <family val="2"/>
          </rPr>
          <t xml:space="preserve">
Changed from 74% to 60%</t>
        </r>
      </text>
    </comment>
    <comment ref="I70" authorId="1" shapeId="0" xr:uid="{00000000-0006-0000-0400-00003B000000}">
      <text>
        <r>
          <rPr>
            <b/>
            <sz val="9"/>
            <color indexed="81"/>
            <rFont val="Tahoma"/>
            <charset val="1"/>
          </rPr>
          <t>Froio, Zach:</t>
        </r>
        <r>
          <rPr>
            <sz val="9"/>
            <color indexed="81"/>
            <rFont val="Tahoma"/>
            <charset val="1"/>
          </rPr>
          <t xml:space="preserve">
Updated per IL TRM v8 p. 216</t>
        </r>
      </text>
    </comment>
    <comment ref="W70" authorId="1" shapeId="0" xr:uid="{00000000-0006-0000-0400-00003C000000}">
      <text>
        <r>
          <rPr>
            <b/>
            <sz val="9"/>
            <color indexed="81"/>
            <rFont val="Tahoma"/>
            <family val="2"/>
          </rPr>
          <t>Froio, Zach:</t>
        </r>
        <r>
          <rPr>
            <sz val="9"/>
            <color indexed="81"/>
            <rFont val="Tahoma"/>
            <family val="2"/>
          </rPr>
          <t xml:space="preserve">
Updated per IL TRM v8 p. 171 (MF - Mid Rise)</t>
        </r>
      </text>
    </comment>
    <comment ref="I71" authorId="1" shapeId="0" xr:uid="{00000000-0006-0000-0400-00003D000000}">
      <text>
        <r>
          <rPr>
            <b/>
            <sz val="9"/>
            <color indexed="81"/>
            <rFont val="Tahoma"/>
            <charset val="1"/>
          </rPr>
          <t>Froio, Zach:</t>
        </r>
        <r>
          <rPr>
            <sz val="9"/>
            <color indexed="81"/>
            <rFont val="Tahoma"/>
            <charset val="1"/>
          </rPr>
          <t xml:space="preserve">
Updated per IL TRM v8 p. 216</t>
        </r>
      </text>
    </comment>
    <comment ref="W71" authorId="1" shapeId="0" xr:uid="{00000000-0006-0000-0400-00003E000000}">
      <text>
        <r>
          <rPr>
            <b/>
            <sz val="9"/>
            <color indexed="81"/>
            <rFont val="Tahoma"/>
            <family val="2"/>
          </rPr>
          <t>Froio, Zach:</t>
        </r>
        <r>
          <rPr>
            <sz val="9"/>
            <color indexed="81"/>
            <rFont val="Tahoma"/>
            <family val="2"/>
          </rPr>
          <t xml:space="preserve">
Updated per IL TRM v8 p. 171 (MF - Mid Rise)</t>
        </r>
      </text>
    </comment>
    <comment ref="W72" authorId="1" shapeId="0" xr:uid="{00000000-0006-0000-0400-00003F000000}">
      <text>
        <r>
          <rPr>
            <b/>
            <sz val="9"/>
            <color indexed="81"/>
            <rFont val="Tahoma"/>
            <family val="2"/>
          </rPr>
          <t>Froio, Zach:</t>
        </r>
        <r>
          <rPr>
            <sz val="9"/>
            <color indexed="81"/>
            <rFont val="Tahoma"/>
            <family val="2"/>
          </rPr>
          <t xml:space="preserve">
Updated per IL TRM v8 p. 171 (MF - Mid Rise)</t>
        </r>
      </text>
    </comment>
    <comment ref="W74" authorId="1" shapeId="0" xr:uid="{00000000-0006-0000-0400-000040000000}">
      <text>
        <r>
          <rPr>
            <b/>
            <sz val="9"/>
            <color indexed="81"/>
            <rFont val="Tahoma"/>
            <family val="2"/>
          </rPr>
          <t>Froio, Zach:</t>
        </r>
        <r>
          <rPr>
            <sz val="9"/>
            <color indexed="81"/>
            <rFont val="Tahoma"/>
            <family val="2"/>
          </rPr>
          <t xml:space="preserve">
Updated per IL TRM v8 p. 171 (MF - Mid Rise)</t>
        </r>
      </text>
    </comment>
    <comment ref="AC76" authorId="1" shapeId="0" xr:uid="{00000000-0006-0000-0400-000041000000}">
      <text>
        <r>
          <rPr>
            <b/>
            <sz val="9"/>
            <color indexed="81"/>
            <rFont val="Tahoma"/>
            <charset val="1"/>
          </rPr>
          <t>Froio, Zach:</t>
        </r>
        <r>
          <rPr>
            <sz val="9"/>
            <color indexed="81"/>
            <rFont val="Tahoma"/>
            <charset val="1"/>
          </rPr>
          <t xml:space="preserve">
Updated per IL TRM v8 p. 171 (MF - High Rise, MF - Mid Rise average)</t>
        </r>
      </text>
    </comment>
    <comment ref="AE76" authorId="1" shapeId="0" xr:uid="{00000000-0006-0000-0400-000042000000}">
      <text>
        <r>
          <rPr>
            <b/>
            <sz val="9"/>
            <color indexed="81"/>
            <rFont val="Tahoma"/>
            <charset val="1"/>
          </rPr>
          <t>Froio, Zach:</t>
        </r>
        <r>
          <rPr>
            <sz val="9"/>
            <color indexed="81"/>
            <rFont val="Tahoma"/>
            <charset val="1"/>
          </rPr>
          <t xml:space="preserve">
Updated per IL TRM v8 p. 171 (Unknown building type)</t>
        </r>
      </text>
    </comment>
    <comment ref="W77" authorId="1" shapeId="0" xr:uid="{00000000-0006-0000-0400-000043000000}">
      <text>
        <r>
          <rPr>
            <b/>
            <sz val="9"/>
            <color indexed="81"/>
            <rFont val="Tahoma"/>
            <family val="2"/>
          </rPr>
          <t>Froio, Zach:</t>
        </r>
        <r>
          <rPr>
            <sz val="9"/>
            <color indexed="81"/>
            <rFont val="Tahoma"/>
            <family val="2"/>
          </rPr>
          <t xml:space="preserve">
Updated per IL TRM v8 p. 171 (MF - Mid Rise)</t>
        </r>
      </text>
    </comment>
    <comment ref="V80" authorId="1" shapeId="0" xr:uid="{00000000-0006-0000-0400-000044000000}">
      <text>
        <r>
          <rPr>
            <b/>
            <sz val="9"/>
            <color indexed="81"/>
            <rFont val="Tahoma"/>
            <family val="2"/>
          </rPr>
          <t>Froio, Zach:</t>
        </r>
        <r>
          <rPr>
            <sz val="9"/>
            <color indexed="81"/>
            <rFont val="Tahoma"/>
            <family val="2"/>
          </rPr>
          <t xml:space="preserve">
Updated per IL TRM v7 p. 55</t>
        </r>
      </text>
    </comment>
    <comment ref="I97" authorId="1" shapeId="0" xr:uid="{00000000-0006-0000-0400-000045000000}">
      <text>
        <r>
          <rPr>
            <b/>
            <sz val="9"/>
            <color indexed="81"/>
            <rFont val="Tahoma"/>
            <charset val="1"/>
          </rPr>
          <t>Froio, Zach:</t>
        </r>
        <r>
          <rPr>
            <sz val="9"/>
            <color indexed="81"/>
            <rFont val="Tahoma"/>
            <charset val="1"/>
          </rPr>
          <t xml:space="preserve">
Updated per IL TRM v8 p. 216</t>
        </r>
      </text>
    </comment>
    <comment ref="W97" authorId="1" shapeId="0" xr:uid="{00000000-0006-0000-0400-000046000000}">
      <text>
        <r>
          <rPr>
            <b/>
            <sz val="9"/>
            <color indexed="81"/>
            <rFont val="Tahoma"/>
            <family val="2"/>
          </rPr>
          <t>Froio, Zach:</t>
        </r>
        <r>
          <rPr>
            <sz val="9"/>
            <color indexed="81"/>
            <rFont val="Tahoma"/>
            <family val="2"/>
          </rPr>
          <t xml:space="preserve">
Updated per IL TRM v8 p. 171 (MF - Mid Rise)</t>
        </r>
      </text>
    </comment>
    <comment ref="Y98" authorId="1" shapeId="0" xr:uid="{00000000-0006-0000-0400-000047000000}">
      <text>
        <r>
          <rPr>
            <b/>
            <sz val="9"/>
            <color indexed="81"/>
            <rFont val="Tahoma"/>
            <family val="2"/>
          </rPr>
          <t>Froio, Zach:</t>
        </r>
        <r>
          <rPr>
            <sz val="9"/>
            <color indexed="81"/>
            <rFont val="Tahoma"/>
            <family val="2"/>
          </rPr>
          <t xml:space="preserve">
Updated per IL TRM v7 p. 326</t>
        </r>
      </text>
    </comment>
    <comment ref="AA98" authorId="1" shapeId="0" xr:uid="{00000000-0006-0000-0400-000048000000}">
      <text>
        <r>
          <rPr>
            <b/>
            <sz val="9"/>
            <color indexed="81"/>
            <rFont val="Tahoma"/>
            <charset val="1"/>
          </rPr>
          <t>Froio, Zach:</t>
        </r>
        <r>
          <rPr>
            <sz val="9"/>
            <color indexed="81"/>
            <rFont val="Tahoma"/>
            <charset val="1"/>
          </rPr>
          <t xml:space="preserve">
Updated per IL TRM v8 p. 171 (Unknown building type)</t>
        </r>
      </text>
    </comment>
    <comment ref="I104" authorId="0" shapeId="0" xr:uid="{00000000-0006-0000-0400-000049000000}">
      <text>
        <r>
          <rPr>
            <b/>
            <sz val="9"/>
            <color indexed="81"/>
            <rFont val="Tahoma"/>
            <family val="2"/>
          </rPr>
          <t>Nielsen, Victoria:</t>
        </r>
        <r>
          <rPr>
            <sz val="9"/>
            <color indexed="81"/>
            <rFont val="Tahoma"/>
            <family val="2"/>
          </rPr>
          <t xml:space="preserve">
Increased from 15 to 20 years. Pg 295
</t>
        </r>
      </text>
    </comment>
    <comment ref="V104" authorId="1" shapeId="0" xr:uid="{00000000-0006-0000-0400-00004A000000}">
      <text>
        <r>
          <rPr>
            <b/>
            <sz val="9"/>
            <color indexed="81"/>
            <rFont val="Tahoma"/>
            <family val="2"/>
          </rPr>
          <t>Froio, Zach:</t>
        </r>
        <r>
          <rPr>
            <sz val="9"/>
            <color indexed="81"/>
            <rFont val="Tahoma"/>
            <family val="2"/>
          </rPr>
          <t xml:space="preserve">
Updated per IL TRM v8 p. 293</t>
        </r>
      </text>
    </comment>
    <comment ref="X104" authorId="3" shapeId="0" xr:uid="{00000000-0006-0000-0400-00004B000000}">
      <text>
        <r>
          <rPr>
            <b/>
            <sz val="9"/>
            <color indexed="81"/>
            <rFont val="Tahoma"/>
            <family val="2"/>
          </rPr>
          <t>Maxwell Weiland:</t>
        </r>
        <r>
          <rPr>
            <sz val="9"/>
            <color indexed="81"/>
            <rFont val="Tahoma"/>
            <family val="2"/>
          </rPr>
          <t xml:space="preserve">
Changed from 22.2 to 23.9 based on 1 story in Chicago.</t>
        </r>
      </text>
    </comment>
    <comment ref="Z104" authorId="3" shapeId="0" xr:uid="{00000000-0006-0000-0400-00004C000000}">
      <text>
        <r>
          <rPr>
            <b/>
            <sz val="9"/>
            <color indexed="81"/>
            <rFont val="Tahoma"/>
            <family val="2"/>
          </rPr>
          <t>Maxwell Weiland:</t>
        </r>
        <r>
          <rPr>
            <sz val="9"/>
            <color indexed="81"/>
            <rFont val="Tahoma"/>
            <family val="2"/>
          </rPr>
          <t xml:space="preserve">
Changed HDD_65 to HDD_60, resulting in HDD being 5113 instead of 6339
</t>
        </r>
      </text>
    </comment>
    <comment ref="AB104" authorId="3" shapeId="0" xr:uid="{00000000-0006-0000-0400-00004D000000}">
      <text>
        <r>
          <rPr>
            <b/>
            <sz val="9"/>
            <color indexed="81"/>
            <rFont val="Tahoma"/>
            <family val="2"/>
          </rPr>
          <t>Maxwell Weiland:</t>
        </r>
        <r>
          <rPr>
            <sz val="9"/>
            <color indexed="81"/>
            <rFont val="Tahoma"/>
            <family val="2"/>
          </rPr>
          <t xml:space="preserve">
Changed from 70% to 72%
Chnaged to 64.9% -Steam Boiler.</t>
        </r>
      </text>
    </comment>
    <comment ref="AC104" authorId="1" shapeId="0" xr:uid="{00000000-0006-0000-0400-00004E000000}">
      <text>
        <r>
          <rPr>
            <b/>
            <sz val="9"/>
            <color indexed="81"/>
            <rFont val="Tahoma"/>
            <family val="2"/>
          </rPr>
          <t>Froio, Zach:</t>
        </r>
        <r>
          <rPr>
            <sz val="9"/>
            <color indexed="81"/>
            <rFont val="Tahoma"/>
            <family val="2"/>
          </rPr>
          <t xml:space="preserve">
Added per IL TRM v7 p. 303</t>
        </r>
      </text>
    </comment>
    <comment ref="AE104" authorId="1" shapeId="0" xr:uid="{00000000-0006-0000-0400-00004F000000}">
      <text>
        <r>
          <rPr>
            <b/>
            <sz val="9"/>
            <color indexed="81"/>
            <rFont val="Tahoma"/>
            <charset val="1"/>
          </rPr>
          <t>Froio, Zach:</t>
        </r>
        <r>
          <rPr>
            <sz val="9"/>
            <color indexed="81"/>
            <rFont val="Tahoma"/>
            <charset val="1"/>
          </rPr>
          <t xml:space="preserve">
Added per IL TRM v8 p. 293</t>
        </r>
      </text>
    </comment>
    <comment ref="I106" authorId="1" shapeId="0" xr:uid="{00000000-0006-0000-0400-000050000000}">
      <text>
        <r>
          <rPr>
            <b/>
            <sz val="9"/>
            <color indexed="81"/>
            <rFont val="Tahoma"/>
            <charset val="1"/>
          </rPr>
          <t>Froio, Zach:</t>
        </r>
        <r>
          <rPr>
            <sz val="9"/>
            <color indexed="81"/>
            <rFont val="Tahoma"/>
            <charset val="1"/>
          </rPr>
          <t xml:space="preserve">
Updated per IL TRM v8 p. 216</t>
        </r>
      </text>
    </comment>
    <comment ref="W106" authorId="1" shapeId="0" xr:uid="{00000000-0006-0000-0400-000051000000}">
      <text>
        <r>
          <rPr>
            <b/>
            <sz val="9"/>
            <color indexed="81"/>
            <rFont val="Tahoma"/>
            <family val="2"/>
          </rPr>
          <t>Froio, Zach:</t>
        </r>
        <r>
          <rPr>
            <sz val="9"/>
            <color indexed="81"/>
            <rFont val="Tahoma"/>
            <family val="2"/>
          </rPr>
          <t xml:space="preserve">
Updated per IL TRM v8 p. 171 (MF - Mid Rise)</t>
        </r>
      </text>
    </comment>
    <comment ref="I107" authorId="1" shapeId="0" xr:uid="{00000000-0006-0000-0400-000052000000}">
      <text>
        <r>
          <rPr>
            <b/>
            <sz val="9"/>
            <color indexed="81"/>
            <rFont val="Tahoma"/>
            <charset val="1"/>
          </rPr>
          <t>Froio, Zach:</t>
        </r>
        <r>
          <rPr>
            <sz val="9"/>
            <color indexed="81"/>
            <rFont val="Tahoma"/>
            <charset val="1"/>
          </rPr>
          <t xml:space="preserve">
Updated per IL TRM v8 p. 216</t>
        </r>
      </text>
    </comment>
    <comment ref="W107" authorId="1" shapeId="0" xr:uid="{00000000-0006-0000-0400-000053000000}">
      <text>
        <r>
          <rPr>
            <b/>
            <sz val="9"/>
            <color indexed="81"/>
            <rFont val="Tahoma"/>
            <family val="2"/>
          </rPr>
          <t>Froio, Zach:</t>
        </r>
        <r>
          <rPr>
            <sz val="9"/>
            <color indexed="81"/>
            <rFont val="Tahoma"/>
            <family val="2"/>
          </rPr>
          <t xml:space="preserve">
Updated per IL TRM v8 p. 171 (MF - Mid Rise)</t>
        </r>
      </text>
    </comment>
    <comment ref="W108" authorId="1" shapeId="0" xr:uid="{00000000-0006-0000-0400-000054000000}">
      <text>
        <r>
          <rPr>
            <b/>
            <sz val="9"/>
            <color indexed="81"/>
            <rFont val="Tahoma"/>
            <family val="2"/>
          </rPr>
          <t>Froio, Zach:</t>
        </r>
        <r>
          <rPr>
            <sz val="9"/>
            <color indexed="81"/>
            <rFont val="Tahoma"/>
            <family val="2"/>
          </rPr>
          <t xml:space="preserve">
Updated per IL TRM v8 p. 171 (MF - Mid Rise)</t>
        </r>
      </text>
    </comment>
    <comment ref="W110" authorId="1" shapeId="0" xr:uid="{00000000-0006-0000-0400-000055000000}">
      <text>
        <r>
          <rPr>
            <b/>
            <sz val="9"/>
            <color indexed="81"/>
            <rFont val="Tahoma"/>
            <family val="2"/>
          </rPr>
          <t>Froio, Zach:</t>
        </r>
        <r>
          <rPr>
            <sz val="9"/>
            <color indexed="81"/>
            <rFont val="Tahoma"/>
            <family val="2"/>
          </rPr>
          <t xml:space="preserve">
Updated per IL TRM v8 p. 171 (MF - Mid Rise)</t>
        </r>
      </text>
    </comment>
    <comment ref="AC112" authorId="1" shapeId="0" xr:uid="{00000000-0006-0000-0400-000056000000}">
      <text>
        <r>
          <rPr>
            <b/>
            <sz val="9"/>
            <color indexed="81"/>
            <rFont val="Tahoma"/>
            <charset val="1"/>
          </rPr>
          <t>Froio, Zach:</t>
        </r>
        <r>
          <rPr>
            <sz val="9"/>
            <color indexed="81"/>
            <rFont val="Tahoma"/>
            <charset val="1"/>
          </rPr>
          <t xml:space="preserve">
Updated per IL TRM v8 p. 171 (MF - High Rise, MF - Mid Rise average)</t>
        </r>
      </text>
    </comment>
    <comment ref="AE112" authorId="1" shapeId="0" xr:uid="{00000000-0006-0000-0400-000057000000}">
      <text>
        <r>
          <rPr>
            <b/>
            <sz val="9"/>
            <color indexed="81"/>
            <rFont val="Tahoma"/>
            <charset val="1"/>
          </rPr>
          <t>Froio, Zach:</t>
        </r>
        <r>
          <rPr>
            <sz val="9"/>
            <color indexed="81"/>
            <rFont val="Tahoma"/>
            <charset val="1"/>
          </rPr>
          <t xml:space="preserve">
Updated per IL TRM v8 p. 171 (Unknown building type)</t>
        </r>
      </text>
    </comment>
    <comment ref="W113" authorId="1" shapeId="0" xr:uid="{00000000-0006-0000-0400-000058000000}">
      <text>
        <r>
          <rPr>
            <b/>
            <sz val="9"/>
            <color indexed="81"/>
            <rFont val="Tahoma"/>
            <family val="2"/>
          </rPr>
          <t>Froio, Zach:</t>
        </r>
        <r>
          <rPr>
            <sz val="9"/>
            <color indexed="81"/>
            <rFont val="Tahoma"/>
            <family val="2"/>
          </rPr>
          <t xml:space="preserve">
Updated per IL TRM v8 p. 171 (MF - Mid Rise)</t>
        </r>
      </text>
    </comment>
    <comment ref="V114" authorId="1" shapeId="0" xr:uid="{00000000-0006-0000-0400-000059000000}">
      <text>
        <r>
          <rPr>
            <b/>
            <sz val="9"/>
            <color indexed="81"/>
            <rFont val="Tahoma"/>
            <family val="2"/>
          </rPr>
          <t>Froio, Zach:</t>
        </r>
        <r>
          <rPr>
            <sz val="9"/>
            <color indexed="81"/>
            <rFont val="Tahoma"/>
            <family val="2"/>
          </rPr>
          <t xml:space="preserve">
Updated per IL TRM v7 p. 105</t>
        </r>
      </text>
    </comment>
    <comment ref="V117" authorId="1" shapeId="0" xr:uid="{00000000-0006-0000-0400-00005A000000}">
      <text>
        <r>
          <rPr>
            <b/>
            <sz val="9"/>
            <color indexed="81"/>
            <rFont val="Tahoma"/>
            <family val="2"/>
          </rPr>
          <t>Froio, Zach:</t>
        </r>
        <r>
          <rPr>
            <sz val="9"/>
            <color indexed="81"/>
            <rFont val="Tahoma"/>
            <family val="2"/>
          </rPr>
          <t xml:space="preserve">
Updated per IL TRM v7 p. 55</t>
        </r>
      </text>
    </comment>
    <comment ref="I134" authorId="1" shapeId="0" xr:uid="{00000000-0006-0000-0400-00005B000000}">
      <text>
        <r>
          <rPr>
            <b/>
            <sz val="9"/>
            <color indexed="81"/>
            <rFont val="Tahoma"/>
            <charset val="1"/>
          </rPr>
          <t>Froio, Zach:</t>
        </r>
        <r>
          <rPr>
            <sz val="9"/>
            <color indexed="81"/>
            <rFont val="Tahoma"/>
            <charset val="1"/>
          </rPr>
          <t xml:space="preserve">
Updated per IL TRM v8 p. 216</t>
        </r>
      </text>
    </comment>
    <comment ref="W134" authorId="1" shapeId="0" xr:uid="{00000000-0006-0000-0400-00005C000000}">
      <text>
        <r>
          <rPr>
            <b/>
            <sz val="9"/>
            <color indexed="81"/>
            <rFont val="Tahoma"/>
            <family val="2"/>
          </rPr>
          <t>Froio, Zach:</t>
        </r>
        <r>
          <rPr>
            <sz val="9"/>
            <color indexed="81"/>
            <rFont val="Tahoma"/>
            <family val="2"/>
          </rPr>
          <t xml:space="preserve">
Updated per IL TRM v8 p. 171 (MF - Mid Rise)</t>
        </r>
      </text>
    </comment>
    <comment ref="Y135" authorId="1" shapeId="0" xr:uid="{00000000-0006-0000-0400-00005D000000}">
      <text>
        <r>
          <rPr>
            <b/>
            <sz val="9"/>
            <color indexed="81"/>
            <rFont val="Tahoma"/>
            <family val="2"/>
          </rPr>
          <t>Froio, Zach:</t>
        </r>
        <r>
          <rPr>
            <sz val="9"/>
            <color indexed="81"/>
            <rFont val="Tahoma"/>
            <family val="2"/>
          </rPr>
          <t xml:space="preserve">
Updated per IL TRM v7 p. 326</t>
        </r>
      </text>
    </comment>
    <comment ref="AA135" authorId="1" shapeId="0" xr:uid="{00000000-0006-0000-0400-00005E000000}">
      <text>
        <r>
          <rPr>
            <b/>
            <sz val="9"/>
            <color indexed="81"/>
            <rFont val="Tahoma"/>
            <charset val="1"/>
          </rPr>
          <t>Froio, Zach:</t>
        </r>
        <r>
          <rPr>
            <sz val="9"/>
            <color indexed="81"/>
            <rFont val="Tahoma"/>
            <charset val="1"/>
          </rPr>
          <t xml:space="preserve">
Updated per IL TRM v8 p. 171 (Unknown building type)</t>
        </r>
      </text>
    </comment>
    <comment ref="I142" authorId="0" shapeId="0" xr:uid="{00000000-0006-0000-0400-00005F000000}">
      <text>
        <r>
          <rPr>
            <b/>
            <sz val="9"/>
            <color indexed="81"/>
            <rFont val="Tahoma"/>
            <family val="2"/>
          </rPr>
          <t>Nielsen, Victoria:</t>
        </r>
        <r>
          <rPr>
            <sz val="9"/>
            <color indexed="81"/>
            <rFont val="Tahoma"/>
            <family val="2"/>
          </rPr>
          <t xml:space="preserve">
Changed measure life from 9 to 10 years. pg 93
</t>
        </r>
      </text>
    </comment>
    <comment ref="AA142" authorId="2" shapeId="0" xr:uid="{00000000-0006-0000-0400-000060000000}">
      <text>
        <r>
          <rPr>
            <b/>
            <sz val="9"/>
            <color indexed="81"/>
            <rFont val="Tahoma"/>
            <family val="2"/>
          </rPr>
          <t>Leah Maggio:</t>
        </r>
        <r>
          <rPr>
            <sz val="9"/>
            <color indexed="81"/>
            <rFont val="Tahoma"/>
            <family val="2"/>
          </rPr>
          <t xml:space="preserve">
L_base = L_low</t>
        </r>
      </text>
    </comment>
    <comment ref="I143" authorId="0" shapeId="0" xr:uid="{00000000-0006-0000-0400-000061000000}">
      <text>
        <r>
          <rPr>
            <b/>
            <sz val="9"/>
            <color indexed="81"/>
            <rFont val="Tahoma"/>
            <family val="2"/>
          </rPr>
          <t>Nielsen, Victoria:</t>
        </r>
        <r>
          <rPr>
            <sz val="9"/>
            <color indexed="81"/>
            <rFont val="Tahoma"/>
            <family val="2"/>
          </rPr>
          <t xml:space="preserve">
Changed measure life from 9 to 10 years. pg 93
</t>
        </r>
      </text>
    </comment>
    <comment ref="AA143" authorId="2" shapeId="0" xr:uid="{00000000-0006-0000-0400-000062000000}">
      <text>
        <r>
          <rPr>
            <b/>
            <sz val="9"/>
            <color indexed="81"/>
            <rFont val="Tahoma"/>
            <family val="2"/>
          </rPr>
          <t>Leah Maggio:</t>
        </r>
        <r>
          <rPr>
            <sz val="9"/>
            <color indexed="81"/>
            <rFont val="Tahoma"/>
            <family val="2"/>
          </rPr>
          <t xml:space="preserve">
L_base = L_low</t>
        </r>
      </text>
    </comment>
    <comment ref="AA144" authorId="2" shapeId="0" xr:uid="{00000000-0006-0000-0400-000063000000}">
      <text>
        <r>
          <rPr>
            <b/>
            <sz val="9"/>
            <color indexed="81"/>
            <rFont val="Tahoma"/>
            <family val="2"/>
          </rPr>
          <t>Leah Maggio:</t>
        </r>
        <r>
          <rPr>
            <sz val="9"/>
            <color indexed="81"/>
            <rFont val="Tahoma"/>
            <family val="2"/>
          </rPr>
          <t xml:space="preserve">
L_base = L_low</t>
        </r>
      </text>
    </comment>
    <comment ref="AF144" authorId="1" shapeId="0" xr:uid="{00000000-0006-0000-0400-000064000000}">
      <text>
        <r>
          <rPr>
            <b/>
            <sz val="9"/>
            <color indexed="81"/>
            <rFont val="Tahoma"/>
            <charset val="1"/>
          </rPr>
          <t>Froio, Zach:</t>
        </r>
        <r>
          <rPr>
            <sz val="9"/>
            <color indexed="81"/>
            <rFont val="Tahoma"/>
            <charset val="1"/>
          </rPr>
          <t xml:space="preserve">
Updated per IL TRM v8 p. 135</t>
        </r>
      </text>
    </comment>
    <comment ref="X145" authorId="1" shapeId="0" xr:uid="{00000000-0006-0000-0400-000065000000}">
      <text>
        <r>
          <rPr>
            <b/>
            <sz val="9"/>
            <color indexed="81"/>
            <rFont val="Tahoma"/>
            <charset val="1"/>
          </rPr>
          <t>Froio, Zach:</t>
        </r>
        <r>
          <rPr>
            <sz val="9"/>
            <color indexed="81"/>
            <rFont val="Tahoma"/>
            <charset val="1"/>
          </rPr>
          <t xml:space="preserve">
Updated per IL TRM v8 p. 87</t>
        </r>
      </text>
    </comment>
    <comment ref="Z145" authorId="1" shapeId="0" xr:uid="{00000000-0006-0000-0400-000066000000}">
      <text>
        <r>
          <rPr>
            <b/>
            <sz val="9"/>
            <color indexed="81"/>
            <rFont val="Tahoma"/>
            <charset val="1"/>
          </rPr>
          <t>Froio, Zach:</t>
        </r>
        <r>
          <rPr>
            <sz val="9"/>
            <color indexed="81"/>
            <rFont val="Tahoma"/>
            <charset val="1"/>
          </rPr>
          <t xml:space="preserve">
Updated per IL TRM v8 p. 90</t>
        </r>
      </text>
    </comment>
    <comment ref="AA145" authorId="2" shapeId="0" xr:uid="{00000000-0006-0000-0400-000067000000}">
      <text>
        <r>
          <rPr>
            <b/>
            <sz val="9"/>
            <color indexed="81"/>
            <rFont val="Tahoma"/>
            <family val="2"/>
          </rPr>
          <t>Leah Maggio:</t>
        </r>
        <r>
          <rPr>
            <sz val="9"/>
            <color indexed="81"/>
            <rFont val="Tahoma"/>
            <family val="2"/>
          </rPr>
          <t xml:space="preserve">
L_base = L_low</t>
        </r>
      </text>
    </comment>
    <comment ref="AH145" authorId="1" shapeId="0" xr:uid="{00000000-0006-0000-0400-000068000000}">
      <text>
        <r>
          <rPr>
            <b/>
            <sz val="9"/>
            <color indexed="81"/>
            <rFont val="Tahoma"/>
            <charset val="1"/>
          </rPr>
          <t>Froio, Zach:</t>
        </r>
        <r>
          <rPr>
            <sz val="9"/>
            <color indexed="81"/>
            <rFont val="Tahoma"/>
            <charset val="1"/>
          </rPr>
          <t xml:space="preserve">
Previously entered as 51.4, but corrected to be 54.1 per the TRM.</t>
        </r>
      </text>
    </comment>
    <comment ref="I147" authorId="0" shapeId="0" xr:uid="{00000000-0006-0000-0400-000069000000}">
      <text>
        <r>
          <rPr>
            <b/>
            <sz val="9"/>
            <color indexed="81"/>
            <rFont val="Tahoma"/>
            <family val="2"/>
          </rPr>
          <t>Nielsen, Victoria:</t>
        </r>
        <r>
          <rPr>
            <sz val="9"/>
            <color indexed="81"/>
            <rFont val="Tahoma"/>
            <family val="2"/>
          </rPr>
          <t xml:space="preserve">
Changed measure life from 9 to 10 years. pg 93
</t>
        </r>
      </text>
    </comment>
    <comment ref="AA147" authorId="2" shapeId="0" xr:uid="{00000000-0006-0000-0400-00006A000000}">
      <text>
        <r>
          <rPr>
            <b/>
            <sz val="9"/>
            <color indexed="81"/>
            <rFont val="Tahoma"/>
            <family val="2"/>
          </rPr>
          <t>Leah Maggio:</t>
        </r>
        <r>
          <rPr>
            <sz val="9"/>
            <color indexed="81"/>
            <rFont val="Tahoma"/>
            <family val="2"/>
          </rPr>
          <t xml:space="preserve">
L_base = L_low</t>
        </r>
      </text>
    </comment>
    <comment ref="I148" authorId="0" shapeId="0" xr:uid="{00000000-0006-0000-0400-00006B000000}">
      <text>
        <r>
          <rPr>
            <b/>
            <sz val="9"/>
            <color indexed="81"/>
            <rFont val="Tahoma"/>
            <family val="2"/>
          </rPr>
          <t>Nielsen, Victoria:</t>
        </r>
        <r>
          <rPr>
            <sz val="9"/>
            <color indexed="81"/>
            <rFont val="Tahoma"/>
            <family val="2"/>
          </rPr>
          <t xml:space="preserve">
Changed measure life from 9 to 10 years. pg 93
</t>
        </r>
      </text>
    </comment>
    <comment ref="AA148" authorId="2" shapeId="0" xr:uid="{00000000-0006-0000-0400-00006C000000}">
      <text>
        <r>
          <rPr>
            <b/>
            <sz val="9"/>
            <color indexed="81"/>
            <rFont val="Tahoma"/>
            <family val="2"/>
          </rPr>
          <t>Leah Maggio:</t>
        </r>
        <r>
          <rPr>
            <sz val="9"/>
            <color indexed="81"/>
            <rFont val="Tahoma"/>
            <family val="2"/>
          </rPr>
          <t xml:space="preserve">
L_base = L_low</t>
        </r>
      </text>
    </comment>
    <comment ref="AA149" authorId="2" shapeId="0" xr:uid="{00000000-0006-0000-0400-00006D000000}">
      <text>
        <r>
          <rPr>
            <b/>
            <sz val="9"/>
            <color indexed="81"/>
            <rFont val="Tahoma"/>
            <family val="2"/>
          </rPr>
          <t>Leah Maggio:</t>
        </r>
        <r>
          <rPr>
            <sz val="9"/>
            <color indexed="81"/>
            <rFont val="Tahoma"/>
            <family val="2"/>
          </rPr>
          <t xml:space="preserve">
L_base = L_low</t>
        </r>
      </text>
    </comment>
    <comment ref="AF149" authorId="1" shapeId="0" xr:uid="{00000000-0006-0000-0400-00006E000000}">
      <text>
        <r>
          <rPr>
            <b/>
            <sz val="9"/>
            <color indexed="81"/>
            <rFont val="Tahoma"/>
            <charset val="1"/>
          </rPr>
          <t>Froio, Zach:</t>
        </r>
        <r>
          <rPr>
            <sz val="9"/>
            <color indexed="81"/>
            <rFont val="Tahoma"/>
            <charset val="1"/>
          </rPr>
          <t xml:space="preserve">
Updated per IL TRM v8 p. 135</t>
        </r>
      </text>
    </comment>
    <comment ref="X151" authorId="1" shapeId="0" xr:uid="{00000000-0006-0000-0400-00006F000000}">
      <text>
        <r>
          <rPr>
            <b/>
            <sz val="9"/>
            <color indexed="81"/>
            <rFont val="Tahoma"/>
            <charset val="1"/>
          </rPr>
          <t>Froio, Zach:</t>
        </r>
        <r>
          <rPr>
            <sz val="9"/>
            <color indexed="81"/>
            <rFont val="Tahoma"/>
            <charset val="1"/>
          </rPr>
          <t xml:space="preserve">
Updated per IL TRM v8 p. 87</t>
        </r>
      </text>
    </comment>
    <comment ref="Z151" authorId="1" shapeId="0" xr:uid="{00000000-0006-0000-0400-000070000000}">
      <text>
        <r>
          <rPr>
            <b/>
            <sz val="9"/>
            <color indexed="81"/>
            <rFont val="Tahoma"/>
            <charset val="1"/>
          </rPr>
          <t>Froio, Zach:</t>
        </r>
        <r>
          <rPr>
            <sz val="9"/>
            <color indexed="81"/>
            <rFont val="Tahoma"/>
            <charset val="1"/>
          </rPr>
          <t xml:space="preserve">
Updated per IL TRM v8 p. 90</t>
        </r>
      </text>
    </comment>
    <comment ref="AA151" authorId="2" shapeId="0" xr:uid="{00000000-0006-0000-0400-000071000000}">
      <text>
        <r>
          <rPr>
            <b/>
            <sz val="9"/>
            <color indexed="81"/>
            <rFont val="Tahoma"/>
            <family val="2"/>
          </rPr>
          <t>Leah Maggio:</t>
        </r>
        <r>
          <rPr>
            <sz val="9"/>
            <color indexed="81"/>
            <rFont val="Tahoma"/>
            <family val="2"/>
          </rPr>
          <t xml:space="preserve">
L_base = L_low</t>
        </r>
      </text>
    </comment>
    <comment ref="AH151" authorId="1" shapeId="0" xr:uid="{00000000-0006-0000-0400-000072000000}">
      <text>
        <r>
          <rPr>
            <b/>
            <sz val="9"/>
            <color indexed="81"/>
            <rFont val="Tahoma"/>
            <charset val="1"/>
          </rPr>
          <t>Froio, Zach:</t>
        </r>
        <r>
          <rPr>
            <sz val="9"/>
            <color indexed="81"/>
            <rFont val="Tahoma"/>
            <charset val="1"/>
          </rPr>
          <t xml:space="preserve">
Previously entered as 51.4, but corrected to be 54.1 per the TRM.</t>
        </r>
      </text>
    </comment>
    <comment ref="I157" authorId="1" shapeId="0" xr:uid="{00000000-0006-0000-0400-000073000000}">
      <text>
        <r>
          <rPr>
            <b/>
            <sz val="9"/>
            <color indexed="81"/>
            <rFont val="Tahoma"/>
            <charset val="1"/>
          </rPr>
          <t>Froio, Zach:</t>
        </r>
        <r>
          <rPr>
            <sz val="9"/>
            <color indexed="81"/>
            <rFont val="Tahoma"/>
            <charset val="1"/>
          </rPr>
          <t xml:space="preserve">
Updated per IL TRM v8 p. 216</t>
        </r>
      </text>
    </comment>
    <comment ref="W157" authorId="1" shapeId="0" xr:uid="{00000000-0006-0000-0400-000074000000}">
      <text>
        <r>
          <rPr>
            <b/>
            <sz val="9"/>
            <color indexed="81"/>
            <rFont val="Tahoma"/>
            <family val="2"/>
          </rPr>
          <t>Froio, Zach:</t>
        </r>
        <r>
          <rPr>
            <sz val="9"/>
            <color indexed="81"/>
            <rFont val="Tahoma"/>
            <family val="2"/>
          </rPr>
          <t xml:space="preserve">
Updated per IL TRM v8 p. 171 (Office - Mid Rise)</t>
        </r>
      </text>
    </comment>
    <comment ref="I158" authorId="1" shapeId="0" xr:uid="{00000000-0006-0000-0400-000075000000}">
      <text>
        <r>
          <rPr>
            <b/>
            <sz val="9"/>
            <color indexed="81"/>
            <rFont val="Tahoma"/>
            <charset val="1"/>
          </rPr>
          <t>Froio, Zach:</t>
        </r>
        <r>
          <rPr>
            <sz val="9"/>
            <color indexed="81"/>
            <rFont val="Tahoma"/>
            <charset val="1"/>
          </rPr>
          <t xml:space="preserve">
Updated per IL TRM v8 p. 216</t>
        </r>
      </text>
    </comment>
    <comment ref="W158" authorId="1" shapeId="0" xr:uid="{00000000-0006-0000-0400-000076000000}">
      <text>
        <r>
          <rPr>
            <b/>
            <sz val="9"/>
            <color indexed="81"/>
            <rFont val="Tahoma"/>
            <family val="2"/>
          </rPr>
          <t>Froio, Zach:</t>
        </r>
        <r>
          <rPr>
            <sz val="9"/>
            <color indexed="81"/>
            <rFont val="Tahoma"/>
            <family val="2"/>
          </rPr>
          <t xml:space="preserve">
Updated per IL TRM v8 p. 171 (Office - Mid Rise)</t>
        </r>
      </text>
    </comment>
    <comment ref="W159" authorId="1" shapeId="0" xr:uid="{00000000-0006-0000-0400-000077000000}">
      <text>
        <r>
          <rPr>
            <b/>
            <sz val="9"/>
            <color indexed="81"/>
            <rFont val="Tahoma"/>
            <family val="2"/>
          </rPr>
          <t>Froio, Zach:</t>
        </r>
        <r>
          <rPr>
            <sz val="9"/>
            <color indexed="81"/>
            <rFont val="Tahoma"/>
            <family val="2"/>
          </rPr>
          <t xml:space="preserve">
Updated per IL TRM v8 p. 171 (Office - Mid Rise)</t>
        </r>
      </text>
    </comment>
    <comment ref="W161" authorId="1" shapeId="0" xr:uid="{00000000-0006-0000-0400-000078000000}">
      <text>
        <r>
          <rPr>
            <b/>
            <sz val="9"/>
            <color indexed="81"/>
            <rFont val="Tahoma"/>
            <family val="2"/>
          </rPr>
          <t>Froio, Zach:</t>
        </r>
        <r>
          <rPr>
            <sz val="9"/>
            <color indexed="81"/>
            <rFont val="Tahoma"/>
            <family val="2"/>
          </rPr>
          <t xml:space="preserve">
Updated per IL TRM v8 p. 171 (Office - Mid Rise)</t>
        </r>
      </text>
    </comment>
    <comment ref="AC164" authorId="1" shapeId="0" xr:uid="{00000000-0006-0000-0400-000079000000}">
      <text>
        <r>
          <rPr>
            <b/>
            <sz val="9"/>
            <color indexed="81"/>
            <rFont val="Tahoma"/>
            <charset val="1"/>
          </rPr>
          <t>Froio, Zach:</t>
        </r>
        <r>
          <rPr>
            <sz val="9"/>
            <color indexed="81"/>
            <rFont val="Tahoma"/>
            <charset val="1"/>
          </rPr>
          <t xml:space="preserve">
Updated per IL TRM v8 p. 171 (MF - High Rise, MF - Mid Rise average)</t>
        </r>
      </text>
    </comment>
    <comment ref="AE164" authorId="1" shapeId="0" xr:uid="{00000000-0006-0000-0400-00007A000000}">
      <text>
        <r>
          <rPr>
            <b/>
            <sz val="9"/>
            <color indexed="81"/>
            <rFont val="Tahoma"/>
            <charset val="1"/>
          </rPr>
          <t>Froio, Zach:</t>
        </r>
        <r>
          <rPr>
            <sz val="9"/>
            <color indexed="81"/>
            <rFont val="Tahoma"/>
            <charset val="1"/>
          </rPr>
          <t xml:space="preserve">
Updated per IL TRM v8 p. 171 (Unknown building type)</t>
        </r>
      </text>
    </comment>
    <comment ref="I168" authorId="0" shapeId="0" xr:uid="{00000000-0006-0000-0400-00007B000000}">
      <text>
        <r>
          <rPr>
            <b/>
            <sz val="9"/>
            <color indexed="81"/>
            <rFont val="Tahoma"/>
            <family val="2"/>
          </rPr>
          <t>Nielsen, Victoria:</t>
        </r>
        <r>
          <rPr>
            <sz val="9"/>
            <color indexed="81"/>
            <rFont val="Tahoma"/>
            <family val="2"/>
          </rPr>
          <t xml:space="preserve">
Changed measure life frime 15-12 yrs
</t>
        </r>
      </text>
    </comment>
    <comment ref="X198" authorId="1" shapeId="0" xr:uid="{00000000-0006-0000-0400-00007C000000}">
      <text>
        <r>
          <rPr>
            <b/>
            <sz val="9"/>
            <color indexed="81"/>
            <rFont val="Tahoma"/>
            <charset val="1"/>
          </rPr>
          <t>Froio, Zach:</t>
        </r>
        <r>
          <rPr>
            <sz val="9"/>
            <color indexed="81"/>
            <rFont val="Tahoma"/>
            <charset val="1"/>
          </rPr>
          <t xml:space="preserve">
Updated per IL TRM v8 p. 87</t>
        </r>
      </text>
    </comment>
    <comment ref="Z198" authorId="1" shapeId="0" xr:uid="{00000000-0006-0000-0400-00007D000000}">
      <text>
        <r>
          <rPr>
            <b/>
            <sz val="9"/>
            <color indexed="81"/>
            <rFont val="Tahoma"/>
            <charset val="1"/>
          </rPr>
          <t>Froio, Zach:</t>
        </r>
        <r>
          <rPr>
            <sz val="9"/>
            <color indexed="81"/>
            <rFont val="Tahoma"/>
            <charset val="1"/>
          </rPr>
          <t xml:space="preserve">
Updated per IL TRM v8 p. 90</t>
        </r>
      </text>
    </comment>
    <comment ref="AA198" authorId="2" shapeId="0" xr:uid="{00000000-0006-0000-0400-00007E000000}">
      <text>
        <r>
          <rPr>
            <b/>
            <sz val="9"/>
            <color indexed="81"/>
            <rFont val="Tahoma"/>
            <family val="2"/>
          </rPr>
          <t>Leah Maggio:</t>
        </r>
        <r>
          <rPr>
            <sz val="9"/>
            <color indexed="81"/>
            <rFont val="Tahoma"/>
            <family val="2"/>
          </rPr>
          <t xml:space="preserve">
L_base = L_low</t>
        </r>
      </text>
    </comment>
    <comment ref="AH198" authorId="1" shapeId="0" xr:uid="{00000000-0006-0000-0400-00007F000000}">
      <text>
        <r>
          <rPr>
            <b/>
            <sz val="9"/>
            <color indexed="81"/>
            <rFont val="Tahoma"/>
            <charset val="1"/>
          </rPr>
          <t>Froio, Zach:</t>
        </r>
        <r>
          <rPr>
            <sz val="9"/>
            <color indexed="81"/>
            <rFont val="Tahoma"/>
            <charset val="1"/>
          </rPr>
          <t xml:space="preserve">
Previously entered as 51.4, but corrected to be 54.1 per the TRM.</t>
        </r>
      </text>
    </comment>
    <comment ref="I199" authorId="1" shapeId="0" xr:uid="{00000000-0006-0000-0400-000080000000}">
      <text>
        <r>
          <rPr>
            <b/>
            <sz val="9"/>
            <color indexed="81"/>
            <rFont val="Tahoma"/>
            <charset val="1"/>
          </rPr>
          <t>Froio, Zach:</t>
        </r>
        <r>
          <rPr>
            <sz val="9"/>
            <color indexed="81"/>
            <rFont val="Tahoma"/>
            <charset val="1"/>
          </rPr>
          <t xml:space="preserve">
Updated per IL TRM v8 p. 216</t>
        </r>
      </text>
    </comment>
    <comment ref="W199" authorId="1" shapeId="0" xr:uid="{00000000-0006-0000-0400-000081000000}">
      <text>
        <r>
          <rPr>
            <b/>
            <sz val="9"/>
            <color indexed="81"/>
            <rFont val="Tahoma"/>
            <family val="2"/>
          </rPr>
          <t>Froio, Zach:</t>
        </r>
        <r>
          <rPr>
            <sz val="9"/>
            <color indexed="81"/>
            <rFont val="Tahoma"/>
            <family val="2"/>
          </rPr>
          <t xml:space="preserve">
Updated per IL TRM v8 p. 171 (Office - Mid Rise)</t>
        </r>
      </text>
    </comment>
    <comment ref="AC205" authorId="1" shapeId="0" xr:uid="{00000000-0006-0000-0400-000082000000}">
      <text>
        <r>
          <rPr>
            <b/>
            <sz val="9"/>
            <color indexed="81"/>
            <rFont val="Tahoma"/>
            <family val="2"/>
          </rPr>
          <t>Froio, Zach:</t>
        </r>
        <r>
          <rPr>
            <sz val="9"/>
            <color indexed="81"/>
            <rFont val="Tahoma"/>
            <family val="2"/>
          </rPr>
          <t xml:space="preserve">
Updated per IL TRM v7 p. 92</t>
        </r>
      </text>
    </comment>
    <comment ref="AE205" authorId="1" shapeId="0" xr:uid="{00000000-0006-0000-0400-000083000000}">
      <text>
        <r>
          <rPr>
            <b/>
            <sz val="9"/>
            <color indexed="81"/>
            <rFont val="Tahoma"/>
            <family val="2"/>
          </rPr>
          <t>Froio, Zach:</t>
        </r>
        <r>
          <rPr>
            <sz val="9"/>
            <color indexed="81"/>
            <rFont val="Tahoma"/>
            <family val="2"/>
          </rPr>
          <t xml:space="preserve">
Assumed same UEF rating as former EF rating</t>
        </r>
      </text>
    </comment>
    <comment ref="I208" authorId="1" shapeId="0" xr:uid="{00000000-0006-0000-0400-000084000000}">
      <text>
        <r>
          <rPr>
            <b/>
            <sz val="9"/>
            <color indexed="81"/>
            <rFont val="Tahoma"/>
            <charset val="1"/>
          </rPr>
          <t>Froio, Zach:</t>
        </r>
        <r>
          <rPr>
            <sz val="9"/>
            <color indexed="81"/>
            <rFont val="Tahoma"/>
            <charset val="1"/>
          </rPr>
          <t xml:space="preserve">
Updated per IL TRM v8 p. 216</t>
        </r>
      </text>
    </comment>
    <comment ref="I209" authorId="1" shapeId="0" xr:uid="{00000000-0006-0000-0400-000085000000}">
      <text>
        <r>
          <rPr>
            <b/>
            <sz val="9"/>
            <color indexed="81"/>
            <rFont val="Tahoma"/>
            <charset val="1"/>
          </rPr>
          <t>Froio, Zach:</t>
        </r>
        <r>
          <rPr>
            <sz val="9"/>
            <color indexed="81"/>
            <rFont val="Tahoma"/>
            <charset val="1"/>
          </rPr>
          <t xml:space="preserve">
Updated per IL TRM v8 p. 216</t>
        </r>
      </text>
    </comment>
    <comment ref="I237" authorId="1" shapeId="0" xr:uid="{00000000-0006-0000-0400-000086000000}">
      <text>
        <r>
          <rPr>
            <b/>
            <sz val="9"/>
            <color indexed="81"/>
            <rFont val="Tahoma"/>
            <charset val="1"/>
          </rPr>
          <t>Froio, Zach:</t>
        </r>
        <r>
          <rPr>
            <sz val="9"/>
            <color indexed="81"/>
            <rFont val="Tahoma"/>
            <charset val="1"/>
          </rPr>
          <t xml:space="preserve">
Updated per IL TRM v8 p. 216</t>
        </r>
      </text>
    </comment>
    <comment ref="I246" authorId="1" shapeId="0" xr:uid="{00000000-0006-0000-0400-000087000000}">
      <text>
        <r>
          <rPr>
            <b/>
            <sz val="9"/>
            <color indexed="81"/>
            <rFont val="Tahoma"/>
            <charset val="1"/>
          </rPr>
          <t>Froio, Zach:</t>
        </r>
        <r>
          <rPr>
            <sz val="9"/>
            <color indexed="81"/>
            <rFont val="Tahoma"/>
            <charset val="1"/>
          </rPr>
          <t xml:space="preserve">
Updated per IL TRM v8 p. 216</t>
        </r>
      </text>
    </comment>
    <comment ref="W246" authorId="1" shapeId="0" xr:uid="{00000000-0006-0000-0400-000088000000}">
      <text>
        <r>
          <rPr>
            <b/>
            <sz val="9"/>
            <color indexed="81"/>
            <rFont val="Tahoma"/>
            <charset val="1"/>
          </rPr>
          <t>Froio, Zach:</t>
        </r>
        <r>
          <rPr>
            <sz val="9"/>
            <color indexed="81"/>
            <rFont val="Tahoma"/>
            <charset val="1"/>
          </rPr>
          <t xml:space="preserve">
Updated per IL TRM v8 p. 171 (Unknown building type)</t>
        </r>
      </text>
    </comment>
    <comment ref="I247" authorId="1" shapeId="0" xr:uid="{00000000-0006-0000-0400-000089000000}">
      <text>
        <r>
          <rPr>
            <b/>
            <sz val="9"/>
            <color indexed="81"/>
            <rFont val="Tahoma"/>
            <charset val="1"/>
          </rPr>
          <t>Froio, Zach:</t>
        </r>
        <r>
          <rPr>
            <sz val="9"/>
            <color indexed="81"/>
            <rFont val="Tahoma"/>
            <charset val="1"/>
          </rPr>
          <t xml:space="preserve">
Updated per IL TRM v8 p. 216</t>
        </r>
      </text>
    </comment>
    <comment ref="W247" authorId="1" shapeId="0" xr:uid="{00000000-0006-0000-0400-00008A000000}">
      <text>
        <r>
          <rPr>
            <b/>
            <sz val="9"/>
            <color indexed="81"/>
            <rFont val="Tahoma"/>
            <charset val="1"/>
          </rPr>
          <t>Froio, Zach:</t>
        </r>
        <r>
          <rPr>
            <sz val="9"/>
            <color indexed="81"/>
            <rFont val="Tahoma"/>
            <charset val="1"/>
          </rPr>
          <t xml:space="preserve">
Updated per IL TRM v8 p. 171 (Unknown building type)</t>
        </r>
      </text>
    </comment>
    <comment ref="W248" authorId="1" shapeId="0" xr:uid="{00000000-0006-0000-0400-00008B000000}">
      <text>
        <r>
          <rPr>
            <b/>
            <sz val="9"/>
            <color indexed="81"/>
            <rFont val="Tahoma"/>
            <charset val="1"/>
          </rPr>
          <t>Froio, Zach:</t>
        </r>
        <r>
          <rPr>
            <sz val="9"/>
            <color indexed="81"/>
            <rFont val="Tahoma"/>
            <charset val="1"/>
          </rPr>
          <t xml:space="preserve">
Updated per IL TRM v8 p. 171 (Unknown building type)</t>
        </r>
      </text>
    </comment>
    <comment ref="W250" authorId="1" shapeId="0" xr:uid="{00000000-0006-0000-0400-00008C000000}">
      <text>
        <r>
          <rPr>
            <b/>
            <sz val="9"/>
            <color indexed="81"/>
            <rFont val="Tahoma"/>
            <charset val="1"/>
          </rPr>
          <t>Froio, Zach:</t>
        </r>
        <r>
          <rPr>
            <sz val="9"/>
            <color indexed="81"/>
            <rFont val="Tahoma"/>
            <charset val="1"/>
          </rPr>
          <t xml:space="preserve">
Updated per IL TRM v8 p. 171 (Unknown building type)</t>
        </r>
      </text>
    </comment>
    <comment ref="AC253" authorId="1" shapeId="0" xr:uid="{00000000-0006-0000-0400-00008D000000}">
      <text>
        <r>
          <rPr>
            <b/>
            <sz val="9"/>
            <color indexed="81"/>
            <rFont val="Tahoma"/>
            <charset val="1"/>
          </rPr>
          <t>Froio, Zach:</t>
        </r>
        <r>
          <rPr>
            <sz val="9"/>
            <color indexed="81"/>
            <rFont val="Tahoma"/>
            <charset val="1"/>
          </rPr>
          <t xml:space="preserve">
Updated per IL TRM v8 p. 171 (MF - High Rise, MF - Mid Rise average)</t>
        </r>
      </text>
    </comment>
    <comment ref="AE253" authorId="1" shapeId="0" xr:uid="{00000000-0006-0000-0400-00008E000000}">
      <text>
        <r>
          <rPr>
            <b/>
            <sz val="9"/>
            <color indexed="81"/>
            <rFont val="Tahoma"/>
            <charset val="1"/>
          </rPr>
          <t>Froio, Zach:</t>
        </r>
        <r>
          <rPr>
            <sz val="9"/>
            <color indexed="81"/>
            <rFont val="Tahoma"/>
            <charset val="1"/>
          </rPr>
          <t xml:space="preserve">
Updated per IL TRM v8 p. 171 (Unknown building type)</t>
        </r>
      </text>
    </comment>
    <comment ref="X271" authorId="1" shapeId="0" xr:uid="{00000000-0006-0000-0400-00008F000000}">
      <text>
        <r>
          <rPr>
            <b/>
            <sz val="9"/>
            <color indexed="81"/>
            <rFont val="Tahoma"/>
            <charset val="1"/>
          </rPr>
          <t>Froio, Zach:</t>
        </r>
        <r>
          <rPr>
            <sz val="9"/>
            <color indexed="81"/>
            <rFont val="Tahoma"/>
            <charset val="1"/>
          </rPr>
          <t xml:space="preserve">
Updated per IL TRM v8 p. 87</t>
        </r>
      </text>
    </comment>
    <comment ref="Z271" authorId="1" shapeId="0" xr:uid="{00000000-0006-0000-0400-000090000000}">
      <text>
        <r>
          <rPr>
            <b/>
            <sz val="9"/>
            <color indexed="81"/>
            <rFont val="Tahoma"/>
            <charset val="1"/>
          </rPr>
          <t>Froio, Zach:</t>
        </r>
        <r>
          <rPr>
            <sz val="9"/>
            <color indexed="81"/>
            <rFont val="Tahoma"/>
            <charset val="1"/>
          </rPr>
          <t xml:space="preserve">
Updated per IL TRM v8 p. 90</t>
        </r>
      </text>
    </comment>
    <comment ref="AA271" authorId="2" shapeId="0" xr:uid="{00000000-0006-0000-0400-000091000000}">
      <text>
        <r>
          <rPr>
            <b/>
            <sz val="9"/>
            <color indexed="81"/>
            <rFont val="Tahoma"/>
            <family val="2"/>
          </rPr>
          <t>Leah Maggio:</t>
        </r>
        <r>
          <rPr>
            <sz val="9"/>
            <color indexed="81"/>
            <rFont val="Tahoma"/>
            <family val="2"/>
          </rPr>
          <t xml:space="preserve">
L_base = L_low</t>
        </r>
      </text>
    </comment>
    <comment ref="AH271" authorId="1" shapeId="0" xr:uid="{00000000-0006-0000-0400-000092000000}">
      <text>
        <r>
          <rPr>
            <b/>
            <sz val="9"/>
            <color indexed="81"/>
            <rFont val="Tahoma"/>
            <charset val="1"/>
          </rPr>
          <t>Froio, Zach:</t>
        </r>
        <r>
          <rPr>
            <sz val="9"/>
            <color indexed="81"/>
            <rFont val="Tahoma"/>
            <charset val="1"/>
          </rPr>
          <t xml:space="preserve">
Previously entered as 51.4, but corrected to be 54.1 per the TRM.</t>
        </r>
      </text>
    </comment>
    <comment ref="I272" authorId="1" shapeId="0" xr:uid="{00000000-0006-0000-0400-000093000000}">
      <text>
        <r>
          <rPr>
            <b/>
            <sz val="9"/>
            <color indexed="81"/>
            <rFont val="Tahoma"/>
            <charset val="1"/>
          </rPr>
          <t>Froio, Zach:</t>
        </r>
        <r>
          <rPr>
            <sz val="9"/>
            <color indexed="81"/>
            <rFont val="Tahoma"/>
            <charset val="1"/>
          </rPr>
          <t xml:space="preserve">
Updated per IL TRM v8 p. 216</t>
        </r>
      </text>
    </comment>
    <comment ref="W272" authorId="1" shapeId="0" xr:uid="{00000000-0006-0000-0400-000094000000}">
      <text>
        <r>
          <rPr>
            <b/>
            <sz val="9"/>
            <color indexed="81"/>
            <rFont val="Tahoma"/>
            <charset val="1"/>
          </rPr>
          <t>Froio, Zach:</t>
        </r>
        <r>
          <rPr>
            <sz val="9"/>
            <color indexed="81"/>
            <rFont val="Tahoma"/>
            <charset val="1"/>
          </rPr>
          <t xml:space="preserve">
Updated per IL TRM v8 p. 171 (Unknown building type)</t>
        </r>
      </text>
    </comment>
    <comment ref="AC278" authorId="1" shapeId="0" xr:uid="{00000000-0006-0000-0400-000095000000}">
      <text>
        <r>
          <rPr>
            <b/>
            <sz val="9"/>
            <color indexed="81"/>
            <rFont val="Tahoma"/>
            <family val="2"/>
          </rPr>
          <t>Froio, Zach:</t>
        </r>
        <r>
          <rPr>
            <sz val="9"/>
            <color indexed="81"/>
            <rFont val="Tahoma"/>
            <family val="2"/>
          </rPr>
          <t xml:space="preserve">
Updated per IL TRM v7 p. 92</t>
        </r>
      </text>
    </comment>
    <comment ref="AE278" authorId="1" shapeId="0" xr:uid="{00000000-0006-0000-0400-000096000000}">
      <text>
        <r>
          <rPr>
            <b/>
            <sz val="9"/>
            <color indexed="81"/>
            <rFont val="Tahoma"/>
            <family val="2"/>
          </rPr>
          <t>Froio, Zach:</t>
        </r>
        <r>
          <rPr>
            <sz val="9"/>
            <color indexed="81"/>
            <rFont val="Tahoma"/>
            <family val="2"/>
          </rPr>
          <t xml:space="preserve">
Assumed same UEF rating as former EF rating</t>
        </r>
      </text>
    </comment>
    <comment ref="I282" authorId="0" shapeId="0" xr:uid="{00000000-0006-0000-0400-000097000000}">
      <text>
        <r>
          <rPr>
            <b/>
            <sz val="9"/>
            <color indexed="81"/>
            <rFont val="Tahoma"/>
            <family val="2"/>
          </rPr>
          <t>Nielsen, Victoria:</t>
        </r>
        <r>
          <rPr>
            <sz val="9"/>
            <color indexed="81"/>
            <rFont val="Tahoma"/>
            <family val="2"/>
          </rPr>
          <t xml:space="preserve">
Changed measure life frime 15-12 yrs
</t>
        </r>
      </text>
    </comment>
    <comment ref="I295" authorId="0" shapeId="0" xr:uid="{00000000-0006-0000-0400-000098000000}">
      <text>
        <r>
          <rPr>
            <b/>
            <sz val="9"/>
            <color indexed="81"/>
            <rFont val="Tahoma"/>
            <family val="2"/>
          </rPr>
          <t>Nielsen, Victoria:</t>
        </r>
        <r>
          <rPr>
            <sz val="9"/>
            <color indexed="81"/>
            <rFont val="Tahoma"/>
            <family val="2"/>
          </rPr>
          <t xml:space="preserve">
Changed measure life from 9 to 10 years. pg 93
</t>
        </r>
      </text>
    </comment>
    <comment ref="AA295" authorId="2" shapeId="0" xr:uid="{00000000-0006-0000-0400-000099000000}">
      <text>
        <r>
          <rPr>
            <b/>
            <sz val="9"/>
            <color indexed="81"/>
            <rFont val="Tahoma"/>
            <family val="2"/>
          </rPr>
          <t>Leah Maggio:</t>
        </r>
        <r>
          <rPr>
            <sz val="9"/>
            <color indexed="81"/>
            <rFont val="Tahoma"/>
            <family val="2"/>
          </rPr>
          <t xml:space="preserve">
L_base = L_low</t>
        </r>
      </text>
    </comment>
    <comment ref="I296" authorId="0" shapeId="0" xr:uid="{00000000-0006-0000-0400-00009A000000}">
      <text>
        <r>
          <rPr>
            <b/>
            <sz val="9"/>
            <color indexed="81"/>
            <rFont val="Tahoma"/>
            <family val="2"/>
          </rPr>
          <t>Nielsen, Victoria:</t>
        </r>
        <r>
          <rPr>
            <sz val="9"/>
            <color indexed="81"/>
            <rFont val="Tahoma"/>
            <family val="2"/>
          </rPr>
          <t xml:space="preserve">
Changed measure life from 9 to 10 years. pg 93
</t>
        </r>
      </text>
    </comment>
    <comment ref="AA296" authorId="2" shapeId="0" xr:uid="{00000000-0006-0000-0400-00009B000000}">
      <text>
        <r>
          <rPr>
            <b/>
            <sz val="9"/>
            <color indexed="81"/>
            <rFont val="Tahoma"/>
            <family val="2"/>
          </rPr>
          <t>Leah Maggio:</t>
        </r>
        <r>
          <rPr>
            <sz val="9"/>
            <color indexed="81"/>
            <rFont val="Tahoma"/>
            <family val="2"/>
          </rPr>
          <t xml:space="preserve">
L_base = L_low</t>
        </r>
      </text>
    </comment>
    <comment ref="AA297" authorId="2" shapeId="0" xr:uid="{00000000-0006-0000-0400-00009C000000}">
      <text>
        <r>
          <rPr>
            <b/>
            <sz val="9"/>
            <color indexed="81"/>
            <rFont val="Tahoma"/>
            <family val="2"/>
          </rPr>
          <t>Leah Maggio:</t>
        </r>
        <r>
          <rPr>
            <sz val="9"/>
            <color indexed="81"/>
            <rFont val="Tahoma"/>
            <family val="2"/>
          </rPr>
          <t xml:space="preserve">
L_base = L_low</t>
        </r>
      </text>
    </comment>
    <comment ref="AF297" authorId="1" shapeId="0" xr:uid="{00000000-0006-0000-0400-00009D000000}">
      <text>
        <r>
          <rPr>
            <b/>
            <sz val="9"/>
            <color indexed="81"/>
            <rFont val="Tahoma"/>
            <charset val="1"/>
          </rPr>
          <t>Froio, Zach:</t>
        </r>
        <r>
          <rPr>
            <sz val="9"/>
            <color indexed="81"/>
            <rFont val="Tahoma"/>
            <charset val="1"/>
          </rPr>
          <t xml:space="preserve">
Updated per IL TRM v8 p. 135</t>
        </r>
      </text>
    </comment>
    <comment ref="X299" authorId="1" shapeId="0" xr:uid="{00000000-0006-0000-0400-00009E000000}">
      <text>
        <r>
          <rPr>
            <b/>
            <sz val="9"/>
            <color indexed="81"/>
            <rFont val="Tahoma"/>
            <charset val="1"/>
          </rPr>
          <t>Froio, Zach:</t>
        </r>
        <r>
          <rPr>
            <sz val="9"/>
            <color indexed="81"/>
            <rFont val="Tahoma"/>
            <charset val="1"/>
          </rPr>
          <t xml:space="preserve">
Updated per IL TRM v8 p. 87</t>
        </r>
      </text>
    </comment>
    <comment ref="Z299" authorId="1" shapeId="0" xr:uid="{00000000-0006-0000-0400-00009F000000}">
      <text>
        <r>
          <rPr>
            <b/>
            <sz val="9"/>
            <color indexed="81"/>
            <rFont val="Tahoma"/>
            <charset val="1"/>
          </rPr>
          <t>Froio, Zach:</t>
        </r>
        <r>
          <rPr>
            <sz val="9"/>
            <color indexed="81"/>
            <rFont val="Tahoma"/>
            <charset val="1"/>
          </rPr>
          <t xml:space="preserve">
Updated per IL TRM v8 p. 90</t>
        </r>
      </text>
    </comment>
    <comment ref="AA299" authorId="2" shapeId="0" xr:uid="{00000000-0006-0000-0400-0000A0000000}">
      <text>
        <r>
          <rPr>
            <b/>
            <sz val="9"/>
            <color indexed="81"/>
            <rFont val="Tahoma"/>
            <family val="2"/>
          </rPr>
          <t>Leah Maggio:</t>
        </r>
        <r>
          <rPr>
            <sz val="9"/>
            <color indexed="81"/>
            <rFont val="Tahoma"/>
            <family val="2"/>
          </rPr>
          <t xml:space="preserve">
L_base = L_low</t>
        </r>
      </text>
    </comment>
    <comment ref="AH299" authorId="1" shapeId="0" xr:uid="{00000000-0006-0000-0400-0000A1000000}">
      <text>
        <r>
          <rPr>
            <b/>
            <sz val="9"/>
            <color indexed="81"/>
            <rFont val="Tahoma"/>
            <charset val="1"/>
          </rPr>
          <t>Froio, Zach:</t>
        </r>
        <r>
          <rPr>
            <sz val="9"/>
            <color indexed="81"/>
            <rFont val="Tahoma"/>
            <charset val="1"/>
          </rPr>
          <t xml:space="preserve">
Previously entered as 51.4, but corrected to be 54.1 per the TRM.</t>
        </r>
      </text>
    </comment>
    <comment ref="I302" authorId="1" shapeId="0" xr:uid="{00000000-0006-0000-0400-0000A2000000}">
      <text>
        <r>
          <rPr>
            <b/>
            <sz val="9"/>
            <color indexed="81"/>
            <rFont val="Tahoma"/>
            <charset val="1"/>
          </rPr>
          <t>Froio, Zach:</t>
        </r>
        <r>
          <rPr>
            <sz val="9"/>
            <color indexed="81"/>
            <rFont val="Tahoma"/>
            <charset val="1"/>
          </rPr>
          <t xml:space="preserve">
Updated per IL TRM v8 p. 216</t>
        </r>
      </text>
    </comment>
    <comment ref="W302" authorId="1" shapeId="0" xr:uid="{00000000-0006-0000-0400-0000A3000000}">
      <text>
        <r>
          <rPr>
            <b/>
            <sz val="9"/>
            <color indexed="81"/>
            <rFont val="Tahoma"/>
            <charset val="1"/>
          </rPr>
          <t>Froio, Zach:</t>
        </r>
        <r>
          <rPr>
            <sz val="9"/>
            <color indexed="81"/>
            <rFont val="Tahoma"/>
            <charset val="1"/>
          </rPr>
          <t xml:space="preserve">
Updated per IL TRM v8 p. 171 (Unknown building type)</t>
        </r>
      </text>
    </comment>
    <comment ref="I303" authorId="1" shapeId="0" xr:uid="{00000000-0006-0000-0400-0000A4000000}">
      <text>
        <r>
          <rPr>
            <b/>
            <sz val="9"/>
            <color indexed="81"/>
            <rFont val="Tahoma"/>
            <charset val="1"/>
          </rPr>
          <t>Froio, Zach:</t>
        </r>
        <r>
          <rPr>
            <sz val="9"/>
            <color indexed="81"/>
            <rFont val="Tahoma"/>
            <charset val="1"/>
          </rPr>
          <t xml:space="preserve">
Updated per IL TRM v8 p. 216</t>
        </r>
      </text>
    </comment>
    <comment ref="W303" authorId="1" shapeId="0" xr:uid="{00000000-0006-0000-0400-0000A5000000}">
      <text>
        <r>
          <rPr>
            <b/>
            <sz val="9"/>
            <color indexed="81"/>
            <rFont val="Tahoma"/>
            <charset val="1"/>
          </rPr>
          <t>Froio, Zach:</t>
        </r>
        <r>
          <rPr>
            <sz val="9"/>
            <color indexed="81"/>
            <rFont val="Tahoma"/>
            <charset val="1"/>
          </rPr>
          <t xml:space="preserve">
Updated per IL TRM v8 p. 171 (Unknown building type)</t>
        </r>
      </text>
    </comment>
    <comment ref="W304" authorId="1" shapeId="0" xr:uid="{00000000-0006-0000-0400-0000A6000000}">
      <text>
        <r>
          <rPr>
            <b/>
            <sz val="9"/>
            <color indexed="81"/>
            <rFont val="Tahoma"/>
            <charset val="1"/>
          </rPr>
          <t>Froio, Zach:</t>
        </r>
        <r>
          <rPr>
            <sz val="9"/>
            <color indexed="81"/>
            <rFont val="Tahoma"/>
            <charset val="1"/>
          </rPr>
          <t xml:space="preserve">
Updated per IL TRM v8 p. 171 (Unknown building type)</t>
        </r>
      </text>
    </comment>
    <comment ref="W306" authorId="1" shapeId="0" xr:uid="{00000000-0006-0000-0400-0000A7000000}">
      <text>
        <r>
          <rPr>
            <b/>
            <sz val="9"/>
            <color indexed="81"/>
            <rFont val="Tahoma"/>
            <charset val="1"/>
          </rPr>
          <t>Froio, Zach:</t>
        </r>
        <r>
          <rPr>
            <sz val="9"/>
            <color indexed="81"/>
            <rFont val="Tahoma"/>
            <charset val="1"/>
          </rPr>
          <t xml:space="preserve">
Updated per IL TRM v8 p. 171 (Unknown building type)</t>
        </r>
      </text>
    </comment>
    <comment ref="AC309" authorId="1" shapeId="0" xr:uid="{00000000-0006-0000-0400-0000A8000000}">
      <text>
        <r>
          <rPr>
            <b/>
            <sz val="9"/>
            <color indexed="81"/>
            <rFont val="Tahoma"/>
            <charset val="1"/>
          </rPr>
          <t>Froio, Zach:</t>
        </r>
        <r>
          <rPr>
            <sz val="9"/>
            <color indexed="81"/>
            <rFont val="Tahoma"/>
            <charset val="1"/>
          </rPr>
          <t xml:space="preserve">
Updated per IL TRM v8 p. 171 (MF - High Rise, MF - Mid Rise average)</t>
        </r>
      </text>
    </comment>
    <comment ref="AE309" authorId="1" shapeId="0" xr:uid="{00000000-0006-0000-0400-0000A9000000}">
      <text>
        <r>
          <rPr>
            <b/>
            <sz val="9"/>
            <color indexed="81"/>
            <rFont val="Tahoma"/>
            <charset val="1"/>
          </rPr>
          <t>Froio, Zach:</t>
        </r>
        <r>
          <rPr>
            <sz val="9"/>
            <color indexed="81"/>
            <rFont val="Tahoma"/>
            <charset val="1"/>
          </rPr>
          <t xml:space="preserve">
Updated per IL TRM v8 p. 171 (Unknown building type)</t>
        </r>
      </text>
    </comment>
    <comment ref="X327" authorId="1" shapeId="0" xr:uid="{00000000-0006-0000-0400-0000AA000000}">
      <text>
        <r>
          <rPr>
            <b/>
            <sz val="9"/>
            <color indexed="81"/>
            <rFont val="Tahoma"/>
            <charset val="1"/>
          </rPr>
          <t>Froio, Zach:</t>
        </r>
        <r>
          <rPr>
            <sz val="9"/>
            <color indexed="81"/>
            <rFont val="Tahoma"/>
            <charset val="1"/>
          </rPr>
          <t xml:space="preserve">
Updated per IL TRM v8 p. 87</t>
        </r>
      </text>
    </comment>
    <comment ref="Z327" authorId="1" shapeId="0" xr:uid="{00000000-0006-0000-0400-0000AB000000}">
      <text>
        <r>
          <rPr>
            <b/>
            <sz val="9"/>
            <color indexed="81"/>
            <rFont val="Tahoma"/>
            <charset val="1"/>
          </rPr>
          <t>Froio, Zach:</t>
        </r>
        <r>
          <rPr>
            <sz val="9"/>
            <color indexed="81"/>
            <rFont val="Tahoma"/>
            <charset val="1"/>
          </rPr>
          <t xml:space="preserve">
Updated per IL TRM v8 p. 90</t>
        </r>
      </text>
    </comment>
    <comment ref="AA327" authorId="2" shapeId="0" xr:uid="{00000000-0006-0000-0400-0000AC000000}">
      <text>
        <r>
          <rPr>
            <b/>
            <sz val="9"/>
            <color indexed="81"/>
            <rFont val="Tahoma"/>
            <family val="2"/>
          </rPr>
          <t>Leah Maggio:</t>
        </r>
        <r>
          <rPr>
            <sz val="9"/>
            <color indexed="81"/>
            <rFont val="Tahoma"/>
            <family val="2"/>
          </rPr>
          <t xml:space="preserve">
L_base = L_low</t>
        </r>
      </text>
    </comment>
    <comment ref="AH327" authorId="1" shapeId="0" xr:uid="{00000000-0006-0000-0400-0000AD000000}">
      <text>
        <r>
          <rPr>
            <b/>
            <sz val="9"/>
            <color indexed="81"/>
            <rFont val="Tahoma"/>
            <charset val="1"/>
          </rPr>
          <t>Froio, Zach:</t>
        </r>
        <r>
          <rPr>
            <sz val="9"/>
            <color indexed="81"/>
            <rFont val="Tahoma"/>
            <charset val="1"/>
          </rPr>
          <t xml:space="preserve">
Previously entered as 51.4, but corrected to be 54.1 per the TRM.</t>
        </r>
      </text>
    </comment>
    <comment ref="I328" authorId="1" shapeId="0" xr:uid="{00000000-0006-0000-0400-0000AE000000}">
      <text>
        <r>
          <rPr>
            <b/>
            <sz val="9"/>
            <color indexed="81"/>
            <rFont val="Tahoma"/>
            <charset val="1"/>
          </rPr>
          <t>Froio, Zach:</t>
        </r>
        <r>
          <rPr>
            <sz val="9"/>
            <color indexed="81"/>
            <rFont val="Tahoma"/>
            <charset val="1"/>
          </rPr>
          <t xml:space="preserve">
Updated per IL TRM v8 p. 216</t>
        </r>
      </text>
    </comment>
    <comment ref="W328" authorId="1" shapeId="0" xr:uid="{00000000-0006-0000-0400-0000AF000000}">
      <text>
        <r>
          <rPr>
            <b/>
            <sz val="9"/>
            <color indexed="81"/>
            <rFont val="Tahoma"/>
            <charset val="1"/>
          </rPr>
          <t>Froio, Zach:</t>
        </r>
        <r>
          <rPr>
            <sz val="9"/>
            <color indexed="81"/>
            <rFont val="Tahoma"/>
            <charset val="1"/>
          </rPr>
          <t xml:space="preserve">
Updated per IL TRM v8 p. 171 (Unknown building type)</t>
        </r>
      </text>
    </comment>
    <comment ref="AC334" authorId="1" shapeId="0" xr:uid="{00000000-0006-0000-0400-0000B0000000}">
      <text>
        <r>
          <rPr>
            <b/>
            <sz val="9"/>
            <color indexed="81"/>
            <rFont val="Tahoma"/>
            <family val="2"/>
          </rPr>
          <t>Froio, Zach:</t>
        </r>
        <r>
          <rPr>
            <sz val="9"/>
            <color indexed="81"/>
            <rFont val="Tahoma"/>
            <family val="2"/>
          </rPr>
          <t xml:space="preserve">
Updated per IL TRM v7 p. 92</t>
        </r>
      </text>
    </comment>
    <comment ref="AE334" authorId="1" shapeId="0" xr:uid="{00000000-0006-0000-0400-0000B1000000}">
      <text>
        <r>
          <rPr>
            <b/>
            <sz val="9"/>
            <color indexed="81"/>
            <rFont val="Tahoma"/>
            <family val="2"/>
          </rPr>
          <t>Froio, Zach:</t>
        </r>
        <r>
          <rPr>
            <sz val="9"/>
            <color indexed="81"/>
            <rFont val="Tahoma"/>
            <family val="2"/>
          </rPr>
          <t xml:space="preserve">
Assumed same UEF rating as former EF rating</t>
        </r>
      </text>
    </comment>
    <comment ref="I338" authorId="0" shapeId="0" xr:uid="{00000000-0006-0000-0400-0000B2000000}">
      <text>
        <r>
          <rPr>
            <b/>
            <sz val="9"/>
            <color indexed="81"/>
            <rFont val="Tahoma"/>
            <family val="2"/>
          </rPr>
          <t>Nielsen, Victoria:</t>
        </r>
        <r>
          <rPr>
            <sz val="9"/>
            <color indexed="81"/>
            <rFont val="Tahoma"/>
            <family val="2"/>
          </rPr>
          <t xml:space="preserve">
Changed measure life frime 15-12 yrs
</t>
        </r>
      </text>
    </comment>
    <comment ref="I371" authorId="0" shapeId="0" xr:uid="{00000000-0006-0000-0400-0000B3000000}">
      <text>
        <r>
          <rPr>
            <b/>
            <sz val="9"/>
            <color indexed="81"/>
            <rFont val="Tahoma"/>
            <family val="2"/>
          </rPr>
          <t>Nielsen, Victoria:</t>
        </r>
        <r>
          <rPr>
            <sz val="9"/>
            <color indexed="81"/>
            <rFont val="Tahoma"/>
            <family val="2"/>
          </rPr>
          <t xml:space="preserve">
Changed measure life from 9 to 10 years. IL TRM V7 5.5.4 pg 184
</t>
        </r>
      </text>
    </comment>
    <comment ref="W371" authorId="1" shapeId="0" xr:uid="{00000000-0006-0000-0400-0000B4000000}">
      <text>
        <r>
          <rPr>
            <b/>
            <sz val="9"/>
            <color indexed="81"/>
            <rFont val="Tahoma"/>
            <family val="2"/>
          </rPr>
          <t>Froio, Zach:</t>
        </r>
        <r>
          <rPr>
            <sz val="9"/>
            <color indexed="81"/>
            <rFont val="Tahoma"/>
            <family val="2"/>
          </rPr>
          <t xml:space="preserve">
Updated per IL TRM v7 p. 185</t>
        </r>
      </text>
    </comment>
    <comment ref="AA371" authorId="2" shapeId="0" xr:uid="{00000000-0006-0000-0400-0000B5000000}">
      <text>
        <r>
          <rPr>
            <b/>
            <sz val="9"/>
            <color indexed="81"/>
            <rFont val="Tahoma"/>
            <family val="2"/>
          </rPr>
          <t>Leah Maggio:</t>
        </r>
        <r>
          <rPr>
            <sz val="9"/>
            <color indexed="81"/>
            <rFont val="Tahoma"/>
            <family val="2"/>
          </rPr>
          <t xml:space="preserve">
L_base = L_low</t>
        </r>
      </text>
    </comment>
    <comment ref="I372" authorId="0" shapeId="0" xr:uid="{00000000-0006-0000-0400-0000B6000000}">
      <text>
        <r>
          <rPr>
            <b/>
            <sz val="9"/>
            <color indexed="81"/>
            <rFont val="Tahoma"/>
            <family val="2"/>
          </rPr>
          <t>Nielsen, Victoria:</t>
        </r>
        <r>
          <rPr>
            <sz val="9"/>
            <color indexed="81"/>
            <rFont val="Tahoma"/>
            <family val="2"/>
          </rPr>
          <t xml:space="preserve">
Changed measure life from 9 to 10 years. IL TRM V7 5.5.4 pg 184
</t>
        </r>
      </text>
    </comment>
    <comment ref="W372" authorId="1" shapeId="0" xr:uid="{00000000-0006-0000-0400-0000B7000000}">
      <text>
        <r>
          <rPr>
            <b/>
            <sz val="9"/>
            <color indexed="81"/>
            <rFont val="Tahoma"/>
            <family val="2"/>
          </rPr>
          <t>Froio, Zach:</t>
        </r>
        <r>
          <rPr>
            <sz val="9"/>
            <color indexed="81"/>
            <rFont val="Tahoma"/>
            <family val="2"/>
          </rPr>
          <t xml:space="preserve">
Updated per IL TRM v7 p. 185</t>
        </r>
      </text>
    </comment>
    <comment ref="AA372" authorId="2" shapeId="0" xr:uid="{00000000-0006-0000-0400-0000B8000000}">
      <text>
        <r>
          <rPr>
            <b/>
            <sz val="9"/>
            <color indexed="81"/>
            <rFont val="Tahoma"/>
            <family val="2"/>
          </rPr>
          <t>Leah Maggio:</t>
        </r>
        <r>
          <rPr>
            <sz val="9"/>
            <color indexed="81"/>
            <rFont val="Tahoma"/>
            <family val="2"/>
          </rPr>
          <t xml:space="preserve">
L_base = L_low</t>
        </r>
      </text>
    </comment>
    <comment ref="W373" authorId="1" shapeId="0" xr:uid="{00000000-0006-0000-0400-0000B9000000}">
      <text>
        <r>
          <rPr>
            <b/>
            <sz val="9"/>
            <color indexed="81"/>
            <rFont val="Tahoma"/>
            <family val="2"/>
          </rPr>
          <t>Froio, Zach:</t>
        </r>
        <r>
          <rPr>
            <sz val="9"/>
            <color indexed="81"/>
            <rFont val="Tahoma"/>
            <family val="2"/>
          </rPr>
          <t xml:space="preserve">
Updated per IL TRM v7 p. 194</t>
        </r>
      </text>
    </comment>
    <comment ref="AA373" authorId="2" shapeId="0" xr:uid="{00000000-0006-0000-0400-0000BA000000}">
      <text>
        <r>
          <rPr>
            <b/>
            <sz val="9"/>
            <color indexed="81"/>
            <rFont val="Tahoma"/>
            <family val="2"/>
          </rPr>
          <t>Leah Maggio:</t>
        </r>
        <r>
          <rPr>
            <sz val="9"/>
            <color indexed="81"/>
            <rFont val="Tahoma"/>
            <family val="2"/>
          </rPr>
          <t xml:space="preserve">
L_base = L_low</t>
        </r>
      </text>
    </comment>
    <comment ref="AI373" authorId="1" shapeId="0" xr:uid="{00000000-0006-0000-0400-0000BB000000}">
      <text>
        <r>
          <rPr>
            <b/>
            <sz val="9"/>
            <color indexed="81"/>
            <rFont val="Tahoma"/>
            <charset val="1"/>
          </rPr>
          <t>Froio, Zach:</t>
        </r>
        <r>
          <rPr>
            <sz val="9"/>
            <color indexed="81"/>
            <rFont val="Tahoma"/>
            <charset val="1"/>
          </rPr>
          <t xml:space="preserve">
Updated per IL TRM v8 p. 207</t>
        </r>
      </text>
    </comment>
    <comment ref="V374" authorId="1" shapeId="0" xr:uid="{00000000-0006-0000-0400-0000BC000000}">
      <text>
        <r>
          <rPr>
            <b/>
            <sz val="9"/>
            <color indexed="81"/>
            <rFont val="Tahoma"/>
            <family val="2"/>
          </rPr>
          <t>Froio, Zach:</t>
        </r>
        <r>
          <rPr>
            <sz val="9"/>
            <color indexed="81"/>
            <rFont val="Tahoma"/>
            <family val="2"/>
          </rPr>
          <t xml:space="preserve">
Updated per IL TRM v7 p. 173</t>
        </r>
      </text>
    </comment>
    <comment ref="I376" authorId="0" shapeId="0" xr:uid="{00000000-0006-0000-0400-0000BD000000}">
      <text>
        <r>
          <rPr>
            <b/>
            <sz val="9"/>
            <color indexed="81"/>
            <rFont val="Tahoma"/>
            <family val="2"/>
          </rPr>
          <t>Nielsen, Victoria:</t>
        </r>
        <r>
          <rPr>
            <sz val="9"/>
            <color indexed="81"/>
            <rFont val="Tahoma"/>
            <family val="2"/>
          </rPr>
          <t xml:space="preserve">
Changed from 5 to 8
</t>
        </r>
      </text>
    </comment>
    <comment ref="I377" authorId="0" shapeId="0" xr:uid="{00000000-0006-0000-0400-0000BE000000}">
      <text>
        <r>
          <rPr>
            <b/>
            <sz val="9"/>
            <color indexed="81"/>
            <rFont val="Tahoma"/>
            <family val="2"/>
          </rPr>
          <t>Nielsen, Victoria:</t>
        </r>
        <r>
          <rPr>
            <sz val="9"/>
            <color indexed="81"/>
            <rFont val="Tahoma"/>
            <family val="2"/>
          </rPr>
          <t xml:space="preserve">
Changed from 5 to 8
</t>
        </r>
      </text>
    </comment>
    <comment ref="I378" authorId="0" shapeId="0" xr:uid="{00000000-0006-0000-0400-0000BF000000}">
      <text>
        <r>
          <rPr>
            <b/>
            <sz val="9"/>
            <color indexed="81"/>
            <rFont val="Tahoma"/>
            <family val="2"/>
          </rPr>
          <t>Nielsen, Victoria:</t>
        </r>
        <r>
          <rPr>
            <sz val="9"/>
            <color indexed="81"/>
            <rFont val="Tahoma"/>
            <family val="2"/>
          </rPr>
          <t xml:space="preserve">
Changed from 10 to 11. IL TRM V 7 pg 160
</t>
        </r>
      </text>
    </comment>
    <comment ref="I379" authorId="0" shapeId="0" xr:uid="{00000000-0006-0000-0400-0000C0000000}">
      <text>
        <r>
          <rPr>
            <b/>
            <sz val="9"/>
            <color indexed="81"/>
            <rFont val="Tahoma"/>
            <family val="2"/>
          </rPr>
          <t>Nielsen, Victoria:</t>
        </r>
        <r>
          <rPr>
            <sz val="9"/>
            <color indexed="81"/>
            <rFont val="Tahoma"/>
            <family val="2"/>
          </rPr>
          <t xml:space="preserve">
Changed from 10 to 11. IL TRM V 7 pg 160
</t>
        </r>
      </text>
    </comment>
    <comment ref="I380" authorId="0" shapeId="0" xr:uid="{00000000-0006-0000-0400-0000C1000000}">
      <text>
        <r>
          <rPr>
            <b/>
            <sz val="9"/>
            <color indexed="81"/>
            <rFont val="Tahoma"/>
            <family val="2"/>
          </rPr>
          <t>Nielsen, Victoria:</t>
        </r>
        <r>
          <rPr>
            <sz val="9"/>
            <color indexed="81"/>
            <rFont val="Tahoma"/>
            <family val="2"/>
          </rPr>
          <t xml:space="preserve">
Changed from 10 to 11. IL TRM V 7 pg 160
</t>
        </r>
      </text>
    </comment>
    <comment ref="I381" authorId="0" shapeId="0" xr:uid="{00000000-0006-0000-0400-0000C2000000}">
      <text>
        <r>
          <rPr>
            <b/>
            <sz val="9"/>
            <color indexed="81"/>
            <rFont val="Tahoma"/>
            <family val="2"/>
          </rPr>
          <t>Nielsen, Victoria:</t>
        </r>
        <r>
          <rPr>
            <sz val="9"/>
            <color indexed="81"/>
            <rFont val="Tahoma"/>
            <family val="2"/>
          </rPr>
          <t xml:space="preserve">
Changed from 10 to 11. IL TRM V 7 pg 160
</t>
        </r>
      </text>
    </comment>
    <comment ref="I383" authorId="0" shapeId="0" xr:uid="{00000000-0006-0000-0400-0000C3000000}">
      <text>
        <r>
          <rPr>
            <b/>
            <sz val="9"/>
            <color indexed="81"/>
            <rFont val="Tahoma"/>
            <family val="2"/>
          </rPr>
          <t>Nielsen, Victoria:</t>
        </r>
        <r>
          <rPr>
            <sz val="9"/>
            <color indexed="81"/>
            <rFont val="Tahoma"/>
            <family val="2"/>
          </rPr>
          <t xml:space="preserve">
Increased from 15 to 20 years. Pg 295
</t>
        </r>
      </text>
    </comment>
    <comment ref="V383" authorId="1" shapeId="0" xr:uid="{00000000-0006-0000-0400-0000C4000000}">
      <text>
        <r>
          <rPr>
            <b/>
            <sz val="9"/>
            <color indexed="81"/>
            <rFont val="Tahoma"/>
            <family val="2"/>
          </rPr>
          <t>Froio, Zach:</t>
        </r>
        <r>
          <rPr>
            <sz val="9"/>
            <color indexed="81"/>
            <rFont val="Tahoma"/>
            <family val="2"/>
          </rPr>
          <t xml:space="preserve">
Updated per IL TRM v8 p. 293</t>
        </r>
      </text>
    </comment>
    <comment ref="X383" authorId="3" shapeId="0" xr:uid="{00000000-0006-0000-0400-0000C5000000}">
      <text>
        <r>
          <rPr>
            <b/>
            <sz val="9"/>
            <color indexed="81"/>
            <rFont val="Tahoma"/>
            <family val="2"/>
          </rPr>
          <t>Maxwell Weiland:</t>
        </r>
        <r>
          <rPr>
            <sz val="9"/>
            <color indexed="81"/>
            <rFont val="Tahoma"/>
            <family val="2"/>
          </rPr>
          <t xml:space="preserve">
Changed from 22.2 to 23.9 based on 1 story in Chicago.</t>
        </r>
      </text>
    </comment>
    <comment ref="Z383" authorId="3" shapeId="0" xr:uid="{00000000-0006-0000-0400-0000C6000000}">
      <text>
        <r>
          <rPr>
            <b/>
            <sz val="9"/>
            <color indexed="81"/>
            <rFont val="Tahoma"/>
            <family val="2"/>
          </rPr>
          <t>Maxwell Weiland:</t>
        </r>
        <r>
          <rPr>
            <sz val="9"/>
            <color indexed="81"/>
            <rFont val="Tahoma"/>
            <family val="2"/>
          </rPr>
          <t xml:space="preserve">
Changed HDD_65 to HDD_60, resulting in HDD being 5113 instead of 6339
</t>
        </r>
      </text>
    </comment>
    <comment ref="AB383" authorId="3" shapeId="0" xr:uid="{00000000-0006-0000-0400-0000C7000000}">
      <text>
        <r>
          <rPr>
            <b/>
            <sz val="9"/>
            <color indexed="81"/>
            <rFont val="Tahoma"/>
            <family val="2"/>
          </rPr>
          <t>Maxwell Weiland:</t>
        </r>
        <r>
          <rPr>
            <sz val="9"/>
            <color indexed="81"/>
            <rFont val="Tahoma"/>
            <family val="2"/>
          </rPr>
          <t xml:space="preserve">
Changed from 70% to 72%</t>
        </r>
      </text>
    </comment>
    <comment ref="AC383" authorId="1" shapeId="0" xr:uid="{00000000-0006-0000-0400-0000C8000000}">
      <text>
        <r>
          <rPr>
            <b/>
            <sz val="9"/>
            <color indexed="81"/>
            <rFont val="Tahoma"/>
            <family val="2"/>
          </rPr>
          <t>Froio, Zach:</t>
        </r>
        <r>
          <rPr>
            <sz val="9"/>
            <color indexed="81"/>
            <rFont val="Tahoma"/>
            <family val="2"/>
          </rPr>
          <t xml:space="preserve">
Added per IL TRM v7 p. 303</t>
        </r>
      </text>
    </comment>
    <comment ref="AE383" authorId="1" shapeId="0" xr:uid="{00000000-0006-0000-0400-0000C9000000}">
      <text>
        <r>
          <rPr>
            <b/>
            <sz val="9"/>
            <color indexed="81"/>
            <rFont val="Tahoma"/>
            <charset val="1"/>
          </rPr>
          <t>Froio, Zach:</t>
        </r>
        <r>
          <rPr>
            <sz val="9"/>
            <color indexed="81"/>
            <rFont val="Tahoma"/>
            <charset val="1"/>
          </rPr>
          <t xml:space="preserve">
Added per IL TRM v8 p. 293</t>
        </r>
      </text>
    </comment>
    <comment ref="I384" authorId="0" shapeId="0" xr:uid="{00000000-0006-0000-0400-0000CA000000}">
      <text>
        <r>
          <rPr>
            <b/>
            <sz val="9"/>
            <color indexed="81"/>
            <rFont val="Tahoma"/>
            <family val="2"/>
          </rPr>
          <t>Nielsen, Victoria:</t>
        </r>
        <r>
          <rPr>
            <sz val="9"/>
            <color indexed="81"/>
            <rFont val="Tahoma"/>
            <family val="2"/>
          </rPr>
          <t xml:space="preserve">
Increased from 15 to 20 years. Pg 327
</t>
        </r>
      </text>
    </comment>
    <comment ref="V384" authorId="1" shapeId="0" xr:uid="{00000000-0006-0000-0400-0000CB000000}">
      <text>
        <r>
          <rPr>
            <b/>
            <sz val="9"/>
            <color indexed="81"/>
            <rFont val="Tahoma"/>
            <family val="2"/>
          </rPr>
          <t>Froio, Zach:</t>
        </r>
        <r>
          <rPr>
            <sz val="9"/>
            <color indexed="81"/>
            <rFont val="Tahoma"/>
            <family val="2"/>
          </rPr>
          <t xml:space="preserve">
Updated per IL TRM v8 p. 328</t>
        </r>
      </text>
    </comment>
    <comment ref="AC384" authorId="1" shapeId="0" xr:uid="{00000000-0006-0000-0400-0000CC000000}">
      <text>
        <r>
          <rPr>
            <b/>
            <sz val="9"/>
            <color indexed="81"/>
            <rFont val="Tahoma"/>
            <family val="2"/>
          </rPr>
          <t>Froio, Zach:</t>
        </r>
        <r>
          <rPr>
            <sz val="9"/>
            <color indexed="81"/>
            <rFont val="Tahoma"/>
            <family val="2"/>
          </rPr>
          <t xml:space="preserve">
Updated per IL TRM v7 p. 333</t>
        </r>
      </text>
    </comment>
    <comment ref="AH384" authorId="3" shapeId="0" xr:uid="{00000000-0006-0000-0400-0000CD000000}">
      <text>
        <r>
          <rPr>
            <b/>
            <sz val="9"/>
            <color indexed="81"/>
            <rFont val="Tahoma"/>
            <family val="2"/>
          </rPr>
          <t>Maxwell Weiland:</t>
        </r>
        <r>
          <rPr>
            <sz val="9"/>
            <color indexed="81"/>
            <rFont val="Tahoma"/>
            <family val="2"/>
          </rPr>
          <t xml:space="preserve">
Changed from 70% to 72%</t>
        </r>
      </text>
    </comment>
    <comment ref="AI384" authorId="1" shapeId="0" xr:uid="{00000000-0006-0000-0400-0000CE000000}">
      <text>
        <r>
          <rPr>
            <b/>
            <sz val="9"/>
            <color indexed="81"/>
            <rFont val="Tahoma"/>
            <family val="2"/>
          </rPr>
          <t>Froio, Zach:</t>
        </r>
        <r>
          <rPr>
            <sz val="9"/>
            <color indexed="81"/>
            <rFont val="Tahoma"/>
            <family val="2"/>
          </rPr>
          <t xml:space="preserve">
Added per IL TRM v8 p. 329</t>
        </r>
      </text>
    </comment>
    <comment ref="AK384" authorId="1" shapeId="0" xr:uid="{00000000-0006-0000-0400-0000CF000000}">
      <text>
        <r>
          <rPr>
            <b/>
            <sz val="9"/>
            <color indexed="81"/>
            <rFont val="Tahoma"/>
            <family val="2"/>
          </rPr>
          <t>Froio, Zach:</t>
        </r>
        <r>
          <rPr>
            <sz val="9"/>
            <color indexed="81"/>
            <rFont val="Tahoma"/>
            <family val="2"/>
          </rPr>
          <t xml:space="preserve">
Added per IL TRM v8 p. 329</t>
        </r>
      </text>
    </comment>
    <comment ref="I385" authorId="0" shapeId="0" xr:uid="{00000000-0006-0000-0400-0000D0000000}">
      <text>
        <r>
          <rPr>
            <b/>
            <sz val="9"/>
            <color indexed="81"/>
            <rFont val="Tahoma"/>
            <family val="2"/>
          </rPr>
          <t>Nielsen, Victoria:</t>
        </r>
        <r>
          <rPr>
            <sz val="9"/>
            <color indexed="81"/>
            <rFont val="Tahoma"/>
            <family val="2"/>
          </rPr>
          <t xml:space="preserve">
Decreased from 25 to 20 years. Pg 320
</t>
        </r>
      </text>
    </comment>
    <comment ref="V385" authorId="1" shapeId="0" xr:uid="{00000000-0006-0000-0400-0000D1000000}">
      <text>
        <r>
          <rPr>
            <b/>
            <sz val="9"/>
            <color indexed="81"/>
            <rFont val="Tahoma"/>
            <family val="2"/>
          </rPr>
          <t>Froio, Zach:</t>
        </r>
        <r>
          <rPr>
            <sz val="9"/>
            <color indexed="81"/>
            <rFont val="Tahoma"/>
            <family val="2"/>
          </rPr>
          <t xml:space="preserve">
Updated per IL TRM v7 p. 325</t>
        </r>
      </text>
    </comment>
    <comment ref="AD385" authorId="3" shapeId="0" xr:uid="{00000000-0006-0000-0400-0000D2000000}">
      <text>
        <r>
          <rPr>
            <b/>
            <sz val="9"/>
            <color indexed="81"/>
            <rFont val="Tahoma"/>
            <family val="2"/>
          </rPr>
          <t>Maxwell Weiland:</t>
        </r>
        <r>
          <rPr>
            <sz val="9"/>
            <color indexed="81"/>
            <rFont val="Tahoma"/>
            <family val="2"/>
          </rPr>
          <t xml:space="preserve">
Changed from 74% to 60%</t>
        </r>
      </text>
    </comment>
    <comment ref="AD386" authorId="3" shapeId="0" xr:uid="{00000000-0006-0000-0400-0000D3000000}">
      <text>
        <r>
          <rPr>
            <b/>
            <sz val="9"/>
            <color indexed="81"/>
            <rFont val="Tahoma"/>
            <family val="2"/>
          </rPr>
          <t>Maxwell Weiland:</t>
        </r>
        <r>
          <rPr>
            <sz val="9"/>
            <color indexed="81"/>
            <rFont val="Tahoma"/>
            <family val="2"/>
          </rPr>
          <t xml:space="preserve">
Changed from 74% to 60%</t>
        </r>
      </text>
    </comment>
    <comment ref="V387" authorId="1" shapeId="0" xr:uid="{00000000-0006-0000-0400-0000D4000000}">
      <text>
        <r>
          <rPr>
            <b/>
            <sz val="9"/>
            <color indexed="81"/>
            <rFont val="Tahoma"/>
            <family val="2"/>
          </rPr>
          <t>Froio, Zach:</t>
        </r>
        <r>
          <rPr>
            <sz val="9"/>
            <color indexed="81"/>
            <rFont val="Tahoma"/>
            <family val="2"/>
          </rPr>
          <t xml:space="preserve">
Updated per IL TRM v7 p. 339</t>
        </r>
      </text>
    </comment>
    <comment ref="AA387" authorId="1" shapeId="0" xr:uid="{00000000-0006-0000-0400-0000D5000000}">
      <text>
        <r>
          <rPr>
            <b/>
            <sz val="9"/>
            <color indexed="81"/>
            <rFont val="Tahoma"/>
            <family val="2"/>
          </rPr>
          <t>Froio, Zach:</t>
        </r>
        <r>
          <rPr>
            <sz val="9"/>
            <color indexed="81"/>
            <rFont val="Tahoma"/>
            <family val="2"/>
          </rPr>
          <t xml:space="preserve">
Updated per IL TRM v7 p. 335</t>
        </r>
      </text>
    </comment>
    <comment ref="AD387" authorId="3" shapeId="0" xr:uid="{00000000-0006-0000-0400-0000D6000000}">
      <text>
        <r>
          <rPr>
            <b/>
            <sz val="9"/>
            <color indexed="81"/>
            <rFont val="Tahoma"/>
            <family val="2"/>
          </rPr>
          <t>Maxwell Weiland:</t>
        </r>
        <r>
          <rPr>
            <sz val="9"/>
            <color indexed="81"/>
            <rFont val="Tahoma"/>
            <family val="2"/>
          </rPr>
          <t xml:space="preserve">
Changed from 74% to 60%</t>
        </r>
      </text>
    </comment>
    <comment ref="V388" authorId="1" shapeId="0" xr:uid="{00000000-0006-0000-0400-0000D7000000}">
      <text>
        <r>
          <rPr>
            <b/>
            <sz val="9"/>
            <color indexed="81"/>
            <rFont val="Tahoma"/>
            <family val="2"/>
          </rPr>
          <t>Froio, Zach:</t>
        </r>
        <r>
          <rPr>
            <sz val="9"/>
            <color indexed="81"/>
            <rFont val="Tahoma"/>
            <family val="2"/>
          </rPr>
          <t xml:space="preserve">
Updated per IL TRM v7 p. 175</t>
        </r>
      </text>
    </comment>
    <comment ref="V389" authorId="1" shapeId="0" xr:uid="{00000000-0006-0000-0400-0000D8000000}">
      <text>
        <r>
          <rPr>
            <b/>
            <sz val="9"/>
            <color indexed="81"/>
            <rFont val="Tahoma"/>
            <family val="2"/>
          </rPr>
          <t>Froio, Zach:</t>
        </r>
        <r>
          <rPr>
            <sz val="9"/>
            <color indexed="81"/>
            <rFont val="Tahoma"/>
            <family val="2"/>
          </rPr>
          <t xml:space="preserve">
Updated per IL TRM v7 p. 101</t>
        </r>
      </text>
    </comment>
    <comment ref="V390" authorId="1" shapeId="0" xr:uid="{00000000-0006-0000-0400-0000D9000000}">
      <text>
        <r>
          <rPr>
            <b/>
            <sz val="9"/>
            <color indexed="81"/>
            <rFont val="Tahoma"/>
            <family val="2"/>
          </rPr>
          <t>Froio, Zach:</t>
        </r>
        <r>
          <rPr>
            <sz val="9"/>
            <color indexed="81"/>
            <rFont val="Tahoma"/>
            <family val="2"/>
          </rPr>
          <t xml:space="preserve">
Updated per IL TRM v7 p. 105</t>
        </r>
      </text>
    </comment>
    <comment ref="I393" authorId="0" shapeId="0" xr:uid="{00000000-0006-0000-0400-0000DA000000}">
      <text>
        <r>
          <rPr>
            <b/>
            <sz val="9"/>
            <color indexed="81"/>
            <rFont val="Tahoma"/>
            <family val="2"/>
          </rPr>
          <t>Nielsen, Victoria:</t>
        </r>
        <r>
          <rPr>
            <sz val="9"/>
            <color indexed="81"/>
            <rFont val="Tahoma"/>
            <family val="2"/>
          </rPr>
          <t xml:space="preserve">
Changed measure life from 9 to 10 years. IL TRM V7 5.5.4 pg 184
</t>
        </r>
      </text>
    </comment>
    <comment ref="W393" authorId="1" shapeId="0" xr:uid="{00000000-0006-0000-0400-0000DB000000}">
      <text>
        <r>
          <rPr>
            <b/>
            <sz val="9"/>
            <color indexed="81"/>
            <rFont val="Tahoma"/>
            <family val="2"/>
          </rPr>
          <t>Froio, Zach:</t>
        </r>
        <r>
          <rPr>
            <sz val="9"/>
            <color indexed="81"/>
            <rFont val="Tahoma"/>
            <family val="2"/>
          </rPr>
          <t xml:space="preserve">
Updated per IL TRM v7 p. 185</t>
        </r>
      </text>
    </comment>
    <comment ref="AA393" authorId="2" shapeId="0" xr:uid="{00000000-0006-0000-0400-0000DC000000}">
      <text>
        <r>
          <rPr>
            <b/>
            <sz val="9"/>
            <color indexed="81"/>
            <rFont val="Tahoma"/>
            <family val="2"/>
          </rPr>
          <t>Leah Maggio:</t>
        </r>
        <r>
          <rPr>
            <sz val="9"/>
            <color indexed="81"/>
            <rFont val="Tahoma"/>
            <family val="2"/>
          </rPr>
          <t xml:space="preserve">
L_base = L_low</t>
        </r>
      </text>
    </comment>
    <comment ref="I394" authorId="0" shapeId="0" xr:uid="{00000000-0006-0000-0400-0000DD000000}">
      <text>
        <r>
          <rPr>
            <b/>
            <sz val="9"/>
            <color indexed="81"/>
            <rFont val="Tahoma"/>
            <family val="2"/>
          </rPr>
          <t>Nielsen, Victoria:</t>
        </r>
        <r>
          <rPr>
            <sz val="9"/>
            <color indexed="81"/>
            <rFont val="Tahoma"/>
            <family val="2"/>
          </rPr>
          <t xml:space="preserve">
Changed measure life from 9 to 10 years. IL TRM V7 5.5.4 pg 184
</t>
        </r>
      </text>
    </comment>
    <comment ref="W394" authorId="1" shapeId="0" xr:uid="{00000000-0006-0000-0400-0000DE000000}">
      <text>
        <r>
          <rPr>
            <b/>
            <sz val="9"/>
            <color indexed="81"/>
            <rFont val="Tahoma"/>
            <family val="2"/>
          </rPr>
          <t>Froio, Zach:</t>
        </r>
        <r>
          <rPr>
            <sz val="9"/>
            <color indexed="81"/>
            <rFont val="Tahoma"/>
            <family val="2"/>
          </rPr>
          <t xml:space="preserve">
Updated per IL TRM v7 p. 185</t>
        </r>
      </text>
    </comment>
    <comment ref="AA394" authorId="2" shapeId="0" xr:uid="{00000000-0006-0000-0400-0000DF000000}">
      <text>
        <r>
          <rPr>
            <b/>
            <sz val="9"/>
            <color indexed="81"/>
            <rFont val="Tahoma"/>
            <family val="2"/>
          </rPr>
          <t>Leah Maggio:</t>
        </r>
        <r>
          <rPr>
            <sz val="9"/>
            <color indexed="81"/>
            <rFont val="Tahoma"/>
            <family val="2"/>
          </rPr>
          <t xml:space="preserve">
L_base = L_low</t>
        </r>
      </text>
    </comment>
    <comment ref="W395" authorId="1" shapeId="0" xr:uid="{00000000-0006-0000-0400-0000E0000000}">
      <text>
        <r>
          <rPr>
            <b/>
            <sz val="9"/>
            <color indexed="81"/>
            <rFont val="Tahoma"/>
            <family val="2"/>
          </rPr>
          <t>Froio, Zach:</t>
        </r>
        <r>
          <rPr>
            <sz val="9"/>
            <color indexed="81"/>
            <rFont val="Tahoma"/>
            <family val="2"/>
          </rPr>
          <t xml:space="preserve">
Updated per IL TRM v7 p. 194</t>
        </r>
      </text>
    </comment>
    <comment ref="AA395" authorId="2" shapeId="0" xr:uid="{00000000-0006-0000-0400-0000E1000000}">
      <text>
        <r>
          <rPr>
            <b/>
            <sz val="9"/>
            <color indexed="81"/>
            <rFont val="Tahoma"/>
            <family val="2"/>
          </rPr>
          <t>Leah Maggio:</t>
        </r>
        <r>
          <rPr>
            <sz val="9"/>
            <color indexed="81"/>
            <rFont val="Tahoma"/>
            <family val="2"/>
          </rPr>
          <t xml:space="preserve">
L_base = L_low</t>
        </r>
      </text>
    </comment>
    <comment ref="V396" authorId="1" shapeId="0" xr:uid="{00000000-0006-0000-0400-0000E2000000}">
      <text>
        <r>
          <rPr>
            <b/>
            <sz val="9"/>
            <color indexed="81"/>
            <rFont val="Tahoma"/>
            <family val="2"/>
          </rPr>
          <t>Froio, Zach:</t>
        </r>
        <r>
          <rPr>
            <sz val="9"/>
            <color indexed="81"/>
            <rFont val="Tahoma"/>
            <family val="2"/>
          </rPr>
          <t xml:space="preserve">
Updated per IL TRM v7 p. 173</t>
        </r>
      </text>
    </comment>
    <comment ref="I397" authorId="0" shapeId="0" xr:uid="{00000000-0006-0000-0400-0000E3000000}">
      <text>
        <r>
          <rPr>
            <b/>
            <sz val="9"/>
            <color indexed="81"/>
            <rFont val="Tahoma"/>
            <family val="2"/>
          </rPr>
          <t>Nielsen, Victoria:</t>
        </r>
        <r>
          <rPr>
            <sz val="9"/>
            <color indexed="81"/>
            <rFont val="Tahoma"/>
            <family val="2"/>
          </rPr>
          <t xml:space="preserve">
Changed from 5 to 8
</t>
        </r>
      </text>
    </comment>
    <comment ref="I398" authorId="0" shapeId="0" xr:uid="{00000000-0006-0000-0400-0000E4000000}">
      <text>
        <r>
          <rPr>
            <b/>
            <sz val="9"/>
            <color indexed="81"/>
            <rFont val="Tahoma"/>
            <family val="2"/>
          </rPr>
          <t>Nielsen, Victoria:</t>
        </r>
        <r>
          <rPr>
            <sz val="9"/>
            <color indexed="81"/>
            <rFont val="Tahoma"/>
            <family val="2"/>
          </rPr>
          <t xml:space="preserve">
Changed from 5 to 8
</t>
        </r>
      </text>
    </comment>
    <comment ref="I399" authorId="0" shapeId="0" xr:uid="{00000000-0006-0000-0400-0000E5000000}">
      <text>
        <r>
          <rPr>
            <b/>
            <sz val="9"/>
            <color indexed="81"/>
            <rFont val="Tahoma"/>
            <family val="2"/>
          </rPr>
          <t>Nielsen, Victoria:</t>
        </r>
        <r>
          <rPr>
            <sz val="9"/>
            <color indexed="81"/>
            <rFont val="Tahoma"/>
            <family val="2"/>
          </rPr>
          <t xml:space="preserve">
Changed from 10 to 11. IL TRM V 7 pg 160
</t>
        </r>
      </text>
    </comment>
    <comment ref="I400" authorId="0" shapeId="0" xr:uid="{00000000-0006-0000-0400-0000E6000000}">
      <text>
        <r>
          <rPr>
            <b/>
            <sz val="9"/>
            <color indexed="81"/>
            <rFont val="Tahoma"/>
            <family val="2"/>
          </rPr>
          <t>Nielsen, Victoria:</t>
        </r>
        <r>
          <rPr>
            <sz val="9"/>
            <color indexed="81"/>
            <rFont val="Tahoma"/>
            <family val="2"/>
          </rPr>
          <t xml:space="preserve">
Changed from 10 to 11. IL TRM V 7 pg 160
</t>
        </r>
      </text>
    </comment>
    <comment ref="I401" authorId="0" shapeId="0" xr:uid="{00000000-0006-0000-0400-0000E7000000}">
      <text>
        <r>
          <rPr>
            <b/>
            <sz val="9"/>
            <color indexed="81"/>
            <rFont val="Tahoma"/>
            <family val="2"/>
          </rPr>
          <t>Nielsen, Victoria:</t>
        </r>
        <r>
          <rPr>
            <sz val="9"/>
            <color indexed="81"/>
            <rFont val="Tahoma"/>
            <family val="2"/>
          </rPr>
          <t xml:space="preserve">
Changed from 10 to 11. IL TRM V 7 pg 160
</t>
        </r>
      </text>
    </comment>
    <comment ref="I402" authorId="0" shapeId="0" xr:uid="{00000000-0006-0000-0400-0000E8000000}">
      <text>
        <r>
          <rPr>
            <b/>
            <sz val="9"/>
            <color indexed="81"/>
            <rFont val="Tahoma"/>
            <family val="2"/>
          </rPr>
          <t>Nielsen, Victoria:</t>
        </r>
        <r>
          <rPr>
            <sz val="9"/>
            <color indexed="81"/>
            <rFont val="Tahoma"/>
            <family val="2"/>
          </rPr>
          <t xml:space="preserve">
Changed from 10 to 11. IL TRM V 7 pg 160
</t>
        </r>
      </text>
    </comment>
    <comment ref="I404" authorId="0" shapeId="0" xr:uid="{00000000-0006-0000-0400-0000E9000000}">
      <text>
        <r>
          <rPr>
            <b/>
            <sz val="9"/>
            <color indexed="81"/>
            <rFont val="Tahoma"/>
            <family val="2"/>
          </rPr>
          <t>Nielsen, Victoria:</t>
        </r>
        <r>
          <rPr>
            <sz val="9"/>
            <color indexed="81"/>
            <rFont val="Tahoma"/>
            <family val="2"/>
          </rPr>
          <t xml:space="preserve">
Increased from 15 to 20 years. Pg 295
</t>
        </r>
      </text>
    </comment>
    <comment ref="I405" authorId="0" shapeId="0" xr:uid="{00000000-0006-0000-0400-0000EA000000}">
      <text>
        <r>
          <rPr>
            <b/>
            <sz val="9"/>
            <color indexed="81"/>
            <rFont val="Tahoma"/>
            <family val="2"/>
          </rPr>
          <t>Nielsen, Victoria:</t>
        </r>
        <r>
          <rPr>
            <sz val="9"/>
            <color indexed="81"/>
            <rFont val="Tahoma"/>
            <family val="2"/>
          </rPr>
          <t xml:space="preserve">
Combined measure - net change is 0. Air sealing = 5yr increase. Attic insulation is 5 yr decrease</t>
        </r>
      </text>
    </comment>
    <comment ref="I406" authorId="0" shapeId="0" xr:uid="{00000000-0006-0000-0400-0000EB000000}">
      <text>
        <r>
          <rPr>
            <b/>
            <sz val="9"/>
            <color indexed="81"/>
            <rFont val="Tahoma"/>
            <family val="2"/>
          </rPr>
          <t>Nielsen, Victoria:</t>
        </r>
        <r>
          <rPr>
            <sz val="9"/>
            <color indexed="81"/>
            <rFont val="Tahoma"/>
            <family val="2"/>
          </rPr>
          <t xml:space="preserve">
Decreased from 25 to 20 years. Pg 320
</t>
        </r>
      </text>
    </comment>
    <comment ref="V417" authorId="1" shapeId="0" xr:uid="{00000000-0006-0000-0400-0000EC000000}">
      <text>
        <r>
          <rPr>
            <b/>
            <sz val="9"/>
            <color indexed="81"/>
            <rFont val="Tahoma"/>
            <family val="2"/>
          </rPr>
          <t>Froio, Zach:</t>
        </r>
        <r>
          <rPr>
            <sz val="9"/>
            <color indexed="81"/>
            <rFont val="Tahoma"/>
            <family val="2"/>
          </rPr>
          <t xml:space="preserve">
Updated per IL TRM v7 p. 105</t>
        </r>
      </text>
    </comment>
    <comment ref="V418" authorId="1" shapeId="0" xr:uid="{00000000-0006-0000-0400-0000ED000000}">
      <text>
        <r>
          <rPr>
            <b/>
            <sz val="9"/>
            <color indexed="81"/>
            <rFont val="Tahoma"/>
            <family val="2"/>
          </rPr>
          <t>Froio, Zach:</t>
        </r>
        <r>
          <rPr>
            <sz val="9"/>
            <color indexed="81"/>
            <rFont val="Tahoma"/>
            <family val="2"/>
          </rPr>
          <t xml:space="preserve">
Updated per IL TRM v7 p. 175</t>
        </r>
      </text>
    </comment>
    <comment ref="I419" authorId="0" shapeId="0" xr:uid="{00000000-0006-0000-0400-0000EE000000}">
      <text>
        <r>
          <rPr>
            <b/>
            <sz val="9"/>
            <color indexed="81"/>
            <rFont val="Tahoma"/>
            <family val="2"/>
          </rPr>
          <t>Nielsen, Victoria:</t>
        </r>
        <r>
          <rPr>
            <sz val="9"/>
            <color indexed="81"/>
            <rFont val="Tahoma"/>
            <family val="2"/>
          </rPr>
          <t xml:space="preserve">
Changed from 5 to 8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Leah Maggio</author>
  </authors>
  <commentList>
    <comment ref="A45" authorId="0" shapeId="0" xr:uid="{00000000-0006-0000-0600-000001000000}">
      <text>
        <r>
          <rPr>
            <b/>
            <sz val="9"/>
            <color indexed="81"/>
            <rFont val="Tahoma"/>
            <family val="2"/>
          </rPr>
          <t>Leah Maggio:</t>
        </r>
        <r>
          <rPr>
            <sz val="9"/>
            <color indexed="81"/>
            <rFont val="Tahoma"/>
            <family val="2"/>
          </rPr>
          <t xml:space="preserve">
MF DI ONLY</t>
        </r>
      </text>
    </comment>
    <comment ref="A46" authorId="0" shapeId="0" xr:uid="{00000000-0006-0000-0600-000002000000}">
      <text>
        <r>
          <rPr>
            <b/>
            <sz val="9"/>
            <color indexed="81"/>
            <rFont val="Tahoma"/>
            <family val="2"/>
          </rPr>
          <t>Leah Maggio:</t>
        </r>
        <r>
          <rPr>
            <sz val="9"/>
            <color indexed="81"/>
            <rFont val="Tahoma"/>
            <family val="2"/>
          </rPr>
          <t xml:space="preserve">
MF DI ONLY</t>
        </r>
      </text>
    </comment>
  </commentList>
</comments>
</file>

<file path=xl/sharedStrings.xml><?xml version="1.0" encoding="utf-8"?>
<sst xmlns="http://schemas.openxmlformats.org/spreadsheetml/2006/main" count="7862" uniqueCount="1484">
  <si>
    <t>Program</t>
  </si>
  <si>
    <t>Measure</t>
  </si>
  <si>
    <t>Unit of Participation</t>
  </si>
  <si>
    <t>Gross Unit Savings Adjustment Explanation</t>
  </si>
  <si>
    <t>(a)</t>
  </si>
  <si>
    <t>(b)</t>
  </si>
  <si>
    <t>(c)</t>
  </si>
  <si>
    <t>(d)</t>
  </si>
  <si>
    <t>(e)</t>
  </si>
  <si>
    <t>(f)</t>
  </si>
  <si>
    <t>(g)</t>
  </si>
  <si>
    <t>(h)</t>
  </si>
  <si>
    <t>(i)</t>
  </si>
  <si>
    <t>Approved Energy Efficiency Plan Key Assumptions</t>
  </si>
  <si>
    <t>(j)</t>
  </si>
  <si>
    <t>(k)</t>
  </si>
  <si>
    <t>(l)</t>
  </si>
  <si>
    <t>(m)</t>
  </si>
  <si>
    <t>(n)</t>
  </si>
  <si>
    <t>(o)</t>
  </si>
  <si>
    <t>Approved Energy Efficiency Plan Key Assumptions - Plan Participation</t>
  </si>
  <si>
    <t>Final Adjusted Net Energy Savings Goals</t>
  </si>
  <si>
    <t>(an)</t>
  </si>
  <si>
    <t>IL-TRM Section / Custom</t>
  </si>
  <si>
    <t>(p)</t>
  </si>
  <si>
    <t>(ae)</t>
  </si>
  <si>
    <t>(q)</t>
  </si>
  <si>
    <t>(af)</t>
  </si>
  <si>
    <t>(ak)</t>
  </si>
  <si>
    <t>Reference Document Explaining Gross Unit Savings Calculation Details</t>
  </si>
  <si>
    <t>(y)</t>
  </si>
  <si>
    <t>(ag)</t>
  </si>
  <si>
    <t>(ah)</t>
  </si>
  <si>
    <t>(al)</t>
  </si>
  <si>
    <t>(am)</t>
  </si>
  <si>
    <t>(aq)</t>
  </si>
  <si>
    <t>(ar)</t>
  </si>
  <si>
    <t>(as)</t>
  </si>
  <si>
    <t>(at)</t>
  </si>
  <si>
    <t>(bb)</t>
  </si>
  <si>
    <t>Approved Energy Efficiency Plan Key Assumptions - Measure-Level Algorithm Inputs</t>
  </si>
  <si>
    <t>Portfolio Total (Therms)</t>
  </si>
  <si>
    <t>Key IL-TRM Input Assumptions</t>
  </si>
  <si>
    <t>Program Administrator:</t>
  </si>
  <si>
    <t>Key Custom Input Assumptions (if none, specify NA)</t>
  </si>
  <si>
    <t>(d)=(c-b)</t>
  </si>
  <si>
    <t>(h)=(g-f)</t>
  </si>
  <si>
    <t>(l)=(k-j)</t>
  </si>
  <si>
    <t>(p)=(o-n)</t>
  </si>
  <si>
    <t>5.3.16</t>
  </si>
  <si>
    <t>Plan Number of Units (Fixed Parameters for Calculating Adjustable Savings Goals)</t>
  </si>
  <si>
    <t>Brief Explanation of Significant Adjustments</t>
  </si>
  <si>
    <t xml:space="preserve">IL-TRM Adjustable?
(1 if yes; 0 if no) </t>
  </si>
  <si>
    <t>Derived from the IL-TRM that, if changed in the IL-TRM in the future, would therefore necessitate a savings goal adjustment, unless consensus is reached at SAG that the extenuating circumstance warrants no adjustment.</t>
  </si>
  <si>
    <t>(r)=(b+f+j+n)</t>
  </si>
  <si>
    <t>(s)=(c+g+k+o)</t>
  </si>
  <si>
    <t>(t)=(s-r)</t>
  </si>
  <si>
    <t>Adjusted Energy Savings Goal (Therms)</t>
  </si>
  <si>
    <t>Energy Savings Adjustment to Plan Goal (Therms)</t>
  </si>
  <si>
    <t>IL-TRM Measure Code from IL-TRMv6.0</t>
  </si>
  <si>
    <t>RS-HVC-ADTH-V02-180101</t>
  </si>
  <si>
    <t>Plan Gross Unit Savings (Therms)</t>
  </si>
  <si>
    <t>Plan Energy Savings Goals (Therms)</t>
  </si>
  <si>
    <t>(r)</t>
  </si>
  <si>
    <t>(s)</t>
  </si>
  <si>
    <t>(t)=(f x l x p)</t>
  </si>
  <si>
    <t>(u)=(g x m x q)</t>
  </si>
  <si>
    <t>(v)=(h x n x r)</t>
  </si>
  <si>
    <t>(w)=(i x o x s)</t>
  </si>
  <si>
    <t>(x)=(t+u+v+w)</t>
  </si>
  <si>
    <t>(z)</t>
  </si>
  <si>
    <t>(aa)</t>
  </si>
  <si>
    <t>(ab)</t>
  </si>
  <si>
    <t>(ac)=(f x aa x p)</t>
  </si>
  <si>
    <t>(bc)</t>
  </si>
  <si>
    <t>(ad)=(ac-t)</t>
  </si>
  <si>
    <t>(ba)=(aw+ax+ay+az)</t>
  </si>
  <si>
    <t>(ai)=(g x ag x q)</t>
  </si>
  <si>
    <t>(aj)=(ai-u)</t>
  </si>
  <si>
    <t>(ao)=(h x am x r)</t>
  </si>
  <si>
    <t>(ap)=(ao-v)</t>
  </si>
  <si>
    <t>(au)=(i x as x s)</t>
  </si>
  <si>
    <t>(av)=(au-w)</t>
  </si>
  <si>
    <t>(aw)=(ac) [if (c)=1]; (aw)=(t) [if (c)=0]</t>
  </si>
  <si>
    <t>(ax)=(ai) [if (c)=1]; (ax)=(u) [if (c)=0]</t>
  </si>
  <si>
    <t>(ay)=(ao) [if (c)=1]; (ay)=(v) [if (c)=0]</t>
  </si>
  <si>
    <t>(az)=(au) [if (c)=1]; (az)=(w) [if (c)=0]</t>
  </si>
  <si>
    <t>January 1, 2018 - December 31, 2018, Plan Year 2018</t>
  </si>
  <si>
    <t>January 1, 2019 - December 31, 2019, Plan Year 2019</t>
  </si>
  <si>
    <t>January 1, 2020 - December 31, 2020, Plan Year 2020</t>
  </si>
  <si>
    <t>January 1, 2021 - December 31, 2021, Plan Year 2021</t>
  </si>
  <si>
    <t>Plan Period</t>
  </si>
  <si>
    <t>2018 Gross Unit Savings, Effective January 1, 2018 - December 31, 2018</t>
  </si>
  <si>
    <t>2018 Plan Number of Units (Fixed)</t>
  </si>
  <si>
    <t>2018 Plan Gross Unit Savings</t>
  </si>
  <si>
    <t>2018 Plan Goal</t>
  </si>
  <si>
    <t>IL-TRM Measure Code from IL-TRMv6.0 or errata applicable to 2018</t>
  </si>
  <si>
    <t>2018 Gross Unit Savings (Therms)</t>
  </si>
  <si>
    <t>2018 Adjusted Goal</t>
  </si>
  <si>
    <t>2018 IL-TRM Adjustment</t>
  </si>
  <si>
    <t>2018 Final Savings Goal (Therms)</t>
  </si>
  <si>
    <t>2019 Gross Unit Savings, Effective January 1, 2019 - December 31, 2019</t>
  </si>
  <si>
    <t>2019 Plan Number of Units (Fixed)</t>
  </si>
  <si>
    <t>2019 Plan Gross Unit Savings</t>
  </si>
  <si>
    <t>2019 Plan Goal</t>
  </si>
  <si>
    <t>2019 Gross Unit Savings (Therms)</t>
  </si>
  <si>
    <t>2019 Adjusted Goal</t>
  </si>
  <si>
    <t>2019 IL-TRM Adjustment</t>
  </si>
  <si>
    <t>2019 Final Savings Goal (Therms)</t>
  </si>
  <si>
    <t>2020 Gross Unit Savings, Effective January 1, 2020 - December 31, 2020</t>
  </si>
  <si>
    <t>2020 Plan Number of Units (Fixed)</t>
  </si>
  <si>
    <t>2020 Plan Gross Unit Savings</t>
  </si>
  <si>
    <t>2020 Plan Goal</t>
  </si>
  <si>
    <t>2020 Gross Unit Savings (Therms)</t>
  </si>
  <si>
    <t>2020 Adjusted Goal</t>
  </si>
  <si>
    <t>2020 IL-TRM Adjustment</t>
  </si>
  <si>
    <t>2020 Final Savings Goal (Therms)</t>
  </si>
  <si>
    <t>2021 Gross Unit Savings, Effective January 1, 2021 - December 31, 2021</t>
  </si>
  <si>
    <t>2021 Plan Number of Units (Fixed)</t>
  </si>
  <si>
    <t>2021 Plan Gross Unit Savings</t>
  </si>
  <si>
    <t>2021 Plan Goal</t>
  </si>
  <si>
    <t>2021 Gross Unit Savings (Therms)</t>
  </si>
  <si>
    <t>2021 Adjusted Goal</t>
  </si>
  <si>
    <t>2021 IL-TRM Adjustment</t>
  </si>
  <si>
    <t>2021 Final Savings Goal (Therms)</t>
  </si>
  <si>
    <t>Plan Period Final Savings Goal (Therms)</t>
  </si>
  <si>
    <t>Plan Year 2021 Savings Goal Adjustment</t>
  </si>
  <si>
    <t>IL-TRM Measure Code from the 2021 IL-TRM or errata applicable to 2021</t>
  </si>
  <si>
    <t>Plan Year 2020 Savings Goal Adjustment</t>
  </si>
  <si>
    <t>IL-TRM Measure Code from the 2020 IL-TRM or errata applicable to 2020</t>
  </si>
  <si>
    <t>IL-TRM Measure Code from the 2019 IL-TRM or errata applicable to 2019</t>
  </si>
  <si>
    <t>Plan Year 2019 Savings Goal Adjustment</t>
  </si>
  <si>
    <t>Plan Year 2018 Savings Goal Adjustment</t>
  </si>
  <si>
    <t>Total Plan Period Goal</t>
  </si>
  <si>
    <t>January 1, 2018 - December 31, 2021 Plan Period</t>
  </si>
  <si>
    <t>Plan Net-to-Gross Values (Fixed Parameters for Calculating Adjustable Savings Goals)</t>
  </si>
  <si>
    <t>2018 Plan NTG (Fixed)</t>
  </si>
  <si>
    <t>2019 Plan NTG (Fixed)</t>
  </si>
  <si>
    <t>2020 Plan NTG (Fixed)</t>
  </si>
  <si>
    <t>2021 Plan NTG (Fixed)</t>
  </si>
  <si>
    <t>Custom</t>
  </si>
  <si>
    <t>ΔTherms = [(Meals_per_Day * HW_per_Meal* Days _per_Year) * 8.3 * (ΔT_per_filter * Qty_Filter)]/(η_HeaterGas * 100000)</t>
  </si>
  <si>
    <t>η_HeaterGas</t>
  </si>
  <si>
    <t>Qty_filter</t>
  </si>
  <si>
    <t>ΔT_per_filter</t>
  </si>
  <si>
    <t>Days_per_Year</t>
  </si>
  <si>
    <t>HW_per_Meal</t>
  </si>
  <si>
    <t>Meals_per_Day</t>
  </si>
  <si>
    <t>CI-HW-GRTF-V01-160601</t>
  </si>
  <si>
    <t>4.3.9</t>
  </si>
  <si>
    <t>each</t>
  </si>
  <si>
    <t>Heat Recovery Grease Trap Filter</t>
  </si>
  <si>
    <t>∆Therms = ((InputRatebase - InputRateEE) * Duty * Hours) / 100000</t>
  </si>
  <si>
    <t>Hours</t>
  </si>
  <si>
    <t>Duty</t>
  </si>
  <si>
    <t>InputRateEE</t>
  </si>
  <si>
    <t>InputRatebase</t>
  </si>
  <si>
    <t>CI-FSE-IRUB-V02-180101</t>
  </si>
  <si>
    <t>4.2.15</t>
  </si>
  <si>
    <t>Infrared Upright Broiler</t>
  </si>
  <si>
    <t>CI-FSE-IRBL-V02-180101</t>
  </si>
  <si>
    <t>4.2.14</t>
  </si>
  <si>
    <t>Infrared Salamander Broiler</t>
  </si>
  <si>
    <t>CI-FSE-IROV-V02-180101</t>
  </si>
  <si>
    <t>4.2.13</t>
  </si>
  <si>
    <t>Infrared Rotisserie Oven</t>
  </si>
  <si>
    <t>∆Therms = ((PreHeatRatebase - PreHeatRateEE) * PreHeat * PreHeatTime/60 + ((InputRatebase - InputRateEE) * Duty * Hours) * Days / 100000</t>
  </si>
  <si>
    <t>InputRateBase</t>
  </si>
  <si>
    <t>PreHeatTime</t>
  </si>
  <si>
    <t>PreHeats</t>
  </si>
  <si>
    <t>PreHeatEE</t>
  </si>
  <si>
    <t>PreHeatbase</t>
  </si>
  <si>
    <t>CI-FSE-IRCB-V02-180101</t>
  </si>
  <si>
    <t>4.2.12</t>
  </si>
  <si>
    <t>Infrared Charbroiler</t>
  </si>
  <si>
    <t>Day</t>
  </si>
  <si>
    <t>Wes</t>
  </si>
  <si>
    <t>Wbase</t>
  </si>
  <si>
    <t>CI-FSE-STMC-V04-160601</t>
  </si>
  <si>
    <t>4.2.3</t>
  </si>
  <si>
    <t>Energy Star Steamer - 6 Pans</t>
  </si>
  <si>
    <t>Energy Star Steamer - 5 Pans</t>
  </si>
  <si>
    <t>Energy Star Steamer - 4 Pans</t>
  </si>
  <si>
    <t>Energy Star Steamer - 3 Pans</t>
  </si>
  <si>
    <t>CI-FSE-RKOV-VO2-180101</t>
  </si>
  <si>
    <t>4.2.18</t>
  </si>
  <si>
    <t>Double Rack Oven</t>
  </si>
  <si>
    <t>Deemed Savings</t>
  </si>
  <si>
    <t>Daily Cooking</t>
  </si>
  <si>
    <t>Daily Preheat</t>
  </si>
  <si>
    <t>Daily Idle</t>
  </si>
  <si>
    <t>CI-FSE-ESFR-V01-120601</t>
  </si>
  <si>
    <t>4.2.7</t>
  </si>
  <si>
    <t>Energy Star Fryer</t>
  </si>
  <si>
    <t>CI-FSE-ESCV-V02-180101</t>
  </si>
  <si>
    <t>4.2.5</t>
  </si>
  <si>
    <t>Energy Star Convection Oven</t>
  </si>
  <si>
    <t>CI-FSE-CVOV-V02-180101</t>
  </si>
  <si>
    <t>4.2.4</t>
  </si>
  <si>
    <t>Energy Star Conveyer Oven</t>
  </si>
  <si>
    <t>CI-HVC-PINS-V04-160601</t>
  </si>
  <si>
    <t>4.4.14</t>
  </si>
  <si>
    <t>Pipe Insulation - Steam X-Large Valve</t>
  </si>
  <si>
    <t>Pipe Insulation - Steam Large Valve</t>
  </si>
  <si>
    <t>Pipe Insulation - Steam Med Valve</t>
  </si>
  <si>
    <t>Pipe Insulation - Steam - Small Valve</t>
  </si>
  <si>
    <t>Pipe Insulation - Steam X-Large Fitting</t>
  </si>
  <si>
    <t>Pipe Insulation - Steam Large Fitting</t>
  </si>
  <si>
    <t>Pipe Insulation - Steam Med Fitting</t>
  </si>
  <si>
    <t>Pipe Insulation - Steam - Small Fitting</t>
  </si>
  <si>
    <t>ft</t>
  </si>
  <si>
    <t>Pipe Insulation - Steam - X-Large &gt;8"</t>
  </si>
  <si>
    <t>Pipe Insulation - Steam - Large 5.1" to 8"</t>
  </si>
  <si>
    <t>Pipe Insulation - Steam - Med 2.1" to 5"</t>
  </si>
  <si>
    <t>Pipe Insulation - Steam - Small 1" to 2"</t>
  </si>
  <si>
    <t>Pipe Insulation - HW Large &gt;4"</t>
  </si>
  <si>
    <t>Pipe Insulation - HW Medium 2.1" to 4"</t>
  </si>
  <si>
    <t>Pipe Insulation - HW Small 1" to 2"</t>
  </si>
  <si>
    <t>MF</t>
  </si>
  <si>
    <t>Pipe Insulation - Hyd. Boiler Large &gt;=2"</t>
  </si>
  <si>
    <t>Pipe Insulation - Hyd. Boiler Med 1.25-2"</t>
  </si>
  <si>
    <t>Pipe Insulation - Hyd. Boiler Sm &lt;=1.25"</t>
  </si>
  <si>
    <t>Pipe Insulation - Dry Cleaners -Elbows</t>
  </si>
  <si>
    <t>Pipe Insulation - Dry Cleaners</t>
  </si>
  <si>
    <t>CI-HVC-PROG-V02-150601</t>
  </si>
  <si>
    <t>4.4.18</t>
  </si>
  <si>
    <t>Thermostat - Programmable</t>
  </si>
  <si>
    <t>LF</t>
  </si>
  <si>
    <t>DryerUse</t>
  </si>
  <si>
    <t>Ndryer</t>
  </si>
  <si>
    <t>he</t>
  </si>
  <si>
    <t>RMC</t>
  </si>
  <si>
    <t>Capacity (Est)</t>
  </si>
  <si>
    <t>Days</t>
  </si>
  <si>
    <t>Ncycles</t>
  </si>
  <si>
    <t>CI-MSC-HSCW-V01-180101</t>
  </si>
  <si>
    <t>4.8.5</t>
  </si>
  <si>
    <t>lb-capacity</t>
  </si>
  <si>
    <t>High Speed Washer - Hotel/Motel/Hospital</t>
  </si>
  <si>
    <t>High Speed Washer - Laundromat</t>
  </si>
  <si>
    <t>MBH</t>
  </si>
  <si>
    <t>Water Heater 95% TE - Laundromat</t>
  </si>
  <si>
    <t>Water Heater 88% TE - Laundromat</t>
  </si>
  <si>
    <t>ΔTherms = ((T_out - T_in) * HotWaterUse_Gal * γWater * 1 * (1/EF_gasbase - 1/EF_Eff))/100000 + ((SL_gasbase - SL_eff) * 8766)/100000</t>
  </si>
  <si>
    <t>SL_eff</t>
  </si>
  <si>
    <t>SL_gasbase</t>
  </si>
  <si>
    <t>Gallons</t>
  </si>
  <si>
    <t>Eff_ee</t>
  </si>
  <si>
    <t>Eff_base</t>
  </si>
  <si>
    <t>HotWaterUse_Gal</t>
  </si>
  <si>
    <t>Tin</t>
  </si>
  <si>
    <t>Tout</t>
  </si>
  <si>
    <t>CI-HW-STWH-V03-180101</t>
  </si>
  <si>
    <t>4.3.1</t>
  </si>
  <si>
    <t>Water Heater - Storage 88% TE ≥75MBh</t>
  </si>
  <si>
    <t>Btu</t>
  </si>
  <si>
    <t>GPD</t>
  </si>
  <si>
    <t xml:space="preserve">Tout </t>
  </si>
  <si>
    <t>Steam Traps - Test</t>
  </si>
  <si>
    <t>ΔTherm = Sa * (Hv/B) * Hours * A * L / 100,000</t>
  </si>
  <si>
    <t>L</t>
  </si>
  <si>
    <t>Hours_MF_Com</t>
  </si>
  <si>
    <t>B</t>
  </si>
  <si>
    <t>Hv</t>
  </si>
  <si>
    <t>Sa</t>
  </si>
  <si>
    <t>CI-HVC-STRE-V05-180101</t>
  </si>
  <si>
    <t>4.4.16</t>
  </si>
  <si>
    <t>Steam Traps - HVAC Repair/Rep - No Audit</t>
  </si>
  <si>
    <t>Steam Traps - HVAC Repair/Rep - Audit</t>
  </si>
  <si>
    <t>Steam Traps - Dry Cleaner/Industrial</t>
  </si>
  <si>
    <t>∆Therms = Gas_Heating_Consumption * Heating_Reduction * HF *Steam_Factor / Boiler_Eff</t>
  </si>
  <si>
    <t>EFLH_CI</t>
  </si>
  <si>
    <t>Savings_Factor</t>
  </si>
  <si>
    <t>Capacity</t>
  </si>
  <si>
    <t>CI-HVC-SBAC-V01-160601</t>
  </si>
  <si>
    <t>4.4.36</t>
  </si>
  <si>
    <t>FES/IL TRM</t>
  </si>
  <si>
    <t>Steam Boiler Averaging Controls</t>
  </si>
  <si>
    <t>ΔTherm = ThermBase * %hot_water_savings, ThermBase = WHE * WUtiliz * WUsage_hot/lb-capacity</t>
  </si>
  <si>
    <t>Wusage</t>
  </si>
  <si>
    <t>% water sav</t>
  </si>
  <si>
    <t>%_hotwater_savings</t>
  </si>
  <si>
    <t>Wusage_hot</t>
  </si>
  <si>
    <t>Wutiliz</t>
  </si>
  <si>
    <t>WHE</t>
  </si>
  <si>
    <t>CI-HW-OZLD-VO1-140601</t>
  </si>
  <si>
    <t>4.3.6</t>
  </si>
  <si>
    <t>Ozone Laundry</t>
  </si>
  <si>
    <t>CI-MSC-MODD-V01-160601</t>
  </si>
  <si>
    <t>4.8.4</t>
  </si>
  <si>
    <t>Modulating Commercial Gas Clothes Dryer</t>
  </si>
  <si>
    <t>ΔTherms = 451 / (Estimate Size)</t>
  </si>
  <si>
    <t>Est Size</t>
  </si>
  <si>
    <t>CI-HVC-IRHT-V01-120601</t>
  </si>
  <si>
    <t>4.4.12</t>
  </si>
  <si>
    <t>Infrared Heater</t>
  </si>
  <si>
    <t>ΔTherms =  EFLH * Capacity *((AFUEeff – AFUEexist)/ AFUEexist) / 100,000</t>
  </si>
  <si>
    <t>CF</t>
  </si>
  <si>
    <t>AFUE_base_EUL</t>
  </si>
  <si>
    <t>AFUE_eff</t>
  </si>
  <si>
    <t>CI-HVC-FRNC-V07-180101</t>
  </si>
  <si>
    <t>4.4.11</t>
  </si>
  <si>
    <t>EFLH_MF</t>
  </si>
  <si>
    <t>EFLH</t>
  </si>
  <si>
    <t>ΔT</t>
  </si>
  <si>
    <t>CFM</t>
  </si>
  <si>
    <t>ΔTherms = CFM * HP* Annual Heating Load /(Eff(heat) * 100,000)</t>
  </si>
  <si>
    <t>Eff(heat)</t>
  </si>
  <si>
    <t>Annual Heating Load</t>
  </si>
  <si>
    <t>HP</t>
  </si>
  <si>
    <t>CI-FSE-VENT-V03-160601</t>
  </si>
  <si>
    <t>4.2.16</t>
  </si>
  <si>
    <t>DCV - Kitchen</t>
  </si>
  <si>
    <t>ΔTherms = EFLH * Capacity * ((Eff(eff) – Eff(base)/Eff(base))/ 100,000 Btu/Therm</t>
  </si>
  <si>
    <t>EFLH_CI_SBES</t>
  </si>
  <si>
    <t>Eff(base)</t>
  </si>
  <si>
    <t>Eff(eff)</t>
  </si>
  <si>
    <t>Direct Fired Heaters</t>
  </si>
  <si>
    <t>Deemed Savings assumed average size of 150 MBH</t>
  </si>
  <si>
    <t>CI-HVC-CUHT-V01-120601</t>
  </si>
  <si>
    <t>4.4.5</t>
  </si>
  <si>
    <t>Condensing Unit Heater</t>
  </si>
  <si>
    <t>Δtherms=(Capacity * EFLH * (((Effbefore + Ei) / Effbefore) - 1)) / 100,000</t>
  </si>
  <si>
    <t xml:space="preserve">Capacity </t>
  </si>
  <si>
    <t>SF Ei + Effbefore</t>
  </si>
  <si>
    <t>Effbefore</t>
  </si>
  <si>
    <t>CI-HVC-BLRT-V06-160601</t>
  </si>
  <si>
    <t>4.4.2</t>
  </si>
  <si>
    <t>Δtherms=((Ngi * 8766*UF)/100) * (1- (Effpre/Effmeasured))</t>
  </si>
  <si>
    <t>Effmeasured</t>
  </si>
  <si>
    <t>Effpre</t>
  </si>
  <si>
    <t>UF</t>
  </si>
  <si>
    <t>Ngi</t>
  </si>
  <si>
    <t>CI-HVC-PBTU-V05-160601</t>
  </si>
  <si>
    <t>4.4.3</t>
  </si>
  <si>
    <t>Boiler Tune Up - Process</t>
  </si>
  <si>
    <t>∆Therms = Boiler_Input_Capacity * Savings_Factor * EFLH / 100</t>
  </si>
  <si>
    <t>Savings Factor</t>
  </si>
  <si>
    <t>CI-HVC-BLRC-V03-150601</t>
  </si>
  <si>
    <t>4.4.4</t>
  </si>
  <si>
    <t>ΔTherms = EFLH * Capacity * ((Eff_actual - Eff_base)/Eff_base)) / 100,000</t>
  </si>
  <si>
    <t>Eff_actual</t>
  </si>
  <si>
    <t>CI-HVC-BOIL-V05-150601</t>
  </si>
  <si>
    <t>4.4.10</t>
  </si>
  <si>
    <t>ΔTherms = (FLObase - FLOeff)gal/min x 60 min/hr x HOURSday x DAYSyear x 8.33 x 1 x (Tout - Tin) x (1/EFF) /100,000</t>
  </si>
  <si>
    <t>EFF</t>
  </si>
  <si>
    <t>DAYSyear</t>
  </si>
  <si>
    <t>HOURSday</t>
  </si>
  <si>
    <t>FLO_eff</t>
  </si>
  <si>
    <t>FLO_base</t>
  </si>
  <si>
    <t>CI-FSE-SPRY-V04-180101</t>
  </si>
  <si>
    <t>4.2.11</t>
  </si>
  <si>
    <t>Laminar</t>
  </si>
  <si>
    <t>ΔTherms = ((GPM_base * L_base - GPM_low * L_low) * NSPD* 365.25)*EPG_gas*ISR</t>
  </si>
  <si>
    <t>ISR</t>
  </si>
  <si>
    <t>EPG_gas</t>
  </si>
  <si>
    <t>SPD</t>
  </si>
  <si>
    <t>L_base/L_low</t>
  </si>
  <si>
    <t>GPM_low</t>
  </si>
  <si>
    <t>GPM_base</t>
  </si>
  <si>
    <t>RS-HWE-LFSH-V04-180101</t>
  </si>
  <si>
    <t>4.3.3</t>
  </si>
  <si>
    <t>ΔTherms = %FossilDHW * ((GPM_base - GPM_low)/GPM_base) * Usage * EPG_gas * ISR</t>
  </si>
  <si>
    <t>Days/Year</t>
  </si>
  <si>
    <t>FPH</t>
  </si>
  <si>
    <t>DF_KA</t>
  </si>
  <si>
    <t>CI-HWE-LFFA-V07-180101</t>
  </si>
  <si>
    <t>4.3.2</t>
  </si>
  <si>
    <t>DF_BA</t>
  </si>
  <si>
    <t>ΔTherms = 6.4 therms* (Tpre – Tpost) / 15</t>
  </si>
  <si>
    <t>REgas</t>
  </si>
  <si>
    <t>Area (sqft)</t>
  </si>
  <si>
    <t>U</t>
  </si>
  <si>
    <t>Tpost</t>
  </si>
  <si>
    <t>Tpre</t>
  </si>
  <si>
    <t>RS-HWE-TMPS-V05-160601</t>
  </si>
  <si>
    <t>5.4.6</t>
  </si>
  <si>
    <t>Water Heater Setback</t>
  </si>
  <si>
    <t>New Construction ≥40% over IL 2015 Code</t>
  </si>
  <si>
    <t>New Construction 30-40% over IL 2015 Code</t>
  </si>
  <si>
    <t>New Construction 25-30% over IL 2015 Code</t>
  </si>
  <si>
    <t>New Construction 20-25% over IL 2015 Code</t>
  </si>
  <si>
    <t>Tank Volume</t>
  </si>
  <si>
    <t>γWater</t>
  </si>
  <si>
    <t>Household_SF</t>
  </si>
  <si>
    <t>RS-HWE-GWHT-V07-180101</t>
  </si>
  <si>
    <t>5.4.2</t>
  </si>
  <si>
    <t>Water Heater - Storage 0.67 EF</t>
  </si>
  <si>
    <t>Derating_Post</t>
  </si>
  <si>
    <t>Derating_Pre</t>
  </si>
  <si>
    <t>AFUE_base</t>
  </si>
  <si>
    <t>Furnace Heating Load</t>
  </si>
  <si>
    <t>HF_SF</t>
  </si>
  <si>
    <t>RS-HVC-FTUN-V03-180101</t>
  </si>
  <si>
    <t>5.3.13</t>
  </si>
  <si>
    <t>Furnace Clean &amp; Tune</t>
  </si>
  <si>
    <t>ΔTherms = Gas_Furnace_Heating_Load *Housing Factor* (1/AFUEbase - 1/AFUEeff)</t>
  </si>
  <si>
    <t>Derating_EE</t>
  </si>
  <si>
    <t>Derating_Base</t>
  </si>
  <si>
    <t>HF_MF</t>
  </si>
  <si>
    <t>RS-HVC-GHEF-V07-180101</t>
  </si>
  <si>
    <t>5.3.7</t>
  </si>
  <si>
    <t>Furnace &gt;95% AFUE (MF Unit)</t>
  </si>
  <si>
    <t>Gas_Boiler_Load</t>
  </si>
  <si>
    <t>RS-HVC-GHEB-V06-180101</t>
  </si>
  <si>
    <t>5.3.6</t>
  </si>
  <si>
    <t>FF_SF</t>
  </si>
  <si>
    <t>EFEFFICIENT</t>
  </si>
  <si>
    <t>EFBASE</t>
  </si>
  <si>
    <t>ΔTherms =  (1/R_old - 1/R_attic) *A_attic * (1-Framing_factor_attic) * ADJ_Attic_Wall * 24 * HDD / (ηHeat * 100,000 Btu/therm)</t>
  </si>
  <si>
    <t>ηHeat</t>
  </si>
  <si>
    <t>HDD</t>
  </si>
  <si>
    <t>ADJ</t>
  </si>
  <si>
    <t>Framing_factor</t>
  </si>
  <si>
    <t>R_new</t>
  </si>
  <si>
    <t>R_old</t>
  </si>
  <si>
    <t>RS-SHL-AINS-V07-180101</t>
  </si>
  <si>
    <t>5.6.4</t>
  </si>
  <si>
    <t>sq ft</t>
  </si>
  <si>
    <t>Rim Joist Insulation</t>
  </si>
  <si>
    <t>ΔTherm = (((ΔCFM25DL / (InputCapacityHeat * 0.0123)) * FLHheat *InputCapacityHeat) / 100,000 / ηHeat*TRF</t>
  </si>
  <si>
    <t>TRF</t>
  </si>
  <si>
    <t>nSystem</t>
  </si>
  <si>
    <t>nEquipment</t>
  </si>
  <si>
    <t>FLHheat_Res</t>
  </si>
  <si>
    <t>CapacityHeat</t>
  </si>
  <si>
    <t>ΔCFM25DL</t>
  </si>
  <si>
    <t>RS-HVC-DINS-V06-160601</t>
  </si>
  <si>
    <t>5.3.4</t>
  </si>
  <si>
    <t>CFM_25</t>
  </si>
  <si>
    <t>RS-SHL-BINS-V08-180101</t>
  </si>
  <si>
    <t>5.6.2</t>
  </si>
  <si>
    <t>Foundation Insulation</t>
  </si>
  <si>
    <t>Framing_factor_wall</t>
  </si>
  <si>
    <t>Framing_factor_attic</t>
  </si>
  <si>
    <t>ηHeat - MF</t>
  </si>
  <si>
    <t>N_heat</t>
  </si>
  <si>
    <t>RS-SHL-AIRS-V06-180101</t>
  </si>
  <si>
    <t>5.6.1</t>
  </si>
  <si>
    <t>CFM_50</t>
  </si>
  <si>
    <t>ηHeat - Residential</t>
  </si>
  <si>
    <t>ΔTherms = %FossilHeat * Gas_Heating_Consumption * Heating_Reduction * HF * Eff_ISR</t>
  </si>
  <si>
    <t>F[e]</t>
  </si>
  <si>
    <t>Eff_ISR</t>
  </si>
  <si>
    <t>Heating_Reduction</t>
  </si>
  <si>
    <t>Gas_Heating_Consumption</t>
  </si>
  <si>
    <t>RS-HVC-PROG-V04-180101</t>
  </si>
  <si>
    <t>5.3.11</t>
  </si>
  <si>
    <t>ΔTherm = (((1/Rexist * Cexist) – (1/Rnew * Cnew)) * FLH_heat * L * ΔT ) / ηBoiler /100,000</t>
  </si>
  <si>
    <t>ηBoiler</t>
  </si>
  <si>
    <t>Cnew_DI</t>
  </si>
  <si>
    <t>Cexist</t>
  </si>
  <si>
    <t>FLH_heat</t>
  </si>
  <si>
    <t>Rnew</t>
  </si>
  <si>
    <t>Rexist</t>
  </si>
  <si>
    <t>RS-HVC-PINS-V02-160601</t>
  </si>
  <si>
    <t>5.3.2</t>
  </si>
  <si>
    <t>ηDHW</t>
  </si>
  <si>
    <t>RS-HVC-PINS-V02-150601</t>
  </si>
  <si>
    <t>5.4.1</t>
  </si>
  <si>
    <t>ΔTherms = ((GPM_base * L_base - GPM_low * L_low) * Household * SPCD * 365.25 / SPH) * EPG_gas * ISR</t>
  </si>
  <si>
    <t>RE_gas</t>
  </si>
  <si>
    <t>Household</t>
  </si>
  <si>
    <t>SPH</t>
  </si>
  <si>
    <t>SPDC</t>
  </si>
  <si>
    <t>RS-HWE-LFSH-V05-180101</t>
  </si>
  <si>
    <t>5.4.5</t>
  </si>
  <si>
    <t>ΔTherms = ((GPM_base * L_base - GPM_low * L_low) * Household * 365.25 *DF / FPH) * EPG_gas * ISR</t>
  </si>
  <si>
    <t>DF</t>
  </si>
  <si>
    <t>RS-HWE-LFFA-V06-180101</t>
  </si>
  <si>
    <t>5.4.4</t>
  </si>
  <si>
    <t>Savings Algorithm</t>
  </si>
  <si>
    <t>VAR12</t>
  </si>
  <si>
    <t>VAR12 Name</t>
  </si>
  <si>
    <t>VAR11</t>
  </si>
  <si>
    <t>VAR11 Name</t>
  </si>
  <si>
    <t>VAR10</t>
  </si>
  <si>
    <t>VAR10 Name</t>
  </si>
  <si>
    <t>VAR9</t>
  </si>
  <si>
    <t>VAR9 Name</t>
  </si>
  <si>
    <t>VAR8</t>
  </si>
  <si>
    <t>VAR8 Name</t>
  </si>
  <si>
    <t>VAR7</t>
  </si>
  <si>
    <t>VAR7 Name</t>
  </si>
  <si>
    <t>VAR6</t>
  </si>
  <si>
    <t>VAR6 Name</t>
  </si>
  <si>
    <t>VAR5</t>
  </si>
  <si>
    <t>VAR5 Name</t>
  </si>
  <si>
    <t>VAR4</t>
  </si>
  <si>
    <t>VAR4 Name</t>
  </si>
  <si>
    <t>VAR3</t>
  </si>
  <si>
    <t>VAR3 Name</t>
  </si>
  <si>
    <t>VAR2</t>
  </si>
  <si>
    <t>VAR2 Name</t>
  </si>
  <si>
    <t>VAR1</t>
  </si>
  <si>
    <t>VAR1 Name</t>
  </si>
  <si>
    <t xml:space="preserve"> TRM Measure Code</t>
  </si>
  <si>
    <t xml:space="preserve"> TRM</t>
  </si>
  <si>
    <t>Algorithm Source</t>
  </si>
  <si>
    <t>Units</t>
  </si>
  <si>
    <t>Pipe Insulation - Steam - Large 5.1"-8"</t>
  </si>
  <si>
    <t>Pipe Insulation - Steam - Med 2.1"-5"</t>
  </si>
  <si>
    <t>C&amp;I/SB</t>
  </si>
  <si>
    <t xml:space="preserve">Space Heating TRF </t>
  </si>
  <si>
    <t xml:space="preserve">Year Round TRF </t>
  </si>
  <si>
    <t xml:space="preserve">DHW Hours/ year </t>
  </si>
  <si>
    <t xml:space="preserve">Space Heating Hours/ year </t>
  </si>
  <si>
    <t>Combustion Eff. (HW)</t>
  </si>
  <si>
    <t>Combustion Eff. (MF Steam)</t>
  </si>
  <si>
    <t>Combustion Eff. (Com. Steam)</t>
  </si>
  <si>
    <t>Equivalent Length of Valve</t>
  </si>
  <si>
    <t>Area of Valve</t>
  </si>
  <si>
    <t>Area oF Pipe</t>
  </si>
  <si>
    <t>Equivalent Length Tee</t>
  </si>
  <si>
    <t>Equivalent Length Elbow</t>
  </si>
  <si>
    <t>Area of Elbow</t>
  </si>
  <si>
    <t>Size (inches)</t>
  </si>
  <si>
    <t>From IL TRM from tables on pages 246 &amp; 247:</t>
  </si>
  <si>
    <t>X-Large 8-12"</t>
  </si>
  <si>
    <t>Large 5-8"</t>
  </si>
  <si>
    <t>Med 2-5"</t>
  </si>
  <si>
    <t>Small &lt;2"</t>
  </si>
  <si>
    <t>MF Steam</t>
  </si>
  <si>
    <t>Com. Steam</t>
  </si>
  <si>
    <t>DIA</t>
  </si>
  <si>
    <t>DHW</t>
  </si>
  <si>
    <t>HW</t>
  </si>
  <si>
    <t>MF Condensate Return</t>
  </si>
  <si>
    <t>Com. Condensate Return</t>
  </si>
  <si>
    <t>125 deg.</t>
  </si>
  <si>
    <t>145 deg.</t>
  </si>
  <si>
    <t>170 deg. (Condensate/HW)</t>
  </si>
  <si>
    <t>225 deg. (STEAM)</t>
  </si>
  <si>
    <t>PIPE</t>
  </si>
  <si>
    <t>Nominal Therms/ft</t>
  </si>
  <si>
    <t xml:space="preserve">Btu loss/hr, insulated </t>
  </si>
  <si>
    <t>Btu loss/hr, uninsulated</t>
  </si>
  <si>
    <t>Measure Size</t>
  </si>
  <si>
    <t>Δtherms = (Lsp + Loc,i) * Δtherms per foot</t>
  </si>
  <si>
    <t>Δtherms per foot = ((Qbase – Qeff) * TRF * HOURS) / (100,000 * ηBoiler)</t>
  </si>
  <si>
    <t>Pipe Insulation</t>
  </si>
  <si>
    <t>Elbows</t>
  </si>
  <si>
    <t>Therms</t>
  </si>
  <si>
    <t>btu/hr-ft</t>
  </si>
  <si>
    <t>in</t>
  </si>
  <si>
    <t>Savings</t>
  </si>
  <si>
    <t>Insulated loss</t>
  </si>
  <si>
    <t>Uninsulated loss</t>
  </si>
  <si>
    <t>SM</t>
  </si>
  <si>
    <t>Eff</t>
  </si>
  <si>
    <t>Thickness</t>
  </si>
  <si>
    <t>Tamb</t>
  </si>
  <si>
    <t>T</t>
  </si>
  <si>
    <t>Hours**(IL TRM)</t>
  </si>
  <si>
    <t>JEFFERSON PARK VALET SHOP - 6022 N Keystone Ave (#997264) - Custom Pipe Insul</t>
  </si>
  <si>
    <t>Evergreen Plaza Cleaners -1101378 - Pipe Insulation</t>
  </si>
  <si>
    <t>JO, CHANG dba VILLAGE CLEANERS - 1120366 - Steam Pipe Insulation</t>
  </si>
  <si>
    <t>Elbows (small)</t>
  </si>
  <si>
    <t>Lengths (small)</t>
  </si>
  <si>
    <t>Gross savings</t>
  </si>
  <si>
    <t>Cost</t>
  </si>
  <si>
    <t>Projects</t>
  </si>
  <si>
    <t>Business specific process steam pipe insulation (e.g. dry cleaner steam pipe)</t>
  </si>
  <si>
    <t>Dry Cleaner Pipe Insulation</t>
  </si>
  <si>
    <t>ΔTherms = CZ+Fu*(0.00383*Th-0.0656)+Th*(0.000575*Ws-0.0912)+0.00249*Ws</t>
  </si>
  <si>
    <t>intermittent</t>
  </si>
  <si>
    <t>Retail - Strip Mall</t>
  </si>
  <si>
    <t>ΔTherms = CZ+Th*(0.000406*Ws-0.0611)+0.00228*Ws</t>
  </si>
  <si>
    <t>Retail - Large</t>
  </si>
  <si>
    <t>ΔTherms = CZ+Fu*(0.00144*Th+0.000262*Ws-0.0553)+Th*(0.00018*Ws-0.0299)+0.00166*Ws</t>
  </si>
  <si>
    <t>Restaurant - Sit Down</t>
  </si>
  <si>
    <t>ΔTherms = CZ+Fu*(0.0125*Th+0.0036*Ws-0.71)+Th*(0.000329*Ws-0.0615)+0.00738*Ws</t>
  </si>
  <si>
    <t>Restaurant - Fast Food</t>
  </si>
  <si>
    <t>ΔTherms = CZ+Fu*(0.00143*Th-0.0309)+Th*(0.0008*Ws-0.134)+0.00219*Ws</t>
  </si>
  <si>
    <t>Religious</t>
  </si>
  <si>
    <t>ΔTherms = CZ+Fu*(0.00745*Th-0.142)+Th*(0.00077*Ws-0.111)+0.00199*Ws</t>
  </si>
  <si>
    <t>Office Low Rise</t>
  </si>
  <si>
    <t>ΔTherms = CZ+Fu*(0.00231*Th-0.0349)+Th*(0.000309*Ws-0.0494)+0.00266*Ws</t>
  </si>
  <si>
    <t>Convience Store</t>
  </si>
  <si>
    <t>ΔTherms = CZ+Fu*(0.00405*Th+0.000519*Ws-0.11)+Th*(0.0000689*Ws-0.0118)+0.0022*Ws</t>
  </si>
  <si>
    <t>Assembly</t>
  </si>
  <si>
    <t>Thermostats</t>
  </si>
  <si>
    <t>Total Savings</t>
  </si>
  <si>
    <t>ΔCooking Energy</t>
  </si>
  <si>
    <t>ΔPreheat Energy</t>
  </si>
  <si>
    <t>ΔIdle Energy</t>
  </si>
  <si>
    <t>Z</t>
  </si>
  <si>
    <t>Btu/preheat</t>
  </si>
  <si>
    <t>PRE_heat</t>
  </si>
  <si>
    <t>Preheats per day</t>
  </si>
  <si>
    <t>PRE_number</t>
  </si>
  <si>
    <t>EFF_estar</t>
  </si>
  <si>
    <t>lbs/hr</t>
  </si>
  <si>
    <t>PC_estar</t>
  </si>
  <si>
    <t>Btu/hr</t>
  </si>
  <si>
    <t>IDLE_estar</t>
  </si>
  <si>
    <t>CSM_%estar</t>
  </si>
  <si>
    <t>lbs/day</t>
  </si>
  <si>
    <t>F</t>
  </si>
  <si>
    <t>Hours/day, unknown food service</t>
  </si>
  <si>
    <t>HOURS_day</t>
  </si>
  <si>
    <t>EFF_base</t>
  </si>
  <si>
    <t>Btu/lb</t>
  </si>
  <si>
    <t>E_food</t>
  </si>
  <si>
    <t>PC_base</t>
  </si>
  <si>
    <t>IDLE_base</t>
  </si>
  <si>
    <t>CSM_%base</t>
  </si>
  <si>
    <t>6 Pans</t>
  </si>
  <si>
    <t>5 Pans</t>
  </si>
  <si>
    <t>4 Pans</t>
  </si>
  <si>
    <t>3 Pans</t>
  </si>
  <si>
    <t>Assumptions</t>
  </si>
  <si>
    <t># of Pans:</t>
  </si>
  <si>
    <t>ΔCooking Energy = ((1/ EFFBASE) - (1/ EFFENERGY STAR®)) * F * EFOOD</t>
  </si>
  <si>
    <t>ΔPreheat Energy = ( PREnumber * Δ Preheat)</t>
  </si>
  <si>
    <t>ΔIdle Energy = ((((1- CSM%Baseline)* IDLEBASE + CSM%Baseline * PCBASE * EFOOD / EFFBASE)*(HOURSday - (F / PCBase) - ( PREnumber *0.25))) - (((1- CSM%ENERGYSTAR) * IDLEENERGYSTAR + CSM%ENERGYSTAR * PCENERGY * EFOOD / EFFENERGYSTAR) * (HOURSDay - (F l/ PCENERGY ) - (PREnumber * 0.25 ))))</t>
  </si>
  <si>
    <t>ΔSavings = ΔBtu * 1/100,000 *Z</t>
  </si>
  <si>
    <t>ΔSavings = (ΔIdle Energy + ΔPreheat Energy + ΔCooking Energy) * Z</t>
  </si>
  <si>
    <t>Commercial ENERGY STAR Steam Cooker</t>
  </si>
  <si>
    <t>∆Therms</t>
  </si>
  <si>
    <t>ΔIdleEnergyConvGas</t>
  </si>
  <si>
    <t>ΔCookingEnergySteamGas</t>
  </si>
  <si>
    <t>ΔIdleEnergySteamGas</t>
  </si>
  <si>
    <t>ΔCookingEnergyConvGas</t>
  </si>
  <si>
    <t>GasPCSteamEE</t>
  </si>
  <si>
    <t>GasIDLESteamEE</t>
  </si>
  <si>
    <t>GasIDLEConvEE</t>
  </si>
  <si>
    <t>GasPCConvEE</t>
  </si>
  <si>
    <t>GasPCConvBase</t>
  </si>
  <si>
    <t>GasIDLEConvBase</t>
  </si>
  <si>
    <t>%Steam</t>
  </si>
  <si>
    <t>GasEFFSteamEE</t>
  </si>
  <si>
    <t>GasEFFSteamBase</t>
  </si>
  <si>
    <t xml:space="preserve">EFOODSteamGas </t>
  </si>
  <si>
    <t>GasPCSteamBase</t>
  </si>
  <si>
    <t>GasIDLESteamBase</t>
  </si>
  <si>
    <t>%Conv</t>
  </si>
  <si>
    <t>GasEFFConvEE</t>
  </si>
  <si>
    <t>GasEFFConvBase</t>
  </si>
  <si>
    <t>EFOODConvGas</t>
  </si>
  <si>
    <t>lb</t>
  </si>
  <si>
    <t>LBGas</t>
  </si>
  <si>
    <t>Combination Oven &gt;30</t>
  </si>
  <si>
    <t>Combination Oven 15-30</t>
  </si>
  <si>
    <t>Combination Oven &lt;15</t>
  </si>
  <si>
    <t>ΔIdleEnergyConvGas=[(GasIDLEConvBase * ((HOURS – LBGas/GasPCConvBase) * %Conv)) - (GasIDLEConvEE * ((HOURS - LBGas/GasPCConvEE) * %Conv))]</t>
  </si>
  <si>
    <t>ΔCookingEnergySteamGas= LBGas * (EFOODSteamGas / GasEFFSteamBase – EFOODSteamGas / GasEFFSteamEE) * %Steam</t>
  </si>
  <si>
    <t>ΔIdleEnergySteamGas= [(GasIDLESteamBase * ((HOURS – LBGas/GasPCSteamBase) * %Steam)) - (GasIDLESteamEE * ((HOURS - LBGas/GasPCSteamEE) * %Steam))</t>
  </si>
  <si>
    <t>ΔCookingEnergyConvGas= LBGas * (EFOODConvGas / GasEFFConvBase - EFOODConvGas / GasEFFConvEE) * %Conv</t>
  </si>
  <si>
    <t>∆Therms  = (ΔCookingEnergyConvGas + ΔCookingEnergySteamGas + ΔIdleEnergyConvGas +ΔIdleEnergySteamGas) * Days / 100,000</t>
  </si>
  <si>
    <t>Combination Oven</t>
  </si>
  <si>
    <t>Savings per MBH</t>
  </si>
  <si>
    <t>EF_eff</t>
  </si>
  <si>
    <t>EF_gasbase</t>
  </si>
  <si>
    <t>Dry Cleaner Hours</t>
  </si>
  <si>
    <t>Boiler Usage (Btu)</t>
  </si>
  <si>
    <t>btuh</t>
  </si>
  <si>
    <t>Boiler Size per Washer (Btu/h)</t>
  </si>
  <si>
    <t>http://www.allianceforwaterefficiency.org/laundromats.aspx</t>
  </si>
  <si>
    <t>Assume WF = 1.26</t>
  </si>
  <si>
    <t>Hot Water Gallons/Cycle</t>
  </si>
  <si>
    <t>http://www1.eere.energy.gov/buildings/appliance_standards/commercial/pdfs/ccw_snopr_chap6.pdf</t>
  </si>
  <si>
    <t>Cycles per day</t>
  </si>
  <si>
    <t>http://www.bandctech.com/Manuals/commercial-laundry-planning-guide.pdf</t>
  </si>
  <si>
    <t>Water Factor</t>
  </si>
  <si>
    <t>Power Factor</t>
  </si>
  <si>
    <t>Laundromat Boilers</t>
  </si>
  <si>
    <t>Peoples Gas</t>
  </si>
  <si>
    <t>Energy Education</t>
  </si>
  <si>
    <t>Multifamily Custom</t>
  </si>
  <si>
    <t>Gas Optimization</t>
  </si>
  <si>
    <t>Retrocommissioning</t>
  </si>
  <si>
    <t>Engineering Study</t>
  </si>
  <si>
    <t>Staffing</t>
  </si>
  <si>
    <t>SB Custom</t>
  </si>
  <si>
    <t>CI Custom</t>
  </si>
  <si>
    <t>New Construction</t>
  </si>
  <si>
    <t>Weatherstripping/Door Sweeps</t>
  </si>
  <si>
    <t>Air Sealing</t>
  </si>
  <si>
    <t>Attic Insulation &amp; Air Sealing</t>
  </si>
  <si>
    <t>Wall Insulation</t>
  </si>
  <si>
    <t>Pipe Insulation - DHW</t>
  </si>
  <si>
    <t>Pipe Insulation - Heating</t>
  </si>
  <si>
    <t>Boiler Tune-ups</t>
  </si>
  <si>
    <t>Outdoor Resets/Cutouts</t>
  </si>
  <si>
    <t>Steam Trap</t>
  </si>
  <si>
    <t>Controls for Central DHW Pumps</t>
  </si>
  <si>
    <t>Boiler Replacement</t>
  </si>
  <si>
    <t>DHW Replacement</t>
  </si>
  <si>
    <t>HVAC Balancing/Optimizing</t>
  </si>
  <si>
    <t>Res - SF Assessments</t>
  </si>
  <si>
    <t>door</t>
  </si>
  <si>
    <t>PY10</t>
  </si>
  <si>
    <t>PY9</t>
  </si>
  <si>
    <t>PY8</t>
  </si>
  <si>
    <t>PY7</t>
  </si>
  <si>
    <t>Gas NTGR</t>
  </si>
  <si>
    <t>Participants</t>
  </si>
  <si>
    <t>Res - Outreach &amp; Education</t>
  </si>
  <si>
    <t>Advanced Thermostat - Furnace (Replace Manual)</t>
  </si>
  <si>
    <t>Res - MF Assessments</t>
  </si>
  <si>
    <t>Pipe Insulation (Boiler)</t>
  </si>
  <si>
    <t>Programmable Thermostat - Furnace</t>
  </si>
  <si>
    <t>Res - SF Rebates</t>
  </si>
  <si>
    <t>Advanced Thermostat - Boiler (Replace Programmable)</t>
  </si>
  <si>
    <t>Res - MF Rebates</t>
  </si>
  <si>
    <t>High Speed Washer</t>
  </si>
  <si>
    <t>Duct Sealing</t>
  </si>
  <si>
    <t>Bus - CI Assessments</t>
  </si>
  <si>
    <t>Bus - SB Assessments</t>
  </si>
  <si>
    <t>Pre Rinse Sprayer</t>
  </si>
  <si>
    <t>Bus - CI Rebates</t>
  </si>
  <si>
    <t>Bus - SB Rebates</t>
  </si>
  <si>
    <t>Low Income - Outreach &amp; Education</t>
  </si>
  <si>
    <t>Low Income - SF Retrofit</t>
  </si>
  <si>
    <t>Low Income - MF Retrofit</t>
  </si>
  <si>
    <t>Low Income - SF New Construction</t>
  </si>
  <si>
    <t>Low Income - MF New Construction</t>
  </si>
  <si>
    <t>Boiler ≥88% AFUE, &lt;300MBh</t>
  </si>
  <si>
    <t>Boiler ≥88% AFUE, ≥300MBh TE</t>
  </si>
  <si>
    <t>Pipe Insulation - Hyd. Boiler Large ≥2"</t>
  </si>
  <si>
    <t>Res - MF Standard Rebates</t>
  </si>
  <si>
    <t>Res - MF PTA Rebates</t>
  </si>
  <si>
    <t>Steam Boiler ≥82% AFUE, &gt;300MBh TE</t>
  </si>
  <si>
    <t>Boiler Tune Up - Space Heating</t>
  </si>
  <si>
    <t>Bus - Public Assessments</t>
  </si>
  <si>
    <t>Aerator - Bathroom</t>
  </si>
  <si>
    <t>Aerator - Kitchen</t>
  </si>
  <si>
    <t>Bus - Public Rebates</t>
  </si>
  <si>
    <t>Attic Insulation</t>
  </si>
  <si>
    <t>Boiler ≥90% AFUE, &lt;300MBh</t>
  </si>
  <si>
    <t>Showerhead</t>
  </si>
  <si>
    <t>Kitchen Aerator</t>
  </si>
  <si>
    <t>Bathroom Aerator</t>
  </si>
  <si>
    <t>ΔTherm = %FossilHeat * Gas_Heating_Consumption * Heating_Reduction * HF * Eff_ISR</t>
  </si>
  <si>
    <t>ΔTherm = ((GPM_base * L_base - GPM_low * L_low) * Household * 365.25 *DF / FPH) * EPG_gas * ISR</t>
  </si>
  <si>
    <t>ΔTherm = ((GPM_base * L_base - GPM_low * L_low) * Household * SPCD * 365.25 / SPH) * EPG_gas * ISR</t>
  </si>
  <si>
    <t>ΔTherm = Facility Factor*Gas_Boiler_Load *( (.93*((1/AFUE(base_EUL) - 1/AFUE(eff)))+(.07*((1/AFUE(base_ER) - 1/AFUE(eff))))+(1/ EFBASE - 1/EFEFFICEINT) * (GPD * Household * 365.25 * γWater * (Tout – Tin) * 1.0 )/100,000                                                     
EFBASE = 0.93*(0.675 - 0.0015 x Tank Volume) + 0.07*(0.67 - 0.0019 x Tank Volume)    using Boiler ER %</t>
  </si>
  <si>
    <t>Total Cost-Effectiveness Savings</t>
  </si>
  <si>
    <t>Cost-Effectiveness Savings</t>
  </si>
  <si>
    <t>Total Annual Claimable Savings</t>
  </si>
  <si>
    <t>Adjusted Annual Savings</t>
  </si>
  <si>
    <t>New Measured Savings</t>
  </si>
  <si>
    <t>New Participants</t>
  </si>
  <si>
    <t>Measured Savings</t>
  </si>
  <si>
    <t>therm per Participant</t>
  </si>
  <si>
    <t>Savings per Household</t>
  </si>
  <si>
    <t>Households (participants)</t>
  </si>
  <si>
    <t>MODIFIED DATA</t>
  </si>
  <si>
    <t>Year 4</t>
  </si>
  <si>
    <t>Year 3</t>
  </si>
  <si>
    <t>Year 2</t>
  </si>
  <si>
    <t>Year 1</t>
  </si>
  <si>
    <t>Persistence</t>
  </si>
  <si>
    <t>Annual household attrition rate</t>
  </si>
  <si>
    <t>$ per particpant</t>
  </si>
  <si>
    <t>Measured therm savings</t>
  </si>
  <si>
    <t>OPOWER DATA</t>
  </si>
  <si>
    <t>6.1.1</t>
  </si>
  <si>
    <t>CC-BEH-BEHP-V02-16061</t>
  </si>
  <si>
    <r>
      <t xml:space="preserve">EEPS Adjustable Savings Goal Template - </t>
    </r>
    <r>
      <rPr>
        <i/>
        <sz val="11"/>
        <color theme="1"/>
        <rFont val="Arial"/>
        <family val="2"/>
      </rPr>
      <t>Program-Level Adjustments Tab</t>
    </r>
  </si>
  <si>
    <r>
      <t xml:space="preserve">EEPS Adjustable Savings Goal Template - </t>
    </r>
    <r>
      <rPr>
        <i/>
        <sz val="11"/>
        <color theme="1"/>
        <rFont val="Arial"/>
        <family val="2"/>
      </rPr>
      <t>Measure-Level Adjustments Tab</t>
    </r>
  </si>
  <si>
    <r>
      <t xml:space="preserve">Not derived from values in the IL-TRM, and therefore will not necessitate a change in savings goals if the IL-TRM is updated. Note: The Key Custom Input Assumptions specified in column (bb) should remain </t>
    </r>
    <r>
      <rPr>
        <i/>
        <u/>
        <sz val="11"/>
        <color theme="1"/>
        <rFont val="Arial"/>
        <family val="2"/>
      </rPr>
      <t>fixed</t>
    </r>
    <r>
      <rPr>
        <i/>
        <sz val="11"/>
        <color theme="1"/>
        <rFont val="Arial"/>
        <family val="2"/>
      </rPr>
      <t xml:space="preserve"> over the Plan period when calculating the Gross Unit Savings for the Measure for the applicable Program Years set forth in columns (aa), (ag), (am), and (as), unless consensus is reached at SAG that the extenuating circumstance warrants an adjustment.</t>
    </r>
  </si>
  <si>
    <t>n/a</t>
  </si>
  <si>
    <t>Behavior 2018 Y1 Persistence</t>
  </si>
  <si>
    <t>Behavior 2018 Y2 Persistence</t>
  </si>
  <si>
    <t>Behavior 2018 Y3 Persistence</t>
  </si>
  <si>
    <t>Behavior 2018 Y4 Persistence</t>
  </si>
  <si>
    <t>Behavior 2019 Y1 Persistence</t>
  </si>
  <si>
    <t>Behavior 2019 Y2 Persistence</t>
  </si>
  <si>
    <t>Behavior 2019 Y3 Persistence</t>
  </si>
  <si>
    <t>Behavior 2019 Y4 Persistence</t>
  </si>
  <si>
    <t>Behavior 2020 Y1 Persistence</t>
  </si>
  <si>
    <t>Behavior 2020 Y2 Persistence</t>
  </si>
  <si>
    <t>Behavior 2020 Y3 Persistence</t>
  </si>
  <si>
    <t>Behavior 2020 Y4 Persistence</t>
  </si>
  <si>
    <t>Behavior 2021 Y1 Persistence</t>
  </si>
  <si>
    <t>Behavior 2021 Y2 Persistence</t>
  </si>
  <si>
    <t>Behavior 2021 Y3 Persistence</t>
  </si>
  <si>
    <t>Behavior 2021 Y4 Persistence</t>
  </si>
  <si>
    <t>Behavior 2018 1st Year</t>
  </si>
  <si>
    <t>Behavior 2019 1st Year</t>
  </si>
  <si>
    <t>Behavior 2020 1st Year</t>
  </si>
  <si>
    <t>Behavior 2021 1st Year</t>
  </si>
  <si>
    <t>Therms Per Unit</t>
  </si>
  <si>
    <t>Boiler ≥88% AFUE, &lt;300MBh (SB)</t>
  </si>
  <si>
    <t>Boiler ≥88% AFUE, ≥300MBh TE (SB)</t>
  </si>
  <si>
    <t>Boiler Reset Controls (SB)</t>
  </si>
  <si>
    <t>Boiler Tune Up - Space Heating (SB)</t>
  </si>
  <si>
    <t>Pre Rinse Sprayer (P)</t>
  </si>
  <si>
    <t>Steam Boiler ≥82% AFUE, &gt;300MBh TE (SB)</t>
  </si>
  <si>
    <t>Bus - SB Rebates -PTA</t>
  </si>
  <si>
    <t>2018 Savings (Including Persistence)</t>
  </si>
  <si>
    <t>2019 Savings (Including Persistence)</t>
  </si>
  <si>
    <t>2020 Savings (Including Persistence)</t>
  </si>
  <si>
    <t>2021 Savings (Including Persistence)</t>
  </si>
  <si>
    <t>Peoples Non Income Eligible</t>
  </si>
  <si>
    <t>Peoples Income Eligible</t>
  </si>
  <si>
    <t>North Shore Non Income Eligible</t>
  </si>
  <si>
    <t>North Shore Income Eligible</t>
  </si>
  <si>
    <t>Home Energy Reports Program PY4 (March 1, 2016)</t>
  </si>
  <si>
    <t>Total Therms</t>
  </si>
  <si>
    <t>Therm/Participant</t>
  </si>
  <si>
    <t>PGL</t>
  </si>
  <si>
    <t>NSG</t>
  </si>
  <si>
    <t>North Shore Gas</t>
  </si>
  <si>
    <t>Check</t>
  </si>
  <si>
    <t>HERs per Household</t>
  </si>
  <si>
    <t>Claimable therms (first-year therm savings)</t>
  </si>
  <si>
    <t>Lifetime therms</t>
  </si>
  <si>
    <t>PGL Income Eligible</t>
  </si>
  <si>
    <t>Year 5</t>
  </si>
  <si>
    <t>HH retention factors</t>
  </si>
  <si>
    <t>CALCULATIONS - Non Income Eligible</t>
  </si>
  <si>
    <t>Budget</t>
  </si>
  <si>
    <t>Measured Therms</t>
  </si>
  <si>
    <t>Y1</t>
  </si>
  <si>
    <t>Y2</t>
  </si>
  <si>
    <t>Y3</t>
  </si>
  <si>
    <t>Y4</t>
  </si>
  <si>
    <t>Y5</t>
  </si>
  <si>
    <t>CALCULATIONS - Income Eligible</t>
  </si>
  <si>
    <t>single</t>
  </si>
  <si>
    <t>multi</t>
  </si>
  <si>
    <t>C&amp;I</t>
  </si>
  <si>
    <t>SB</t>
  </si>
  <si>
    <t>Public</t>
  </si>
  <si>
    <t>outreach</t>
  </si>
  <si>
    <t>low income</t>
  </si>
  <si>
    <t>total C&amp;i</t>
  </si>
  <si>
    <t>residential</t>
  </si>
  <si>
    <t>North Shore</t>
  </si>
  <si>
    <t>Reference Document</t>
  </si>
  <si>
    <t>see 'Thermostat Detail' Tab</t>
  </si>
  <si>
    <t>Exhibit 1.5A_R North Shore EEPS_Adjustable_Savings_Goal_Template.xlsx, Behavioral Tab</t>
  </si>
  <si>
    <t>Exhibit 1.5A_R North Shore EEPS_Adjustable_Savings_Goal_Template.xlsx, Food Equipment Tab</t>
  </si>
  <si>
    <t>Exhibit 1.5A_R North Shore EEPS_Adjustable_Savings_Goal_Template.xlsx, Laundromat Broiler Tab</t>
  </si>
  <si>
    <t>Exhibit 1.5A_R North Shore EEPS_Adjustable_Savings_Goal_Template.xlsx, Pipe Insulation Detail Tab</t>
  </si>
  <si>
    <t>Exhibit 1.5A_R North Shore EEPS_Adjustable_Savings_Goal_Template.xlsx, Unit Savings Calculations Tab</t>
  </si>
  <si>
    <t>Exhibit 1.5A_R North Shore EEPS_Adjustable_Savings_Goal_Template.xlsx, Thermostat Detail Tab</t>
  </si>
  <si>
    <t>IL TRM 9/28/2018</t>
  </si>
  <si>
    <t>ΔTherm = ((Cexist / Rexist – Cnew / Rnew) * L * ΔT * 8,766) / ηDHW /100,000</t>
  </si>
  <si>
    <t>Cnew</t>
  </si>
  <si>
    <t>ΔTherms = (EFLH * CAPInput * (AFUE(eff) / AFUE(base) -1)) / 100000</t>
  </si>
  <si>
    <t>CAPInput</t>
  </si>
  <si>
    <t>ΔTherms = ((EFLH * CAPInput)/(1-Derating_eff) * (((AFUE_eff * (1-Derating_eff)) / (AFUE_base * (1-Derating_base))) - 1)) / 100000</t>
  </si>
  <si>
    <t>ADJAirSealingGasHeat</t>
  </si>
  <si>
    <t>R_attic</t>
  </si>
  <si>
    <t>ADJ_AtticGasHeat</t>
  </si>
  <si>
    <t>ΔTherms = ((((1/R_old - 1/R_wall) * A_wall * (1-Framing_factor_wall)) * 24 * HDD) / (ηHeat * 100,000 Btu/therm) * ADJWallHeat</t>
  </si>
  <si>
    <t>R_wall</t>
  </si>
  <si>
    <t>ADJ_WallHeat</t>
  </si>
  <si>
    <t>See 'Pipe Insulation' Tab</t>
  </si>
  <si>
    <t>See 'Laudromat Broiler Detail' Tab</t>
  </si>
  <si>
    <t>ΔTherms =  (1/R_old - 1/R_Rim) * A_Rim * (1-Framing_factor_Rim) * HDD * 24 * ADJ_BasementHeat / (ηHeat * 100,000 Btu/therm)</t>
  </si>
  <si>
    <t>R_Rim</t>
  </si>
  <si>
    <t>Framing_factor_Rim</t>
  </si>
  <si>
    <t>ADJ_BasementHeat</t>
  </si>
  <si>
    <t>ΔTherms = (1/ UEFBASE - 1/UEFEFFICIENT) * (GPD * Household * 365.25 * γWater * (TOUT – TIN) * 1.0 )/100,000</t>
  </si>
  <si>
    <t>UEFbase</t>
  </si>
  <si>
    <t>UEFef</t>
  </si>
  <si>
    <t>ΔTherm = ThermHotWash * (%HotWashbase - %HotWashOzone), ThermHotWash = (%FossilDHW * Capacity * IWF * %HotWater * (TOUT - TIN) * 8.33 * 1.0 * Ncycles) / (RE_gas * 100,000)</t>
  </si>
  <si>
    <t>%FossilDHW</t>
  </si>
  <si>
    <t>IWF</t>
  </si>
  <si>
    <t>%HotWater</t>
  </si>
  <si>
    <t>TOUT</t>
  </si>
  <si>
    <t>TIN</t>
  </si>
  <si>
    <t>%HotWashbase</t>
  </si>
  <si>
    <t>%HotWashOzone</t>
  </si>
  <si>
    <t>Index</t>
  </si>
  <si>
    <t>Volume</t>
  </si>
  <si>
    <t>End Use</t>
  </si>
  <si>
    <t>Measure Name</t>
  </si>
  <si>
    <t>Measure Code</t>
  </si>
  <si>
    <t>Change Type</t>
  </si>
  <si>
    <t>Explanation</t>
  </si>
  <si>
    <t>Impact on Savings</t>
  </si>
  <si>
    <t>Volume 1: Overview</t>
  </si>
  <si>
    <t>N/A</t>
  </si>
  <si>
    <t>Revision</t>
  </si>
  <si>
    <t>New</t>
  </si>
  <si>
    <t>Volume 2: C&amp;I</t>
  </si>
  <si>
    <t>4.1.4 Livestock Waterer</t>
  </si>
  <si>
    <t>4.1.4</t>
  </si>
  <si>
    <t>4.2 Food Service Equipment</t>
  </si>
  <si>
    <t>Dependent on inputs</t>
  </si>
  <si>
    <t>Increase</t>
  </si>
  <si>
    <t>4.2.6 ENERGY STAR Dishwasher</t>
  </si>
  <si>
    <t>4.2.6</t>
  </si>
  <si>
    <t>4.2.8 ENERGY STAR Griddle</t>
  </si>
  <si>
    <t>4.2.8</t>
  </si>
  <si>
    <t>4.2.10</t>
  </si>
  <si>
    <t>4.2.11 High Efficiency Pre-Rinse Spray Valve</t>
  </si>
  <si>
    <t>4.3 Hot Water</t>
  </si>
  <si>
    <t>Updated baseline and ee ratings to UEF</t>
  </si>
  <si>
    <t>4.3.2 Low Flow Faucet Aerators</t>
  </si>
  <si>
    <t>4.3.3 Low Flow Showerheads</t>
  </si>
  <si>
    <t>4.3.4 Commercial Pool Covers</t>
  </si>
  <si>
    <t>4.3.4</t>
  </si>
  <si>
    <t>4.3.5 Tankless Water Heater</t>
  </si>
  <si>
    <t>4.3.5</t>
  </si>
  <si>
    <t>4.3.6 Ozone Laundry</t>
  </si>
  <si>
    <t>4.3.7</t>
  </si>
  <si>
    <t>4.4 HVAC</t>
  </si>
  <si>
    <t>4.4 HVAC End Use</t>
  </si>
  <si>
    <t>Update to select building type heating and cooling EFLH assumptions that have been transitioned and calibrated to OpenStudio by the Modeling Subcommittee.</t>
  </si>
  <si>
    <t>Errata</t>
  </si>
  <si>
    <t>Decrease</t>
  </si>
  <si>
    <t>4.4.6 Electric Chiller</t>
  </si>
  <si>
    <t>4.4.6</t>
  </si>
  <si>
    <t>Increase lifetime savings</t>
  </si>
  <si>
    <t>4.4.9</t>
  </si>
  <si>
    <t>4.4.10 High Efficiency Boiler</t>
  </si>
  <si>
    <t>4.4.11 High Efficiency Furnace</t>
  </si>
  <si>
    <t>4.4.13 Package Terminal Air Conditioner (PTAC) and Package Terminal Heat Pump (PTHP)</t>
  </si>
  <si>
    <t>4.4.13</t>
  </si>
  <si>
    <t>4.4.15 Single-Package and Split System Unitary Air Conditioners</t>
  </si>
  <si>
    <t>4.4.15</t>
  </si>
  <si>
    <t>4.4.17 Variable Speed Drives for HVAC Pumps and Cooling Tower Fans</t>
  </si>
  <si>
    <t>4.4.17</t>
  </si>
  <si>
    <t>Update to measure life.</t>
  </si>
  <si>
    <t>4.4.25</t>
  </si>
  <si>
    <t>CI-HVC-PRGA-V03-190101</t>
  </si>
  <si>
    <t>4.4.26</t>
  </si>
  <si>
    <t>Measure cost update.</t>
  </si>
  <si>
    <t>4.4.27 Energy Recovery Ventilator</t>
  </si>
  <si>
    <t>4.4.27</t>
  </si>
  <si>
    <t>4.4.30 Notched V Belts for HVAC Systems</t>
  </si>
  <si>
    <t>4.4.30</t>
  </si>
  <si>
    <t>4.4.32 Combined Heat and Power</t>
  </si>
  <si>
    <t>4.4.32</t>
  </si>
  <si>
    <t>4.4.33</t>
  </si>
  <si>
    <t>4.4.34 Destratification Fan</t>
  </si>
  <si>
    <t>4.4.34</t>
  </si>
  <si>
    <t>Updated savings factor to 10.2%</t>
  </si>
  <si>
    <t>New Measure</t>
  </si>
  <si>
    <t>4.4.41 Advanced Rooftop Controls</t>
  </si>
  <si>
    <t>4.4.41</t>
  </si>
  <si>
    <t>4.4.42</t>
  </si>
  <si>
    <t>4.4.44</t>
  </si>
  <si>
    <t>4.4.45</t>
  </si>
  <si>
    <t>4.5 Lighting</t>
  </si>
  <si>
    <t>4.5.1 Commercial Compact Fluorescent Lamp</t>
  </si>
  <si>
    <t>4.5.1</t>
  </si>
  <si>
    <t>4.5.3 High Performance and Reduced Wattage T8 Fixtures and Lamps</t>
  </si>
  <si>
    <t>4.5.3</t>
  </si>
  <si>
    <t>4.5.4 LED Bulbs and Fixtures</t>
  </si>
  <si>
    <t>4.5.4</t>
  </si>
  <si>
    <t>Update to measure cost.</t>
  </si>
  <si>
    <t>4.5.7 Lighting Power Density</t>
  </si>
  <si>
    <t>4.5.7</t>
  </si>
  <si>
    <t>Updated costs.</t>
  </si>
  <si>
    <t>4.5.12 T5 Fixtures and Lamps</t>
  </si>
  <si>
    <t>4.5.12</t>
  </si>
  <si>
    <t>4.5.14 Commercial Specialty Compact Fluorescent Lamp</t>
  </si>
  <si>
    <t>4.5.14</t>
  </si>
  <si>
    <t>4.6 Refrigeration</t>
  </si>
  <si>
    <t>4.6.3 Door Heater Controls for Cooler or Freezer</t>
  </si>
  <si>
    <t>4.6.3</t>
  </si>
  <si>
    <t>4.6.11 Q-Sync Motors for Reach-in Coolers/Freezers</t>
  </si>
  <si>
    <t>4.6.11</t>
  </si>
  <si>
    <t>New measure</t>
  </si>
  <si>
    <t>4.6.12</t>
  </si>
  <si>
    <t>4.7 Compressed Air</t>
  </si>
  <si>
    <t>4.7.1 VSD Air Compressor</t>
  </si>
  <si>
    <t>4.7.1</t>
  </si>
  <si>
    <t>4.7.2 Compressed Air Low Pressure Drop Filters</t>
  </si>
  <si>
    <t>4.7.2</t>
  </si>
  <si>
    <t>4.7.3 Compressed Air No-Loss Condensate Drains</t>
  </si>
  <si>
    <t>4.7.3</t>
  </si>
  <si>
    <t>4.8 Miscellaneous</t>
  </si>
  <si>
    <t>4.8.2 Roof Insulation for C&amp;I Facilities</t>
  </si>
  <si>
    <t>4.8.2</t>
  </si>
  <si>
    <t>4.8.7 Advanced Power Strip – Tier 1 Commercial</t>
  </si>
  <si>
    <t>4.8.7</t>
  </si>
  <si>
    <t>Volume 3: Residential</t>
  </si>
  <si>
    <t>5.1 Appliances</t>
  </si>
  <si>
    <t>5.1.2 ENERGY STAR Clothes Washer</t>
  </si>
  <si>
    <t>5.1.2</t>
  </si>
  <si>
    <t>5.1.3 ENERGY STAR Dehumidifier</t>
  </si>
  <si>
    <t>5.1.3</t>
  </si>
  <si>
    <t>5.1.4 ENERGY STAR Dishwasher</t>
  </si>
  <si>
    <t>5.1.4</t>
  </si>
  <si>
    <t>5.1.6 ENERGY STAR and CEE Tier 2 Refrigerator</t>
  </si>
  <si>
    <t>5.1.6</t>
  </si>
  <si>
    <t>5.1.10 ENERGY STAR Clothes Dryer</t>
  </si>
  <si>
    <t>5.1.10</t>
  </si>
  <si>
    <t>5.1.12 Ozone Laundry</t>
  </si>
  <si>
    <t>5.1.12</t>
  </si>
  <si>
    <t>5.2 Consumer Electronics</t>
  </si>
  <si>
    <t>5.2.1 Advanced Power Strip – Tier 1</t>
  </si>
  <si>
    <t>5.2.1</t>
  </si>
  <si>
    <t>5.2.2 Advanced Power Strip – Residential Audio Visual</t>
  </si>
  <si>
    <t>5.2.2</t>
  </si>
  <si>
    <t>5.3 HVAC</t>
  </si>
  <si>
    <t>5.3.1 Air Source Heat Pump</t>
  </si>
  <si>
    <t>5.3.1</t>
  </si>
  <si>
    <t>5.3.4 Duct Insulation and Sealing</t>
  </si>
  <si>
    <t>5.3.5 Furnace Blower Motor</t>
  </si>
  <si>
    <t>5.3.5</t>
  </si>
  <si>
    <t>Updated savings calcs with new algorithm methodology.</t>
  </si>
  <si>
    <t>5.3.7 Gas High Efficiency Furnace</t>
  </si>
  <si>
    <t>5.3.8 Ground Source Heat Pump</t>
  </si>
  <si>
    <t>5.3.8</t>
  </si>
  <si>
    <t>5.3.10</t>
  </si>
  <si>
    <t>5.3.11 Programmable Thermostats</t>
  </si>
  <si>
    <t>5.3.12 Ductless Heat Pumps</t>
  </si>
  <si>
    <t>5.3.12</t>
  </si>
  <si>
    <t>5.3.13 Residential Furnace Tune-Up</t>
  </si>
  <si>
    <t>5.3.16 Advanced Thermostats</t>
  </si>
  <si>
    <t>5.4 Hot Water</t>
  </si>
  <si>
    <t>Updated algorithm with pre and post insulation circumference factor.</t>
  </si>
  <si>
    <t>Updated algorithm with UEFbase and UEFeff values</t>
  </si>
  <si>
    <t>5.4.3 Heat Pump Water Heaters</t>
  </si>
  <si>
    <t>5.4.3</t>
  </si>
  <si>
    <t>Update to measure costs.</t>
  </si>
  <si>
    <t>Updated GPM_base values</t>
  </si>
  <si>
    <t>5.4.5 Low Flow Showerheads</t>
  </si>
  <si>
    <t>5.4.8</t>
  </si>
  <si>
    <t>5.4.9 Shower Timer</t>
  </si>
  <si>
    <t>5.4.9</t>
  </si>
  <si>
    <t>5.5 Lighting</t>
  </si>
  <si>
    <t>5.5.1 Compact Fluorescent Lamp</t>
  </si>
  <si>
    <t>5.5.1</t>
  </si>
  <si>
    <t>5.5.2 Specialty Compact Fluorescent Lamp</t>
  </si>
  <si>
    <t>5.5.2</t>
  </si>
  <si>
    <t>5.5.3 ENERGY STAR Torchiere</t>
  </si>
  <si>
    <t>5.5.3</t>
  </si>
  <si>
    <t>5.5.4</t>
  </si>
  <si>
    <t>5.5.5 Interior Hardwired Compact Fluorescent Lamp Fixture</t>
  </si>
  <si>
    <t>5.5.5</t>
  </si>
  <si>
    <t>5.5.6 LED Specialty Lamps</t>
  </si>
  <si>
    <t>5.5.6</t>
  </si>
  <si>
    <t>5.5.8 LED Screw Based Omnidirectional Bulbs</t>
  </si>
  <si>
    <t>5.5.8</t>
  </si>
  <si>
    <t>5.5.9 LED Fixtures</t>
  </si>
  <si>
    <t>5.5.9</t>
  </si>
  <si>
    <t>5.5.10 Holiday String Lighting</t>
  </si>
  <si>
    <t>5.5.10</t>
  </si>
  <si>
    <t>5.6 Shell</t>
  </si>
  <si>
    <t>5.6.1 Airsealing</t>
  </si>
  <si>
    <t>Added gas heating adjustment factor to savings calculation</t>
  </si>
  <si>
    <t>5.6.2 Basement Sidewall Insulation</t>
  </si>
  <si>
    <t>5.6.3</t>
  </si>
  <si>
    <t>5.6.4 Wall Insulation</t>
  </si>
  <si>
    <t>Updated savings algorithm and variable labels. Savings are unaffected with new algorithm.</t>
  </si>
  <si>
    <t>5.6.5 Ceiling/Attic Insulation</t>
  </si>
  <si>
    <t>5.6.5</t>
  </si>
  <si>
    <t>5.6.6 Rim/Band Joist Insulation</t>
  </si>
  <si>
    <t>5.6.6</t>
  </si>
  <si>
    <t>5.7 Miscellaneous</t>
  </si>
  <si>
    <t>Volume 4: Cross Cutting Measures and Attachments</t>
  </si>
  <si>
    <t>Pipe Insulation (DHW)</t>
  </si>
  <si>
    <t>Programmable Thermostat - Boiler</t>
  </si>
  <si>
    <t>Advanced Thermostat - Boiler (Replace Manual)</t>
  </si>
  <si>
    <t>Advanced Thermostat - Furnace (Replace Programmable)</t>
  </si>
  <si>
    <t>Thermostat - Reprogram</t>
  </si>
  <si>
    <t>Boiler - DHW Two-in-One</t>
  </si>
  <si>
    <t>Boiler ≥95% AFUE, &lt;300MBh</t>
  </si>
  <si>
    <t>Furnace &gt;95% AFUE</t>
  </si>
  <si>
    <t>Furnace &gt;97% AFUE</t>
  </si>
  <si>
    <t>Boiler Reset Controls</t>
  </si>
  <si>
    <t>Weighted Average Measure Life</t>
  </si>
  <si>
    <t>PY7-10</t>
  </si>
  <si>
    <t>Plan Measure Life</t>
  </si>
  <si>
    <t>Adjusted Measure Life</t>
  </si>
  <si>
    <t xml:space="preserve">  </t>
  </si>
  <si>
    <t>Approved Plan**</t>
  </si>
  <si>
    <t>Corrected Approved Plan</t>
  </si>
  <si>
    <t>2019 Adjustable Goals***</t>
  </si>
  <si>
    <t>*** 2019 Adjustable Goals WAML includes approved plan correction and any TRM changes associated with adjustable goals</t>
  </si>
  <si>
    <t>** A calculation error was found in the original filing, this was corrected in the Corrected Approved Plan Row and the 2019 Adjustable Goals row</t>
  </si>
  <si>
    <t>Remaining:</t>
  </si>
  <si>
    <t>Table 1.3: Summary of Measure Revisions</t>
  </si>
  <si>
    <t>Section</t>
  </si>
  <si>
    <t>Impact on Savings (T/F)</t>
  </si>
  <si>
    <t>Overall Measure Impact (T/F)</t>
  </si>
  <si>
    <t>Portfolio Measure (T/F)</t>
  </si>
  <si>
    <t>Portfolio Errata (T/F)</t>
  </si>
  <si>
    <t>Portfolio Revision (T/F)</t>
  </si>
  <si>
    <t>Adjusted (T/F)</t>
  </si>
  <si>
    <t>Notes</t>
  </si>
  <si>
    <t>Edits to 2.4 Program Delivery &amp; Baseline Definitions.</t>
  </si>
  <si>
    <t>New section 2.4.1 Default Measure Type for Program Delivery Methods.</t>
  </si>
  <si>
    <t>New section 3.4 Breakthrough Equipment and Devices Savings Assumptions.</t>
  </si>
  <si>
    <t>Updates to Loadshapes: R01, R02, R03, R04, R05, R13, R14, R17, R18</t>
  </si>
  <si>
    <t>New loadshapes: C56, C57, C58</t>
  </si>
  <si>
    <t>Edits to 3.9 Measure Incremental Cost Definition, and 3.10 Discount Rates, Inflation Rates and O&amp;M Costs</t>
  </si>
  <si>
    <t>4.1 Agricultural</t>
  </si>
  <si>
    <t>CI-AGE-LSW1-V03-190101</t>
  </si>
  <si>
    <t>Removal of summer peak demand savings as savings occur in the winter.</t>
  </si>
  <si>
    <t>Decrease demand</t>
  </si>
  <si>
    <t>4.1.5</t>
  </si>
  <si>
    <t>4.1.5 Fan Thermostat Controller</t>
  </si>
  <si>
    <t>CI-AGE-FNTC-V01-200101</t>
  </si>
  <si>
    <t>4.1.6</t>
  </si>
  <si>
    <t>4.1.6 Low Pressure Sprinkler Nozzles</t>
  </si>
  <si>
    <t xml:space="preserve"> CI-AGE-LPSN-V01-200101</t>
  </si>
  <si>
    <t>4.1.7</t>
  </si>
  <si>
    <t>4.1.7 Milk Pre-Cooler</t>
  </si>
  <si>
    <t>CI-AGE-MLKP-V01-200101</t>
  </si>
  <si>
    <t>4.1.8</t>
  </si>
  <si>
    <t>4.1.8 VSD Milk Pump with Plate Cooler Heat Exchanger</t>
  </si>
  <si>
    <t>CI-AGE-VSDM-V01-200101</t>
  </si>
  <si>
    <t>4.1.9</t>
  </si>
  <si>
    <t>4.1.9 Scroll Compressor for Dairy Refrigeration</t>
  </si>
  <si>
    <t>CI-AGE-SCRC-V01-200101</t>
  </si>
  <si>
    <t>4.1.10</t>
  </si>
  <si>
    <t>4.1.10 Dairy Refrigeration Heat Recovery</t>
  </si>
  <si>
    <t>CI-AGE-DRHR-V01-200101</t>
  </si>
  <si>
    <t>4.1.11</t>
  </si>
  <si>
    <t>4.1.11 Commercial LED Grow Lights</t>
  </si>
  <si>
    <t>CI-AGE-GROW-V01-200101</t>
  </si>
  <si>
    <t>CI-FSE-ESDW-V05-190101</t>
  </si>
  <si>
    <t>Changes to secondary water savings for Cook county participants.</t>
  </si>
  <si>
    <t>Decrease for select participants</t>
  </si>
  <si>
    <t>CI-FSE-ESGR-V04-200101</t>
  </si>
  <si>
    <t xml:space="preserve">Added assumptions for double-sided griddles. </t>
  </si>
  <si>
    <t>4.2.10 Ice Maker</t>
  </si>
  <si>
    <t>CI-FSE-ESIM-V03-200101</t>
  </si>
  <si>
    <t>Addition of CEE Tier 2 Advanced criteria. Removal of exclusion for flake and nugget machines.</t>
  </si>
  <si>
    <t>CI-FSE-SPRY-V06-190101</t>
  </si>
  <si>
    <t>CI-FSE-SPRY-V07-200101</t>
  </si>
  <si>
    <t>Update to federal standard. Updated flow rate for DI programs. Updated measure costs. Added KITS.</t>
  </si>
  <si>
    <t>4.2.20</t>
  </si>
  <si>
    <t>4.2.20 Efficient Dipper Wells</t>
  </si>
  <si>
    <t>CI-FSE-EDIP-V01-200101</t>
  </si>
  <si>
    <t>4.3.1 Water Heater</t>
  </si>
  <si>
    <t>CI-HWE-STWH-V04-190101</t>
  </si>
  <si>
    <t>CI-HWE-STWH-V05-200101</t>
  </si>
  <si>
    <t>Combined this measure with 4.3.5 Tankless Water Heater. Clarifications of TOS, NC and unit types.</t>
  </si>
  <si>
    <t>CI-HWE-LFFA-V09-190101</t>
  </si>
  <si>
    <t>Added KITS.</t>
  </si>
  <si>
    <t>CI-HWE-LFSH-V06-190101</t>
  </si>
  <si>
    <t>CI-HWE-LFSH-V07-200101</t>
  </si>
  <si>
    <t>Updated shower temperature with newer source.</t>
  </si>
  <si>
    <t>Decreases</t>
  </si>
  <si>
    <t>CI-HWE-PLCV-V03-200101</t>
  </si>
  <si>
    <t>Addition of loadshape and example calculation</t>
  </si>
  <si>
    <t>Retired</t>
  </si>
  <si>
    <t>Measure retired and merged with 4.3.1 Water Heater</t>
  </si>
  <si>
    <t>CI-HWE-OZLD-V03-190101</t>
  </si>
  <si>
    <t>CI-HWE-OZLD-V04-200101</t>
  </si>
  <si>
    <t>Addition of assumptions for laundromats</t>
  </si>
  <si>
    <t>4.3.7 Mulitfamily Central Domestic Hot Water Plants</t>
  </si>
  <si>
    <t>CI-HWE-MDHW-V04-200101</t>
  </si>
  <si>
    <t>Update to timing of IECC 2018.</t>
  </si>
  <si>
    <t>4.3.9 Heat Recovery Grease Trap Filter</t>
  </si>
  <si>
    <t>CI-HWE-GRTF-V02-200601</t>
  </si>
  <si>
    <t>Clarification of program types and baselines</t>
  </si>
  <si>
    <t>4.3.11</t>
  </si>
  <si>
    <t>4.3.11 Tunnel Washers</t>
  </si>
  <si>
    <t>CI-HWE-TUWA-V01-200101</t>
  </si>
  <si>
    <t xml:space="preserve">New </t>
  </si>
  <si>
    <t>Addition of New Construction EFLH assumptions.</t>
  </si>
  <si>
    <t>Addition of three building types – Auto dealership, Drug Store, Public Sector.</t>
  </si>
  <si>
    <t>CI-HVC-CHIL-V07-200101</t>
  </si>
  <si>
    <t>4.4.9 Air and Water Source Heat Pump Systems</t>
  </si>
  <si>
    <t>CI-HVC-HPSY-V07-200101</t>
  </si>
  <si>
    <t>CI-HVC-BOIL-V07-200101</t>
  </si>
  <si>
    <t>Addition of NC as program type.</t>
  </si>
  <si>
    <t>CI-HVC-FRNC-V09-200101</t>
  </si>
  <si>
    <t>Update to Cooling Run Hour assumptions based on OpenStudio modelling.</t>
  </si>
  <si>
    <t>CI-HVC-PTAC-V10-200101</t>
  </si>
  <si>
    <t>Update to existing efficiency assumption.</t>
  </si>
  <si>
    <t>Decrease for early replacement</t>
  </si>
  <si>
    <t>Correction of example calculation.</t>
  </si>
  <si>
    <t>CI-HVC-SPUA-V07-200101</t>
  </si>
  <si>
    <t>4.4.16 Steam Trap Replacement or Repair</t>
  </si>
  <si>
    <t>CI-HVC-STRE-V06-200101</t>
  </si>
  <si>
    <t xml:space="preserve">Addition of water impacts. </t>
  </si>
  <si>
    <t xml:space="preserve">Addition of instruction to use actual orifice diameter wherever possible. </t>
  </si>
  <si>
    <t>Addition of kWh savings from water supply.</t>
  </si>
  <si>
    <t>CI-HVC-VSDHP-V06-190101</t>
  </si>
  <si>
    <t>Fixing error in ESF/DSF calculation</t>
  </si>
  <si>
    <t>Increase for Cooling Tower Fan</t>
  </si>
  <si>
    <t>CI-HVC-VSDHP-V07-200101</t>
  </si>
  <si>
    <t>Dependent on building type</t>
  </si>
  <si>
    <t>Updates to Heating and Cooling Run Hour table and ESF/DSF based on new OpenStudio results.</t>
  </si>
  <si>
    <t>4.4.18 Small Commercial Programmable  Thermostats</t>
  </si>
  <si>
    <t>CI-HVC-PROG-V03-200101</t>
  </si>
  <si>
    <t>Measure retired and replaced with new measure 4.4.48 Small Commercial Thermostats - Provisional</t>
  </si>
  <si>
    <t>4.4.20</t>
  </si>
  <si>
    <t>4.4.20 High Turndown Burner for Space Heating Boilers</t>
  </si>
  <si>
    <t>CI-HVAC-HTBC-V05-200601</t>
  </si>
  <si>
    <t>Addition of code requirements, clarification on measure life and costs.</t>
  </si>
  <si>
    <t>4.4.23</t>
  </si>
  <si>
    <t>4.4.23 Shut Off Damper for Space Heating Boilers or Furnaces</t>
  </si>
  <si>
    <t>CI-HVC-SODP-V02-200601</t>
  </si>
  <si>
    <t>Clarification on measure life and costs.</t>
  </si>
  <si>
    <t>4.4.25 Small Commercial Programmable Thermostats Adjustments</t>
  </si>
  <si>
    <t>Measure retired.</t>
  </si>
  <si>
    <t>4.4.26 Variable Speed Drives for HVAC Supply and Return Fan</t>
  </si>
  <si>
    <t>CI-HVC-VSDF-V04-190101</t>
  </si>
  <si>
    <t>Change measure life consistent with other VSDs</t>
  </si>
  <si>
    <t>CI-HVC-VSDF-V05-200101</t>
  </si>
  <si>
    <t>Update to Fan Run Hour table with OpenStudio results.</t>
  </si>
  <si>
    <t>CI-HVC-ERVE-V04-200101</t>
  </si>
  <si>
    <t>Update measure costs.</t>
  </si>
  <si>
    <t>CI-HVC-NVBE-V05-200101</t>
  </si>
  <si>
    <t>4.4.31</t>
  </si>
  <si>
    <t>4.4.31 Small Business Furnace Tune-Up</t>
  </si>
  <si>
    <t>CI-HVC-FTUN-V03-200101</t>
  </si>
  <si>
    <t>Measure life updated to 3 years.</t>
  </si>
  <si>
    <t>CI-HVC-CHAP-V04-200101</t>
  </si>
  <si>
    <t>Clarification of Fthermal variable definition.</t>
  </si>
  <si>
    <t>4.4.33 Industrial Air Curtain</t>
  </si>
  <si>
    <t>CI-HVC-AIRC-V03-200101</t>
  </si>
  <si>
    <t>Clarification of code for New Construction.</t>
  </si>
  <si>
    <t>CI-HVC-DSFN-V04-200101</t>
  </si>
  <si>
    <t>Clarification of code for New Construction roof R-value assumption.</t>
  </si>
  <si>
    <t>CI-HVC-ARTC-V02-200101</t>
  </si>
  <si>
    <t>Addition of assumptions for electrically heated building.</t>
  </si>
  <si>
    <t>CI-HVC-ADTH-V02-190101</t>
  </si>
  <si>
    <t>4.4.44 Commercial Ground Source and Ground Water Source Heat Pump</t>
  </si>
  <si>
    <t>CI-HVC-GSHP-V03-200101</t>
  </si>
  <si>
    <t>4.4.45 Adsorbent Air Cleaning</t>
  </si>
  <si>
    <t>CI-HVC-ADAC-V02-200101</t>
  </si>
  <si>
    <t>Restricted to RF applications.</t>
  </si>
  <si>
    <t>Removal of defaults for % reduction of outside air.</t>
  </si>
  <si>
    <t>Removal of gas savings until more data collected.</t>
  </si>
  <si>
    <t>4.4.46</t>
  </si>
  <si>
    <t>4.4.46 Server Room Temperature Set Back</t>
  </si>
  <si>
    <t>CI-HVC-SRSB-V01-200101</t>
  </si>
  <si>
    <t>4.4.47</t>
  </si>
  <si>
    <t>4.4.47 Air Deflectors for Unit Ventilators</t>
  </si>
  <si>
    <t>CI-HVC-ADUV-V01-200101</t>
  </si>
  <si>
    <t>4.4.48</t>
  </si>
  <si>
    <t>4.4.48 Small Commercial Thermostats - Provisional</t>
  </si>
  <si>
    <t>CI-HVC-THST-V01-200101</t>
  </si>
  <si>
    <t>4.5 Lighting End Use</t>
  </si>
  <si>
    <t xml:space="preserve">Addition of footnote to detail source of refrigerated and freezer case waste heat factors. </t>
  </si>
  <si>
    <t>Additional OpenStudio derived outputs.</t>
  </si>
  <si>
    <t xml:space="preserve">Retired </t>
  </si>
  <si>
    <t>Measure removed</t>
  </si>
  <si>
    <t>CI-LTG-T8FX-V08-190101</t>
  </si>
  <si>
    <t>Correction of default midlife adjustment factors.
Remaining useful life to the midlife adjustment is calculated based on 1/3 assumed rated hours.</t>
  </si>
  <si>
    <t>CI-LTG-T8FX-V09-200101</t>
  </si>
  <si>
    <t>Increased lifetime savings</t>
  </si>
  <si>
    <t>CI-LTG-LEDB-V09-200101</t>
  </si>
  <si>
    <t>Applying appropriate TOS and Early Replacement assumptions.
For TOS, baseline is 100% T8 and midlife adjustment is removed. For early replacement, remaining useful life to the mid lifemidlife adjustment is calculated based on 1/3 assumed rated hours.</t>
  </si>
  <si>
    <t>Revision </t>
  </si>
  <si>
    <t>Decreased lifetime savings</t>
  </si>
  <si>
    <t>4.5.6</t>
  </si>
  <si>
    <t>4.5.6 LED Traffic and Pedestrian Signals</t>
  </si>
  <si>
    <t>CI-LTG-LEDT-V02-200601</t>
  </si>
  <si>
    <t>Clarifications to measure life and hour assumptions.</t>
  </si>
  <si>
    <t>CI-LTG-LPDE-V06-200101</t>
  </si>
  <si>
    <t>Correcting LPD values to match final IECC 2018 values.</t>
  </si>
  <si>
    <t>4.5.11</t>
  </si>
  <si>
    <t>4.5.11 Solar Light Tubes</t>
  </si>
  <si>
    <t>CI-LTG-STUB-V03-200101</t>
  </si>
  <si>
    <t>CI-LTG-T5FX-V08-200101</t>
  </si>
  <si>
    <t>For early replacement, remaining useful life to the midlife adjustment is calculated based on 1/3 assumed rated hours.</t>
  </si>
  <si>
    <t>Replaced RF term with EREP.</t>
  </si>
  <si>
    <t>CI-RFG-DHCT-V03-200101</t>
  </si>
  <si>
    <t>Footnote clarifying WHFs</t>
  </si>
  <si>
    <t>4.6.8</t>
  </si>
  <si>
    <t>4.6.8 Refrigeration Economizers</t>
  </si>
  <si>
    <t>CI-RFG-ECON-V06-200101</t>
  </si>
  <si>
    <t>Addition of code requirements.</t>
  </si>
  <si>
    <t>CI-RFG-QMF-V02-200101</t>
  </si>
  <si>
    <t>Added walk-in refrigeration evaporators.</t>
  </si>
  <si>
    <t>4.6.12 Variable Speed Drive for Condenser Fans</t>
  </si>
  <si>
    <t>CI-RFG-VSC-V02-200101</t>
  </si>
  <si>
    <t>Updated cost assumption.</t>
  </si>
  <si>
    <t>Update to savings factors.</t>
  </si>
  <si>
    <t>CI-CPA-VSDA-V03-200101</t>
  </si>
  <si>
    <t>Increase size limit.</t>
  </si>
  <si>
    <t>Clarification of baseline as oil-flooded compressor.</t>
  </si>
  <si>
    <t>Addition of unknown hours.</t>
  </si>
  <si>
    <t>CI-CPA-LPDF-V03-200101</t>
  </si>
  <si>
    <t>Clarification, typo fixes</t>
  </si>
  <si>
    <t>CI-CPA-NCLD-V03-200101</t>
  </si>
  <si>
    <t>Updated Incremental Cost</t>
  </si>
  <si>
    <t>4.7.6</t>
  </si>
  <si>
    <t>4.7.6 Vortex Tube Thermostat</t>
  </si>
  <si>
    <t>CI-CPA-VTEX-V01-200101</t>
  </si>
  <si>
    <t>4.7.7</t>
  </si>
  <si>
    <t>4.7.7 Efficient Desiccant Compressed Air Dryer</t>
  </si>
  <si>
    <t>CI-CPA-DDRY-V01-200101</t>
  </si>
  <si>
    <t>CI-MSC-RINS-V04-200101</t>
  </si>
  <si>
    <t>4.8.3</t>
  </si>
  <si>
    <t>4.8.3 Computer Power Management Software</t>
  </si>
  <si>
    <t>CI-MSC-CPMS-V02-200101</t>
  </si>
  <si>
    <t>Major change based on newer data</t>
  </si>
  <si>
    <t>4.8.6</t>
  </si>
  <si>
    <t>4.8.6 ENERGY STAR Computers</t>
  </si>
  <si>
    <t>CI-MSC-COMP-V02-200101</t>
  </si>
  <si>
    <t xml:space="preserve">Updated ENERGY STAR, 80 Plus and Titanium specs. </t>
  </si>
  <si>
    <t>CI-MSC-APSC-V03-200101</t>
  </si>
  <si>
    <t>Clarification of reference and costs.</t>
  </si>
  <si>
    <t>4.8.12</t>
  </si>
  <si>
    <t>4.8.12 Spring-Loaded Garage Door Hinge</t>
  </si>
  <si>
    <t>CI-MSC-SLDH-V01-200101</t>
  </si>
  <si>
    <t>4.8.13</t>
  </si>
  <si>
    <t>4.8.13 Variable Speed Drives for Process Fans</t>
  </si>
  <si>
    <t>CI-MSC-VSDP-V01-200101</t>
  </si>
  <si>
    <t>4.8.14</t>
  </si>
  <si>
    <t>4.8.14 Low Flow Toilet and Urinals</t>
  </si>
  <si>
    <t>CI-MSC-LFTU-V01-200101</t>
  </si>
  <si>
    <t>4.8.15</t>
  </si>
  <si>
    <t>4.8.15 Smart Irrigation Controls</t>
  </si>
  <si>
    <t>CI-MSC-SIRC-V01-200101</t>
  </si>
  <si>
    <t>4.8.16</t>
  </si>
  <si>
    <t>4.8.16 Commercial Weather Stripping</t>
  </si>
  <si>
    <t>CI-MSC-WTST-V01-200101</t>
  </si>
  <si>
    <t>5.1.1</t>
  </si>
  <si>
    <t>5.1.1 ENERGY STAR Air Purifier</t>
  </si>
  <si>
    <t>RS-APL-ESAP-V03-200601</t>
  </si>
  <si>
    <t>Clarification of Coincidence Factor</t>
  </si>
  <si>
    <t>RS-APL-ESCL-V07-190101</t>
  </si>
  <si>
    <t>RS-APL-ESCL-V08-200101</t>
  </si>
  <si>
    <t xml:space="preserve">Update to # cycles assumption and % electric DHW and % electric dryer. </t>
  </si>
  <si>
    <t>RS-APL-ESDH-V06-190101</t>
  </si>
  <si>
    <t>Recalculation of savings.</t>
  </si>
  <si>
    <t>Dependent on type</t>
  </si>
  <si>
    <t>RS-APL-ESDH-V07-200101</t>
  </si>
  <si>
    <t>Update to Federal Standard and ENERGY STAR criteria.</t>
  </si>
  <si>
    <t>RS-APL-ESDI-V05-190101</t>
  </si>
  <si>
    <t>RS-APL-ESRE-V07-200101</t>
  </si>
  <si>
    <t>Make RUL assumption consistent.</t>
  </si>
  <si>
    <t>RS-APL-ESDR-V03-200101</t>
  </si>
  <si>
    <t>Addition of loadshape.</t>
  </si>
  <si>
    <t>RS-APL-OZNE-V02-200101</t>
  </si>
  <si>
    <t>Addition of multifamily common area assumptions.</t>
  </si>
  <si>
    <t>RS-CEL-SSTR-V05-200101</t>
  </si>
  <si>
    <t>Addition of community distributed kit ISR and update to school ISR.</t>
  </si>
  <si>
    <t>RS-CEL-APS2-V04-200101</t>
  </si>
  <si>
    <t>Update to BaselineEnergy assumption.</t>
  </si>
  <si>
    <t>Update to classification memo.</t>
  </si>
  <si>
    <t>RS-HVC-ASHP-V09-200101</t>
  </si>
  <si>
    <t>Clarification electric resistance deferred replacement cost</t>
  </si>
  <si>
    <t>RS-HVC-DINS-V08-200101</t>
  </si>
  <si>
    <t>Addition of deemed values for system efficiency and %homes with fuel types.</t>
  </si>
  <si>
    <t>RS-HVC-FBMT-V05-200101</t>
  </si>
  <si>
    <t>Removal of TOS and NC – now a retrofit or early replacement measure.</t>
  </si>
  <si>
    <t>Update to lifetime and cost.</t>
  </si>
  <si>
    <t>RS-HVC-GHEF-V09-200101</t>
  </si>
  <si>
    <t>Fixing denominator in example calc - 100067 to 100000 as per algorithm</t>
  </si>
  <si>
    <t>RS-HVC-GSHP-V09-200101</t>
  </si>
  <si>
    <t>5.3.10 HVAC Tune Up</t>
  </si>
  <si>
    <t>RS-HVC-TUNE-V05-200101</t>
  </si>
  <si>
    <t>Update to measure life</t>
  </si>
  <si>
    <t>RS-HVC-PROG-V06-200101</t>
  </si>
  <si>
    <t>Clarification that savings are on household level and should be claimed for one per home.</t>
  </si>
  <si>
    <t>Update to MF/SF split.</t>
  </si>
  <si>
    <t>RS-HVC-DHP-V07-190101</t>
  </si>
  <si>
    <t>Clarification of remaining useful life for electric resistance heat and electric resistance deferred replacement cost</t>
  </si>
  <si>
    <t>RS-HVC-FTUN-V05-200101</t>
  </si>
  <si>
    <t>Fixing typo in algorithm.</t>
  </si>
  <si>
    <t>Measure life update.</t>
  </si>
  <si>
    <t>5.3.15</t>
  </si>
  <si>
    <t>5.3.15 ENERGY STAR Ceiling Fan</t>
  </si>
  <si>
    <t>RS-HVC-CFAN-V03-200101</t>
  </si>
  <si>
    <t>Updates to baseline and efficient standards.</t>
  </si>
  <si>
    <t>RS-HVC-ADTH-V04-200101</t>
  </si>
  <si>
    <t>5.3.18</t>
  </si>
  <si>
    <t>5.3.18 Furnace Filter Alarm</t>
  </si>
  <si>
    <t>RS-HVC-FUWH-V01-200101</t>
  </si>
  <si>
    <t>RS-HWE-HPWH-V08-190101</t>
  </si>
  <si>
    <t>Update to baseline algorithm</t>
  </si>
  <si>
    <t>RS-HWE-HPWH-V09-200101</t>
  </si>
  <si>
    <t>5.4.4 Low Flow Aerators</t>
  </si>
  <si>
    <t>RS-HWE-LFFA-V08-190101</t>
  </si>
  <si>
    <t>RS-HWE-LFFA-V09-200101</t>
  </si>
  <si>
    <t>Decreases dependent on program</t>
  </si>
  <si>
    <t>RS-HWE-LFSH-V07-190101</t>
  </si>
  <si>
    <t>RS-HWE-LFSH-V08-200101</t>
  </si>
  <si>
    <t>Update to school and DI ISR.</t>
  </si>
  <si>
    <t>5.4.6 Water Heater Temperature Setback</t>
  </si>
  <si>
    <t>RS-HWE-TMPS-V07-200101</t>
  </si>
  <si>
    <t>Addition of school instructions kit ISRs</t>
  </si>
  <si>
    <t>5.4.8 Thermostat Restrictor Valve</t>
  </si>
  <si>
    <t>RS-HWE-TRVA-V05-190101</t>
  </si>
  <si>
    <t>Change to DI GPM.</t>
  </si>
  <si>
    <t>RS-DHW-SHTM-V03-190101</t>
  </si>
  <si>
    <t>5.4.10</t>
  </si>
  <si>
    <t>5.4.10 Pool Covers</t>
  </si>
  <si>
    <t>RS-HWE-PLCV-V01-200101</t>
  </si>
  <si>
    <t xml:space="preserve">New measure </t>
  </si>
  <si>
    <t>5.5.4 Exterior Hardired Compact Fluorescent Lamp Fixture</t>
  </si>
  <si>
    <t>RS-LTG-LEDD-V10-200101</t>
  </si>
  <si>
    <t>Decrease lifetime savings</t>
  </si>
  <si>
    <t>RS-LTG-LEDA-V08-200101</t>
  </si>
  <si>
    <t>RS-LTG-LDFX-V02-200101</t>
  </si>
  <si>
    <t>RS-LTG-LEDH-V02-200101</t>
  </si>
  <si>
    <t>Update to leakage assumption</t>
  </si>
  <si>
    <t>5.5.12</t>
  </si>
  <si>
    <t>5.5.12 Connected LED Lamps</t>
  </si>
  <si>
    <t>RS-LTG-LEDC-V01-200101</t>
  </si>
  <si>
    <t>RS-SHL-AIRS-V08-200101</t>
  </si>
  <si>
    <t>Addition of shrink fit window film to Rx section</t>
  </si>
  <si>
    <t>Addition of income eligible adjustment to offset net savings inherent in ADJ variable.</t>
  </si>
  <si>
    <t>Addition of deemed value for system efficiency and %homes.</t>
  </si>
  <si>
    <t>RS-SHL-BINS-V10-200101</t>
  </si>
  <si>
    <t>5.6.3 Floor Insulation Above Crawlspace</t>
  </si>
  <si>
    <t>RS-SHL-FINS-V10-190101</t>
  </si>
  <si>
    <t>Update to default for uninsulated floor.</t>
  </si>
  <si>
    <t>RS-SHL-FINS-V11-200101</t>
  </si>
  <si>
    <t>RS-SHL-WINS-V09-200101</t>
  </si>
  <si>
    <t>RS-SHL-AINS-V02-200101</t>
  </si>
  <si>
    <t>Update to uninsulated R-value assumption.</t>
  </si>
  <si>
    <t>RS-SHL-RINS-V02-200101</t>
  </si>
  <si>
    <t>5.7.2</t>
  </si>
  <si>
    <t>5.7.2 Low Flow Toilets</t>
  </si>
  <si>
    <t>RS-MSC-LFTU-V01-200101</t>
  </si>
  <si>
    <t>Attachment B</t>
  </si>
  <si>
    <t>Effective Useful Life for Custom Measure Guidelines</t>
  </si>
  <si>
    <t xml:space="preserve">Addition of Thermostat Optimization EUL assumption. </t>
  </si>
  <si>
    <t xml:space="preserve">Split C&amp;I and RES measures. </t>
  </si>
  <si>
    <t>Update to Retrocommissioning EUL.</t>
  </si>
  <si>
    <t>Attachment C</t>
  </si>
  <si>
    <t>Framework for Counting Market Transformation Savings in Illinois</t>
  </si>
  <si>
    <t>New section</t>
  </si>
  <si>
    <t>Reference</t>
  </si>
  <si>
    <t>Link</t>
  </si>
  <si>
    <t>Electric only, Impacts Cook County only</t>
  </si>
  <si>
    <t>No actual input changes</t>
  </si>
  <si>
    <t>Edits to 3.3.1 LED Lamp and Linear Fluorescents
Baseline treatment, including specific additional
assumptions for Income Eligible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</si>
  <si>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4.4.42 Advanced Thermostats for Small Commercial </t>
  </si>
  <si>
    <t>Update to timing of T12 baseline .</t>
  </si>
  <si>
    <t>Text added to explain savings is 0 post-EISA backstop, assumed now to be 1/1/2022 for Standard A-lamps and 1/1/2025 for specialties and directional, although Utilities 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Agreement to participate in a working group to discuss, undertake necessary research, and develop consensus market forecasts to inform midlife adjustments to be made; and schedule for potential application of any such agreed upon adjustments.</t>
  </si>
  <si>
    <t>Update to loadshape
Fixing baseline EF in example calculation.</t>
  </si>
  <si>
    <t>Update to Res v C&amp;I split, ISR and leakage. Text added to explain savings is 0 post-EISA backstop, now 1/1/2025, although Utilities 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Savings are assumed not to go to zero until January 1, 2026 for all Income Eligible programs, except for DIY, Warehouse, and Big Box stores in Income Eligible Upstream Lighting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</si>
  <si>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Update to Res v C&amp;I split, ISR and leakage. Text added to explain savings is 0 post-EISA backstop, now 1/1/2022, although Utilitiesreserve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Savings are assumed not to go to zero until January 1, 2026 for all Income Eligible programs, except for DIY, Warehouse, and Big Box stores in Income Eligible Upstream Lighting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</si>
  <si>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Text added to explain savings is 0 post-EISA backstop, now 1/1/2025, although Utilities 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Savings are assumed not to go to zero until January 1, 2026
for all Income Eligible programs, except for DIY, Warehouse, and Big Box stores in Income Eligible Upstream Lighting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</si>
  <si>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Updated base and EE flow rates</t>
  </si>
  <si>
    <t>Unit Savings Calculations'!$X$145</t>
  </si>
  <si>
    <t>Updated EPG_gas</t>
  </si>
  <si>
    <t>Unit Savings Calculations'!$AF$144</t>
  </si>
  <si>
    <t>EFHL_SBES</t>
  </si>
  <si>
    <t>Updated heating EFLH for various measures</t>
  </si>
  <si>
    <t>No new construction measure algorithms</t>
  </si>
  <si>
    <t>No algorithms for new building types</t>
  </si>
  <si>
    <t>Unit Savings Calculations'!W70</t>
  </si>
  <si>
    <t>Water impacts are electric only</t>
  </si>
  <si>
    <t>Does not affect algorithm</t>
  </si>
  <si>
    <t>No kit aerators (DI only)</t>
  </si>
  <si>
    <t>Updated SF ISR</t>
  </si>
  <si>
    <t>Unit Savings Calculations'!AI27</t>
  </si>
  <si>
    <t>Updated heating EFLH</t>
  </si>
  <si>
    <t>Showerhead, Pre-Rinse Sprayer adjustments</t>
  </si>
  <si>
    <t>EFLH, Pre-Rinse Sprayer adjustments</t>
  </si>
  <si>
    <t>Showerhead ISR</t>
  </si>
  <si>
    <t>EFLH adjustment</t>
  </si>
  <si>
    <t>Updated algorithm with new variables</t>
  </si>
  <si>
    <t>Algorithm does not assume uninsulated R-value</t>
  </si>
  <si>
    <t>ΔTherms = (((CFM50_existing - CFM50_new)/N_heat) * 60 * 24 * HDD * 0.018) / (ηHeat * 100,000) * ADJAirSealingGasHeat * IENetCorrection</t>
  </si>
  <si>
    <t>IENetCorrection</t>
  </si>
  <si>
    <t>ΔTherms = ((((1/R_old - 1/R_attic) * A_attic * (1-Framing_factor_attic)) * 24 * HDD) / (ηHeat * 100,000 Btu/therm) * ADJAtticGasHeat * IENetCorrection * %GasHeat</t>
  </si>
  <si>
    <t>%GasHeat</t>
  </si>
  <si>
    <t>Showerhead ISR, Attic Insulation, Air Sealing</t>
  </si>
  <si>
    <t>Unit Savings Calculations'!V61</t>
  </si>
  <si>
    <t>Unit Savings Calculations'!V62</t>
  </si>
  <si>
    <t>Plan Life Cycle Therms</t>
  </si>
  <si>
    <t>Adjusted Life Cycle Therms</t>
  </si>
  <si>
    <t>2018-2021</t>
  </si>
  <si>
    <t>Updated 02/05/2020</t>
  </si>
  <si>
    <t>Plan Energy Savings Goal (Therms)</t>
  </si>
  <si>
    <t>Plan Life Cycle Savings</t>
  </si>
  <si>
    <t>Adjusted Life Cycle Savings</t>
  </si>
  <si>
    <t xml:space="preserve">Plan Life Cycle Savings (Therms) </t>
  </si>
  <si>
    <t>Total Plan Life Cycle Savings (Therms)</t>
  </si>
  <si>
    <t>Adjusted Life Cycle Savings (Therms)</t>
  </si>
  <si>
    <t xml:space="preserve"> Total Adjusted Life Cycle Savings (Therms)</t>
  </si>
  <si>
    <t>(u)</t>
  </si>
  <si>
    <t>(v)</t>
  </si>
  <si>
    <t>(w)</t>
  </si>
  <si>
    <t>(x)</t>
  </si>
  <si>
    <t>(ac)</t>
  </si>
  <si>
    <t>(ad)</t>
  </si>
  <si>
    <t>WAML</t>
  </si>
  <si>
    <t>Showerhead decrease; aerator increase</t>
  </si>
  <si>
    <t>Furnace decrease; attic insulation increase</t>
  </si>
  <si>
    <t>Boiler increase</t>
  </si>
  <si>
    <t>Boiler decrease</t>
  </si>
  <si>
    <t>Attic insulation &amp; aerator increase; Showerhead decrease</t>
  </si>
  <si>
    <t>2018 (PY7)</t>
  </si>
  <si>
    <t>2019 (PY8)</t>
  </si>
  <si>
    <t>2020 (PY9)</t>
  </si>
  <si>
    <t>2021 (PY10)</t>
  </si>
  <si>
    <t>Increases lifetime savings</t>
  </si>
  <si>
    <t>Updated measure lifetime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</si>
</sst>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3">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
    <numFmt numFmtId="166" formatCode="&quot;$&quot;#,##0"/>
    <numFmt numFmtId="167" formatCode="&quot;$&quot;#,##0.00"/>
    <numFmt numFmtId="168" formatCode="_(* #,##0_);_(* \(#,##0\);_(* &quot;-&quot;??_);_(@_)"/>
    <numFmt numFmtId="169" formatCode="0.0%"/>
    <numFmt numFmtId="170" formatCode="0.000"/>
    <numFmt numFmtId="171" formatCode="_(* #,##0.0_);_(* \(#,##0.0\);_(* &quot;-&quot;??_);_(@_)"/>
    <numFmt numFmtId="172" formatCode="0.0000"/>
    <numFmt numFmtId="173" formatCode="0.00000"/>
    <numFmt numFmtId="174" formatCode="0.000000"/>
    <numFmt numFmtId="175" formatCode="00\-0000\-00\-0000\-000"/>
    <numFmt numFmtId="176" formatCode="General_)"/>
    <numFmt numFmtId="177" formatCode="0;[Red]0"/>
    <numFmt numFmtId="178" formatCode="0.00_);[Red]\(0.00\)"/>
    <numFmt numFmtId="179" formatCode="0.00_);\(0.00\)"/>
    <numFmt numFmtId="180" formatCode="0.00;[Red]0.00"/>
    <numFmt numFmtId="181" formatCode="0.0_);\(0.0\)"/>
    <numFmt numFmtId="182" formatCode="&quot;$&quot;#,##0.0;\(&quot;$&quot;#,##0.0\);&quot;$&quot;#,##0.0"/>
    <numFmt numFmtId="183" formatCode="&quot;$&quot;#,##0;\-&quot;$&quot;#,##0"/>
    <numFmt numFmtId="184" formatCode="&quot;$&quot;#,##0\ ;\(&quot;$&quot;#,##0\)"/>
    <numFmt numFmtId="185" formatCode="&quot;£&quot;#,##0;[Red]\-&quot;£&quot;#,##0"/>
    <numFmt numFmtId="186" formatCode="mmmm\ d\,\ yyyy"/>
    <numFmt numFmtId="187" formatCode="mm/dd/yy"/>
    <numFmt numFmtId="188" formatCode="_-* #,##0_-;\-* #,##0_-;_-* &quot;-&quot;_-;_-@_-"/>
    <numFmt numFmtId="189" formatCode="_-* #,##0.00_-;\-* #,##0.00_-;_-* &quot;-&quot;??_-;_-@_-"/>
    <numFmt numFmtId="190" formatCode="_([$€-2]* #,##0.00_);_([$€-2]* \(#,##0.00\);_([$€-2]* &quot;-&quot;??_)"/>
    <numFmt numFmtId="191" formatCode="0_);[Red]\(0\)"/>
    <numFmt numFmtId="192" formatCode="_-* #,##0\ _P_t_s_-;\-* #,##0\ _P_t_s_-;_-* &quot;-&quot;\ _P_t_s_-;_-@_-"/>
    <numFmt numFmtId="193" formatCode="_-* #,##0.00\ _P_t_s_-;\-* #,##0.00\ _P_t_s_-;_-* &quot;-&quot;??\ _P_t_s_-;_-@_-"/>
    <numFmt numFmtId="194" formatCode="_-* #,##0\ &quot;Pts&quot;_-;\-* #,##0\ &quot;Pts&quot;_-;_-* &quot;-&quot;\ &quot;Pts&quot;_-;_-@_-"/>
    <numFmt numFmtId="195" formatCode="_-* #,##0.00\ &quot;Pts&quot;_-;\-* #,##0.00\ &quot;Pts&quot;_-;_-* &quot;-&quot;??\ &quot;Pts&quot;_-;_-@_-"/>
    <numFmt numFmtId="196" formatCode="mmm\ d\ \(ddd\)\ h\ AM/PM"/>
    <numFmt numFmtId="197" formatCode="#,##0.0\x_);\(#,##0.0\x\);#,##0.0\x_);@_)"/>
    <numFmt numFmtId="198" formatCode="#,##0;#,##0;;"/>
    <numFmt numFmtId="199" formatCode="0.00_)"/>
    <numFmt numFmtId="200" formatCode="#,##0.00_ ;[Red]\-#,##0.00;\ _-* &quot;-&quot;??_-;\ \ _-@_-"/>
    <numFmt numFmtId="201" formatCode="#,##0.00;[Red]\(#,##0.00\)"/>
    <numFmt numFmtId="202" formatCode="0%;\(0%\)"/>
    <numFmt numFmtId="203" formatCode="#,##0.0\%_);\(#,##0.0\%\);#,##0.0\%_);@_)"/>
    <numFmt numFmtId="204" formatCode="&quot;FY94P&quot;#"/>
    <numFmt numFmtId="205" formatCode="00\-0000\-00\-0000"/>
    <numFmt numFmtId="206" formatCode="0_);\(0\)"/>
    <numFmt numFmtId="207" formatCode="0.0_);[Red]\(0.0\)"/>
    <numFmt numFmtId="208" formatCode="h:mm:ss;@"/>
    <numFmt numFmtId="209" formatCode="ddmmyy"/>
    <numFmt numFmtId="210" formatCode="#,##0.0_);[Red]\(#,##0.0\)"/>
    <numFmt numFmtId="211" formatCode="&quot;£ &quot;#,##0;[Red]\-&quot;£ &quot;#,##0"/>
    <numFmt numFmtId="212" formatCode="&quot;£ &quot;#,##0.00;\-&quot;£ &quot;#,##0.00"/>
    <numFmt numFmtId="213" formatCode="_-&quot;£&quot;* #,##0_-;\-&quot;£&quot;* #,##0_-;_-&quot;£&quot;* &quot;-&quot;_-;_-@_-"/>
    <numFmt numFmtId="214" formatCode="_-&quot;£&quot;* #,##0.00_-;\-&quot;£&quot;* #,##0.00_-;_-&quot;£&quot;* &quot;-&quot;??_-;_-@_-"/>
    <numFmt numFmtId="215" formatCode="00000"/>
    <numFmt numFmtId="216" formatCode="#,##0.000"/>
    <numFmt numFmtId="217" formatCode="_-* #,##0.0_-;\-* #,##0.0_-;_-* &quot;-&quot;??_-;_-@_-"/>
    <numFmt numFmtId="218" formatCode="_(* #,##0.00000_);_(* \(#,##0.00000\);_(* &quot;-&quot;??_);_(@_)"/>
    <numFmt numFmtId="219" formatCode="_(* #,##0.0000_);_(* \(#,##0.0000\);_(* &quot;-&quot;??_);_(@_)"/>
    <numFmt numFmtId="220" formatCode="_(* #,##0.000_);_(* \(#,##0.000\);_(* &quot;-&quot;??_);_(@_)"/>
  </numFmts>
  <fonts count="172">
    <font>
      <sz val="11"/>
      <color theme="1"/>
      <name val="Calibri"/>
      <family val="2"/>
      <scheme val="minor"/>
    </font>
    <font>
      <sz val="11"/>
      <color theme="1"/>
      <name val="Arial"/>
      <family val="2"/>
    </font>
    <font>
      <b/>
      <sz val="9"/>
      <color indexed="81"/>
      <name val="Tahoma"/>
      <family val="2"/>
    </font>
    <font>
      <sz val="9"/>
      <color indexed="81"/>
      <name val="Tahoma"/>
      <family val="2"/>
    </font>
    <font>
      <u/>
      <sz val="9"/>
      <color indexed="81"/>
      <name val="Tahoma"/>
      <family val="2"/>
    </font>
    <font>
      <sz val="10"/>
      <color theme="1"/>
      <name val="Arial"/>
      <family val="2"/>
    </font>
    <font>
      <sz val="8"/>
      <color theme="1"/>
      <name val="Calibri"/>
      <family val="2"/>
      <scheme val="minor"/>
    </font>
    <font>
      <b/>
      <u/>
      <sz val="9"/>
      <color indexed="81"/>
      <name val="Tahoma"/>
      <family val="2"/>
    </font>
    <font>
      <sz val="11"/>
      <color theme="1"/>
      <name val="Calibri"/>
      <family val="2"/>
      <scheme val="minor"/>
    </font>
    <font>
      <b/>
      <sz val="15"/>
      <color theme="3"/>
      <name val="Calibri"/>
      <family val="2"/>
      <scheme val="minor"/>
    </font>
    <font>
      <b/>
      <sz val="11"/>
      <color theme="3"/>
      <name val="Calibri"/>
      <family val="2"/>
      <scheme val="minor"/>
    </font>
    <font>
      <sz val="11"/>
      <color theme="0"/>
      <name val="Calibri"/>
      <family val="2"/>
      <scheme val="minor"/>
    </font>
    <font>
      <sz val="10"/>
      <color theme="1"/>
      <name val="Calibri"/>
      <family val="2"/>
      <scheme val="minor"/>
    </font>
    <font>
      <sz val="10"/>
      <name val="Calibri"/>
      <family val="2"/>
      <scheme val="minor"/>
    </font>
    <font>
      <strike/>
      <sz val="10"/>
      <name val="Calibri"/>
      <family val="2"/>
      <scheme val="minor"/>
    </font>
    <font>
      <u/>
      <sz val="11"/>
      <color theme="10"/>
      <name val="Calibri"/>
      <family val="2"/>
      <scheme val="minor"/>
    </font>
    <font>
      <u/>
      <sz val="10"/>
      <name val="Calibri"/>
      <family val="2"/>
      <scheme val="minor"/>
    </font>
    <font>
      <i/>
      <sz val="10"/>
      <name val="Calibri"/>
      <family val="2"/>
      <scheme val="minor"/>
    </font>
    <font>
      <b/>
      <sz val="10"/>
      <color theme="1"/>
      <name val="Calibri"/>
      <family val="2"/>
      <scheme val="minor"/>
    </font>
    <font>
      <sz val="10"/>
      <name val="Arial"/>
      <family val="2"/>
    </font>
    <font>
      <sz val="10"/>
      <name val="Helv"/>
      <charset val="204"/>
    </font>
    <font>
      <sz val="12"/>
      <name val="Times New Roman"/>
      <family val="1"/>
    </font>
    <font>
      <sz val="10"/>
      <name val="Helv"/>
      <family val="2"/>
    </font>
    <font>
      <sz val="10"/>
      <color indexed="8"/>
      <name val="Arial"/>
      <family val="2"/>
    </font>
    <font>
      <sz val="10"/>
      <color indexed="8"/>
      <name val="MS Sans Serif"/>
      <family val="2"/>
    </font>
    <font>
      <sz val="9"/>
      <color indexed="10"/>
      <name val="Geneva"/>
      <family val="2"/>
    </font>
    <font>
      <sz val="8"/>
      <name val="Arial"/>
      <family val="2"/>
    </font>
    <font>
      <sz val="11"/>
      <color indexed="8"/>
      <name val="Calibri"/>
      <family val="2"/>
    </font>
    <font>
      <sz val="11"/>
      <color indexed="9"/>
      <name val="Calibri"/>
      <family val="2"/>
    </font>
    <font>
      <sz val="11"/>
      <color theme="0"/>
      <name val="Arial"/>
      <family val="2"/>
    </font>
    <font>
      <b/>
      <sz val="8"/>
      <name val="Arial"/>
      <family val="2"/>
    </font>
    <font>
      <sz val="8"/>
      <name val="Times New Roman"/>
      <family val="1"/>
    </font>
    <font>
      <sz val="7"/>
      <name val="Ariel"/>
    </font>
    <font>
      <sz val="11"/>
      <color indexed="20"/>
      <name val="Calibri"/>
      <family val="2"/>
    </font>
    <font>
      <sz val="8"/>
      <color indexed="10"/>
      <name val="Arial"/>
      <family val="2"/>
    </font>
    <font>
      <b/>
      <sz val="11"/>
      <color indexed="52"/>
      <name val="Calibri"/>
      <family val="2"/>
    </font>
    <font>
      <b/>
      <sz val="8"/>
      <color indexed="52"/>
      <name val="Comic Sans MS"/>
      <family val="2"/>
    </font>
    <font>
      <b/>
      <sz val="10"/>
      <color indexed="12"/>
      <name val="Arial"/>
      <family val="2"/>
    </font>
    <font>
      <b/>
      <sz val="10"/>
      <name val="Arial"/>
      <family val="2"/>
    </font>
    <font>
      <b/>
      <sz val="11"/>
      <color indexed="9"/>
      <name val="Calibri"/>
      <family val="2"/>
    </font>
    <font>
      <sz val="11"/>
      <color theme="1"/>
      <name val="Calisto MT"/>
      <family val="2"/>
    </font>
    <font>
      <sz val="10"/>
      <name val="Arial Narrow"/>
      <family val="2"/>
    </font>
    <font>
      <sz val="11"/>
      <name val="Calibri"/>
      <family val="2"/>
    </font>
    <font>
      <sz val="10"/>
      <name val="Verdana"/>
      <family val="2"/>
    </font>
    <font>
      <sz val="11"/>
      <color theme="1"/>
      <name val="Calibri"/>
      <family val="2"/>
    </font>
    <font>
      <sz val="10"/>
      <name val="BERNHARD"/>
    </font>
    <font>
      <sz val="10"/>
      <name val="Helv"/>
    </font>
    <font>
      <sz val="8"/>
      <color indexed="16"/>
      <name val="MS Sans Serif"/>
      <family val="2"/>
    </font>
    <font>
      <sz val="10"/>
      <name val="MS Serif"/>
      <family val="1"/>
    </font>
    <font>
      <sz val="9"/>
      <color indexed="8"/>
      <name val="Calibri"/>
      <family val="2"/>
    </font>
    <font>
      <sz val="11"/>
      <name val="Tahoma"/>
      <family val="2"/>
    </font>
    <font>
      <sz val="10"/>
      <name val="Geneva"/>
    </font>
    <font>
      <sz val="10"/>
      <name val="MS Sans Serif"/>
      <family val="2"/>
    </font>
    <font>
      <sz val="10"/>
      <color indexed="22"/>
      <name val="Arial"/>
      <family val="2"/>
    </font>
    <font>
      <sz val="10"/>
      <color indexed="10"/>
      <name val="Arial"/>
      <family val="2"/>
    </font>
    <font>
      <sz val="10"/>
      <color indexed="54"/>
      <name val="Arial"/>
      <family val="2"/>
    </font>
    <font>
      <b/>
      <sz val="10"/>
      <color indexed="8"/>
      <name val="ARIAL"/>
      <family val="2"/>
    </font>
    <font>
      <sz val="14"/>
      <color indexed="16"/>
      <name val="Times New Roman"/>
      <family val="1"/>
    </font>
    <font>
      <i/>
      <sz val="8"/>
      <name val="Arial"/>
      <family val="2"/>
    </font>
    <font>
      <i/>
      <sz val="9"/>
      <name val="Helv"/>
    </font>
    <font>
      <sz val="10"/>
      <color indexed="16"/>
      <name val="MS Serif"/>
      <family val="1"/>
    </font>
    <font>
      <sz val="11"/>
      <color indexed="8"/>
      <name val="Calibri"/>
      <family val="2"/>
      <charset val="1"/>
    </font>
    <font>
      <i/>
      <sz val="11"/>
      <color indexed="23"/>
      <name val="Calibri"/>
      <family val="2"/>
    </font>
    <font>
      <sz val="12"/>
      <color indexed="24"/>
      <name val="Arial"/>
      <family val="2"/>
    </font>
    <font>
      <u/>
      <sz val="10"/>
      <color theme="11"/>
      <name val="Verdana"/>
      <family val="2"/>
    </font>
    <font>
      <sz val="11"/>
      <color indexed="17"/>
      <name val="Calibri"/>
      <family val="2"/>
    </font>
    <font>
      <sz val="9"/>
      <name val="Times"/>
      <family val="1"/>
    </font>
    <font>
      <b/>
      <sz val="12"/>
      <name val="Arial"/>
      <family val="2"/>
    </font>
    <font>
      <b/>
      <i/>
      <sz val="9"/>
      <name val="Arial"/>
      <family val="2"/>
    </font>
    <font>
      <b/>
      <sz val="15"/>
      <color indexed="56"/>
      <name val="Calibri"/>
      <family val="2"/>
    </font>
    <font>
      <b/>
      <sz val="15"/>
      <color indexed="56"/>
      <name val="Arial"/>
      <family val="2"/>
    </font>
    <font>
      <b/>
      <sz val="18"/>
      <name val="Arial"/>
      <family val="2"/>
    </font>
    <font>
      <b/>
      <sz val="15"/>
      <color indexed="62"/>
      <name val="Calibri"/>
      <family val="2"/>
    </font>
    <font>
      <b/>
      <sz val="13"/>
      <color indexed="56"/>
      <name val="Calibri"/>
      <family val="2"/>
    </font>
    <font>
      <b/>
      <sz val="13"/>
      <color indexed="62"/>
      <name val="Calibri"/>
      <family val="2"/>
    </font>
    <font>
      <b/>
      <sz val="13"/>
      <color indexed="56"/>
      <name val="Comic Sans MS"/>
      <family val="2"/>
    </font>
    <font>
      <b/>
      <sz val="11"/>
      <color indexed="56"/>
      <name val="Calibri"/>
      <family val="2"/>
    </font>
    <font>
      <b/>
      <sz val="11"/>
      <color indexed="62"/>
      <name val="Calibri"/>
      <family val="2"/>
    </font>
    <font>
      <b/>
      <i/>
      <sz val="10"/>
      <name val="Arial"/>
      <family val="2"/>
    </font>
    <font>
      <b/>
      <sz val="8"/>
      <name val="MS Sans Serif"/>
      <family val="2"/>
    </font>
    <font>
      <b/>
      <sz val="9"/>
      <name val="Helv"/>
    </font>
    <font>
      <sz val="9"/>
      <name val="Helv"/>
    </font>
    <font>
      <sz val="10"/>
      <name val="Courier"/>
      <family val="3"/>
    </font>
    <font>
      <u/>
      <sz val="10"/>
      <color theme="10"/>
      <name val="Verdana"/>
      <family val="2"/>
    </font>
    <font>
      <u/>
      <sz val="12.1"/>
      <color theme="10"/>
      <name val="Calibri"/>
      <family val="2"/>
    </font>
    <font>
      <u/>
      <sz val="10"/>
      <color indexed="12"/>
      <name val="Arial"/>
      <family val="2"/>
    </font>
    <font>
      <u/>
      <sz val="11"/>
      <color theme="10"/>
      <name val="Calibri"/>
      <family val="2"/>
    </font>
    <font>
      <u/>
      <sz val="10"/>
      <color theme="10"/>
      <name val="Arial"/>
      <family val="2"/>
    </font>
    <font>
      <sz val="11"/>
      <color indexed="62"/>
      <name val="Calibri"/>
      <family val="2"/>
    </font>
    <font>
      <sz val="10"/>
      <name val="Times New Roman"/>
      <family val="1"/>
    </font>
    <font>
      <sz val="8"/>
      <color indexed="62"/>
      <name val="Comic Sans MS"/>
      <family val="2"/>
    </font>
    <font>
      <sz val="11"/>
      <color indexed="52"/>
      <name val="Calibri"/>
      <family val="2"/>
    </font>
    <font>
      <sz val="26"/>
      <name val="Arial"/>
      <family val="2"/>
    </font>
    <font>
      <sz val="48"/>
      <name val="Arial"/>
      <family val="2"/>
    </font>
    <font>
      <b/>
      <sz val="100"/>
      <name val="Arial"/>
      <family val="2"/>
    </font>
    <font>
      <b/>
      <sz val="36"/>
      <name val="Times New Roman"/>
      <family val="1"/>
    </font>
    <font>
      <sz val="8"/>
      <name val="Palatino"/>
      <family val="1"/>
    </font>
    <font>
      <sz val="11"/>
      <color indexed="60"/>
      <name val="Calibri"/>
      <family val="2"/>
    </font>
    <font>
      <sz val="7"/>
      <name val="Small Fonts"/>
      <family val="2"/>
    </font>
    <font>
      <b/>
      <i/>
      <sz val="16"/>
      <name val="Helv"/>
    </font>
    <font>
      <sz val="12"/>
      <color theme="1"/>
      <name val="Calibri"/>
      <family val="2"/>
      <scheme val="minor"/>
    </font>
    <font>
      <sz val="11"/>
      <color indexed="8"/>
      <name val="Calibri"/>
      <family val="2"/>
      <scheme val="minor"/>
    </font>
    <font>
      <sz val="12"/>
      <name val="QTHelvetCnd"/>
    </font>
    <font>
      <sz val="11"/>
      <color rgb="FF000000"/>
      <name val="Calibri"/>
      <family val="2"/>
      <scheme val="minor"/>
    </font>
    <font>
      <sz val="12"/>
      <color theme="1"/>
      <name val="Franklin Gothic Book"/>
      <family val="2"/>
    </font>
    <font>
      <sz val="11"/>
      <color indexed="8"/>
      <name val="Arial"/>
      <family val="2"/>
    </font>
    <font>
      <sz val="10"/>
      <color indexed="12"/>
      <name val="Arial"/>
      <family val="2"/>
    </font>
    <font>
      <b/>
      <sz val="8"/>
      <color indexed="9"/>
      <name val="Arial"/>
      <family val="2"/>
    </font>
    <font>
      <b/>
      <sz val="11"/>
      <color indexed="63"/>
      <name val="Calibri"/>
      <family val="2"/>
    </font>
    <font>
      <b/>
      <sz val="8"/>
      <color indexed="63"/>
      <name val="Comic Sans MS"/>
      <family val="2"/>
    </font>
    <font>
      <sz val="11"/>
      <color indexed="8"/>
      <name val="Times New Roman"/>
      <family val="1"/>
    </font>
    <font>
      <b/>
      <i/>
      <sz val="10"/>
      <color indexed="8"/>
      <name val="Arial"/>
      <family val="2"/>
    </font>
    <font>
      <b/>
      <i/>
      <sz val="11"/>
      <color indexed="8"/>
      <name val="Times New Roman"/>
      <family val="1"/>
    </font>
    <font>
      <b/>
      <sz val="10"/>
      <color indexed="9"/>
      <name val="Arial"/>
      <family val="2"/>
    </font>
    <font>
      <b/>
      <sz val="11"/>
      <color indexed="16"/>
      <name val="Times New Roman"/>
      <family val="1"/>
    </font>
    <font>
      <b/>
      <sz val="10"/>
      <color indexed="13"/>
      <name val="Arial"/>
      <family val="2"/>
    </font>
    <font>
      <b/>
      <sz val="26"/>
      <name val="Times New Roman"/>
      <family val="1"/>
    </font>
    <font>
      <b/>
      <sz val="18"/>
      <name val="Times New Roman"/>
      <family val="1"/>
    </font>
    <font>
      <sz val="9"/>
      <name val="Arial"/>
      <family val="2"/>
    </font>
    <font>
      <b/>
      <sz val="10"/>
      <name val="MS Sans Serif"/>
      <family val="2"/>
    </font>
    <font>
      <sz val="8"/>
      <name val="Wingdings"/>
      <charset val="2"/>
    </font>
    <font>
      <sz val="8"/>
      <name val="Helv"/>
    </font>
    <font>
      <b/>
      <i/>
      <sz val="12"/>
      <color indexed="9"/>
      <name val="Arial"/>
      <family val="2"/>
    </font>
    <font>
      <sz val="8"/>
      <name val="MS Sans Serif"/>
      <family val="2"/>
    </font>
    <font>
      <b/>
      <sz val="12"/>
      <name val="MS Sans Serif"/>
      <family val="2"/>
    </font>
    <font>
      <sz val="12"/>
      <name val="MS Sans Serif"/>
      <family val="2"/>
    </font>
    <font>
      <b/>
      <sz val="8"/>
      <color indexed="17"/>
      <name val="Arial"/>
      <family val="2"/>
    </font>
    <font>
      <b/>
      <sz val="8"/>
      <color indexed="8"/>
      <name val="Helv"/>
    </font>
    <font>
      <b/>
      <sz val="9"/>
      <name val="Arial"/>
      <family val="2"/>
    </font>
    <font>
      <sz val="7"/>
      <name val="Times New Roman"/>
      <family val="1"/>
    </font>
    <font>
      <b/>
      <sz val="11"/>
      <name val="Times New Roman"/>
      <family val="1"/>
    </font>
    <font>
      <b/>
      <sz val="18"/>
      <color indexed="56"/>
      <name val="Cambria"/>
      <family val="2"/>
    </font>
    <font>
      <b/>
      <sz val="18"/>
      <color indexed="62"/>
      <name val="Cambria"/>
      <family val="2"/>
    </font>
    <font>
      <b/>
      <sz val="6"/>
      <name val="Arial"/>
      <family val="2"/>
    </font>
    <font>
      <b/>
      <sz val="11"/>
      <color indexed="8"/>
      <name val="Calibri"/>
      <family val="2"/>
    </font>
    <font>
      <b/>
      <sz val="8"/>
      <color indexed="8"/>
      <name val="Comic Sans MS"/>
      <family val="2"/>
    </font>
    <font>
      <sz val="10"/>
      <name val="Geneva"/>
      <family val="2"/>
    </font>
    <font>
      <i/>
      <sz val="10"/>
      <color indexed="8"/>
      <name val="Arial"/>
      <family val="2"/>
    </font>
    <font>
      <sz val="11"/>
      <color indexed="10"/>
      <name val="Calibri"/>
      <family val="2"/>
    </font>
    <font>
      <b/>
      <sz val="10"/>
      <color indexed="20"/>
      <name val="Geneva"/>
      <family val="2"/>
    </font>
    <font>
      <sz val="10"/>
      <color theme="1"/>
      <name val="Calibri"/>
      <family val="2"/>
    </font>
    <font>
      <sz val="10"/>
      <color rgb="FFFF0000"/>
      <name val="Calibri"/>
      <family val="2"/>
      <scheme val="minor"/>
    </font>
    <font>
      <u/>
      <sz val="10"/>
      <color theme="10"/>
      <name val="Calibri"/>
      <family val="2"/>
      <scheme val="minor"/>
    </font>
    <font>
      <b/>
      <sz val="10"/>
      <name val="Calibri"/>
      <family val="2"/>
      <scheme val="minor"/>
    </font>
    <font>
      <b/>
      <i/>
      <sz val="10"/>
      <name val="Calibri"/>
      <family val="2"/>
      <scheme val="minor"/>
    </font>
    <font>
      <b/>
      <sz val="10"/>
      <color rgb="FFFF0000"/>
      <name val="Calibri"/>
      <family val="2"/>
      <scheme val="minor"/>
    </font>
    <font>
      <sz val="10"/>
      <color theme="0"/>
      <name val="Calibri"/>
      <family val="2"/>
      <scheme val="minor"/>
    </font>
    <font>
      <i/>
      <sz val="11"/>
      <color theme="1"/>
      <name val="Arial"/>
      <family val="2"/>
    </font>
    <font>
      <b/>
      <sz val="11"/>
      <color theme="1"/>
      <name val="Arial"/>
      <family val="2"/>
    </font>
    <font>
      <b/>
      <i/>
      <sz val="11"/>
      <color theme="1"/>
      <name val="Arial"/>
      <family val="2"/>
    </font>
    <font>
      <i/>
      <u/>
      <sz val="11"/>
      <color theme="1"/>
      <name val="Arial"/>
      <family val="2"/>
    </font>
    <font>
      <b/>
      <i/>
      <sz val="11"/>
      <name val="Arial"/>
      <family val="2"/>
    </font>
    <font>
      <b/>
      <sz val="11"/>
      <color theme="1"/>
      <name val="Calibri"/>
      <family val="2"/>
      <scheme val="minor"/>
    </font>
    <font>
      <sz val="10"/>
      <color theme="0" tint="-0.34998626667073579"/>
      <name val="Calibri"/>
      <family val="2"/>
      <scheme val="minor"/>
    </font>
    <font>
      <i/>
      <sz val="10"/>
      <color theme="0"/>
      <name val="Calibri"/>
      <family val="2"/>
      <scheme val="minor"/>
    </font>
    <font>
      <sz val="11"/>
      <name val="Calibri"/>
      <family val="2"/>
      <scheme val="minor"/>
    </font>
    <font>
      <sz val="10"/>
      <color rgb="FF000000"/>
      <name val="Calibri"/>
      <family val="2"/>
    </font>
    <font>
      <sz val="10"/>
      <name val="Calibri"/>
      <family val="2"/>
    </font>
    <font>
      <sz val="11"/>
      <name val="Arial"/>
      <family val="2"/>
    </font>
    <font>
      <b/>
      <sz val="11"/>
      <color rgb="FFFFFFFF"/>
      <name val="Calibri"/>
      <family val="2"/>
      <scheme val="minor"/>
    </font>
    <font>
      <b/>
      <sz val="10"/>
      <color rgb="FF000000"/>
      <name val="Calibri"/>
      <family val="2"/>
      <scheme val="minor"/>
    </font>
    <font>
      <b/>
      <sz val="10"/>
      <color rgb="FFFFFFFF"/>
      <name val="Calibri"/>
      <family val="2"/>
      <scheme val="minor"/>
    </font>
    <font>
      <b/>
      <sz val="11"/>
      <name val="Calibri"/>
      <family val="2"/>
      <scheme val="minor"/>
    </font>
    <font>
      <sz val="9"/>
      <color indexed="81"/>
      <name val="Tahoma"/>
      <charset val="1"/>
    </font>
    <font>
      <b/>
      <sz val="9"/>
      <color indexed="81"/>
      <name val="Tahoma"/>
      <charset val="1"/>
    </font>
    <font>
      <b/>
      <sz val="14"/>
      <color theme="1"/>
      <name val="Arial"/>
      <family val="2"/>
    </font>
    <font>
      <sz val="14"/>
      <color theme="1"/>
      <name val="Arial"/>
      <family val="2"/>
    </font>
    <font>
      <b/>
      <sz val="12"/>
      <color theme="1"/>
      <name val="Arial"/>
      <family val="2"/>
    </font>
    <font>
      <b/>
      <sz val="16"/>
      <color theme="1"/>
      <name val="Arial"/>
      <family val="2"/>
    </font>
    <font>
      <b/>
      <i/>
      <sz val="12"/>
      <color theme="1"/>
      <name val="Arial"/>
      <family val="2"/>
    </font>
    <font>
      <sz val="12"/>
      <color theme="1"/>
      <name val="Arial"/>
      <family val="2"/>
    </font>
    <font>
      <b/>
      <sz val="11"/>
      <color rgb="FF000000"/>
      <name val="Calibri"/>
      <family val="2"/>
      <scheme val="minor"/>
    </font>
  </fonts>
  <fills count="108">
    <fill>
      <patternFill patternType="none"/>
    </fill>
    <fill>
      <patternFill patternType="gray125"/>
    </fill>
    <fill>
      <patternFill patternType="solid">
        <fgColor theme="3"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lightDown">
        <fgColor auto="1"/>
        <bgColor auto="1"/>
      </patternFill>
    </fill>
    <fill>
      <patternFill patternType="lightDown">
        <bgColor auto="1"/>
      </patternFill>
    </fill>
    <fill>
      <patternFill patternType="solid">
        <fgColor rgb="FFCFFEFF"/>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indexed="31"/>
      </patternFill>
    </fill>
    <fill>
      <patternFill patternType="solid">
        <fgColor indexed="22"/>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bgColor indexed="64"/>
      </patternFill>
    </fill>
    <fill>
      <patternFill patternType="solid">
        <fgColor indexed="51"/>
        <bgColor indexed="64"/>
      </patternFill>
    </fill>
    <fill>
      <patternFill patternType="solid">
        <fgColor indexed="52"/>
        <bgColor indexed="64"/>
      </patternFill>
    </fill>
    <fill>
      <patternFill patternType="solid">
        <fgColor indexed="14"/>
        <bgColor indexed="64"/>
      </patternFill>
    </fill>
    <fill>
      <patternFill patternType="solid">
        <fgColor indexed="13"/>
        <bgColor indexed="64"/>
      </patternFill>
    </fill>
    <fill>
      <patternFill patternType="solid">
        <fgColor indexed="60"/>
        <bgColor indexed="64"/>
      </patternFill>
    </fill>
    <fill>
      <patternFill patternType="solid">
        <fgColor indexed="23"/>
        <bgColor indexed="64"/>
      </patternFill>
    </fill>
    <fill>
      <patternFill patternType="solid">
        <fgColor indexed="22"/>
        <bgColor indexed="64"/>
      </patternFill>
    </fill>
    <fill>
      <patternFill patternType="solid">
        <fgColor indexed="9"/>
      </patternFill>
    </fill>
    <fill>
      <patternFill patternType="gray125">
        <bgColor indexed="31"/>
      </patternFill>
    </fill>
    <fill>
      <patternFill patternType="solid">
        <fgColor indexed="31"/>
        <bgColor indexed="31"/>
      </patternFill>
    </fill>
    <fill>
      <patternFill patternType="solid">
        <fgColor indexed="15"/>
        <bgColor indexed="64"/>
      </patternFill>
    </fill>
    <fill>
      <patternFill patternType="solid">
        <fgColor indexed="43"/>
        <bgColor indexed="64"/>
      </patternFill>
    </fill>
    <fill>
      <patternFill patternType="solid">
        <fgColor indexed="47"/>
        <bgColor indexed="64"/>
      </patternFill>
    </fill>
    <fill>
      <patternFill patternType="solid">
        <fgColor indexed="44"/>
        <bgColor indexed="64"/>
      </patternFill>
    </fill>
    <fill>
      <patternFill patternType="solid">
        <fgColor indexed="42"/>
        <bgColor indexed="64"/>
      </patternFill>
    </fill>
    <fill>
      <patternFill patternType="solid">
        <fgColor indexed="26"/>
        <bgColor indexed="64"/>
      </patternFill>
    </fill>
    <fill>
      <patternFill patternType="solid">
        <fgColor indexed="11"/>
        <bgColor indexed="64"/>
      </patternFill>
    </fill>
    <fill>
      <patternFill patternType="gray125">
        <fgColor indexed="13"/>
      </patternFill>
    </fill>
    <fill>
      <patternFill patternType="solid">
        <fgColor indexed="33"/>
        <bgColor indexed="64"/>
      </patternFill>
    </fill>
    <fill>
      <patternFill patternType="solid">
        <fgColor indexed="17"/>
        <bgColor indexed="64"/>
      </patternFill>
    </fill>
    <fill>
      <patternFill patternType="solid">
        <fgColor indexed="13"/>
      </patternFill>
    </fill>
    <fill>
      <patternFill patternType="solid">
        <fgColor indexed="17"/>
      </patternFill>
    </fill>
    <fill>
      <patternFill patternType="mediumGray">
        <fgColor indexed="22"/>
      </patternFill>
    </fill>
    <fill>
      <patternFill patternType="darkVertical"/>
    </fill>
    <fill>
      <patternFill patternType="solid">
        <fgColor indexed="63"/>
        <bgColor indexed="64"/>
      </patternFill>
    </fill>
    <fill>
      <patternFill patternType="solid">
        <fgColor indexed="58"/>
        <bgColor indexed="64"/>
      </patternFill>
    </fill>
    <fill>
      <patternFill patternType="solid">
        <fgColor indexed="54"/>
        <bgColor indexed="64"/>
      </patternFill>
    </fill>
    <fill>
      <patternFill patternType="solid">
        <fgColor indexed="9"/>
        <bgColor indexed="9"/>
      </patternFill>
    </fill>
    <fill>
      <patternFill patternType="solid">
        <fgColor indexed="11"/>
        <bgColor indexed="22"/>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9" tint="0.39997558519241921"/>
        <bgColor indexed="64"/>
      </patternFill>
    </fill>
    <fill>
      <patternFill patternType="solid">
        <fgColor theme="2"/>
        <bgColor indexed="64"/>
      </patternFill>
    </fill>
    <fill>
      <patternFill patternType="solid">
        <fgColor theme="2" tint="-0.499984740745262"/>
        <bgColor indexed="64"/>
      </patternFill>
    </fill>
    <fill>
      <patternFill patternType="solid">
        <fgColor theme="3"/>
        <bgColor indexed="64"/>
      </patternFill>
    </fill>
    <fill>
      <patternFill patternType="solid">
        <fgColor rgb="FFFFFF00"/>
        <bgColor indexed="64"/>
      </patternFill>
    </fill>
    <fill>
      <patternFill patternType="solid">
        <fgColor theme="5" tint="0.39997558519241921"/>
        <bgColor indexed="64"/>
      </patternFill>
    </fill>
    <fill>
      <patternFill patternType="solid">
        <fgColor rgb="FFBFBFBF"/>
        <bgColor rgb="FF000000"/>
      </patternFill>
    </fill>
    <fill>
      <patternFill patternType="solid">
        <fgColor rgb="FF538DD5"/>
        <bgColor rgb="FF000000"/>
      </patternFill>
    </fill>
    <fill>
      <patternFill patternType="solid">
        <fgColor rgb="FF808080"/>
        <bgColor indexed="64"/>
      </patternFill>
    </fill>
    <fill>
      <patternFill patternType="solid">
        <fgColor theme="9" tint="0.59999389629810485"/>
        <bgColor indexed="64"/>
      </patternFill>
    </fill>
    <fill>
      <patternFill patternType="solid">
        <fgColor theme="3" tint="0.59999389629810485"/>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dashed">
        <color indexed="64"/>
      </right>
      <top style="double">
        <color indexed="64"/>
      </top>
      <bottom style="thin">
        <color indexed="64"/>
      </bottom>
      <diagonal/>
    </border>
    <border>
      <left/>
      <right/>
      <top/>
      <bottom style="thick">
        <color theme="4"/>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style="thin">
        <color indexed="64"/>
      </bottom>
      <diagonal/>
    </border>
    <border>
      <left/>
      <right/>
      <top/>
      <bottom style="medium">
        <color indexed="64"/>
      </bottom>
      <diagonal/>
    </border>
    <border>
      <left/>
      <right/>
      <top/>
      <bottom style="thin">
        <color indexed="22"/>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right/>
      <top style="medium">
        <color indexed="16"/>
      </top>
      <bottom style="medium">
        <color indexed="16"/>
      </bottom>
      <diagonal/>
    </border>
    <border>
      <left style="thin">
        <color indexed="64"/>
      </left>
      <right style="thin">
        <color indexed="64"/>
      </right>
      <top/>
      <bottom style="hair">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auto="1"/>
      </top>
      <bottom style="thin">
        <color auto="1"/>
      </bottom>
      <diagonal/>
    </border>
    <border>
      <left/>
      <right/>
      <top style="thin">
        <color indexed="62"/>
      </top>
      <bottom style="double">
        <color indexed="62"/>
      </bottom>
      <diagonal/>
    </border>
    <border>
      <left/>
      <right/>
      <top style="thin">
        <color indexed="49"/>
      </top>
      <bottom style="double">
        <color indexed="49"/>
      </bottom>
      <diagonal/>
    </border>
    <border>
      <left/>
      <right/>
      <top style="double">
        <color indexed="64"/>
      </top>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thin">
        <color auto="1"/>
      </right>
      <top/>
      <bottom style="thin">
        <color auto="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top style="thin">
        <color indexed="64"/>
      </top>
      <bottom/>
      <diagonal/>
    </border>
  </borders>
  <cellStyleXfs count="51837">
    <xf numFmtId="0" fontId="0"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15" fillId="0" borderId="0" applyNumberFormat="0" applyFill="0" applyBorder="0" applyAlignment="0" applyProtection="0"/>
    <xf numFmtId="9" fontId="1" fillId="0" borderId="0" applyFont="0" applyFill="0" applyBorder="0" applyAlignment="0" applyProtection="0"/>
    <xf numFmtId="0" fontId="1" fillId="0" borderId="0"/>
    <xf numFmtId="0" fontId="19" fillId="0" borderId="0"/>
    <xf numFmtId="0" fontId="19"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21" fillId="0" borderId="0"/>
    <xf numFmtId="0" fontId="19" fillId="0" borderId="0"/>
    <xf numFmtId="0" fontId="21" fillId="0" borderId="0"/>
    <xf numFmtId="0" fontId="19" fillId="0" borderId="0"/>
    <xf numFmtId="0" fontId="19" fillId="0" borderId="0"/>
    <xf numFmtId="0" fontId="22" fillId="0" borderId="0"/>
    <xf numFmtId="0" fontId="19" fillId="0" borderId="0"/>
    <xf numFmtId="0" fontId="23" fillId="0" borderId="0">
      <alignment vertical="top"/>
    </xf>
    <xf numFmtId="0" fontId="23" fillId="0" borderId="0">
      <alignment vertical="top"/>
    </xf>
    <xf numFmtId="0" fontId="20" fillId="0" borderId="0"/>
    <xf numFmtId="0" fontId="22" fillId="0" borderId="0"/>
    <xf numFmtId="0" fontId="19" fillId="0" borderId="0"/>
    <xf numFmtId="0" fontId="21" fillId="0" borderId="0"/>
    <xf numFmtId="0" fontId="24" fillId="0" borderId="0" applyNumberFormat="0" applyFill="0" applyBorder="0" applyAlignment="0" applyProtection="0"/>
    <xf numFmtId="174" fontId="19" fillId="0" borderId="0">
      <alignment horizontal="left" wrapText="1"/>
    </xf>
    <xf numFmtId="0" fontId="19" fillId="0" borderId="0"/>
    <xf numFmtId="0" fontId="22"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24" fillId="0" borderId="0" applyNumberFormat="0" applyFill="0" applyBorder="0" applyAlignment="0" applyProtection="0"/>
    <xf numFmtId="0" fontId="24" fillId="0" borderId="0" applyNumberFormat="0" applyFill="0" applyBorder="0" applyAlignment="0" applyProtection="0"/>
    <xf numFmtId="0" fontId="19" fillId="0" borderId="0"/>
    <xf numFmtId="0" fontId="25" fillId="0" borderId="0"/>
    <xf numFmtId="0" fontId="19" fillId="0" borderId="0"/>
    <xf numFmtId="0" fontId="19" fillId="0" borderId="0"/>
    <xf numFmtId="0" fontId="21" fillId="0" borderId="0"/>
    <xf numFmtId="165" fontId="26" fillId="0" borderId="0" applyFont="0" applyFill="0" applyBorder="0" applyAlignment="0" applyProtection="0">
      <alignment horizontal="right"/>
    </xf>
    <xf numFmtId="2" fontId="26" fillId="0" borderId="0" applyFont="0" applyFill="0" applyBorder="0" applyAlignment="0" applyProtection="0">
      <alignment horizontal="right"/>
    </xf>
    <xf numFmtId="0" fontId="27" fillId="39"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1"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7"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7"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0" borderId="0" applyNumberFormat="0" applyBorder="0" applyAlignment="0" applyProtection="0"/>
    <xf numFmtId="0" fontId="27" fillId="4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7"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27" fillId="4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7"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4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42" borderId="0" applyNumberFormat="0" applyBorder="0" applyAlignment="0" applyProtection="0"/>
    <xf numFmtId="0" fontId="27" fillId="5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11" fillId="18"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11" fillId="24"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49"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11" fillId="28"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54"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42" borderId="0" applyNumberFormat="0" applyBorder="0" applyAlignment="0" applyProtection="0"/>
    <xf numFmtId="0" fontId="11" fillId="33" borderId="0" applyNumberFormat="0" applyBorder="0" applyAlignment="0" applyProtection="0"/>
    <xf numFmtId="0" fontId="28" fillId="56" borderId="0" applyNumberFormat="0" applyBorder="0" applyAlignment="0" applyProtection="0"/>
    <xf numFmtId="0" fontId="28" fillId="42"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3" borderId="0" applyNumberFormat="0" applyBorder="0" applyAlignment="0" applyProtection="0"/>
    <xf numFmtId="0" fontId="11" fillId="15" borderId="0" applyNumberFormat="0" applyBorder="0" applyAlignment="0" applyProtection="0"/>
    <xf numFmtId="0" fontId="28" fillId="57" borderId="0" applyNumberFormat="0" applyBorder="0" applyAlignment="0" applyProtection="0"/>
    <xf numFmtId="0" fontId="28" fillId="53" borderId="0" applyNumberFormat="0" applyBorder="0" applyAlignment="0" applyProtection="0"/>
    <xf numFmtId="0" fontId="28" fillId="57"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8" fillId="59" borderId="0" applyNumberFormat="0" applyBorder="0" applyAlignment="0" applyProtection="0"/>
    <xf numFmtId="0" fontId="11" fillId="21" borderId="0" applyNumberFormat="0" applyBorder="0" applyAlignment="0" applyProtection="0"/>
    <xf numFmtId="0" fontId="29" fillId="21" borderId="0" applyNumberFormat="0" applyBorder="0" applyAlignment="0" applyProtection="0"/>
    <xf numFmtId="0" fontId="28"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60" borderId="0" applyNumberFormat="0" applyBorder="0" applyAlignment="0" applyProtection="0"/>
    <xf numFmtId="0" fontId="11" fillId="25" borderId="0" applyNumberFormat="0" applyBorder="0" applyAlignment="0" applyProtection="0"/>
    <xf numFmtId="0" fontId="28" fillId="54" borderId="0" applyNumberFormat="0" applyBorder="0" applyAlignment="0" applyProtection="0"/>
    <xf numFmtId="0" fontId="28" fillId="60" borderId="0" applyNumberFormat="0" applyBorder="0" applyAlignment="0" applyProtection="0"/>
    <xf numFmtId="0" fontId="28" fillId="54"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30" fillId="62" borderId="0" applyNumberFormat="0" applyBorder="0" applyAlignment="0" applyProtection="0"/>
    <xf numFmtId="0" fontId="31" fillId="0" borderId="0">
      <alignment horizontal="center" wrapText="1"/>
      <protection locked="0"/>
    </xf>
    <xf numFmtId="0" fontId="32" fillId="0" borderId="0" applyNumberFormat="0" applyProtection="0"/>
    <xf numFmtId="0" fontId="19" fillId="63" borderId="1"/>
    <xf numFmtId="0" fontId="19" fillId="64" borderId="1"/>
    <xf numFmtId="0" fontId="19" fillId="65" borderId="1"/>
    <xf numFmtId="0" fontId="19" fillId="66" borderId="1"/>
    <xf numFmtId="0" fontId="19" fillId="67" borderId="1"/>
    <xf numFmtId="175" fontId="26" fillId="0" borderId="0" applyFont="0" applyFill="0" applyBorder="0" applyAlignment="0" applyProtection="0"/>
    <xf numFmtId="175" fontId="26" fillId="0" borderId="0" applyFont="0" applyFill="0" applyBorder="0" applyAlignment="0" applyProtection="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2" fontId="34" fillId="62" borderId="0" applyAlignment="0">
      <alignment horizontal="right"/>
    </xf>
    <xf numFmtId="0" fontId="31" fillId="0" borderId="24" applyNumberFormat="0" applyFont="0" applyFill="0" applyAlignment="0" applyProtection="0"/>
    <xf numFmtId="176" fontId="19" fillId="0" borderId="25" applyNumberFormat="0" applyFill="0" applyAlignment="0" applyProtection="0"/>
    <xf numFmtId="3" fontId="30" fillId="69" borderId="0" applyNumberFormat="0" applyBorder="0" applyAlignment="0" applyProtection="0"/>
    <xf numFmtId="174" fontId="19" fillId="0" borderId="0" applyFill="0" applyBorder="0" applyAlignment="0"/>
    <xf numFmtId="171" fontId="19" fillId="0" borderId="0" applyFill="0" applyBorder="0" applyAlignment="0"/>
    <xf numFmtId="177" fontId="19" fillId="0" borderId="0" applyFill="0" applyBorder="0" applyAlignment="0"/>
    <xf numFmtId="178" fontId="19" fillId="0" borderId="0" applyFill="0" applyBorder="0" applyAlignment="0"/>
    <xf numFmtId="179"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3" fontId="26" fillId="0" borderId="0" applyNumberFormat="0" applyFill="0" applyBorder="0"/>
    <xf numFmtId="3" fontId="26" fillId="0" borderId="0" applyNumberFormat="0" applyFill="0" applyBorder="0"/>
    <xf numFmtId="0" fontId="35"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25" fillId="0" borderId="0"/>
    <xf numFmtId="0" fontId="37" fillId="71" borderId="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0" fontId="39" fillId="55" borderId="28" applyNumberFormat="0" applyAlignment="0" applyProtection="0"/>
    <xf numFmtId="0" fontId="39" fillId="55" borderId="28" applyNumberFormat="0" applyAlignment="0" applyProtection="0"/>
    <xf numFmtId="0" fontId="39" fillId="55" borderId="28" applyNumberFormat="0" applyAlignment="0" applyProtection="0"/>
    <xf numFmtId="0" fontId="39" fillId="55" borderId="28" applyNumberFormat="0" applyAlignment="0" applyProtection="0"/>
    <xf numFmtId="0" fontId="26" fillId="0" borderId="0" applyNumberFormat="0" applyFill="0" applyBorder="0" applyProtection="0">
      <alignment horizontal="center" wrapText="1"/>
    </xf>
    <xf numFmtId="0" fontId="26" fillId="0" borderId="0" applyNumberFormat="0" applyFill="0" applyBorder="0" applyProtection="0">
      <alignment horizontal="center" wrapText="1"/>
    </xf>
    <xf numFmtId="4" fontId="30" fillId="73" borderId="29" applyNumberFormat="0" applyProtection="0">
      <alignment horizontal="right" wrapText="1"/>
    </xf>
    <xf numFmtId="41" fontId="19" fillId="0" borderId="0" applyFont="0" applyFill="0" applyBorder="0" applyAlignment="0" applyProtection="0"/>
    <xf numFmtId="180" fontId="19"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42"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alignment wrapText="1"/>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2"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4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8" fillId="0" borderId="0" applyFont="0" applyFill="0" applyBorder="0" applyAlignment="0" applyProtection="0"/>
    <xf numFmtId="43" fontId="23" fillId="0" borderId="0" applyFont="0" applyFill="0" applyBorder="0" applyAlignment="0" applyProtection="0">
      <alignment vertical="top"/>
    </xf>
    <xf numFmtId="43" fontId="19" fillId="0" borderId="0" applyFont="0" applyFill="0" applyBorder="0" applyAlignment="0" applyProtection="0"/>
    <xf numFmtId="43" fontId="8" fillId="0" borderId="0" applyFont="0" applyFill="0" applyBorder="0" applyAlignment="0" applyProtection="0"/>
    <xf numFmtId="3" fontId="19" fillId="0" borderId="0" applyFill="0" applyBorder="0" applyAlignment="0" applyProtection="0"/>
    <xf numFmtId="0" fontId="45" fillId="0" borderId="0"/>
    <xf numFmtId="0" fontId="46" fillId="0" borderId="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ill="0" applyBorder="0" applyAlignment="0" applyProtection="0"/>
    <xf numFmtId="0" fontId="45" fillId="0" borderId="0"/>
    <xf numFmtId="0" fontId="46" fillId="0" borderId="0"/>
    <xf numFmtId="3" fontId="26" fillId="0" borderId="0" applyFont="0" applyFill="0" applyBorder="0" applyAlignment="0" applyProtection="0">
      <alignment horizontal="right"/>
    </xf>
    <xf numFmtId="0" fontId="47" fillId="0" borderId="10" applyBorder="0" applyProtection="0"/>
    <xf numFmtId="0" fontId="48" fillId="0" borderId="0" applyNumberFormat="0" applyAlignment="0">
      <alignment horizontal="left"/>
    </xf>
    <xf numFmtId="182" fontId="31" fillId="0" borderId="0" applyFont="0" applyFill="0" applyBorder="0" applyAlignment="0" applyProtection="0">
      <protection locked="0"/>
    </xf>
    <xf numFmtId="171"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43"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7" fillId="0" borderId="0" applyFont="0" applyFill="0" applyBorder="0" applyAlignment="0" applyProtection="0"/>
    <xf numFmtId="44" fontId="2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21"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50"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9" fillId="0" borderId="0" applyFont="0" applyFill="0" applyBorder="0" applyAlignment="0" applyProtection="0"/>
    <xf numFmtId="44" fontId="8"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6"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8" fontId="51"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8" fontId="5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52"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5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3" fillId="0" borderId="0" applyFont="0" applyFill="0" applyBorder="0" applyAlignment="0" applyProtection="0"/>
    <xf numFmtId="44" fontId="21" fillId="0" borderId="0" applyFont="0" applyFill="0" applyBorder="0" applyAlignment="0" applyProtection="0"/>
    <xf numFmtId="166" fontId="26" fillId="0" borderId="0"/>
    <xf numFmtId="183" fontId="19" fillId="0" borderId="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84" fontId="53" fillId="0" borderId="0" applyFont="0" applyFill="0" applyBorder="0" applyAlignment="0" applyProtection="0"/>
    <xf numFmtId="184" fontId="53" fillId="0" borderId="0" applyFont="0" applyFill="0" applyBorder="0" applyAlignment="0" applyProtection="0"/>
    <xf numFmtId="170" fontId="19" fillId="0" borderId="0" applyFont="0" applyFill="0" applyBorder="0" applyAlignment="0" applyProtection="0"/>
    <xf numFmtId="184" fontId="19" fillId="0" borderId="0" applyFont="0" applyFill="0" applyBorder="0" applyAlignment="0" applyProtection="0"/>
    <xf numFmtId="184" fontId="53"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84" fontId="19" fillId="0" borderId="0" applyFont="0" applyFill="0" applyBorder="0" applyAlignment="0" applyProtection="0"/>
    <xf numFmtId="184" fontId="53" fillId="0" borderId="0" applyFont="0" applyFill="0" applyBorder="0" applyAlignment="0" applyProtection="0"/>
    <xf numFmtId="5" fontId="19" fillId="0" borderId="0" applyFont="0" applyFill="0" applyBorder="0" applyAlignment="0" applyProtection="0"/>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0" fontId="26" fillId="0" borderId="0" applyNumberFormat="0" applyAlignment="0">
      <alignment horizontal="center"/>
    </xf>
    <xf numFmtId="186" fontId="19" fillId="0" borderId="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57" fillId="69" borderId="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57" fillId="69" borderId="0" applyProtection="0"/>
    <xf numFmtId="187" fontId="19" fillId="0" borderId="0" applyFont="0" applyFill="0" applyBorder="0" applyAlignment="0" applyProtection="0"/>
    <xf numFmtId="14" fontId="23" fillId="0" borderId="0" applyFill="0" applyBorder="0" applyAlignment="0"/>
    <xf numFmtId="0" fontId="58" fillId="62" borderId="0" applyNumberFormat="0" applyBorder="0" applyAlignment="0" applyProtection="0"/>
    <xf numFmtId="0" fontId="59" fillId="0" borderId="0">
      <alignment horizontal="left" vertical="top" wrapText="1"/>
    </xf>
    <xf numFmtId="188" fontId="19" fillId="0" borderId="0" applyFont="0" applyFill="0" applyBorder="0" applyAlignment="0" applyProtection="0"/>
    <xf numFmtId="189" fontId="19" fillId="0" borderId="0" applyFont="0" applyFill="0" applyBorder="0" applyAlignment="0" applyProtection="0"/>
    <xf numFmtId="180" fontId="19" fillId="0" borderId="0" applyFill="0" applyBorder="0" applyAlignment="0"/>
    <xf numFmtId="171"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0" fontId="60" fillId="0" borderId="0" applyNumberFormat="0" applyAlignment="0">
      <alignment horizontal="left"/>
    </xf>
    <xf numFmtId="19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61" fillId="0" borderId="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0" applyProtection="0"/>
    <xf numFmtId="0" fontId="63" fillId="0" borderId="0" applyProtection="0"/>
    <xf numFmtId="0" fontId="63" fillId="0" borderId="0" applyProtection="0"/>
    <xf numFmtId="0" fontId="63" fillId="0" borderId="0" applyProtection="0"/>
    <xf numFmtId="0" fontId="63" fillId="0" borderId="0" applyProtection="0"/>
    <xf numFmtId="0" fontId="63" fillId="0" borderId="0" applyProtection="0"/>
    <xf numFmtId="0" fontId="63" fillId="0" borderId="0" applyProtection="0"/>
    <xf numFmtId="2" fontId="19" fillId="0" borderId="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191" fontId="19" fillId="0" borderId="0" applyFon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8" fontId="52" fillId="77" borderId="0" applyNumberFormat="0" applyFont="0" applyAlignment="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6" fillId="77" borderId="1"/>
    <xf numFmtId="38" fontId="26" fillId="69" borderId="0" applyNumberFormat="0" applyBorder="0" applyAlignment="0" applyProtection="0"/>
    <xf numFmtId="38" fontId="26" fillId="69" borderId="0" applyNumberFormat="0" applyBorder="0" applyAlignment="0" applyProtection="0"/>
    <xf numFmtId="38" fontId="26" fillId="69" borderId="0" applyNumberFormat="0" applyBorder="0" applyAlignment="0" applyProtection="0"/>
    <xf numFmtId="0" fontId="38" fillId="68" borderId="30">
      <alignment vertical="top" wrapText="1"/>
    </xf>
    <xf numFmtId="0" fontId="67" fillId="0" borderId="31" applyNumberFormat="0" applyAlignment="0" applyProtection="0">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4" fontId="68" fillId="69" borderId="0" applyNumberFormat="0" applyFill="0" applyBorder="0" applyAlignment="0" applyProtection="0"/>
    <xf numFmtId="0" fontId="26" fillId="0" borderId="0" applyNumberFormat="0" applyFont="0" applyFill="0" applyBorder="0" applyProtection="0">
      <alignment horizontal="center" vertical="top" wrapText="1"/>
    </xf>
    <xf numFmtId="0" fontId="69" fillId="0" borderId="32"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69" fillId="0" borderId="32" applyNumberFormat="0" applyFill="0" applyAlignment="0" applyProtection="0"/>
    <xf numFmtId="0" fontId="9" fillId="0" borderId="20" applyNumberFormat="0" applyFill="0" applyAlignment="0" applyProtection="0"/>
    <xf numFmtId="0" fontId="71" fillId="0" borderId="0" applyNumberFormat="0" applyFill="0" applyBorder="0" applyAlignment="0" applyProtection="0"/>
    <xf numFmtId="0" fontId="72" fillId="0" borderId="33" applyNumberFormat="0" applyFill="0" applyAlignment="0" applyProtection="0"/>
    <xf numFmtId="0" fontId="69" fillId="0" borderId="32"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69" fillId="0" borderId="32" applyNumberFormat="0" applyFill="0" applyAlignment="0" applyProtection="0"/>
    <xf numFmtId="0" fontId="72" fillId="0" borderId="33"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3" fillId="0" borderId="34" applyNumberFormat="0" applyFill="0" applyAlignment="0" applyProtection="0"/>
    <xf numFmtId="0" fontId="67" fillId="0" borderId="0" applyNumberFormat="0" applyFill="0" applyBorder="0" applyAlignment="0" applyProtection="0"/>
    <xf numFmtId="0" fontId="74" fillId="0" borderId="34" applyNumberFormat="0" applyFill="0" applyAlignment="0" applyProtection="0"/>
    <xf numFmtId="0" fontId="73" fillId="0" borderId="34" applyNumberFormat="0" applyFill="0" applyAlignment="0" applyProtection="0"/>
    <xf numFmtId="0" fontId="75" fillId="0" borderId="34" applyNumberFormat="0" applyFill="0" applyAlignment="0" applyProtection="0"/>
    <xf numFmtId="0" fontId="67" fillId="0" borderId="0" applyNumberFormat="0" applyFill="0" applyBorder="0" applyAlignment="0" applyProtection="0"/>
    <xf numFmtId="0" fontId="73" fillId="0" borderId="34" applyNumberFormat="0" applyFill="0" applyAlignment="0" applyProtection="0"/>
    <xf numFmtId="0" fontId="74" fillId="0" borderId="34"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76" fillId="0" borderId="35" applyNumberFormat="0" applyFill="0" applyAlignment="0" applyProtection="0"/>
    <xf numFmtId="0" fontId="76" fillId="0" borderId="35" applyNumberFormat="0" applyFill="0" applyAlignment="0" applyProtection="0"/>
    <xf numFmtId="0" fontId="77" fillId="0" borderId="36" applyNumberFormat="0" applyFill="0" applyAlignment="0" applyProtection="0"/>
    <xf numFmtId="0" fontId="10" fillId="0" borderId="21" applyNumberFormat="0" applyFill="0" applyAlignment="0" applyProtection="0"/>
    <xf numFmtId="0" fontId="76" fillId="0" borderId="35" applyNumberFormat="0" applyFill="0" applyAlignment="0" applyProtection="0"/>
    <xf numFmtId="0" fontId="77" fillId="0" borderId="36" applyNumberFormat="0" applyFill="0" applyAlignment="0" applyProtection="0"/>
    <xf numFmtId="0" fontId="76" fillId="0" borderId="35"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10"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xf numFmtId="0" fontId="26" fillId="0" borderId="0" applyNumberFormat="0" applyFont="0" applyFill="0" applyBorder="0" applyProtection="0">
      <alignment horizontal="center" vertical="top" wrapText="1"/>
    </xf>
    <xf numFmtId="0" fontId="78" fillId="0" borderId="0"/>
    <xf numFmtId="0" fontId="78" fillId="0" borderId="0"/>
    <xf numFmtId="0" fontId="19" fillId="0" borderId="0"/>
    <xf numFmtId="0" fontId="79" fillId="0" borderId="24">
      <alignment horizontal="center"/>
    </xf>
    <xf numFmtId="0" fontId="79" fillId="0" borderId="0">
      <alignment horizontal="center"/>
    </xf>
    <xf numFmtId="0" fontId="80" fillId="0" borderId="0">
      <alignment vertical="center"/>
    </xf>
    <xf numFmtId="0" fontId="81" fillId="0" borderId="0"/>
    <xf numFmtId="0" fontId="81" fillId="0" borderId="6" applyFill="0" applyBorder="0" applyProtection="0">
      <alignment horizontal="center" wrapText="1"/>
    </xf>
    <xf numFmtId="0" fontId="81" fillId="0" borderId="0" applyFill="0" applyBorder="0" applyProtection="0">
      <alignment horizontal="left" vertical="top" wrapText="1"/>
    </xf>
    <xf numFmtId="176" fontId="82" fillId="0" borderId="0">
      <protection hidden="1"/>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5"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10" fontId="26" fillId="78" borderId="1" applyNumberFormat="0" applyBorder="0" applyAlignment="0" applyProtection="0"/>
    <xf numFmtId="10" fontId="26" fillId="78" borderId="1" applyNumberFormat="0" applyBorder="0" applyAlignment="0" applyProtection="0"/>
    <xf numFmtId="10" fontId="26" fillId="78" borderId="1" applyNumberFormat="0" applyBorder="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169" fontId="89" fillId="0" borderId="0" applyAlignment="0">
      <protection locked="0"/>
    </xf>
    <xf numFmtId="169" fontId="89" fillId="0" borderId="0" applyAlignment="0">
      <protection locked="0"/>
    </xf>
    <xf numFmtId="169" fontId="89" fillId="0" borderId="0" applyAlignment="0">
      <protection locked="0"/>
    </xf>
    <xf numFmtId="169" fontId="89" fillId="0" borderId="0" applyAlignment="0">
      <protection locked="0"/>
    </xf>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169" fontId="89" fillId="0" borderId="0" applyAlignment="0">
      <protection locked="0"/>
    </xf>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169" fontId="89" fillId="0" borderId="0" applyAlignment="0">
      <protection locked="0"/>
    </xf>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169" fontId="89" fillId="0" borderId="0" applyAlignment="0">
      <protection locked="0"/>
    </xf>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169" fontId="89" fillId="0" borderId="0" applyAlignment="0">
      <protection locked="0"/>
    </xf>
    <xf numFmtId="169" fontId="89" fillId="0" borderId="0" applyAlignment="0">
      <protection locked="0"/>
    </xf>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169" fontId="89" fillId="0" borderId="0" applyAlignment="0">
      <protection locked="0"/>
    </xf>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169" fontId="89" fillId="0" borderId="0" applyAlignment="0">
      <protection locked="0"/>
    </xf>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169" fontId="89" fillId="0" borderId="0" applyAlignment="0">
      <protection locked="0"/>
    </xf>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19" fillId="0" borderId="1" applyNumberFormat="0">
      <alignment horizontal="left" wrapText="1"/>
      <protection locked="0"/>
    </xf>
    <xf numFmtId="0" fontId="19" fillId="0" borderId="1" applyNumberFormat="0">
      <alignment horizontal="left" wrapText="1"/>
      <protection locked="0"/>
    </xf>
    <xf numFmtId="0" fontId="19" fillId="79" borderId="1" applyFont="0" applyFill="0" applyBorder="0" applyAlignment="0" applyProtection="0">
      <alignment horizontal="center"/>
      <protection locked="0"/>
    </xf>
    <xf numFmtId="0" fontId="19" fillId="78" borderId="1" applyNumberFormat="0" applyProtection="0">
      <alignment vertical="center" wrapText="1"/>
    </xf>
    <xf numFmtId="0" fontId="19" fillId="78" borderId="1" applyNumberFormat="0" applyProtection="0">
      <alignment vertical="center" wrapText="1"/>
    </xf>
    <xf numFmtId="180" fontId="19" fillId="0" borderId="0" applyFill="0" applyBorder="0" applyAlignment="0"/>
    <xf numFmtId="171"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0" fontId="91" fillId="0" borderId="37" applyNumberFormat="0" applyFill="0" applyAlignment="0" applyProtection="0"/>
    <xf numFmtId="0" fontId="91" fillId="0" borderId="37" applyNumberFormat="0" applyFill="0" applyAlignment="0" applyProtection="0"/>
    <xf numFmtId="0" fontId="91" fillId="0" borderId="37" applyNumberFormat="0" applyFill="0" applyAlignment="0" applyProtection="0"/>
    <xf numFmtId="0" fontId="91" fillId="0" borderId="37" applyNumberFormat="0" applyFill="0" applyAlignment="0" applyProtection="0"/>
    <xf numFmtId="9" fontId="30" fillId="69" borderId="0" applyNumberFormat="0" applyFont="0" applyBorder="0" applyAlignment="0">
      <protection locked="0"/>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92"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3"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92" fontId="19" fillId="0" borderId="0" applyFont="0" applyFill="0" applyBorder="0" applyAlignment="0" applyProtection="0"/>
    <xf numFmtId="19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4" fontId="19" fillId="0" borderId="0" applyFont="0" applyFill="0" applyBorder="0" applyAlignment="0" applyProtection="0"/>
    <xf numFmtId="195"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6" fontId="78" fillId="80" borderId="38" applyNumberFormat="0" applyAlignment="0" applyProtection="0">
      <alignment horizontal="left"/>
    </xf>
    <xf numFmtId="197" fontId="96" fillId="0" borderId="0" applyFont="0" applyFill="0" applyBorder="0" applyProtection="0">
      <alignment horizontal="right"/>
    </xf>
    <xf numFmtId="198" fontId="81" fillId="0" borderId="0" applyFont="0" applyFill="0" applyBorder="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37" fontId="98" fillId="0" borderId="0"/>
    <xf numFmtId="0" fontId="19" fillId="0" borderId="39">
      <alignment horizontal="center"/>
    </xf>
    <xf numFmtId="0" fontId="82" fillId="0" borderId="0"/>
    <xf numFmtId="0" fontId="19" fillId="69" borderId="1" applyNumberFormat="0" applyAlignment="0"/>
    <xf numFmtId="0" fontId="19" fillId="69" borderId="1" applyNumberFormat="0" applyAlignment="0"/>
    <xf numFmtId="199" fontId="99"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44" fillId="0" borderId="0"/>
    <xf numFmtId="0" fontId="44" fillId="0" borderId="0"/>
    <xf numFmtId="0" fontId="44" fillId="0" borderId="0"/>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5" fillId="0" borderId="0"/>
    <xf numFmtId="0" fontId="19" fillId="0" borderId="0"/>
    <xf numFmtId="0" fontId="19" fillId="0" borderId="0"/>
    <xf numFmtId="0" fontId="19"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23" fillId="0" borderId="0">
      <alignment vertical="top"/>
    </xf>
    <xf numFmtId="0" fontId="6" fillId="0" borderId="0"/>
    <xf numFmtId="0" fontId="19" fillId="0" borderId="0"/>
    <xf numFmtId="0" fontId="19"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6" fillId="0" borderId="0"/>
    <xf numFmtId="0" fontId="21" fillId="0" borderId="0"/>
    <xf numFmtId="0" fontId="43"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applyNumberFormat="0" applyFont="0" applyFill="0" applyBorder="0" applyAlignment="0" applyProtection="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19" fillId="0" borderId="0"/>
    <xf numFmtId="0" fontId="23" fillId="0" borderId="0">
      <alignment vertical="top"/>
    </xf>
    <xf numFmtId="0" fontId="19" fillId="0" borderId="0"/>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174" fontId="19" fillId="0" borderId="0">
      <alignment horizontal="left" wrapText="1"/>
    </xf>
    <xf numFmtId="0" fontId="23" fillId="0" borderId="0">
      <alignment vertical="top"/>
    </xf>
    <xf numFmtId="0" fontId="19"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0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19" fillId="0" borderId="0"/>
    <xf numFmtId="0" fontId="19" fillId="0" borderId="0"/>
    <xf numFmtId="0" fontId="8" fillId="0" borderId="0"/>
    <xf numFmtId="0" fontId="19" fillId="0" borderId="0">
      <alignment wrapText="1"/>
    </xf>
    <xf numFmtId="0" fontId="8" fillId="0" borderId="0"/>
    <xf numFmtId="0" fontId="19"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23" fillId="0" borderId="0">
      <alignment vertical="top"/>
    </xf>
    <xf numFmtId="0" fontId="19" fillId="0" borderId="0"/>
    <xf numFmtId="0" fontId="23" fillId="0" borderId="0">
      <alignment vertical="top"/>
    </xf>
    <xf numFmtId="0" fontId="42" fillId="0" borderId="0"/>
    <xf numFmtId="0" fontId="19" fillId="0" borderId="0"/>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23" fillId="0" borderId="0">
      <alignment vertical="top"/>
    </xf>
    <xf numFmtId="0" fontId="19" fillId="0" borderId="0"/>
    <xf numFmtId="0" fontId="19" fillId="0" borderId="0"/>
    <xf numFmtId="0" fontId="19" fillId="0" borderId="0"/>
    <xf numFmtId="0" fontId="101" fillId="0" borderId="0"/>
    <xf numFmtId="0" fontId="19" fillId="0" borderId="0"/>
    <xf numFmtId="0" fontId="101" fillId="0" borderId="0"/>
    <xf numFmtId="0" fontId="46" fillId="0" borderId="0"/>
    <xf numFmtId="0" fontId="8" fillId="0" borderId="0"/>
    <xf numFmtId="0" fontId="8" fillId="0" borderId="0"/>
    <xf numFmtId="0" fontId="8" fillId="0" borderId="0"/>
    <xf numFmtId="0" fontId="8" fillId="0" borderId="0"/>
    <xf numFmtId="0" fontId="8" fillId="0" borderId="0"/>
    <xf numFmtId="0" fontId="102"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alignment wrapText="1"/>
    </xf>
    <xf numFmtId="0" fontId="51" fillId="0" borderId="0"/>
    <xf numFmtId="0" fontId="19" fillId="0" borderId="0"/>
    <xf numFmtId="0" fontId="51"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19" fillId="0" borderId="0">
      <alignment vertical="top"/>
    </xf>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21"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8" fillId="0" borderId="0"/>
    <xf numFmtId="0" fontId="19" fillId="0" borderId="0"/>
    <xf numFmtId="0" fontId="8" fillId="0" borderId="0"/>
    <xf numFmtId="0" fontId="19" fillId="0" borderId="0"/>
    <xf numFmtId="0" fontId="23" fillId="0" borderId="0">
      <alignment vertical="top"/>
    </xf>
    <xf numFmtId="0" fontId="23" fillId="0" borderId="0">
      <alignment vertical="top"/>
    </xf>
    <xf numFmtId="0" fontId="19" fillId="0" borderId="0"/>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9" fillId="0" borderId="0"/>
    <xf numFmtId="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8" fillId="0" borderId="0"/>
    <xf numFmtId="0" fontId="12" fillId="0" borderId="0"/>
    <xf numFmtId="0" fontId="19" fillId="0" borderId="0"/>
    <xf numFmtId="0" fontId="19" fillId="0" borderId="0"/>
    <xf numFmtId="0" fontId="1" fillId="0" borderId="0"/>
    <xf numFmtId="0" fontId="8" fillId="0" borderId="0"/>
    <xf numFmtId="0" fontId="1"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21" fillId="0" borderId="0"/>
    <xf numFmtId="0" fontId="19" fillId="0" borderId="0">
      <alignmen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8" fillId="0" borderId="0"/>
    <xf numFmtId="0" fontId="8" fillId="0" borderId="0"/>
    <xf numFmtId="0" fontId="101" fillId="0" borderId="0"/>
    <xf numFmtId="0" fontId="8" fillId="0" borderId="0"/>
    <xf numFmtId="0" fontId="8" fillId="0" borderId="0"/>
    <xf numFmtId="0" fontId="8" fillId="0" borderId="0"/>
    <xf numFmtId="0" fontId="10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104" fillId="0" borderId="0"/>
    <xf numFmtId="0" fontId="19" fillId="0" borderId="0"/>
    <xf numFmtId="0" fontId="19"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8" fillId="0" borderId="0"/>
    <xf numFmtId="0" fontId="23" fillId="0" borderId="0">
      <alignment vertical="top"/>
    </xf>
    <xf numFmtId="0" fontId="19" fillId="0" borderId="0"/>
    <xf numFmtId="0" fontId="23" fillId="0" borderId="0">
      <alignment vertical="top"/>
    </xf>
    <xf numFmtId="0" fontId="23" fillId="0" borderId="0">
      <alignment vertical="top"/>
    </xf>
    <xf numFmtId="0" fontId="19" fillId="0" borderId="0"/>
    <xf numFmtId="0" fontId="23"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8" fillId="0" borderId="0"/>
    <xf numFmtId="0" fontId="8" fillId="0" borderId="0"/>
    <xf numFmtId="0" fontId="8" fillId="0" borderId="0"/>
    <xf numFmtId="0" fontId="19" fillId="0" borderId="0"/>
    <xf numFmtId="0" fontId="8" fillId="0" borderId="0"/>
    <xf numFmtId="0" fontId="8" fillId="0" borderId="0"/>
    <xf numFmtId="0" fontId="19" fillId="0" borderId="0"/>
    <xf numFmtId="0" fontId="23" fillId="0" borderId="0">
      <alignment vertical="top"/>
    </xf>
    <xf numFmtId="0" fontId="19" fillId="0" borderId="0"/>
    <xf numFmtId="0" fontId="23" fillId="0" borderId="0">
      <alignment vertical="top"/>
    </xf>
    <xf numFmtId="0" fontId="23" fillId="0" borderId="0">
      <alignment vertical="top"/>
    </xf>
    <xf numFmtId="0" fontId="4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8" fillId="0" borderId="0"/>
    <xf numFmtId="0" fontId="23" fillId="0" borderId="0">
      <alignment vertical="top"/>
    </xf>
    <xf numFmtId="0" fontId="23" fillId="0" borderId="0">
      <alignment vertical="top"/>
    </xf>
    <xf numFmtId="0" fontId="8" fillId="0" borderId="0"/>
    <xf numFmtId="0" fontId="23" fillId="0" borderId="0">
      <alignment vertical="top"/>
    </xf>
    <xf numFmtId="0" fontId="23" fillId="0" borderId="0">
      <alignment vertical="top"/>
    </xf>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 fillId="0" borderId="0"/>
    <xf numFmtId="0" fontId="1" fillId="0" borderId="0"/>
    <xf numFmtId="0" fontId="8" fillId="0" borderId="0"/>
    <xf numFmtId="0" fontId="8" fillId="0" borderId="0"/>
    <xf numFmtId="0" fontId="8" fillId="0" borderId="0"/>
    <xf numFmtId="0" fontId="19"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applyNumberFormat="0" applyFont="0" applyFill="0" applyBorder="0" applyAlignment="0" applyProtection="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51"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8" fillId="0" borderId="0"/>
    <xf numFmtId="0" fontId="8" fillId="0" borderId="0"/>
    <xf numFmtId="0" fontId="1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9" fillId="81" borderId="1" applyNumberFormat="0" applyFont="0" applyBorder="0" applyAlignment="0" applyProtection="0"/>
    <xf numFmtId="0" fontId="105" fillId="44" borderId="40" applyNumberFormat="0" applyFont="0" applyAlignment="0" applyProtection="0"/>
    <xf numFmtId="0" fontId="105" fillId="44" borderId="40" applyNumberFormat="0" applyFont="0" applyAlignment="0" applyProtection="0"/>
    <xf numFmtId="0" fontId="105" fillId="44" borderId="40" applyNumberFormat="0" applyFont="0" applyAlignment="0" applyProtection="0"/>
    <xf numFmtId="0" fontId="105" fillId="44" borderId="40" applyNumberFormat="0" applyFont="0" applyAlignment="0" applyProtection="0"/>
    <xf numFmtId="0" fontId="27"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0" applyNumberFormat="0" applyFont="0" applyAlignment="0" applyProtection="0"/>
    <xf numFmtId="0" fontId="27" fillId="44" borderId="40" applyNumberFormat="0" applyFont="0" applyAlignment="0" applyProtection="0"/>
    <xf numFmtId="0" fontId="27" fillId="44" borderId="40" applyNumberFormat="0" applyFont="0" applyAlignment="0" applyProtection="0"/>
    <xf numFmtId="0" fontId="27" fillId="44" borderId="40" applyNumberFormat="0" applyFont="0" applyAlignment="0" applyProtection="0"/>
    <xf numFmtId="0" fontId="27"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0" applyNumberFormat="0" applyFont="0" applyAlignment="0" applyProtection="0"/>
    <xf numFmtId="0" fontId="27" fillId="44" borderId="40" applyNumberFormat="0" applyFont="0" applyAlignment="0" applyProtection="0"/>
    <xf numFmtId="0" fontId="27" fillId="44" borderId="40" applyNumberFormat="0" applyFont="0" applyAlignment="0" applyProtection="0"/>
    <xf numFmtId="0" fontId="27" fillId="44" borderId="40" applyNumberFormat="0" applyFont="0" applyAlignment="0" applyProtection="0"/>
    <xf numFmtId="0" fontId="27"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8" fillId="14" borderId="2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8" fillId="14" borderId="2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0" applyNumberFormat="0" applyFont="0" applyAlignment="0" applyProtection="0"/>
    <xf numFmtId="0" fontId="27" fillId="44" borderId="40" applyNumberFormat="0" applyFont="0" applyAlignment="0" applyProtection="0"/>
    <xf numFmtId="0" fontId="27" fillId="44" borderId="40" applyNumberFormat="0" applyFont="0" applyAlignment="0" applyProtection="0"/>
    <xf numFmtId="0" fontId="27" fillId="44" borderId="40" applyNumberFormat="0" applyFont="0" applyAlignment="0" applyProtection="0"/>
    <xf numFmtId="0" fontId="27"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0" applyNumberFormat="0" applyFont="0" applyAlignment="0" applyProtection="0"/>
    <xf numFmtId="0" fontId="27" fillId="44" borderId="40" applyNumberFormat="0" applyFont="0" applyAlignment="0" applyProtection="0"/>
    <xf numFmtId="0" fontId="27" fillId="44" borderId="40" applyNumberFormat="0" applyFont="0" applyAlignment="0" applyProtection="0"/>
    <xf numFmtId="0" fontId="27" fillId="44" borderId="40" applyNumberFormat="0" applyFont="0" applyAlignment="0" applyProtection="0"/>
    <xf numFmtId="0" fontId="27"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8" fillId="14" borderId="22"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8" fillId="14" borderId="22"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105" fillId="44" borderId="40" applyNumberFormat="0" applyFont="0" applyAlignment="0" applyProtection="0"/>
    <xf numFmtId="0" fontId="105" fillId="44" borderId="40" applyNumberFormat="0" applyFont="0" applyAlignment="0" applyProtection="0"/>
    <xf numFmtId="0" fontId="105" fillId="44" borderId="40" applyNumberFormat="0" applyFont="0" applyAlignment="0" applyProtection="0"/>
    <xf numFmtId="0" fontId="105" fillId="44" borderId="40" applyNumberFormat="0" applyFont="0" applyAlignment="0" applyProtection="0"/>
    <xf numFmtId="0" fontId="105" fillId="44" borderId="40" applyNumberFormat="0" applyFont="0" applyAlignment="0" applyProtection="0"/>
    <xf numFmtId="0" fontId="105" fillId="44" borderId="40" applyNumberFormat="0" applyFont="0" applyAlignment="0" applyProtection="0"/>
    <xf numFmtId="0" fontId="8" fillId="14" borderId="22" applyNumberFormat="0" applyFont="0" applyAlignment="0" applyProtection="0"/>
    <xf numFmtId="0" fontId="105"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200" fontId="106" fillId="74" borderId="27">
      <alignment horizontal="right"/>
    </xf>
    <xf numFmtId="49" fontId="107" fillId="82" borderId="0" applyFont="0" applyFill="0" applyBorder="0" applyAlignment="0">
      <alignment horizontal="right"/>
    </xf>
    <xf numFmtId="0" fontId="30" fillId="0" borderId="6" applyFill="0" applyProtection="0">
      <alignment horizontal="right" wrapText="1"/>
    </xf>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40" fontId="110" fillId="62"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40" fontId="110" fillId="62"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0" fontId="111" fillId="83" borderId="0">
      <alignment horizontal="center"/>
    </xf>
    <xf numFmtId="0" fontId="112" fillId="62" borderId="0">
      <alignment horizontal="right"/>
    </xf>
    <xf numFmtId="0" fontId="112" fillId="62" borderId="0">
      <alignment horizontal="right"/>
    </xf>
    <xf numFmtId="0" fontId="113" fillId="84" borderId="12"/>
    <xf numFmtId="0" fontId="114" fillId="62" borderId="12"/>
    <xf numFmtId="0" fontId="114" fillId="62" borderId="12"/>
    <xf numFmtId="0" fontId="115" fillId="84" borderId="0" applyBorder="0">
      <alignment horizontal="centerContinuous"/>
    </xf>
    <xf numFmtId="0" fontId="116" fillId="0" borderId="0" applyFill="0" applyBorder="0" applyProtection="0">
      <alignment horizontal="left"/>
    </xf>
    <xf numFmtId="0" fontId="117" fillId="0" borderId="0" applyFill="0" applyBorder="0" applyProtection="0">
      <alignment horizontal="left"/>
    </xf>
    <xf numFmtId="14" fontId="31" fillId="0" borderId="0">
      <alignment horizontal="center" wrapText="1"/>
      <protection locked="0"/>
    </xf>
    <xf numFmtId="0" fontId="26" fillId="0" borderId="0"/>
    <xf numFmtId="0" fontId="26" fillId="0" borderId="0"/>
    <xf numFmtId="179" fontId="19" fillId="0" borderId="0" applyFont="0" applyFill="0" applyBorder="0" applyAlignment="0" applyProtection="0"/>
    <xf numFmtId="202" fontId="19" fillId="0" borderId="0" applyFont="0" applyFill="0" applyBorder="0" applyAlignment="0" applyProtection="0"/>
    <xf numFmtId="202"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41"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43" fillId="0" borderId="0" applyFont="0" applyFill="0" applyBorder="0" applyAlignment="0" applyProtection="0"/>
    <xf numFmtId="9" fontId="51"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NumberFormat="0" applyFont="0" applyFill="0" applyBorder="0" applyAlignment="0" applyProtection="0"/>
    <xf numFmtId="9" fontId="19" fillId="0" borderId="0" applyFont="0" applyFill="0" applyBorder="0" applyAlignment="0" applyProtection="0"/>
    <xf numFmtId="9" fontId="19"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203" fontId="31" fillId="0" borderId="0" applyFont="0" applyFill="0" applyBorder="0" applyProtection="0">
      <alignment horizontal="right"/>
    </xf>
    <xf numFmtId="204" fontId="81" fillId="0" borderId="0" applyFont="0" applyFill="0" applyBorder="0" applyProtection="0">
      <alignment horizontal="center"/>
    </xf>
    <xf numFmtId="180" fontId="19" fillId="0" borderId="0" applyFill="0" applyBorder="0" applyAlignment="0"/>
    <xf numFmtId="171"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0" fontId="52" fillId="0" borderId="0" applyFill="0" applyBorder="0">
      <alignment vertical="top"/>
    </xf>
    <xf numFmtId="0" fontId="19"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205" fontId="26" fillId="0" borderId="0" applyFont="0" applyFill="0" applyBorder="0" applyAlignment="0" applyProtection="0"/>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0" fontId="119" fillId="0" borderId="24">
      <alignment horizontal="center"/>
    </xf>
    <xf numFmtId="0" fontId="119" fillId="0" borderId="24">
      <alignment horizontal="center"/>
    </xf>
    <xf numFmtId="0" fontId="119" fillId="0" borderId="24">
      <alignment horizontal="center"/>
    </xf>
    <xf numFmtId="0" fontId="119" fillId="0" borderId="24">
      <alignment horizontal="center"/>
    </xf>
    <xf numFmtId="0" fontId="119" fillId="0" borderId="24">
      <alignment horizontal="center"/>
    </xf>
    <xf numFmtId="0" fontId="119" fillId="0" borderId="24">
      <alignment horizontal="center"/>
    </xf>
    <xf numFmtId="0" fontId="119" fillId="0" borderId="24">
      <alignment horizontal="center"/>
    </xf>
    <xf numFmtId="0" fontId="119" fillId="0" borderId="24">
      <alignment horizontal="center"/>
    </xf>
    <xf numFmtId="0" fontId="119" fillId="0" borderId="24">
      <alignment horizontal="center"/>
    </xf>
    <xf numFmtId="0" fontId="119" fillId="0" borderId="24">
      <alignment horizontal="center"/>
    </xf>
    <xf numFmtId="0" fontId="119" fillId="0" borderId="24">
      <alignment horizontal="center"/>
    </xf>
    <xf numFmtId="0" fontId="119" fillId="0" borderId="24">
      <alignment horizontal="center"/>
    </xf>
    <xf numFmtId="0" fontId="119" fillId="0" borderId="24">
      <alignment horizontal="center"/>
    </xf>
    <xf numFmtId="0" fontId="119" fillId="0" borderId="24">
      <alignment horizontal="center"/>
    </xf>
    <xf numFmtId="0" fontId="119" fillId="0" borderId="24">
      <alignment horizontal="center"/>
    </xf>
    <xf numFmtId="0" fontId="119" fillId="0" borderId="24">
      <alignment horizontal="center"/>
    </xf>
    <xf numFmtId="0" fontId="119" fillId="0" borderId="24">
      <alignment horizontal="center"/>
    </xf>
    <xf numFmtId="0" fontId="119" fillId="0" borderId="24">
      <alignment horizontal="center"/>
    </xf>
    <xf numFmtId="0" fontId="119" fillId="0" borderId="24">
      <alignment horizontal="center"/>
    </xf>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38" fontId="19" fillId="0" borderId="0" applyFill="0" applyBorder="0">
      <alignment horizontal="center" vertical="top"/>
    </xf>
    <xf numFmtId="38" fontId="19" fillId="0" borderId="0" applyFill="0" applyBorder="0">
      <alignment horizontal="center" vertical="top"/>
    </xf>
    <xf numFmtId="0" fontId="21" fillId="0" borderId="0" applyProtection="0"/>
    <xf numFmtId="0" fontId="120" fillId="86" borderId="0" applyNumberFormat="0" applyFont="0" applyBorder="0" applyAlignment="0">
      <alignment horizontal="center"/>
    </xf>
    <xf numFmtId="0" fontId="121" fillId="0" borderId="0" applyNumberFormat="0" applyFill="0" applyBorder="0" applyAlignment="0" applyProtection="0">
      <alignment horizontal="left"/>
    </xf>
    <xf numFmtId="38" fontId="121" fillId="0" borderId="0"/>
    <xf numFmtId="0" fontId="58" fillId="0" borderId="0" applyFill="0" applyBorder="0" applyProtection="0">
      <alignment horizontal="left" wrapText="1"/>
    </xf>
    <xf numFmtId="3" fontId="30" fillId="73" borderId="29" applyNumberFormat="0" applyFill="0" applyBorder="0" applyProtection="0">
      <alignment horizontal="left"/>
    </xf>
    <xf numFmtId="0" fontId="89" fillId="87" borderId="0" applyNumberFormat="0" applyFont="0" applyBorder="0" applyAlignment="0" applyProtection="0"/>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2" fillId="68" borderId="0" applyAlignment="0"/>
    <xf numFmtId="0" fontId="123" fillId="0" borderId="0" applyNumberFormat="0" applyFill="0" applyBorder="0" applyAlignment="0">
      <alignment horizontal="center"/>
    </xf>
    <xf numFmtId="0" fontId="19" fillId="88" borderId="0"/>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0" fontId="124" fillId="0" borderId="1">
      <alignment horizontal="center"/>
    </xf>
    <xf numFmtId="0" fontId="20"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19" fillId="0" borderId="0"/>
    <xf numFmtId="0" fontId="21" fillId="0" borderId="0"/>
    <xf numFmtId="0" fontId="21" fillId="0" borderId="0"/>
    <xf numFmtId="0" fontId="124" fillId="0" borderId="0">
      <alignment horizontal="center" vertical="center"/>
    </xf>
    <xf numFmtId="0" fontId="125" fillId="90" borderId="0" applyNumberFormat="0" applyFill="0">
      <alignment horizontal="left" vertical="center"/>
    </xf>
    <xf numFmtId="0" fontId="126" fillId="0" borderId="10"/>
    <xf numFmtId="40" fontId="127" fillId="0" borderId="0" applyBorder="0">
      <alignment horizontal="right"/>
    </xf>
    <xf numFmtId="0" fontId="19" fillId="0" borderId="0"/>
    <xf numFmtId="0" fontId="128" fillId="0" borderId="0" applyFill="0" applyBorder="0" applyProtection="0">
      <alignment horizontal="center" vertical="center"/>
    </xf>
    <xf numFmtId="0" fontId="128" fillId="0" borderId="0" applyFill="0" applyBorder="0" applyProtection="0"/>
    <xf numFmtId="0" fontId="38" fillId="0" borderId="0" applyFill="0" applyBorder="0" applyProtection="0">
      <alignment horizontal="left"/>
    </xf>
    <xf numFmtId="0" fontId="129" fillId="0" borderId="0" applyFill="0" applyBorder="0" applyProtection="0">
      <alignment horizontal="left" vertical="top"/>
    </xf>
    <xf numFmtId="0" fontId="38" fillId="78" borderId="1" applyNumberFormat="0" applyAlignment="0">
      <alignment horizontal="center"/>
    </xf>
    <xf numFmtId="0" fontId="23" fillId="40" borderId="27">
      <alignment horizontal="left"/>
    </xf>
    <xf numFmtId="49" fontId="19" fillId="0" borderId="0" applyFont="0" applyFill="0" applyBorder="0" applyAlignment="0" applyProtection="0"/>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49" fontId="23" fillId="0" borderId="0" applyFill="0" applyBorder="0" applyAlignment="0"/>
    <xf numFmtId="206" fontId="19" fillId="0" borderId="0" applyFill="0" applyBorder="0" applyAlignment="0"/>
    <xf numFmtId="207" fontId="19" fillId="0" borderId="0" applyFill="0" applyBorder="0" applyAlignment="0"/>
    <xf numFmtId="0" fontId="19" fillId="0" borderId="0" applyFont="0" applyFill="0" applyBorder="0" applyAlignment="0" applyProtection="0"/>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40" fontId="130" fillId="0" borderId="0"/>
    <xf numFmtId="0" fontId="131" fillId="0" borderId="0" applyNumberFormat="0" applyFill="0" applyBorder="0" applyAlignment="0" applyProtection="0"/>
    <xf numFmtId="0" fontId="132"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131" fillId="0" borderId="0" applyNumberFormat="0" applyFill="0" applyBorder="0" applyAlignment="0" applyProtection="0"/>
    <xf numFmtId="0" fontId="133" fillId="91" borderId="0" applyNumberFormat="0" applyFont="0" applyBorder="0" applyAlignment="0">
      <alignment wrapText="1"/>
    </xf>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9" fillId="0" borderId="46" applyNumberFormat="0" applyFon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9" fillId="0" borderId="46" applyNumberFormat="0" applyFon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9" fillId="0" borderId="46" applyNumberFormat="0" applyFont="0" applyFill="0" applyAlignment="0" applyProtection="0"/>
    <xf numFmtId="0" fontId="19" fillId="0" borderId="46" applyNumberFormat="0" applyFont="0" applyFill="0" applyAlignment="0" applyProtection="0"/>
    <xf numFmtId="0" fontId="19" fillId="0" borderId="46" applyNumberFormat="0" applyFont="0" applyFill="0" applyAlignment="0" applyProtection="0"/>
    <xf numFmtId="0" fontId="19" fillId="0" borderId="46" applyNumberFormat="0" applyFont="0" applyFill="0" applyAlignment="0" applyProtection="0"/>
    <xf numFmtId="209" fontId="89" fillId="0" borderId="0" applyFont="0" applyFill="0" applyBorder="0" applyAlignment="0" applyProtection="0"/>
    <xf numFmtId="210" fontId="136" fillId="0" borderId="0" applyFont="0" applyFill="0" applyBorder="0" applyAlignment="0" applyProtection="0"/>
    <xf numFmtId="0" fontId="137" fillId="70" borderId="0">
      <alignment horizontal="center"/>
    </xf>
    <xf numFmtId="211" fontId="136" fillId="0" borderId="0" applyFont="0" applyFill="0" applyBorder="0" applyAlignment="0" applyProtection="0"/>
    <xf numFmtId="212" fontId="136" fillId="0" borderId="0" applyFont="0" applyFill="0" applyBorder="0" applyAlignment="0" applyProtection="0"/>
    <xf numFmtId="213" fontId="19" fillId="0" borderId="0" applyFont="0" applyFill="0" applyBorder="0" applyAlignment="0" applyProtection="0"/>
    <xf numFmtId="214" fontId="19" fillId="0" borderId="0" applyFon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9" fillId="0" borderId="47" applyNumberFormat="0" applyBorder="0">
      <alignment wrapText="1"/>
    </xf>
    <xf numFmtId="176" fontId="21" fillId="0" borderId="0">
      <alignment vertical="top" wrapText="1"/>
    </xf>
    <xf numFmtId="1" fontId="19" fillId="0" borderId="0" applyFont="0" applyFill="0" applyBorder="0" applyAlignment="0" applyProtection="0"/>
    <xf numFmtId="176" fontId="31" fillId="0" borderId="0" applyFont="0" applyFill="0" applyBorder="0" applyProtection="0">
      <alignment horizontal="right"/>
    </xf>
    <xf numFmtId="215" fontId="113" fillId="82" borderId="0" applyFont="0" applyFill="0"/>
  </cellStyleXfs>
  <cellXfs count="566">
    <xf numFmtId="0" fontId="0" fillId="0" borderId="0" xfId="0"/>
    <xf numFmtId="0" fontId="1" fillId="0" borderId="0" xfId="0" applyFont="1"/>
    <xf numFmtId="0" fontId="12" fillId="0" borderId="0" xfId="0" applyFont="1"/>
    <xf numFmtId="166" fontId="12" fillId="34" borderId="0" xfId="0" applyNumberFormat="1" applyFont="1" applyFill="1"/>
    <xf numFmtId="0" fontId="12" fillId="34" borderId="0" xfId="0" applyFont="1" applyFill="1"/>
    <xf numFmtId="0" fontId="12" fillId="0" borderId="0" xfId="0" applyFont="1" applyAlignment="1"/>
    <xf numFmtId="0" fontId="12" fillId="0" borderId="0" xfId="0" applyFont="1" applyAlignment="1">
      <alignment horizontal="left"/>
    </xf>
    <xf numFmtId="167" fontId="12" fillId="0" borderId="0" xfId="2" applyNumberFormat="1" applyFont="1" applyFill="1" applyAlignment="1">
      <alignment horizontal="left"/>
    </xf>
    <xf numFmtId="0" fontId="12" fillId="0" borderId="0" xfId="0" applyFont="1" applyFill="1"/>
    <xf numFmtId="0" fontId="12" fillId="34" borderId="0" xfId="0" applyFont="1" applyFill="1" applyBorder="1"/>
    <xf numFmtId="43" fontId="12" fillId="0" borderId="0" xfId="1" applyFont="1" applyAlignment="1">
      <alignment horizontal="center"/>
    </xf>
    <xf numFmtId="0" fontId="12" fillId="0" borderId="0" xfId="0" applyFont="1" applyAlignment="1">
      <alignment horizontal="right"/>
    </xf>
    <xf numFmtId="168" fontId="12" fillId="0" borderId="0" xfId="1" applyNumberFormat="1" applyFont="1"/>
    <xf numFmtId="0" fontId="14" fillId="34" borderId="0" xfId="0" applyFont="1" applyFill="1"/>
    <xf numFmtId="0" fontId="13" fillId="35" borderId="1" xfId="0" applyFont="1" applyFill="1" applyBorder="1"/>
    <xf numFmtId="0" fontId="13" fillId="34" borderId="1" xfId="0" applyFont="1" applyFill="1" applyBorder="1"/>
    <xf numFmtId="168" fontId="13" fillId="34" borderId="1" xfId="1" applyNumberFormat="1" applyFont="1" applyFill="1" applyBorder="1"/>
    <xf numFmtId="0" fontId="13" fillId="34" borderId="0" xfId="0" applyFont="1" applyFill="1"/>
    <xf numFmtId="0" fontId="12" fillId="34" borderId="1" xfId="0" applyFont="1" applyFill="1" applyBorder="1"/>
    <xf numFmtId="0" fontId="12" fillId="0" borderId="1" xfId="0" applyFont="1" applyBorder="1"/>
    <xf numFmtId="0" fontId="12" fillId="35" borderId="1" xfId="0" applyFont="1" applyFill="1" applyBorder="1"/>
    <xf numFmtId="9" fontId="12" fillId="35" borderId="1" xfId="0" applyNumberFormat="1" applyFont="1" applyFill="1" applyBorder="1"/>
    <xf numFmtId="43" fontId="12" fillId="34" borderId="1" xfId="1" applyFont="1" applyFill="1" applyBorder="1"/>
    <xf numFmtId="168" fontId="12" fillId="34" borderId="1" xfId="1" applyNumberFormat="1" applyFont="1" applyFill="1" applyBorder="1"/>
    <xf numFmtId="0" fontId="18" fillId="37" borderId="1" xfId="0" applyFont="1" applyFill="1" applyBorder="1" applyAlignment="1">
      <alignment horizontal="center"/>
    </xf>
    <xf numFmtId="168" fontId="12" fillId="34" borderId="0" xfId="1" applyNumberFormat="1" applyFont="1" applyFill="1"/>
    <xf numFmtId="0" fontId="140" fillId="0" borderId="0" xfId="0" applyFont="1"/>
    <xf numFmtId="0" fontId="12" fillId="0" borderId="0" xfId="0" applyFont="1" applyFill="1" applyBorder="1"/>
    <xf numFmtId="43" fontId="12" fillId="0" borderId="1" xfId="1" applyNumberFormat="1" applyFont="1" applyBorder="1"/>
    <xf numFmtId="43" fontId="12" fillId="34" borderId="1" xfId="1" applyNumberFormat="1" applyFont="1" applyFill="1" applyBorder="1"/>
    <xf numFmtId="43" fontId="13" fillId="34" borderId="1" xfId="1" applyNumberFormat="1" applyFont="1" applyFill="1" applyBorder="1"/>
    <xf numFmtId="0" fontId="12" fillId="0" borderId="0" xfId="0" applyFont="1" applyBorder="1"/>
    <xf numFmtId="49" fontId="12" fillId="0" borderId="1" xfId="0" applyNumberFormat="1" applyFont="1" applyFill="1" applyBorder="1"/>
    <xf numFmtId="0" fontId="18" fillId="92" borderId="1" xfId="0" applyFont="1" applyFill="1" applyBorder="1"/>
    <xf numFmtId="43" fontId="13" fillId="0" borderId="1" xfId="1" applyFont="1" applyBorder="1"/>
    <xf numFmtId="43" fontId="13" fillId="0" borderId="1" xfId="1" applyFont="1" applyBorder="1" applyAlignment="1">
      <alignment horizontal="center" vertical="center"/>
    </xf>
    <xf numFmtId="0" fontId="12" fillId="0" borderId="1" xfId="0" applyFont="1" applyBorder="1" applyAlignment="1">
      <alignment horizontal="center"/>
    </xf>
    <xf numFmtId="0" fontId="12" fillId="0" borderId="1" xfId="0" applyFont="1" applyFill="1" applyBorder="1" applyAlignment="1">
      <alignment horizontal="center"/>
    </xf>
    <xf numFmtId="0" fontId="13" fillId="93" borderId="15" xfId="0" applyFont="1" applyFill="1" applyBorder="1"/>
    <xf numFmtId="0" fontId="12" fillId="93" borderId="7" xfId="0" applyFont="1" applyFill="1" applyBorder="1" applyAlignment="1">
      <alignment horizontal="center" vertical="center" wrapText="1"/>
    </xf>
    <xf numFmtId="43" fontId="13" fillId="36" borderId="1" xfId="1" applyFont="1" applyFill="1" applyBorder="1"/>
    <xf numFmtId="43" fontId="13" fillId="36" borderId="1" xfId="1" applyFont="1" applyFill="1" applyBorder="1" applyAlignment="1">
      <alignment horizontal="center" vertical="center"/>
    </xf>
    <xf numFmtId="0" fontId="13" fillId="93" borderId="12" xfId="0" applyFont="1" applyFill="1" applyBorder="1"/>
    <xf numFmtId="0" fontId="12" fillId="93" borderId="13" xfId="0" applyFont="1" applyFill="1" applyBorder="1" applyAlignment="1">
      <alignment horizontal="center" vertical="center" wrapText="1"/>
    </xf>
    <xf numFmtId="168" fontId="13" fillId="93" borderId="12" xfId="1" applyNumberFormat="1" applyFont="1" applyFill="1" applyBorder="1"/>
    <xf numFmtId="168" fontId="12" fillId="93" borderId="12" xfId="1" applyNumberFormat="1" applyFont="1" applyFill="1" applyBorder="1"/>
    <xf numFmtId="169" fontId="12" fillId="93" borderId="12" xfId="0" applyNumberFormat="1" applyFont="1" applyFill="1" applyBorder="1"/>
    <xf numFmtId="169" fontId="12" fillId="93" borderId="14" xfId="0" applyNumberFormat="1" applyFont="1" applyFill="1" applyBorder="1"/>
    <xf numFmtId="0" fontId="12" fillId="93" borderId="8" xfId="0" applyFont="1" applyFill="1" applyBorder="1" applyAlignment="1">
      <alignment horizontal="center" vertical="center" wrapText="1"/>
    </xf>
    <xf numFmtId="0" fontId="18" fillId="94" borderId="1" xfId="0" applyFont="1" applyFill="1" applyBorder="1" applyAlignment="1">
      <alignment horizontal="center" wrapText="1"/>
    </xf>
    <xf numFmtId="0" fontId="18" fillId="94" borderId="1" xfId="0" applyFont="1" applyFill="1" applyBorder="1" applyAlignment="1">
      <alignment horizontal="center"/>
    </xf>
    <xf numFmtId="3" fontId="12" fillId="0" borderId="3" xfId="0" applyNumberFormat="1" applyFont="1" applyBorder="1" applyAlignment="1">
      <alignment horizontal="center"/>
    </xf>
    <xf numFmtId="0" fontId="12" fillId="0" borderId="5" xfId="0" applyFont="1" applyBorder="1"/>
    <xf numFmtId="216" fontId="12" fillId="0" borderId="1" xfId="0" applyNumberFormat="1" applyFont="1" applyBorder="1"/>
    <xf numFmtId="43" fontId="12" fillId="0" borderId="1" xfId="1" applyFont="1" applyBorder="1"/>
    <xf numFmtId="0" fontId="13" fillId="95" borderId="1" xfId="0" applyFont="1" applyFill="1" applyBorder="1"/>
    <xf numFmtId="0" fontId="12" fillId="95" borderId="1" xfId="0" applyFont="1" applyFill="1" applyBorder="1"/>
    <xf numFmtId="168" fontId="13" fillId="95" borderId="1" xfId="1" applyNumberFormat="1" applyFont="1" applyFill="1" applyBorder="1"/>
    <xf numFmtId="4" fontId="12" fillId="0" borderId="1" xfId="0" applyNumberFormat="1" applyFont="1" applyBorder="1"/>
    <xf numFmtId="3" fontId="12" fillId="34" borderId="3" xfId="0" applyNumberFormat="1" applyFont="1" applyFill="1" applyBorder="1" applyAlignment="1">
      <alignment horizontal="center"/>
    </xf>
    <xf numFmtId="0" fontId="12" fillId="34" borderId="5" xfId="0" applyFont="1" applyFill="1" applyBorder="1"/>
    <xf numFmtId="4" fontId="12" fillId="34" borderId="1" xfId="0" applyNumberFormat="1" applyFont="1" applyFill="1" applyBorder="1"/>
    <xf numFmtId="0" fontId="12" fillId="36" borderId="1" xfId="0" applyFont="1" applyFill="1" applyBorder="1"/>
    <xf numFmtId="0" fontId="12" fillId="36" borderId="0" xfId="0" applyFont="1" applyFill="1"/>
    <xf numFmtId="0" fontId="18" fillId="94" borderId="1" xfId="0" applyFont="1" applyFill="1" applyBorder="1" applyAlignment="1">
      <alignment horizontal="center" vertical="center" wrapText="1"/>
    </xf>
    <xf numFmtId="0" fontId="18" fillId="96" borderId="1" xfId="0" applyFont="1" applyFill="1" applyBorder="1" applyAlignment="1">
      <alignment horizontal="center" vertical="center" wrapText="1"/>
    </xf>
    <xf numFmtId="0" fontId="18" fillId="38" borderId="1" xfId="0" applyFont="1" applyFill="1" applyBorder="1" applyAlignment="1">
      <alignment horizontal="center" vertical="center" wrapText="1"/>
    </xf>
    <xf numFmtId="0" fontId="12" fillId="34" borderId="0" xfId="0" applyFont="1" applyFill="1" applyBorder="1" applyAlignment="1">
      <alignment horizontal="left"/>
    </xf>
    <xf numFmtId="0" fontId="12" fillId="34" borderId="0" xfId="0" applyFont="1" applyFill="1" applyBorder="1" applyAlignment="1"/>
    <xf numFmtId="0" fontId="18" fillId="0" borderId="0" xfId="0" applyFont="1"/>
    <xf numFmtId="0" fontId="18" fillId="34" borderId="0" xfId="0" applyFont="1" applyFill="1" applyBorder="1" applyAlignment="1"/>
    <xf numFmtId="0" fontId="18" fillId="96" borderId="0" xfId="0" applyFont="1" applyFill="1"/>
    <xf numFmtId="0" fontId="18" fillId="96" borderId="0" xfId="0" applyFont="1" applyFill="1" applyBorder="1" applyAlignment="1"/>
    <xf numFmtId="43" fontId="141" fillId="0" borderId="1" xfId="1" applyFont="1" applyBorder="1"/>
    <xf numFmtId="170" fontId="141" fillId="0" borderId="1" xfId="0" applyNumberFormat="1" applyFont="1" applyBorder="1"/>
    <xf numFmtId="0" fontId="142" fillId="0" borderId="0" xfId="4" applyFont="1"/>
    <xf numFmtId="0" fontId="12" fillId="0" borderId="23" xfId="0" applyFont="1" applyBorder="1"/>
    <xf numFmtId="43" fontId="18" fillId="0" borderId="1" xfId="1" applyFont="1" applyBorder="1"/>
    <xf numFmtId="168" fontId="12" fillId="0" borderId="1" xfId="1" applyNumberFormat="1" applyFont="1" applyBorder="1"/>
    <xf numFmtId="0" fontId="12" fillId="96" borderId="0" xfId="0" applyFont="1" applyFill="1"/>
    <xf numFmtId="43" fontId="12" fillId="97" borderId="48" xfId="0" applyNumberFormat="1" applyFont="1" applyFill="1" applyBorder="1"/>
    <xf numFmtId="43" fontId="12" fillId="97" borderId="30" xfId="0" applyNumberFormat="1" applyFont="1" applyFill="1" applyBorder="1"/>
    <xf numFmtId="43" fontId="12" fillId="97" borderId="49" xfId="0" applyNumberFormat="1" applyFont="1" applyFill="1" applyBorder="1"/>
    <xf numFmtId="0" fontId="12" fillId="97" borderId="50" xfId="0" applyFont="1" applyFill="1" applyBorder="1"/>
    <xf numFmtId="168" fontId="12" fillId="0" borderId="51" xfId="0" applyNumberFormat="1" applyFont="1" applyBorder="1"/>
    <xf numFmtId="168" fontId="12" fillId="0" borderId="2" xfId="0" applyNumberFormat="1" applyFont="1" applyBorder="1"/>
    <xf numFmtId="168" fontId="12" fillId="0" borderId="14" xfId="0" applyNumberFormat="1" applyFont="1" applyBorder="1"/>
    <xf numFmtId="0" fontId="12" fillId="97" borderId="52" xfId="0" applyFont="1" applyFill="1" applyBorder="1"/>
    <xf numFmtId="168" fontId="12" fillId="0" borderId="53" xfId="0" applyNumberFormat="1" applyFont="1" applyBorder="1"/>
    <xf numFmtId="168" fontId="12" fillId="0" borderId="1" xfId="0" applyNumberFormat="1" applyFont="1" applyBorder="1"/>
    <xf numFmtId="168" fontId="12" fillId="0" borderId="5" xfId="0" applyNumberFormat="1" applyFont="1" applyBorder="1"/>
    <xf numFmtId="0" fontId="12" fillId="97" borderId="54" xfId="0" applyFont="1" applyFill="1" applyBorder="1"/>
    <xf numFmtId="168" fontId="12" fillId="0" borderId="55" xfId="0" applyNumberFormat="1" applyFont="1" applyBorder="1"/>
    <xf numFmtId="0" fontId="12" fillId="97" borderId="56" xfId="0" applyFont="1" applyFill="1" applyBorder="1"/>
    <xf numFmtId="43" fontId="12" fillId="0" borderId="51" xfId="1" applyNumberFormat="1" applyFont="1" applyBorder="1"/>
    <xf numFmtId="43" fontId="12" fillId="0" borderId="2" xfId="1" applyNumberFormat="1" applyFont="1" applyBorder="1"/>
    <xf numFmtId="43" fontId="12" fillId="0" borderId="14" xfId="1" applyNumberFormat="1" applyFont="1" applyBorder="1"/>
    <xf numFmtId="0" fontId="12" fillId="94" borderId="52" xfId="0" applyFont="1" applyFill="1" applyBorder="1"/>
    <xf numFmtId="168" fontId="12" fillId="0" borderId="53" xfId="1" applyNumberFormat="1" applyFont="1" applyBorder="1"/>
    <xf numFmtId="168" fontId="12" fillId="0" borderId="5" xfId="1" applyNumberFormat="1" applyFont="1" applyBorder="1"/>
    <xf numFmtId="0" fontId="12" fillId="94" borderId="54" xfId="0" applyFont="1" applyFill="1" applyBorder="1"/>
    <xf numFmtId="0" fontId="12" fillId="0" borderId="53" xfId="0" applyFont="1" applyBorder="1"/>
    <xf numFmtId="9" fontId="12" fillId="0" borderId="53" xfId="3" applyFont="1" applyBorder="1"/>
    <xf numFmtId="9" fontId="12" fillId="0" borderId="1" xfId="3" applyFont="1" applyBorder="1"/>
    <xf numFmtId="9" fontId="12" fillId="34" borderId="5" xfId="3" applyFont="1" applyFill="1" applyBorder="1"/>
    <xf numFmtId="1" fontId="12" fillId="0" borderId="53" xfId="3" applyNumberFormat="1" applyFont="1" applyBorder="1"/>
    <xf numFmtId="1" fontId="12" fillId="0" borderId="1" xfId="3" applyNumberFormat="1" applyFont="1" applyBorder="1"/>
    <xf numFmtId="1" fontId="12" fillId="34" borderId="5" xfId="3" applyNumberFormat="1" applyFont="1" applyFill="1" applyBorder="1"/>
    <xf numFmtId="168" fontId="12" fillId="34" borderId="5" xfId="1" applyNumberFormat="1" applyFont="1" applyFill="1" applyBorder="1"/>
    <xf numFmtId="0" fontId="12" fillId="0" borderId="0" xfId="0" applyFont="1" applyAlignment="1">
      <alignment wrapText="1"/>
    </xf>
    <xf numFmtId="0" fontId="12" fillId="94" borderId="57" xfId="0" applyFont="1" applyFill="1" applyBorder="1" applyAlignment="1">
      <alignment horizontal="center" wrapText="1"/>
    </xf>
    <xf numFmtId="0" fontId="12" fillId="94" borderId="58" xfId="0" applyFont="1" applyFill="1" applyBorder="1" applyAlignment="1">
      <alignment horizontal="center" wrapText="1"/>
    </xf>
    <xf numFmtId="0" fontId="12" fillId="94" borderId="55" xfId="0" applyFont="1" applyFill="1" applyBorder="1" applyAlignment="1">
      <alignment horizontal="center" wrapText="1"/>
    </xf>
    <xf numFmtId="0" fontId="18" fillId="94" borderId="56" xfId="0" applyFont="1" applyFill="1" applyBorder="1" applyAlignment="1">
      <alignment wrapText="1"/>
    </xf>
    <xf numFmtId="0" fontId="12" fillId="94" borderId="59" xfId="0" applyFont="1" applyFill="1" applyBorder="1"/>
    <xf numFmtId="0" fontId="12" fillId="94" borderId="60" xfId="0" applyFont="1" applyFill="1" applyBorder="1"/>
    <xf numFmtId="0" fontId="18" fillId="94" borderId="61" xfId="0" applyFont="1" applyFill="1" applyBorder="1"/>
    <xf numFmtId="0" fontId="12" fillId="0" borderId="0" xfId="0" applyFont="1" applyBorder="1" applyAlignment="1"/>
    <xf numFmtId="43" fontId="12" fillId="97" borderId="49" xfId="0" applyNumberFormat="1" applyFont="1" applyFill="1" applyBorder="1" applyAlignment="1"/>
    <xf numFmtId="0" fontId="12" fillId="97" borderId="50" xfId="0" applyFont="1" applyFill="1" applyBorder="1" applyAlignment="1"/>
    <xf numFmtId="168" fontId="12" fillId="0" borderId="14" xfId="0" applyNumberFormat="1" applyFont="1" applyBorder="1" applyAlignment="1"/>
    <xf numFmtId="0" fontId="12" fillId="97" borderId="52" xfId="0" applyFont="1" applyFill="1" applyBorder="1" applyAlignment="1"/>
    <xf numFmtId="168" fontId="12" fillId="0" borderId="5" xfId="0" applyNumberFormat="1" applyFont="1" applyBorder="1" applyAlignment="1"/>
    <xf numFmtId="0" fontId="12" fillId="97" borderId="54" xfId="0" applyFont="1" applyFill="1" applyBorder="1" applyAlignment="1"/>
    <xf numFmtId="43" fontId="12" fillId="0" borderId="55" xfId="0" applyNumberFormat="1" applyFont="1" applyBorder="1" applyAlignment="1"/>
    <xf numFmtId="0" fontId="12" fillId="97" borderId="56" xfId="0" applyFont="1" applyFill="1" applyBorder="1" applyAlignment="1"/>
    <xf numFmtId="168" fontId="12" fillId="0" borderId="2" xfId="1" applyNumberFormat="1" applyFont="1" applyBorder="1" applyAlignment="1"/>
    <xf numFmtId="168" fontId="12" fillId="34" borderId="14" xfId="1" applyNumberFormat="1" applyFont="1" applyFill="1" applyBorder="1" applyAlignment="1"/>
    <xf numFmtId="0" fontId="12" fillId="94" borderId="52" xfId="0" applyFont="1" applyFill="1" applyBorder="1" applyAlignment="1"/>
    <xf numFmtId="168" fontId="12" fillId="0" borderId="1" xfId="1" applyNumberFormat="1" applyFont="1" applyBorder="1" applyAlignment="1"/>
    <xf numFmtId="168" fontId="12" fillId="34" borderId="5" xfId="1" applyNumberFormat="1" applyFont="1" applyFill="1" applyBorder="1" applyAlignment="1"/>
    <xf numFmtId="0" fontId="12" fillId="94" borderId="54" xfId="0" applyFont="1" applyFill="1" applyBorder="1" applyAlignment="1"/>
    <xf numFmtId="168" fontId="12" fillId="0" borderId="5" xfId="1" applyNumberFormat="1" applyFont="1" applyBorder="1" applyAlignment="1"/>
    <xf numFmtId="9" fontId="12" fillId="0" borderId="5" xfId="0" applyNumberFormat="1" applyFont="1" applyBorder="1" applyAlignment="1"/>
    <xf numFmtId="9" fontId="12" fillId="34" borderId="5" xfId="0" applyNumberFormat="1" applyFont="1" applyFill="1" applyBorder="1" applyAlignment="1"/>
    <xf numFmtId="1" fontId="12" fillId="0" borderId="5" xfId="3" applyNumberFormat="1" applyFont="1" applyBorder="1" applyAlignment="1"/>
    <xf numFmtId="1" fontId="12" fillId="34" borderId="5" xfId="3" applyNumberFormat="1" applyFont="1" applyFill="1" applyBorder="1" applyAlignment="1"/>
    <xf numFmtId="9" fontId="12" fillId="0" borderId="5" xfId="3" applyFont="1" applyBorder="1" applyAlignment="1"/>
    <xf numFmtId="9" fontId="12" fillId="34" borderId="5" xfId="3" applyFont="1" applyFill="1" applyBorder="1" applyAlignment="1"/>
    <xf numFmtId="9" fontId="12" fillId="0" borderId="5" xfId="1" applyNumberFormat="1" applyFont="1" applyBorder="1" applyAlignment="1"/>
    <xf numFmtId="9" fontId="12" fillId="34" borderId="5" xfId="1" applyNumberFormat="1" applyFont="1" applyFill="1" applyBorder="1" applyAlignment="1"/>
    <xf numFmtId="1" fontId="12" fillId="0" borderId="5" xfId="1" applyNumberFormat="1" applyFont="1" applyBorder="1" applyAlignment="1"/>
    <xf numFmtId="1" fontId="12" fillId="34" borderId="5" xfId="1" applyNumberFormat="1" applyFont="1" applyFill="1" applyBorder="1" applyAlignment="1"/>
    <xf numFmtId="1" fontId="12" fillId="0" borderId="1" xfId="3" applyNumberFormat="1" applyFont="1" applyBorder="1" applyAlignment="1"/>
    <xf numFmtId="2" fontId="12" fillId="94" borderId="58" xfId="0" applyNumberFormat="1" applyFont="1" applyFill="1" applyBorder="1" applyAlignment="1"/>
    <xf numFmtId="2" fontId="12" fillId="94" borderId="55" xfId="0" applyNumberFormat="1" applyFont="1" applyFill="1" applyBorder="1" applyAlignment="1"/>
    <xf numFmtId="0" fontId="18" fillId="94" borderId="56" xfId="0" applyFont="1" applyFill="1" applyBorder="1" applyAlignment="1"/>
    <xf numFmtId="0" fontId="12" fillId="96" borderId="0" xfId="0" applyFont="1" applyFill="1" applyBorder="1"/>
    <xf numFmtId="0" fontId="12" fillId="96" borderId="0" xfId="0" applyFont="1" applyFill="1" applyBorder="1" applyAlignment="1"/>
    <xf numFmtId="43" fontId="12" fillId="96" borderId="0" xfId="1" applyFont="1" applyFill="1"/>
    <xf numFmtId="168" fontId="12" fillId="35" borderId="1" xfId="1" applyNumberFormat="1" applyFont="1" applyFill="1" applyBorder="1"/>
    <xf numFmtId="0" fontId="14" fillId="96" borderId="0" xfId="0" applyFont="1" applyFill="1"/>
    <xf numFmtId="168" fontId="13" fillId="34" borderId="1" xfId="0" applyNumberFormat="1" applyFont="1" applyFill="1" applyBorder="1"/>
    <xf numFmtId="171" fontId="12" fillId="0" borderId="0" xfId="1" applyNumberFormat="1" applyFont="1"/>
    <xf numFmtId="9" fontId="12" fillId="34" borderId="1" xfId="3" applyFont="1" applyFill="1" applyBorder="1"/>
    <xf numFmtId="0" fontId="18" fillId="13" borderId="1" xfId="1" applyNumberFormat="1" applyFont="1" applyFill="1" applyBorder="1" applyAlignment="1">
      <alignment horizontal="center" vertical="center" wrapText="1"/>
    </xf>
    <xf numFmtId="0" fontId="18" fillId="13" borderId="1" xfId="0" applyFont="1" applyFill="1" applyBorder="1" applyAlignment="1">
      <alignment horizontal="center" wrapText="1"/>
    </xf>
    <xf numFmtId="0" fontId="12" fillId="98" borderId="1" xfId="0" applyFont="1" applyFill="1" applyBorder="1" applyAlignment="1">
      <alignment horizontal="left"/>
    </xf>
    <xf numFmtId="0" fontId="13" fillId="98" borderId="1" xfId="0" applyFont="1" applyFill="1" applyBorder="1" applyAlignment="1">
      <alignment horizontal="left"/>
    </xf>
    <xf numFmtId="1" fontId="12" fillId="98" borderId="1" xfId="0" applyNumberFormat="1" applyFont="1" applyFill="1" applyBorder="1" applyAlignment="1">
      <alignment horizontal="center"/>
    </xf>
    <xf numFmtId="168" fontId="12" fillId="98" borderId="1" xfId="1" applyNumberFormat="1" applyFont="1" applyFill="1" applyBorder="1" applyAlignment="1">
      <alignment horizontal="center"/>
    </xf>
    <xf numFmtId="0" fontId="12" fillId="98" borderId="1" xfId="0" applyFont="1" applyFill="1" applyBorder="1" applyAlignment="1">
      <alignment horizontal="center"/>
    </xf>
    <xf numFmtId="169" fontId="12" fillId="98" borderId="1" xfId="5" applyNumberFormat="1" applyFont="1" applyFill="1" applyBorder="1" applyAlignment="1">
      <alignment horizontal="center"/>
    </xf>
    <xf numFmtId="9" fontId="12" fillId="98" borderId="1" xfId="5" applyFont="1" applyFill="1" applyBorder="1" applyAlignment="1">
      <alignment horizontal="center"/>
    </xf>
    <xf numFmtId="10" fontId="12" fillId="98" borderId="1" xfId="5" applyNumberFormat="1" applyFont="1" applyFill="1" applyBorder="1" applyAlignment="1">
      <alignment horizontal="center"/>
    </xf>
    <xf numFmtId="9" fontId="13" fillId="98" borderId="1" xfId="3" applyFont="1" applyFill="1" applyBorder="1" applyAlignment="1">
      <alignment horizontal="left"/>
    </xf>
    <xf numFmtId="0" fontId="13" fillId="98" borderId="1" xfId="0" applyFont="1" applyFill="1" applyBorder="1" applyAlignment="1"/>
    <xf numFmtId="10" fontId="13" fillId="98" borderId="1" xfId="0" applyNumberFormat="1" applyFont="1" applyFill="1" applyBorder="1" applyAlignment="1">
      <alignment horizontal="left"/>
    </xf>
    <xf numFmtId="9" fontId="13" fillId="98" borderId="1" xfId="0" applyNumberFormat="1" applyFont="1" applyFill="1" applyBorder="1" applyAlignment="1">
      <alignment horizontal="left"/>
    </xf>
    <xf numFmtId="43" fontId="12" fillId="98" borderId="1" xfId="1" applyFont="1" applyFill="1" applyBorder="1" applyAlignment="1">
      <alignment horizontal="center"/>
    </xf>
    <xf numFmtId="167" fontId="12" fillId="98" borderId="1" xfId="2" applyNumberFormat="1" applyFont="1" applyFill="1" applyBorder="1" applyAlignment="1">
      <alignment horizontal="left"/>
    </xf>
    <xf numFmtId="166" fontId="13" fillId="34" borderId="0" xfId="0" applyNumberFormat="1" applyFont="1" applyFill="1"/>
    <xf numFmtId="168" fontId="13" fillId="34" borderId="0" xfId="1" applyNumberFormat="1" applyFont="1" applyFill="1"/>
    <xf numFmtId="168" fontId="13" fillId="34" borderId="0" xfId="0" applyNumberFormat="1" applyFont="1" applyFill="1"/>
    <xf numFmtId="168" fontId="13" fillId="11" borderId="1" xfId="1" applyNumberFormat="1" applyFont="1" applyFill="1" applyBorder="1"/>
    <xf numFmtId="0" fontId="13" fillId="11" borderId="1" xfId="0" applyFont="1" applyFill="1" applyBorder="1"/>
    <xf numFmtId="0" fontId="144" fillId="34" borderId="1" xfId="0" applyFont="1" applyFill="1" applyBorder="1"/>
    <xf numFmtId="0" fontId="143" fillId="13" borderId="1" xfId="0" applyNumberFormat="1" applyFont="1" applyFill="1" applyBorder="1" applyAlignment="1">
      <alignment horizontal="center"/>
    </xf>
    <xf numFmtId="0" fontId="143" fillId="13" borderId="1" xfId="1" applyNumberFormat="1" applyFont="1" applyFill="1" applyBorder="1" applyAlignment="1">
      <alignment horizontal="center"/>
    </xf>
    <xf numFmtId="0" fontId="143" fillId="34" borderId="0" xfId="0" applyFont="1" applyFill="1"/>
    <xf numFmtId="168" fontId="13" fillId="3" borderId="1" xfId="1" applyNumberFormat="1" applyFont="1" applyFill="1" applyBorder="1"/>
    <xf numFmtId="0" fontId="13" fillId="3" borderId="1" xfId="0" applyFont="1" applyFill="1" applyBorder="1"/>
    <xf numFmtId="168" fontId="13" fillId="2" borderId="1" xfId="1" applyNumberFormat="1" applyFont="1" applyFill="1" applyBorder="1"/>
    <xf numFmtId="0" fontId="13" fillId="2" borderId="1" xfId="0" applyFont="1" applyFill="1" applyBorder="1"/>
    <xf numFmtId="171" fontId="12" fillId="0" borderId="1" xfId="0" applyNumberFormat="1" applyFont="1" applyBorder="1"/>
    <xf numFmtId="0" fontId="13" fillId="13" borderId="1" xfId="0" applyFont="1" applyFill="1" applyBorder="1"/>
    <xf numFmtId="0" fontId="145" fillId="0" borderId="0" xfId="0" applyFont="1"/>
    <xf numFmtId="166" fontId="13" fillId="3" borderId="1" xfId="0" applyNumberFormat="1" applyFont="1" applyFill="1" applyBorder="1"/>
    <xf numFmtId="0" fontId="13" fillId="3" borderId="5" xfId="35353" applyFont="1" applyFill="1" applyBorder="1" applyAlignment="1"/>
    <xf numFmtId="171" fontId="12" fillId="3" borderId="1" xfId="0" applyNumberFormat="1" applyFont="1" applyFill="1" applyBorder="1"/>
    <xf numFmtId="0" fontId="13" fillId="3" borderId="62" xfId="35353" applyFont="1" applyFill="1" applyBorder="1" applyAlignment="1"/>
    <xf numFmtId="168" fontId="12" fillId="3" borderId="23" xfId="0" applyNumberFormat="1" applyFont="1" applyFill="1" applyBorder="1"/>
    <xf numFmtId="0" fontId="143" fillId="99" borderId="1" xfId="0" applyNumberFormat="1" applyFont="1" applyFill="1" applyBorder="1" applyAlignment="1">
      <alignment horizontal="center"/>
    </xf>
    <xf numFmtId="0" fontId="143" fillId="99" borderId="1" xfId="1" applyNumberFormat="1" applyFont="1" applyFill="1" applyBorder="1" applyAlignment="1">
      <alignment horizontal="center"/>
    </xf>
    <xf numFmtId="0" fontId="13" fillId="99" borderId="1" xfId="0" applyFont="1" applyFill="1" applyBorder="1"/>
    <xf numFmtId="9" fontId="13" fillId="3" borderId="62" xfId="3" applyFont="1" applyFill="1" applyBorder="1" applyAlignment="1">
      <alignment horizontal="center"/>
    </xf>
    <xf numFmtId="9" fontId="13" fillId="3" borderId="63" xfId="3" applyFont="1" applyFill="1" applyBorder="1" applyAlignment="1">
      <alignment horizontal="center"/>
    </xf>
    <xf numFmtId="9" fontId="13" fillId="3" borderId="7" xfId="3" applyFont="1" applyFill="1" applyBorder="1" applyAlignment="1">
      <alignment horizontal="center"/>
    </xf>
    <xf numFmtId="169" fontId="12" fillId="38" borderId="5" xfId="0" applyNumberFormat="1" applyFont="1" applyFill="1" applyBorder="1"/>
    <xf numFmtId="0" fontId="13" fillId="38" borderId="3" xfId="0" applyFont="1" applyFill="1" applyBorder="1"/>
    <xf numFmtId="169" fontId="146" fillId="100" borderId="1" xfId="0" applyNumberFormat="1" applyFont="1" applyFill="1" applyBorder="1"/>
    <xf numFmtId="0" fontId="146" fillId="100" borderId="1" xfId="0" applyFont="1" applyFill="1" applyBorder="1" applyAlignment="1">
      <alignment horizontal="left" wrapText="1"/>
    </xf>
    <xf numFmtId="167" fontId="12" fillId="34" borderId="1" xfId="14654" applyNumberFormat="1" applyFont="1" applyFill="1" applyBorder="1"/>
    <xf numFmtId="0" fontId="146" fillId="100" borderId="62" xfId="35353" applyFont="1" applyFill="1" applyBorder="1" applyAlignment="1"/>
    <xf numFmtId="166" fontId="12" fillId="34" borderId="1" xfId="14654" applyNumberFormat="1" applyFont="1" applyFill="1" applyBorder="1"/>
    <xf numFmtId="0" fontId="146" fillId="100" borderId="5" xfId="35353" applyFont="1" applyFill="1" applyBorder="1" applyAlignment="1"/>
    <xf numFmtId="168" fontId="12" fillId="34" borderId="1" xfId="0" applyNumberFormat="1" applyFont="1" applyFill="1" applyBorder="1"/>
    <xf numFmtId="0" fontId="146" fillId="100" borderId="1" xfId="35353" applyFont="1" applyFill="1" applyBorder="1" applyAlignment="1">
      <alignment horizontal="right"/>
    </xf>
    <xf numFmtId="0" fontId="146" fillId="100" borderId="1" xfId="35353" quotePrefix="1" applyFont="1" applyFill="1" applyBorder="1" applyAlignment="1">
      <alignment horizontal="right"/>
    </xf>
    <xf numFmtId="0" fontId="145" fillId="34" borderId="0" xfId="0" applyFont="1" applyFill="1"/>
    <xf numFmtId="0" fontId="18" fillId="13" borderId="1" xfId="0" applyFont="1" applyFill="1" applyBorder="1" applyAlignment="1">
      <alignment horizontal="center" vertical="center"/>
    </xf>
    <xf numFmtId="0" fontId="143" fillId="13" borderId="1" xfId="0" applyFont="1" applyFill="1" applyBorder="1" applyAlignment="1">
      <alignment horizontal="center" wrapText="1"/>
    </xf>
    <xf numFmtId="43" fontId="12" fillId="34" borderId="0" xfId="1" applyFont="1" applyFill="1"/>
    <xf numFmtId="0" fontId="18" fillId="34" borderId="0" xfId="0" applyFont="1" applyFill="1"/>
    <xf numFmtId="0" fontId="0" fillId="0" borderId="0" xfId="0" applyFont="1"/>
    <xf numFmtId="171" fontId="12" fillId="34" borderId="1" xfId="1" applyNumberFormat="1" applyFont="1" applyFill="1" applyBorder="1"/>
    <xf numFmtId="171" fontId="13" fillId="34" borderId="1" xfId="1" applyNumberFormat="1" applyFont="1" applyFill="1" applyBorder="1" applyAlignment="1">
      <alignment horizontal="right"/>
    </xf>
    <xf numFmtId="171" fontId="12" fillId="34" borderId="1" xfId="1" applyNumberFormat="1" applyFont="1" applyFill="1" applyBorder="1" applyAlignment="1">
      <alignment horizontal="right"/>
    </xf>
    <xf numFmtId="0" fontId="147" fillId="10" borderId="0" xfId="0" applyFont="1" applyFill="1"/>
    <xf numFmtId="0" fontId="1" fillId="10" borderId="0" xfId="0" applyFont="1" applyFill="1" applyAlignment="1"/>
    <xf numFmtId="0" fontId="1" fillId="0" borderId="0" xfId="0" applyFont="1" applyAlignment="1">
      <alignment wrapText="1"/>
    </xf>
    <xf numFmtId="0" fontId="148" fillId="0" borderId="8" xfId="0" applyFont="1" applyBorder="1" applyAlignment="1">
      <alignment wrapText="1"/>
    </xf>
    <xf numFmtId="0" fontId="148" fillId="0" borderId="7" xfId="0" applyFont="1" applyBorder="1" applyAlignment="1">
      <alignment horizontal="center" vertical="center" wrapText="1"/>
    </xf>
    <xf numFmtId="0" fontId="148" fillId="2" borderId="1" xfId="0" applyFont="1" applyFill="1" applyBorder="1" applyAlignment="1">
      <alignment horizontal="center" vertical="center" wrapText="1"/>
    </xf>
    <xf numFmtId="0" fontId="148" fillId="4" borderId="1" xfId="0" applyFont="1" applyFill="1" applyBorder="1" applyAlignment="1">
      <alignment horizontal="center" vertical="center" wrapText="1"/>
    </xf>
    <xf numFmtId="0" fontId="148" fillId="2" borderId="5" xfId="0" applyFont="1" applyFill="1" applyBorder="1" applyAlignment="1">
      <alignment horizontal="center" vertical="center" wrapText="1"/>
    </xf>
    <xf numFmtId="0" fontId="148" fillId="5" borderId="1" xfId="0" applyFont="1" applyFill="1" applyBorder="1" applyAlignment="1">
      <alignment horizontal="center" vertical="center" wrapText="1"/>
    </xf>
    <xf numFmtId="0" fontId="148" fillId="5" borderId="3" xfId="0" applyFont="1" applyFill="1" applyBorder="1" applyAlignment="1">
      <alignment horizontal="center" vertical="center" wrapText="1"/>
    </xf>
    <xf numFmtId="0" fontId="148" fillId="6" borderId="1" xfId="0" applyFont="1" applyFill="1" applyBorder="1" applyAlignment="1">
      <alignment horizontal="center" vertical="center" wrapText="1"/>
    </xf>
    <xf numFmtId="0" fontId="148" fillId="12" borderId="1" xfId="0" applyFont="1" applyFill="1" applyBorder="1" applyAlignment="1">
      <alignment horizontal="center" vertical="center" wrapText="1"/>
    </xf>
    <xf numFmtId="0" fontId="148" fillId="11" borderId="1" xfId="0" applyFont="1" applyFill="1" applyBorder="1" applyAlignment="1">
      <alignment horizontal="center" vertical="center" wrapText="1"/>
    </xf>
    <xf numFmtId="0" fontId="1" fillId="0" borderId="0" xfId="0" applyFont="1" applyAlignment="1">
      <alignment horizontal="center" vertical="center" wrapText="1"/>
    </xf>
    <xf numFmtId="0" fontId="148" fillId="0" borderId="3" xfId="0" applyFont="1" applyBorder="1" applyAlignment="1">
      <alignment horizontal="center" vertical="center" wrapText="1"/>
    </xf>
    <xf numFmtId="0" fontId="149" fillId="0" borderId="3" xfId="0" applyFont="1" applyBorder="1" applyAlignment="1">
      <alignment horizontal="center" vertical="center" wrapText="1"/>
    </xf>
    <xf numFmtId="0" fontId="149" fillId="2" borderId="1" xfId="0" applyFont="1" applyFill="1" applyBorder="1" applyAlignment="1">
      <alignment horizontal="center" vertical="center" wrapText="1"/>
    </xf>
    <xf numFmtId="0" fontId="149" fillId="4" borderId="1" xfId="0" applyFont="1" applyFill="1" applyBorder="1" applyAlignment="1">
      <alignment horizontal="center" vertical="center" wrapText="1"/>
    </xf>
    <xf numFmtId="0" fontId="149" fillId="2" borderId="5" xfId="0" applyFont="1" applyFill="1" applyBorder="1" applyAlignment="1">
      <alignment horizontal="center" vertical="center" wrapText="1"/>
    </xf>
    <xf numFmtId="0" fontId="149" fillId="5" borderId="1" xfId="0" applyFont="1" applyFill="1" applyBorder="1" applyAlignment="1">
      <alignment horizontal="center" vertical="center" wrapText="1"/>
    </xf>
    <xf numFmtId="0" fontId="149" fillId="5" borderId="3" xfId="0" applyFont="1" applyFill="1" applyBorder="1" applyAlignment="1">
      <alignment horizontal="center" vertical="center" wrapText="1"/>
    </xf>
    <xf numFmtId="0" fontId="149" fillId="6" borderId="1" xfId="0" applyFont="1" applyFill="1" applyBorder="1" applyAlignment="1">
      <alignment horizontal="center" vertical="center" wrapText="1"/>
    </xf>
    <xf numFmtId="0" fontId="149" fillId="12" borderId="1" xfId="0" applyFont="1" applyFill="1" applyBorder="1" applyAlignment="1">
      <alignment horizontal="center" vertical="center" wrapText="1"/>
    </xf>
    <xf numFmtId="0" fontId="149" fillId="11" borderId="1" xfId="0" applyFont="1" applyFill="1" applyBorder="1" applyAlignment="1">
      <alignment horizontal="center" vertical="center" wrapText="1"/>
    </xf>
    <xf numFmtId="0" fontId="147" fillId="0" borderId="0" xfId="0" applyFont="1" applyAlignment="1">
      <alignment horizontal="center" vertical="center" wrapText="1"/>
    </xf>
    <xf numFmtId="0" fontId="148" fillId="0" borderId="1" xfId="0" applyFont="1" applyBorder="1" applyAlignment="1">
      <alignment horizontal="center" vertical="center" wrapText="1"/>
    </xf>
    <xf numFmtId="0" fontId="1" fillId="0" borderId="1" xfId="0" applyFont="1" applyBorder="1" applyAlignment="1">
      <alignment vertical="center"/>
    </xf>
    <xf numFmtId="0" fontId="1" fillId="0" borderId="3" xfId="0" applyFont="1" applyBorder="1" applyAlignment="1">
      <alignment vertical="center"/>
    </xf>
    <xf numFmtId="0" fontId="1" fillId="0" borderId="0" xfId="0" applyFont="1" applyAlignment="1">
      <alignment vertical="center" wrapText="1"/>
    </xf>
    <xf numFmtId="0" fontId="1" fillId="0" borderId="1" xfId="0" applyFont="1" applyBorder="1" applyAlignment="1">
      <alignment vertical="center" wrapText="1"/>
    </xf>
    <xf numFmtId="3" fontId="148" fillId="0" borderId="1" xfId="0" applyNumberFormat="1" applyFont="1" applyBorder="1" applyAlignment="1">
      <alignment horizontal="center" vertical="center" wrapText="1"/>
    </xf>
    <xf numFmtId="3" fontId="148" fillId="0" borderId="1" xfId="0" applyNumberFormat="1" applyFont="1" applyBorder="1" applyAlignment="1">
      <alignment vertical="center" wrapText="1"/>
    </xf>
    <xf numFmtId="0" fontId="1" fillId="0" borderId="1" xfId="0" applyFont="1" applyFill="1" applyBorder="1" applyAlignment="1">
      <alignment vertical="center" wrapText="1"/>
    </xf>
    <xf numFmtId="3" fontId="148" fillId="0" borderId="5" xfId="0" applyNumberFormat="1" applyFont="1" applyBorder="1" applyAlignment="1">
      <alignment horizontal="center" vertical="center" wrapText="1"/>
    </xf>
    <xf numFmtId="0" fontId="0" fillId="0" borderId="0" xfId="0" applyFont="1" applyAlignment="1">
      <alignment vertical="center"/>
    </xf>
    <xf numFmtId="0" fontId="148" fillId="0" borderId="11" xfId="0" applyFont="1" applyBorder="1" applyAlignment="1">
      <alignment vertical="center"/>
    </xf>
    <xf numFmtId="3" fontId="148" fillId="2" borderId="11" xfId="0" applyNumberFormat="1" applyFont="1" applyFill="1" applyBorder="1" applyAlignment="1">
      <alignment horizontal="center" vertical="center"/>
    </xf>
    <xf numFmtId="3" fontId="148" fillId="4" borderId="11" xfId="0" applyNumberFormat="1" applyFont="1" applyFill="1" applyBorder="1" applyAlignment="1">
      <alignment horizontal="center" vertical="center"/>
    </xf>
    <xf numFmtId="3" fontId="148" fillId="0" borderId="11" xfId="0" applyNumberFormat="1" applyFont="1" applyBorder="1" applyAlignment="1">
      <alignment vertical="center"/>
    </xf>
    <xf numFmtId="3" fontId="148" fillId="9" borderId="11" xfId="0" applyNumberFormat="1" applyFont="1" applyFill="1" applyBorder="1" applyAlignment="1">
      <alignment vertical="center"/>
    </xf>
    <xf numFmtId="3" fontId="148" fillId="5" borderId="11" xfId="0" applyNumberFormat="1" applyFont="1" applyFill="1" applyBorder="1" applyAlignment="1">
      <alignment horizontal="center" vertical="center"/>
    </xf>
    <xf numFmtId="3" fontId="148" fillId="6" borderId="11" xfId="0" applyNumberFormat="1" applyFont="1" applyFill="1" applyBorder="1" applyAlignment="1">
      <alignment horizontal="center" vertical="center"/>
    </xf>
    <xf numFmtId="3" fontId="148" fillId="12" borderId="11" xfId="0" applyNumberFormat="1" applyFont="1" applyFill="1" applyBorder="1" applyAlignment="1">
      <alignment horizontal="center" vertical="center"/>
    </xf>
    <xf numFmtId="3" fontId="148" fillId="11" borderId="11" xfId="0" applyNumberFormat="1" applyFont="1" applyFill="1" applyBorder="1" applyAlignment="1">
      <alignment horizontal="center" vertical="center"/>
    </xf>
    <xf numFmtId="0" fontId="1" fillId="0" borderId="0" xfId="0" applyFont="1" applyFill="1"/>
    <xf numFmtId="0" fontId="1" fillId="0" borderId="8" xfId="0" applyFont="1" applyBorder="1" applyAlignment="1">
      <alignment vertical="center" wrapText="1"/>
    </xf>
    <xf numFmtId="0" fontId="1" fillId="0" borderId="9" xfId="0" applyFont="1" applyBorder="1" applyAlignment="1">
      <alignment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47" fillId="3" borderId="13" xfId="0" applyFont="1" applyFill="1" applyBorder="1" applyAlignment="1">
      <alignment horizontal="center" vertical="center" wrapText="1"/>
    </xf>
    <xf numFmtId="0" fontId="147" fillId="2" borderId="3"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0" fontId="148"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12" borderId="1" xfId="0" applyFont="1" applyFill="1" applyBorder="1" applyAlignment="1">
      <alignment horizontal="center" vertical="center" wrapText="1"/>
    </xf>
    <xf numFmtId="0" fontId="148" fillId="11" borderId="3" xfId="0" applyFont="1" applyFill="1" applyBorder="1" applyAlignment="1">
      <alignment horizontal="center" vertical="center" wrapText="1"/>
    </xf>
    <xf numFmtId="0" fontId="148" fillId="2" borderId="3" xfId="0" applyFont="1" applyFill="1" applyBorder="1" applyAlignment="1">
      <alignment horizontal="center" vertical="center" wrapText="1"/>
    </xf>
    <xf numFmtId="0" fontId="149" fillId="0" borderId="1" xfId="0" applyFont="1" applyBorder="1" applyAlignment="1" applyProtection="1">
      <alignment horizontal="center" vertical="center" wrapText="1"/>
    </xf>
    <xf numFmtId="0" fontId="149" fillId="3" borderId="1" xfId="0" applyFont="1" applyFill="1" applyBorder="1" applyAlignment="1" applyProtection="1">
      <alignment horizontal="center" vertical="center" wrapText="1"/>
    </xf>
    <xf numFmtId="0" fontId="149" fillId="2" borderId="1" xfId="0" applyFont="1" applyFill="1" applyBorder="1" applyAlignment="1" applyProtection="1">
      <alignment horizontal="center" vertical="center" wrapText="1"/>
    </xf>
    <xf numFmtId="0" fontId="149" fillId="4" borderId="1" xfId="0" applyFont="1" applyFill="1" applyBorder="1" applyAlignment="1" applyProtection="1">
      <alignment horizontal="center" vertical="center" wrapText="1"/>
    </xf>
    <xf numFmtId="0" fontId="149" fillId="5" borderId="1" xfId="0" applyFont="1" applyFill="1" applyBorder="1" applyAlignment="1" applyProtection="1">
      <alignment horizontal="center" vertical="center" wrapText="1"/>
    </xf>
    <xf numFmtId="0" fontId="149" fillId="6" borderId="1" xfId="0" applyFont="1" applyFill="1" applyBorder="1" applyAlignment="1" applyProtection="1">
      <alignment horizontal="center" vertical="center" wrapText="1"/>
    </xf>
    <xf numFmtId="0" fontId="151" fillId="6" borderId="1" xfId="0" applyFont="1" applyFill="1" applyBorder="1" applyAlignment="1" applyProtection="1">
      <alignment horizontal="center" vertical="center" wrapText="1"/>
    </xf>
    <xf numFmtId="0" fontId="149" fillId="12" borderId="1" xfId="0" applyFont="1" applyFill="1" applyBorder="1" applyAlignment="1" applyProtection="1">
      <alignment horizontal="center" vertical="center" wrapText="1"/>
    </xf>
    <xf numFmtId="0" fontId="151" fillId="12" borderId="1" xfId="0" applyFont="1" applyFill="1" applyBorder="1" applyAlignment="1" applyProtection="1">
      <alignment horizontal="center" vertical="center" wrapText="1"/>
    </xf>
    <xf numFmtId="0" fontId="151" fillId="11" borderId="3" xfId="0" applyFont="1" applyFill="1" applyBorder="1" applyAlignment="1" applyProtection="1">
      <alignment horizontal="center" vertical="center" wrapText="1"/>
    </xf>
    <xf numFmtId="0" fontId="151" fillId="3" borderId="1" xfId="0" applyFont="1" applyFill="1" applyBorder="1" applyAlignment="1">
      <alignment horizontal="center" vertical="center" wrapText="1"/>
    </xf>
    <xf numFmtId="0" fontId="151" fillId="2" borderId="3" xfId="0" applyFont="1" applyFill="1" applyBorder="1" applyAlignment="1">
      <alignment horizontal="center" vertical="center" wrapText="1"/>
    </xf>
    <xf numFmtId="0" fontId="149" fillId="0" borderId="0" xfId="0" applyFont="1" applyAlignment="1">
      <alignment horizontal="center" vertical="center" wrapText="1"/>
    </xf>
    <xf numFmtId="0" fontId="1" fillId="0" borderId="1" xfId="0" applyFont="1" applyBorder="1" applyAlignment="1">
      <alignment wrapText="1"/>
    </xf>
    <xf numFmtId="0" fontId="1" fillId="0" borderId="1" xfId="0" applyFont="1" applyBorder="1" applyAlignment="1">
      <alignment horizontal="center" wrapText="1"/>
    </xf>
    <xf numFmtId="3" fontId="1" fillId="0" borderId="1" xfId="0" applyNumberFormat="1" applyFont="1" applyBorder="1" applyAlignment="1">
      <alignment wrapText="1"/>
    </xf>
    <xf numFmtId="164" fontId="1" fillId="0" borderId="1" xfId="0" applyNumberFormat="1" applyFont="1" applyBorder="1" applyAlignment="1">
      <alignment wrapText="1"/>
    </xf>
    <xf numFmtId="9" fontId="1" fillId="0" borderId="1" xfId="0" applyNumberFormat="1" applyFont="1" applyBorder="1" applyAlignment="1">
      <alignment horizontal="center" wrapText="1"/>
    </xf>
    <xf numFmtId="3" fontId="1" fillId="0" borderId="1" xfId="0" applyNumberFormat="1" applyFont="1" applyBorder="1" applyAlignment="1">
      <alignment horizontal="center" wrapText="1"/>
    </xf>
    <xf numFmtId="3" fontId="1" fillId="0" borderId="3" xfId="0" applyNumberFormat="1" applyFont="1" applyBorder="1" applyAlignment="1">
      <alignment horizontal="center" wrapText="1"/>
    </xf>
    <xf numFmtId="0" fontId="1" fillId="0" borderId="3" xfId="0" applyFont="1" applyBorder="1" applyAlignment="1"/>
    <xf numFmtId="0" fontId="148" fillId="0" borderId="11" xfId="0" applyFont="1" applyBorder="1"/>
    <xf numFmtId="0" fontId="1" fillId="0" borderId="11" xfId="0" applyFont="1" applyBorder="1"/>
    <xf numFmtId="0" fontId="1" fillId="8" borderId="16" xfId="0" applyFont="1" applyFill="1" applyBorder="1" applyAlignment="1">
      <alignment horizontal="center"/>
    </xf>
    <xf numFmtId="0" fontId="1" fillId="8" borderId="17" xfId="0" applyFont="1" applyFill="1" applyBorder="1"/>
    <xf numFmtId="0" fontId="1" fillId="8" borderId="18" xfId="0" applyFont="1" applyFill="1" applyBorder="1"/>
    <xf numFmtId="3" fontId="1" fillId="2" borderId="11" xfId="0" applyNumberFormat="1" applyFont="1" applyFill="1" applyBorder="1" applyAlignment="1">
      <alignment horizontal="center"/>
    </xf>
    <xf numFmtId="3" fontId="148" fillId="2" borderId="11" xfId="0" applyNumberFormat="1" applyFont="1" applyFill="1" applyBorder="1" applyAlignment="1">
      <alignment horizontal="center"/>
    </xf>
    <xf numFmtId="0" fontId="1" fillId="9" borderId="16" xfId="0" applyFont="1" applyFill="1" applyBorder="1"/>
    <xf numFmtId="0" fontId="1" fillId="9" borderId="17" xfId="0" applyFont="1" applyFill="1" applyBorder="1"/>
    <xf numFmtId="0" fontId="1" fillId="9" borderId="18" xfId="0" applyFont="1" applyFill="1" applyBorder="1"/>
    <xf numFmtId="3" fontId="148" fillId="34" borderId="11" xfId="0" applyNumberFormat="1" applyFont="1" applyFill="1" applyBorder="1" applyAlignment="1">
      <alignment horizontal="center"/>
    </xf>
    <xf numFmtId="3" fontId="148" fillId="4" borderId="11" xfId="0" applyNumberFormat="1" applyFont="1" applyFill="1" applyBorder="1" applyAlignment="1">
      <alignment horizontal="center"/>
    </xf>
    <xf numFmtId="3" fontId="148" fillId="5" borderId="11" xfId="0" applyNumberFormat="1" applyFont="1" applyFill="1" applyBorder="1" applyAlignment="1">
      <alignment horizontal="center"/>
    </xf>
    <xf numFmtId="3" fontId="148" fillId="6" borderId="11" xfId="0" applyNumberFormat="1" applyFont="1" applyFill="1" applyBorder="1" applyAlignment="1">
      <alignment horizontal="center"/>
    </xf>
    <xf numFmtId="3" fontId="148" fillId="12" borderId="11" xfId="0" applyNumberFormat="1" applyFont="1" applyFill="1" applyBorder="1" applyAlignment="1">
      <alignment horizontal="center"/>
    </xf>
    <xf numFmtId="3" fontId="148" fillId="11" borderId="11" xfId="0" applyNumberFormat="1" applyFont="1" applyFill="1" applyBorder="1" applyAlignment="1">
      <alignment horizontal="center"/>
    </xf>
    <xf numFmtId="0" fontId="1" fillId="9" borderId="19" xfId="0" applyFont="1" applyFill="1" applyBorder="1"/>
    <xf numFmtId="3" fontId="1" fillId="0" borderId="0" xfId="0" applyNumberFormat="1" applyFont="1"/>
    <xf numFmtId="3" fontId="1" fillId="0" borderId="1" xfId="0" applyNumberFormat="1" applyFont="1" applyBorder="1" applyAlignment="1">
      <alignment horizontal="center" vertical="center" wrapText="1"/>
    </xf>
    <xf numFmtId="3" fontId="1" fillId="0" borderId="1" xfId="0" applyNumberFormat="1" applyFont="1" applyBorder="1" applyAlignment="1">
      <alignment vertical="center" wrapText="1"/>
    </xf>
    <xf numFmtId="3" fontId="1" fillId="0" borderId="1" xfId="0" applyNumberFormat="1" applyFont="1" applyFill="1" applyBorder="1" applyAlignment="1">
      <alignment vertical="center" wrapText="1"/>
    </xf>
    <xf numFmtId="165" fontId="13" fillId="34" borderId="1" xfId="0" applyNumberFormat="1" applyFont="1" applyFill="1" applyBorder="1"/>
    <xf numFmtId="168" fontId="153" fillId="0" borderId="0" xfId="1" applyNumberFormat="1" applyFont="1"/>
    <xf numFmtId="168" fontId="153" fillId="34" borderId="0" xfId="1" applyNumberFormat="1" applyFont="1" applyFill="1"/>
    <xf numFmtId="9" fontId="12" fillId="0" borderId="0" xfId="3" applyFont="1"/>
    <xf numFmtId="166" fontId="12" fillId="0" borderId="0" xfId="0" applyNumberFormat="1" applyFont="1"/>
    <xf numFmtId="217" fontId="12" fillId="34" borderId="1" xfId="14455" applyNumberFormat="1" applyFont="1" applyFill="1" applyBorder="1"/>
    <xf numFmtId="217" fontId="12" fillId="0" borderId="1" xfId="14455" applyNumberFormat="1" applyFont="1" applyBorder="1"/>
    <xf numFmtId="168" fontId="12" fillId="0" borderId="0" xfId="0" applyNumberFormat="1" applyFont="1"/>
    <xf numFmtId="0" fontId="154" fillId="100" borderId="62" xfId="35353" applyFont="1" applyFill="1" applyBorder="1" applyAlignment="1">
      <alignment horizontal="left" indent="1"/>
    </xf>
    <xf numFmtId="167" fontId="12" fillId="0" borderId="1" xfId="14654" applyNumberFormat="1" applyFont="1" applyBorder="1"/>
    <xf numFmtId="168" fontId="13" fillId="3" borderId="64" xfId="1" applyNumberFormat="1" applyFont="1" applyFill="1" applyBorder="1" applyAlignment="1">
      <alignment horizontal="center"/>
    </xf>
    <xf numFmtId="168" fontId="13" fillId="3" borderId="65" xfId="1" applyNumberFormat="1" applyFont="1" applyFill="1" applyBorder="1" applyAlignment="1">
      <alignment horizontal="center"/>
    </xf>
    <xf numFmtId="0" fontId="13" fillId="3" borderId="65" xfId="0" applyFont="1" applyFill="1" applyBorder="1" applyAlignment="1">
      <alignment horizontal="center"/>
    </xf>
    <xf numFmtId="166" fontId="13" fillId="3" borderId="65" xfId="0" applyNumberFormat="1" applyFont="1" applyFill="1" applyBorder="1" applyAlignment="1">
      <alignment horizontal="center"/>
    </xf>
    <xf numFmtId="166" fontId="13" fillId="3" borderId="66" xfId="0" applyNumberFormat="1" applyFont="1" applyFill="1" applyBorder="1" applyAlignment="1">
      <alignment horizontal="center"/>
    </xf>
    <xf numFmtId="0" fontId="152" fillId="0" borderId="0" xfId="0" applyFont="1" applyAlignment="1">
      <alignment horizontal="right"/>
    </xf>
    <xf numFmtId="2" fontId="155" fillId="37" borderId="0" xfId="0" applyNumberFormat="1" applyFont="1" applyFill="1"/>
    <xf numFmtId="166" fontId="12" fillId="3" borderId="1" xfId="14654" applyNumberFormat="1" applyFont="1" applyFill="1" applyBorder="1"/>
    <xf numFmtId="5" fontId="13" fillId="34" borderId="1" xfId="1" applyNumberFormat="1" applyFont="1" applyFill="1" applyBorder="1"/>
    <xf numFmtId="171" fontId="13" fillId="34" borderId="1" xfId="1" applyNumberFormat="1" applyFont="1" applyFill="1" applyBorder="1"/>
    <xf numFmtId="43" fontId="13" fillId="34" borderId="1" xfId="1" applyNumberFormat="1" applyFont="1" applyFill="1" applyBorder="1" applyAlignment="1">
      <alignment horizontal="right"/>
    </xf>
    <xf numFmtId="220" fontId="13" fillId="34" borderId="1" xfId="1" applyNumberFormat="1" applyFont="1" applyFill="1" applyBorder="1" applyAlignment="1">
      <alignment horizontal="right"/>
    </xf>
    <xf numFmtId="0" fontId="156" fillId="0" borderId="0" xfId="0" applyFont="1" applyFill="1" applyBorder="1"/>
    <xf numFmtId="9" fontId="12" fillId="0" borderId="0" xfId="3" applyFont="1" applyFill="1" applyBorder="1"/>
    <xf numFmtId="43" fontId="156" fillId="0" borderId="0" xfId="1" applyFont="1" applyFill="1" applyBorder="1"/>
    <xf numFmtId="168" fontId="156" fillId="0" borderId="0" xfId="1" applyNumberFormat="1" applyFont="1" applyFill="1" applyBorder="1"/>
    <xf numFmtId="171" fontId="156" fillId="0" borderId="0" xfId="1" applyNumberFormat="1" applyFont="1" applyFill="1" applyBorder="1"/>
    <xf numFmtId="0" fontId="157" fillId="0" borderId="0" xfId="0" applyFont="1" applyFill="1" applyBorder="1"/>
    <xf numFmtId="218" fontId="156" fillId="0" borderId="0" xfId="1" applyNumberFormat="1" applyFont="1" applyFill="1" applyBorder="1"/>
    <xf numFmtId="219" fontId="156" fillId="0" borderId="0" xfId="1" applyNumberFormat="1" applyFont="1" applyFill="1" applyBorder="1"/>
    <xf numFmtId="3" fontId="1" fillId="0" borderId="1" xfId="0" applyNumberFormat="1" applyFont="1" applyFill="1" applyBorder="1" applyAlignment="1">
      <alignment horizontal="center" vertical="center" wrapText="1"/>
    </xf>
    <xf numFmtId="171" fontId="12" fillId="0" borderId="1" xfId="1" applyNumberFormat="1" applyFont="1" applyBorder="1"/>
    <xf numFmtId="171" fontId="18" fillId="0" borderId="1" xfId="1" applyNumberFormat="1" applyFont="1" applyBorder="1"/>
    <xf numFmtId="43" fontId="12" fillId="34" borderId="1" xfId="1" applyNumberFormat="1" applyFont="1" applyFill="1" applyBorder="1" applyAlignment="1">
      <alignment horizontal="right"/>
    </xf>
    <xf numFmtId="0" fontId="1" fillId="0" borderId="0" xfId="0" applyFont="1" applyFill="1" applyBorder="1" applyAlignment="1">
      <alignment vertical="center" wrapText="1"/>
    </xf>
    <xf numFmtId="3" fontId="0" fillId="0" borderId="0" xfId="0" applyNumberFormat="1" applyFont="1"/>
    <xf numFmtId="0" fontId="1" fillId="0" borderId="1" xfId="0" applyFont="1" applyFill="1" applyBorder="1" applyAlignment="1">
      <alignment vertical="center"/>
    </xf>
    <xf numFmtId="0" fontId="158" fillId="0" borderId="1" xfId="0" applyFont="1" applyFill="1" applyBorder="1" applyAlignment="1">
      <alignment vertical="center" wrapText="1"/>
    </xf>
    <xf numFmtId="3" fontId="158" fillId="0" borderId="1" xfId="0" applyNumberFormat="1" applyFont="1" applyFill="1" applyBorder="1" applyAlignment="1">
      <alignment horizontal="center" vertical="center" wrapText="1"/>
    </xf>
    <xf numFmtId="3" fontId="158" fillId="0" borderId="1" xfId="0" applyNumberFormat="1" applyFont="1" applyFill="1" applyBorder="1" applyAlignment="1">
      <alignment vertical="center" wrapText="1"/>
    </xf>
    <xf numFmtId="0" fontId="0" fillId="0" borderId="0" xfId="0" applyFont="1" applyFill="1"/>
    <xf numFmtId="3" fontId="0" fillId="0" borderId="0" xfId="0" applyNumberFormat="1" applyFont="1" applyFill="1"/>
    <xf numFmtId="0" fontId="1" fillId="0" borderId="0" xfId="0" applyFont="1" applyFill="1" applyBorder="1" applyAlignment="1">
      <alignment horizontal="right" vertical="center" wrapText="1"/>
    </xf>
    <xf numFmtId="3" fontId="0" fillId="0" borderId="0" xfId="0" applyNumberFormat="1" applyFont="1" applyFill="1" applyAlignment="1">
      <alignment horizontal="right"/>
    </xf>
    <xf numFmtId="3" fontId="0" fillId="0" borderId="0" xfId="0" applyNumberFormat="1" applyFont="1" applyAlignment="1">
      <alignment horizontal="right"/>
    </xf>
    <xf numFmtId="0" fontId="0" fillId="0" borderId="0" xfId="0" applyFont="1" applyFill="1" applyAlignment="1">
      <alignment horizontal="right"/>
    </xf>
    <xf numFmtId="0" fontId="0" fillId="0" borderId="0" xfId="0" applyFont="1" applyAlignment="1">
      <alignment horizontal="right"/>
    </xf>
    <xf numFmtId="0" fontId="1" fillId="34" borderId="1" xfId="0" applyFont="1" applyFill="1" applyBorder="1" applyAlignment="1">
      <alignment vertical="center" wrapText="1"/>
    </xf>
    <xf numFmtId="3" fontId="1" fillId="34" borderId="1" xfId="0" applyNumberFormat="1" applyFont="1" applyFill="1" applyBorder="1" applyAlignment="1">
      <alignment horizontal="center" vertical="center" wrapText="1"/>
    </xf>
    <xf numFmtId="3" fontId="1" fillId="34" borderId="1" xfId="0" applyNumberFormat="1" applyFont="1" applyFill="1" applyBorder="1" applyAlignment="1">
      <alignment vertical="center" wrapText="1"/>
    </xf>
    <xf numFmtId="0" fontId="1" fillId="34" borderId="1" xfId="0" applyFont="1" applyFill="1" applyBorder="1" applyAlignment="1">
      <alignment vertical="center"/>
    </xf>
    <xf numFmtId="171" fontId="13" fillId="0" borderId="1" xfId="1" applyNumberFormat="1" applyFont="1" applyFill="1" applyBorder="1" applyAlignment="1">
      <alignment horizontal="right"/>
    </xf>
    <xf numFmtId="0" fontId="12" fillId="0" borderId="1" xfId="0" applyFont="1" applyFill="1" applyBorder="1"/>
    <xf numFmtId="0" fontId="12" fillId="101" borderId="0" xfId="0" applyFont="1" applyFill="1"/>
    <xf numFmtId="0" fontId="156" fillId="101" borderId="0" xfId="0" applyFont="1" applyFill="1" applyBorder="1"/>
    <xf numFmtId="9" fontId="12" fillId="101" borderId="0" xfId="3" applyFont="1" applyFill="1" applyBorder="1"/>
    <xf numFmtId="43" fontId="156" fillId="101" borderId="0" xfId="1" applyFont="1" applyFill="1" applyBorder="1"/>
    <xf numFmtId="168" fontId="156" fillId="101" borderId="0" xfId="1" applyNumberFormat="1" applyFont="1" applyFill="1" applyBorder="1"/>
    <xf numFmtId="171" fontId="13" fillId="34" borderId="1" xfId="1" applyNumberFormat="1" applyFont="1" applyFill="1" applyBorder="1" applyAlignment="1">
      <alignment horizontal="left"/>
    </xf>
    <xf numFmtId="168" fontId="12" fillId="0" borderId="1" xfId="1" applyNumberFormat="1" applyFont="1" applyFill="1" applyBorder="1"/>
    <xf numFmtId="9" fontId="12" fillId="0" borderId="1" xfId="3" applyFont="1" applyFill="1" applyBorder="1"/>
    <xf numFmtId="171" fontId="13" fillId="0" borderId="1" xfId="1" applyNumberFormat="1" applyFont="1" applyFill="1" applyBorder="1" applyAlignment="1">
      <alignment horizontal="left"/>
    </xf>
    <xf numFmtId="0" fontId="1" fillId="0" borderId="1" xfId="0" applyFont="1" applyBorder="1" applyAlignment="1"/>
    <xf numFmtId="0" fontId="1" fillId="37" borderId="1" xfId="0" applyFont="1" applyFill="1" applyBorder="1" applyAlignment="1">
      <alignment wrapText="1"/>
    </xf>
    <xf numFmtId="3" fontId="1" fillId="37" borderId="1" xfId="0" applyNumberFormat="1" applyFont="1" applyFill="1" applyBorder="1" applyAlignment="1">
      <alignment horizontal="center" wrapText="1"/>
    </xf>
    <xf numFmtId="3" fontId="1" fillId="37" borderId="1" xfId="0" applyNumberFormat="1" applyFont="1" applyFill="1" applyBorder="1" applyAlignment="1">
      <alignment wrapText="1"/>
    </xf>
    <xf numFmtId="164" fontId="1" fillId="37" borderId="1" xfId="0" applyNumberFormat="1" applyFont="1" applyFill="1" applyBorder="1" applyAlignment="1">
      <alignment wrapText="1"/>
    </xf>
    <xf numFmtId="0" fontId="18" fillId="13" borderId="1" xfId="0" applyFont="1" applyFill="1" applyBorder="1" applyAlignment="1">
      <alignment horizontal="center"/>
    </xf>
    <xf numFmtId="43" fontId="13" fillId="102" borderId="1" xfId="1" applyNumberFormat="1" applyFont="1" applyFill="1" applyBorder="1" applyAlignment="1">
      <alignment horizontal="right"/>
    </xf>
    <xf numFmtId="0" fontId="12" fillId="98" borderId="1" xfId="0" applyFont="1" applyFill="1" applyBorder="1" applyAlignment="1"/>
    <xf numFmtId="0" fontId="12" fillId="102" borderId="1" xfId="0" applyFont="1" applyFill="1" applyBorder="1" applyAlignment="1"/>
    <xf numFmtId="9" fontId="12" fillId="98" borderId="1" xfId="3" applyFont="1" applyFill="1" applyBorder="1" applyAlignment="1"/>
    <xf numFmtId="173" fontId="12" fillId="98" borderId="1" xfId="0" applyNumberFormat="1" applyFont="1" applyFill="1" applyBorder="1" applyAlignment="1"/>
    <xf numFmtId="0" fontId="13" fillId="102" borderId="1" xfId="0" applyFont="1" applyFill="1" applyBorder="1" applyAlignment="1"/>
    <xf numFmtId="0" fontId="13" fillId="102" borderId="1" xfId="0" applyFont="1" applyFill="1" applyBorder="1" applyAlignment="1">
      <alignment horizontal="left"/>
    </xf>
    <xf numFmtId="43" fontId="13" fillId="98" borderId="1" xfId="1" applyNumberFormat="1" applyFont="1" applyFill="1" applyBorder="1" applyAlignment="1"/>
    <xf numFmtId="9" fontId="13" fillId="98" borderId="1" xfId="3" applyFont="1" applyFill="1" applyBorder="1" applyAlignment="1"/>
    <xf numFmtId="168" fontId="13" fillId="98" borderId="1" xfId="1" applyNumberFormat="1" applyFont="1" applyFill="1" applyBorder="1" applyAlignment="1"/>
    <xf numFmtId="169" fontId="13" fillId="98" borderId="1" xfId="3" applyNumberFormat="1" applyFont="1" applyFill="1" applyBorder="1" applyAlignment="1"/>
    <xf numFmtId="3" fontId="13" fillId="102" borderId="1" xfId="3" applyNumberFormat="1" applyFont="1" applyFill="1" applyBorder="1" applyAlignment="1"/>
    <xf numFmtId="168" fontId="13" fillId="102" borderId="1" xfId="1" applyNumberFormat="1" applyFont="1" applyFill="1" applyBorder="1" applyAlignment="1"/>
    <xf numFmtId="3" fontId="13" fillId="102" borderId="1" xfId="0" applyNumberFormat="1" applyFont="1" applyFill="1" applyBorder="1" applyAlignment="1"/>
    <xf numFmtId="9" fontId="13" fillId="98" borderId="1" xfId="0" applyNumberFormat="1" applyFont="1" applyFill="1" applyBorder="1" applyAlignment="1"/>
    <xf numFmtId="9" fontId="13" fillId="102" borderId="1" xfId="3" applyFont="1" applyFill="1" applyBorder="1" applyAlignment="1"/>
    <xf numFmtId="10" fontId="13" fillId="98" borderId="1" xfId="0" applyNumberFormat="1" applyFont="1" applyFill="1" applyBorder="1" applyAlignment="1"/>
    <xf numFmtId="10" fontId="13" fillId="98" borderId="1" xfId="3" applyNumberFormat="1" applyFont="1" applyFill="1" applyBorder="1" applyAlignment="1"/>
    <xf numFmtId="1" fontId="13" fillId="98" borderId="1" xfId="3" applyNumberFormat="1" applyFont="1" applyFill="1" applyBorder="1" applyAlignment="1"/>
    <xf numFmtId="9" fontId="13" fillId="98" borderId="1" xfId="3" applyNumberFormat="1" applyFont="1" applyFill="1" applyBorder="1" applyAlignment="1"/>
    <xf numFmtId="169" fontId="13" fillId="98" borderId="1" xfId="0" applyNumberFormat="1" applyFont="1" applyFill="1" applyBorder="1" applyAlignment="1"/>
    <xf numFmtId="0" fontId="16" fillId="98" borderId="1" xfId="4" applyFont="1" applyFill="1" applyBorder="1" applyAlignment="1"/>
    <xf numFmtId="3" fontId="13" fillId="98" borderId="1" xfId="0" applyNumberFormat="1" applyFont="1" applyFill="1" applyBorder="1" applyAlignment="1"/>
    <xf numFmtId="170" fontId="13" fillId="98" borderId="1" xfId="0" applyNumberFormat="1" applyFont="1" applyFill="1" applyBorder="1" applyAlignment="1"/>
    <xf numFmtId="0" fontId="13" fillId="98" borderId="1" xfId="4" applyFont="1" applyFill="1" applyBorder="1" applyAlignment="1"/>
    <xf numFmtId="0" fontId="17" fillId="98" borderId="1" xfId="0" applyFont="1" applyFill="1" applyBorder="1" applyAlignment="1"/>
    <xf numFmtId="169" fontId="17" fillId="98" borderId="1" xfId="3" applyNumberFormat="1" applyFont="1" applyFill="1" applyBorder="1" applyAlignment="1"/>
    <xf numFmtId="169" fontId="13" fillId="102" borderId="1" xfId="3" applyNumberFormat="1" applyFont="1" applyFill="1" applyBorder="1" applyAlignment="1"/>
    <xf numFmtId="43" fontId="12" fillId="98" borderId="1" xfId="1" applyFont="1" applyFill="1" applyBorder="1" applyAlignment="1"/>
    <xf numFmtId="171" fontId="12" fillId="98" borderId="1" xfId="1" applyNumberFormat="1" applyFont="1" applyFill="1" applyBorder="1" applyAlignment="1"/>
    <xf numFmtId="165" fontId="12" fillId="98" borderId="1" xfId="0" applyNumberFormat="1" applyFont="1" applyFill="1" applyBorder="1" applyAlignment="1"/>
    <xf numFmtId="0" fontId="12" fillId="98" borderId="1" xfId="0" applyFont="1" applyFill="1" applyBorder="1" applyAlignment="1">
      <alignment vertical="center"/>
    </xf>
    <xf numFmtId="9" fontId="12" fillId="98" borderId="1" xfId="0" applyNumberFormat="1" applyFont="1" applyFill="1" applyBorder="1" applyAlignment="1"/>
    <xf numFmtId="2" fontId="13" fillId="102" borderId="1" xfId="0" applyNumberFormat="1" applyFont="1" applyFill="1" applyBorder="1" applyAlignment="1"/>
    <xf numFmtId="39" fontId="13" fillId="102" borderId="1" xfId="1" applyNumberFormat="1" applyFont="1" applyFill="1" applyBorder="1" applyAlignment="1"/>
    <xf numFmtId="165" fontId="13" fillId="102" borderId="1" xfId="0" applyNumberFormat="1" applyFont="1" applyFill="1" applyBorder="1" applyAlignment="1"/>
    <xf numFmtId="172" fontId="13" fillId="102" borderId="1" xfId="3" applyNumberFormat="1" applyFont="1" applyFill="1" applyBorder="1" applyAlignment="1"/>
    <xf numFmtId="172" fontId="13" fillId="102" borderId="1" xfId="0" applyNumberFormat="1" applyFont="1" applyFill="1" applyBorder="1" applyAlignment="1"/>
    <xf numFmtId="0" fontId="18" fillId="13" borderId="1" xfId="0" applyFont="1" applyFill="1" applyBorder="1" applyAlignment="1">
      <alignment vertical="center"/>
    </xf>
    <xf numFmtId="168" fontId="18" fillId="13" borderId="1" xfId="1" applyNumberFormat="1" applyFont="1" applyFill="1" applyBorder="1" applyAlignment="1">
      <alignment horizontal="center" vertical="center"/>
    </xf>
    <xf numFmtId="9" fontId="18" fillId="13" borderId="1" xfId="3" applyFont="1" applyFill="1" applyBorder="1" applyAlignment="1">
      <alignment horizontal="center" vertical="center"/>
    </xf>
    <xf numFmtId="0" fontId="18" fillId="13" borderId="1" xfId="1" applyNumberFormat="1" applyFont="1" applyFill="1" applyBorder="1" applyAlignment="1">
      <alignment horizontal="center" vertical="center"/>
    </xf>
    <xf numFmtId="0" fontId="18" fillId="13" borderId="2" xfId="0" applyFont="1" applyFill="1" applyBorder="1" applyAlignment="1">
      <alignment horizontal="center"/>
    </xf>
    <xf numFmtId="0" fontId="18" fillId="13" borderId="2" xfId="0" applyFont="1" applyFill="1" applyBorder="1" applyAlignment="1">
      <alignment horizontal="left"/>
    </xf>
    <xf numFmtId="171" fontId="13" fillId="102" borderId="1" xfId="1" applyNumberFormat="1" applyFont="1" applyFill="1" applyBorder="1" applyAlignment="1">
      <alignment horizontal="right"/>
    </xf>
    <xf numFmtId="171" fontId="13" fillId="102" borderId="1" xfId="1" quotePrefix="1" applyNumberFormat="1" applyFont="1" applyFill="1" applyBorder="1" applyAlignment="1">
      <alignment horizontal="right"/>
    </xf>
    <xf numFmtId="0" fontId="1" fillId="37" borderId="1" xfId="0" applyFont="1" applyFill="1" applyBorder="1" applyAlignment="1"/>
    <xf numFmtId="1" fontId="12" fillId="34" borderId="1" xfId="3" applyNumberFormat="1" applyFont="1" applyFill="1" applyBorder="1"/>
    <xf numFmtId="0" fontId="1" fillId="0" borderId="67" xfId="0" applyFont="1" applyBorder="1" applyAlignment="1">
      <alignment vertical="center" wrapText="1"/>
    </xf>
    <xf numFmtId="1" fontId="1" fillId="0" borderId="1" xfId="0" applyNumberFormat="1" applyFont="1" applyBorder="1" applyAlignment="1">
      <alignment wrapText="1"/>
    </xf>
    <xf numFmtId="43" fontId="12" fillId="0" borderId="0" xfId="1" applyNumberFormat="1" applyFont="1"/>
    <xf numFmtId="43" fontId="18" fillId="13" borderId="1" xfId="1" applyNumberFormat="1" applyFont="1" applyFill="1" applyBorder="1" applyAlignment="1">
      <alignment horizontal="center" vertical="center"/>
    </xf>
    <xf numFmtId="43" fontId="12" fillId="0" borderId="0" xfId="1" applyNumberFormat="1" applyFont="1" applyAlignment="1">
      <alignment horizontal="right"/>
    </xf>
    <xf numFmtId="0" fontId="0" fillId="34" borderId="0" xfId="0" applyFill="1"/>
    <xf numFmtId="1" fontId="12" fillId="102" borderId="1" xfId="3" applyNumberFormat="1" applyFont="1" applyFill="1" applyBorder="1"/>
    <xf numFmtId="9" fontId="1" fillId="0" borderId="0" xfId="3" applyFont="1" applyAlignment="1">
      <alignment wrapText="1"/>
    </xf>
    <xf numFmtId="0" fontId="1" fillId="0" borderId="68" xfId="0" applyFont="1" applyBorder="1" applyAlignment="1">
      <alignment vertical="center" wrapText="1"/>
    </xf>
    <xf numFmtId="0" fontId="1" fillId="0" borderId="63" xfId="0" applyFont="1" applyBorder="1" applyAlignment="1">
      <alignment horizontal="center" vertical="center" wrapText="1"/>
    </xf>
    <xf numFmtId="1" fontId="12" fillId="0" borderId="1" xfId="3" applyNumberFormat="1" applyFont="1" applyFill="1" applyBorder="1"/>
    <xf numFmtId="168" fontId="0" fillId="34" borderId="0" xfId="1" applyNumberFormat="1" applyFont="1" applyFill="1"/>
    <xf numFmtId="43" fontId="161" fillId="104" borderId="1" xfId="1" applyNumberFormat="1" applyFont="1" applyFill="1" applyBorder="1" applyAlignment="1">
      <alignment horizontal="right"/>
    </xf>
    <xf numFmtId="0" fontId="0" fillId="34" borderId="0" xfId="0" applyFont="1" applyFill="1"/>
    <xf numFmtId="43" fontId="12" fillId="34" borderId="1" xfId="0" applyNumberFormat="1" applyFont="1" applyFill="1" applyBorder="1"/>
    <xf numFmtId="43" fontId="12" fillId="94" borderId="1" xfId="0" applyNumberFormat="1" applyFont="1" applyFill="1" applyBorder="1"/>
    <xf numFmtId="0" fontId="152" fillId="0" borderId="0" xfId="0" applyFont="1"/>
    <xf numFmtId="0" fontId="159" fillId="105" borderId="1" xfId="0" applyFont="1" applyFill="1" applyBorder="1" applyAlignment="1">
      <alignment horizontal="center" vertical="center" wrapText="1"/>
    </xf>
    <xf numFmtId="0" fontId="162" fillId="101" borderId="1" xfId="0" applyFont="1" applyFill="1" applyBorder="1" applyAlignment="1">
      <alignment horizontal="center" vertical="center" wrapText="1"/>
    </xf>
    <xf numFmtId="0" fontId="0" fillId="0" borderId="1" xfId="0" applyBorder="1" applyAlignment="1">
      <alignment vertical="center"/>
    </xf>
    <xf numFmtId="0" fontId="0" fillId="0" borderId="1" xfId="0" applyBorder="1" applyAlignment="1">
      <alignment horizontal="left" vertical="center"/>
    </xf>
    <xf numFmtId="0" fontId="0" fillId="0" borderId="1" xfId="0" applyBorder="1"/>
    <xf numFmtId="0" fontId="103" fillId="0" borderId="1" xfId="0" applyFont="1" applyBorder="1" applyAlignment="1">
      <alignment vertical="center"/>
    </xf>
    <xf numFmtId="0" fontId="155" fillId="0" borderId="1" xfId="0" applyFont="1" applyBorder="1" applyAlignment="1">
      <alignment vertical="center"/>
    </xf>
    <xf numFmtId="0" fontId="12" fillId="6" borderId="1" xfId="0" applyFont="1" applyFill="1" applyBorder="1" applyAlignment="1"/>
    <xf numFmtId="43" fontId="12" fillId="6" borderId="1" xfId="1" applyFont="1" applyFill="1" applyBorder="1" applyAlignment="1"/>
    <xf numFmtId="165" fontId="12" fillId="98" borderId="1" xfId="0" applyNumberFormat="1" applyFont="1" applyFill="1" applyBorder="1"/>
    <xf numFmtId="0" fontId="0" fillId="0" borderId="1" xfId="0" quotePrefix="1" applyBorder="1"/>
    <xf numFmtId="172" fontId="12" fillId="6" borderId="1" xfId="0" applyNumberFormat="1" applyFont="1" applyFill="1" applyBorder="1" applyAlignment="1"/>
    <xf numFmtId="0" fontId="13" fillId="6" borderId="1" xfId="0" applyFont="1" applyFill="1" applyBorder="1" applyAlignment="1">
      <alignment horizontal="left"/>
    </xf>
    <xf numFmtId="168" fontId="13" fillId="6" borderId="1" xfId="1" applyNumberFormat="1" applyFont="1" applyFill="1" applyBorder="1" applyAlignment="1"/>
    <xf numFmtId="0" fontId="13" fillId="6" borderId="1" xfId="0" applyFont="1" applyFill="1" applyBorder="1" applyAlignment="1"/>
    <xf numFmtId="0" fontId="148" fillId="2" borderId="5" xfId="0" applyFont="1" applyFill="1" applyBorder="1" applyAlignment="1">
      <alignment horizontal="center" vertical="center" wrapText="1"/>
    </xf>
    <xf numFmtId="3" fontId="158" fillId="0" borderId="1" xfId="0" applyNumberFormat="1" applyFont="1" applyBorder="1" applyAlignment="1">
      <alignment horizontal="center" vertical="center" wrapText="1"/>
    </xf>
    <xf numFmtId="43" fontId="13" fillId="6" borderId="1" xfId="1" applyNumberFormat="1" applyFont="1" applyFill="1" applyBorder="1" applyAlignment="1">
      <alignment horizontal="right"/>
    </xf>
    <xf numFmtId="0" fontId="13" fillId="6" borderId="1" xfId="0" applyFont="1" applyFill="1" applyBorder="1"/>
    <xf numFmtId="9" fontId="13" fillId="6" borderId="1" xfId="0" applyNumberFormat="1" applyFont="1" applyFill="1" applyBorder="1"/>
    <xf numFmtId="0" fontId="148" fillId="2" borderId="5" xfId="0" applyFont="1" applyFill="1" applyBorder="1" applyAlignment="1">
      <alignment horizontal="center" vertical="center" wrapText="1"/>
    </xf>
    <xf numFmtId="0" fontId="165" fillId="0" borderId="0" xfId="0" applyFont="1"/>
    <xf numFmtId="0" fontId="166" fillId="0" borderId="0" xfId="0" applyFont="1"/>
    <xf numFmtId="0" fontId="167" fillId="0" borderId="0" xfId="0" applyFont="1" applyAlignment="1">
      <alignment wrapText="1"/>
    </xf>
    <xf numFmtId="0" fontId="167" fillId="2" borderId="1" xfId="0" applyFont="1" applyFill="1" applyBorder="1" applyAlignment="1">
      <alignment horizontal="center" vertical="center" wrapText="1"/>
    </xf>
    <xf numFmtId="0" fontId="167" fillId="106" borderId="1" xfId="0" applyFont="1" applyFill="1" applyBorder="1" applyAlignment="1">
      <alignment horizontal="center" vertical="center" wrapText="1"/>
    </xf>
    <xf numFmtId="0" fontId="169" fillId="2" borderId="1" xfId="0" applyFont="1" applyFill="1" applyBorder="1" applyAlignment="1">
      <alignment horizontal="center" vertical="center" wrapText="1"/>
    </xf>
    <xf numFmtId="0" fontId="169" fillId="106" borderId="1" xfId="0" applyFont="1" applyFill="1" applyBorder="1" applyAlignment="1">
      <alignment horizontal="center" vertical="center" wrapText="1"/>
    </xf>
    <xf numFmtId="0" fontId="1" fillId="6" borderId="1" xfId="0" applyFont="1" applyFill="1" applyBorder="1" applyAlignment="1">
      <alignment wrapText="1"/>
    </xf>
    <xf numFmtId="168" fontId="1" fillId="0" borderId="1" xfId="1" applyNumberFormat="1" applyFont="1" applyBorder="1" applyAlignment="1">
      <alignment wrapText="1"/>
    </xf>
    <xf numFmtId="1" fontId="12" fillId="6" borderId="1" xfId="3" applyNumberFormat="1" applyFont="1" applyFill="1" applyBorder="1"/>
    <xf numFmtId="0" fontId="170" fillId="0" borderId="0" xfId="0" applyFont="1" applyAlignment="1">
      <alignment wrapText="1"/>
    </xf>
    <xf numFmtId="0" fontId="167" fillId="107" borderId="1" xfId="0" applyFont="1" applyFill="1" applyBorder="1" applyAlignment="1">
      <alignment horizontal="center" vertical="center" wrapText="1"/>
    </xf>
    <xf numFmtId="0" fontId="169" fillId="107" borderId="1" xfId="0" applyFont="1" applyFill="1" applyBorder="1" applyAlignment="1">
      <alignment horizontal="center" vertical="center" wrapText="1"/>
    </xf>
    <xf numFmtId="168" fontId="1" fillId="0" borderId="1" xfId="1" applyNumberFormat="1" applyFont="1" applyBorder="1" applyAlignment="1">
      <alignment vertical="center" wrapText="1"/>
    </xf>
    <xf numFmtId="168" fontId="148" fillId="2" borderId="1" xfId="0" applyNumberFormat="1" applyFont="1" applyFill="1" applyBorder="1" applyAlignment="1">
      <alignment vertical="center"/>
    </xf>
    <xf numFmtId="168" fontId="148" fillId="0" borderId="1" xfId="0" applyNumberFormat="1" applyFont="1" applyBorder="1" applyAlignment="1">
      <alignment vertical="center"/>
    </xf>
    <xf numFmtId="168" fontId="148" fillId="106" borderId="1" xfId="0" applyNumberFormat="1" applyFont="1" applyFill="1" applyBorder="1" applyAlignment="1">
      <alignment vertical="center"/>
    </xf>
    <xf numFmtId="43" fontId="148" fillId="2" borderId="1" xfId="0" applyNumberFormat="1" applyFont="1" applyFill="1" applyBorder="1"/>
    <xf numFmtId="43" fontId="148" fillId="106" borderId="1" xfId="1" applyFont="1" applyFill="1" applyBorder="1"/>
    <xf numFmtId="2" fontId="1" fillId="0" borderId="0" xfId="0" applyNumberFormat="1" applyFont="1"/>
    <xf numFmtId="43" fontId="1" fillId="0" borderId="0" xfId="0" applyNumberFormat="1" applyFont="1"/>
    <xf numFmtId="0" fontId="148" fillId="0" borderId="0" xfId="0" applyFont="1" applyAlignment="1">
      <alignment horizontal="right"/>
    </xf>
    <xf numFmtId="0" fontId="158" fillId="0" borderId="3" xfId="0" applyFont="1" applyBorder="1" applyAlignment="1">
      <alignment vertical="center" wrapText="1"/>
    </xf>
    <xf numFmtId="0" fontId="171" fillId="103" borderId="1" xfId="1" applyNumberFormat="1" applyFont="1" applyFill="1" applyBorder="1" applyAlignment="1">
      <alignment horizontal="center" vertical="center" wrapText="1"/>
    </xf>
    <xf numFmtId="0" fontId="155" fillId="34" borderId="0" xfId="0" applyFont="1" applyFill="1"/>
    <xf numFmtId="0" fontId="167" fillId="107" borderId="1" xfId="0" applyFont="1" applyFill="1" applyBorder="1" applyAlignment="1">
      <alignment horizontal="center" vertical="center" wrapText="1"/>
    </xf>
    <xf numFmtId="0" fontId="167" fillId="106" borderId="1" xfId="0" applyFont="1" applyFill="1" applyBorder="1" applyAlignment="1">
      <alignment horizontal="center" vertical="center" wrapText="1"/>
    </xf>
    <xf numFmtId="0" fontId="148" fillId="4" borderId="1" xfId="0" applyFont="1" applyFill="1" applyBorder="1" applyAlignment="1">
      <alignment horizontal="center" vertical="center" wrapText="1"/>
    </xf>
    <xf numFmtId="0" fontId="148" fillId="5" borderId="4" xfId="0" applyFont="1" applyFill="1" applyBorder="1" applyAlignment="1">
      <alignment horizontal="center" vertical="center" wrapText="1"/>
    </xf>
    <xf numFmtId="0" fontId="148" fillId="6" borderId="1" xfId="0" applyFont="1" applyFill="1" applyBorder="1" applyAlignment="1">
      <alignment horizontal="center" vertical="center" wrapText="1"/>
    </xf>
    <xf numFmtId="0" fontId="148" fillId="7" borderId="3" xfId="0" applyFont="1" applyFill="1" applyBorder="1" applyAlignment="1">
      <alignment horizontal="center" vertical="center" wrapText="1"/>
    </xf>
    <xf numFmtId="0" fontId="148" fillId="7" borderId="43" xfId="0" applyFont="1" applyFill="1" applyBorder="1" applyAlignment="1">
      <alignment horizontal="center" vertical="center" wrapText="1"/>
    </xf>
    <xf numFmtId="0" fontId="148" fillId="7" borderId="5" xfId="0" applyFont="1" applyFill="1" applyBorder="1" applyAlignment="1">
      <alignment horizontal="center" vertical="center" wrapText="1"/>
    </xf>
    <xf numFmtId="0" fontId="148" fillId="12" borderId="1" xfId="0" applyFont="1" applyFill="1" applyBorder="1" applyAlignment="1">
      <alignment horizontal="center" vertical="center" wrapText="1"/>
    </xf>
    <xf numFmtId="0" fontId="168" fillId="2" borderId="64" xfId="0" applyFont="1" applyFill="1" applyBorder="1" applyAlignment="1">
      <alignment horizontal="center" vertical="center" wrapText="1"/>
    </xf>
    <xf numFmtId="0" fontId="168" fillId="2" borderId="68" xfId="0" applyFont="1" applyFill="1" applyBorder="1" applyAlignment="1">
      <alignment horizontal="center" vertical="center" wrapText="1"/>
    </xf>
    <xf numFmtId="0" fontId="168" fillId="2" borderId="66" xfId="0" applyFont="1" applyFill="1" applyBorder="1" applyAlignment="1">
      <alignment horizontal="center" vertical="center" wrapText="1"/>
    </xf>
    <xf numFmtId="0" fontId="168" fillId="2" borderId="7" xfId="0" applyFont="1" applyFill="1" applyBorder="1" applyAlignment="1">
      <alignment horizontal="center" vertical="center" wrapText="1"/>
    </xf>
    <xf numFmtId="0" fontId="168" fillId="2" borderId="63" xfId="0" applyFont="1" applyFill="1" applyBorder="1" applyAlignment="1">
      <alignment horizontal="center" vertical="center" wrapText="1"/>
    </xf>
    <xf numFmtId="0" fontId="168" fillId="2" borderId="62" xfId="0" applyFont="1" applyFill="1" applyBorder="1" applyAlignment="1">
      <alignment horizontal="center" vertical="center" wrapText="1"/>
    </xf>
    <xf numFmtId="0" fontId="168" fillId="106" borderId="64" xfId="0" applyFont="1" applyFill="1" applyBorder="1" applyAlignment="1">
      <alignment horizontal="center" vertical="center" wrapText="1"/>
    </xf>
    <xf numFmtId="0" fontId="168" fillId="106" borderId="68" xfId="0" applyFont="1" applyFill="1" applyBorder="1" applyAlignment="1">
      <alignment horizontal="center" vertical="center" wrapText="1"/>
    </xf>
    <xf numFmtId="0" fontId="168" fillId="106" borderId="66" xfId="0" applyFont="1" applyFill="1" applyBorder="1" applyAlignment="1">
      <alignment horizontal="center" vertical="center" wrapText="1"/>
    </xf>
    <xf numFmtId="0" fontId="168" fillId="106" borderId="7" xfId="0" applyFont="1" applyFill="1" applyBorder="1" applyAlignment="1">
      <alignment horizontal="center" vertical="center" wrapText="1"/>
    </xf>
    <xf numFmtId="0" fontId="168" fillId="106" borderId="63" xfId="0" applyFont="1" applyFill="1" applyBorder="1" applyAlignment="1">
      <alignment horizontal="center" vertical="center" wrapText="1"/>
    </xf>
    <xf numFmtId="0" fontId="168" fillId="106" borderId="62" xfId="0" applyFont="1" applyFill="1" applyBorder="1" applyAlignment="1">
      <alignment horizontal="center" vertical="center" wrapText="1"/>
    </xf>
    <xf numFmtId="0" fontId="168" fillId="106" borderId="1" xfId="0" applyFont="1" applyFill="1" applyBorder="1" applyAlignment="1">
      <alignment horizontal="center" vertical="center" wrapText="1"/>
    </xf>
    <xf numFmtId="0" fontId="148" fillId="12" borderId="3" xfId="0" applyFont="1" applyFill="1" applyBorder="1" applyAlignment="1">
      <alignment horizontal="center" vertical="center" wrapText="1"/>
    </xf>
    <xf numFmtId="0" fontId="148" fillId="12" borderId="4" xfId="0" applyFont="1" applyFill="1" applyBorder="1" applyAlignment="1">
      <alignment horizontal="center" vertical="center" wrapText="1"/>
    </xf>
    <xf numFmtId="0" fontId="148" fillId="12" borderId="5" xfId="0" applyFont="1" applyFill="1" applyBorder="1" applyAlignment="1">
      <alignment horizontal="center" vertical="center" wrapText="1"/>
    </xf>
    <xf numFmtId="0" fontId="148" fillId="2" borderId="3" xfId="0" applyFont="1" applyFill="1" applyBorder="1" applyAlignment="1">
      <alignment horizontal="center" vertical="center" wrapText="1"/>
    </xf>
    <xf numFmtId="0" fontId="148" fillId="2" borderId="4" xfId="0" applyFont="1" applyFill="1" applyBorder="1" applyAlignment="1">
      <alignment horizontal="center" vertical="center" wrapText="1"/>
    </xf>
    <xf numFmtId="0" fontId="148" fillId="7" borderId="8" xfId="0" applyFont="1" applyFill="1" applyBorder="1" applyAlignment="1">
      <alignment horizontal="center" vertical="center" wrapText="1"/>
    </xf>
    <xf numFmtId="0" fontId="148" fillId="7" borderId="9" xfId="0" applyFont="1" applyFill="1" applyBorder="1" applyAlignment="1">
      <alignment horizontal="center" vertical="center" wrapText="1"/>
    </xf>
    <xf numFmtId="0" fontId="148" fillId="7" borderId="14" xfId="0" applyFont="1" applyFill="1" applyBorder="1" applyAlignment="1">
      <alignment horizontal="center" vertical="center" wrapText="1"/>
    </xf>
    <xf numFmtId="0" fontId="148" fillId="7" borderId="7" xfId="0" applyFont="1" applyFill="1" applyBorder="1" applyAlignment="1">
      <alignment horizontal="center" vertical="center" wrapText="1"/>
    </xf>
    <xf numFmtId="0" fontId="148" fillId="7" borderId="6" xfId="0" applyFont="1" applyFill="1" applyBorder="1" applyAlignment="1">
      <alignment horizontal="center" vertical="center" wrapText="1"/>
    </xf>
    <xf numFmtId="0" fontId="148" fillId="7" borderId="15" xfId="0" applyFont="1" applyFill="1" applyBorder="1" applyAlignment="1">
      <alignment horizontal="center" vertical="center" wrapText="1"/>
    </xf>
    <xf numFmtId="0" fontId="148" fillId="2" borderId="5" xfId="0" applyFont="1" applyFill="1" applyBorder="1" applyAlignment="1">
      <alignment horizontal="center" vertical="center" wrapText="1"/>
    </xf>
    <xf numFmtId="0" fontId="148" fillId="3" borderId="3" xfId="0" applyFont="1" applyFill="1" applyBorder="1" applyAlignment="1">
      <alignment horizontal="center" vertical="center" wrapText="1"/>
    </xf>
    <xf numFmtId="0" fontId="148" fillId="3" borderId="4" xfId="0" applyFont="1" applyFill="1" applyBorder="1" applyAlignment="1">
      <alignment horizontal="center" vertical="center" wrapText="1"/>
    </xf>
    <xf numFmtId="0" fontId="148" fillId="3" borderId="5" xfId="0" applyFont="1" applyFill="1" applyBorder="1" applyAlignment="1">
      <alignment horizontal="center" vertical="center" wrapText="1"/>
    </xf>
    <xf numFmtId="0" fontId="148" fillId="5" borderId="3" xfId="0" applyFont="1" applyFill="1" applyBorder="1" applyAlignment="1">
      <alignment horizontal="center" vertical="center" wrapText="1"/>
    </xf>
    <xf numFmtId="0" fontId="148" fillId="5" borderId="5" xfId="0" applyFont="1" applyFill="1" applyBorder="1" applyAlignment="1">
      <alignment horizontal="center" vertical="center" wrapText="1"/>
    </xf>
    <xf numFmtId="0" fontId="148" fillId="6" borderId="3" xfId="0" applyFont="1" applyFill="1" applyBorder="1" applyAlignment="1">
      <alignment horizontal="center" vertical="center" wrapText="1"/>
    </xf>
    <xf numFmtId="0" fontId="148" fillId="6" borderId="4" xfId="0" applyFont="1" applyFill="1" applyBorder="1" applyAlignment="1">
      <alignment horizontal="center" vertical="center" wrapText="1"/>
    </xf>
    <xf numFmtId="0" fontId="148" fillId="6" borderId="5" xfId="0" applyFont="1" applyFill="1" applyBorder="1" applyAlignment="1">
      <alignment horizontal="center" vertical="center" wrapText="1"/>
    </xf>
    <xf numFmtId="0" fontId="148" fillId="4" borderId="3" xfId="0" applyFont="1" applyFill="1" applyBorder="1" applyAlignment="1">
      <alignment horizontal="center" vertical="center" wrapText="1"/>
    </xf>
    <xf numFmtId="0" fontId="148" fillId="4" borderId="4" xfId="0" applyFont="1" applyFill="1" applyBorder="1" applyAlignment="1">
      <alignment horizontal="center" vertical="center" wrapText="1"/>
    </xf>
    <xf numFmtId="0" fontId="148" fillId="4" borderId="5" xfId="0" applyFont="1" applyFill="1" applyBorder="1" applyAlignment="1">
      <alignment horizontal="center" vertical="center" wrapText="1"/>
    </xf>
    <xf numFmtId="168" fontId="160" fillId="103" borderId="1" xfId="1" applyNumberFormat="1" applyFont="1" applyFill="1" applyBorder="1" applyAlignment="1">
      <alignment horizontal="center" vertical="center" wrapText="1"/>
    </xf>
    <xf numFmtId="0" fontId="6" fillId="34" borderId="0" xfId="0" applyFont="1" applyFill="1" applyAlignment="1">
      <alignment horizontal="left"/>
    </xf>
    <xf numFmtId="168" fontId="18" fillId="13" borderId="3" xfId="1" applyNumberFormat="1" applyFont="1" applyFill="1" applyBorder="1" applyAlignment="1">
      <alignment horizontal="center" wrapText="1"/>
    </xf>
    <xf numFmtId="168" fontId="18" fillId="13" borderId="4" xfId="1" applyNumberFormat="1" applyFont="1" applyFill="1" applyBorder="1" applyAlignment="1">
      <alignment horizontal="center" wrapText="1"/>
    </xf>
    <xf numFmtId="168" fontId="18" fillId="13" borderId="5" xfId="1" applyNumberFormat="1" applyFont="1" applyFill="1" applyBorder="1" applyAlignment="1">
      <alignment horizontal="center" wrapText="1"/>
    </xf>
    <xf numFmtId="43" fontId="18" fillId="13" borderId="3" xfId="1" applyNumberFormat="1" applyFont="1" applyFill="1" applyBorder="1" applyAlignment="1">
      <alignment horizontal="center" wrapText="1"/>
    </xf>
    <xf numFmtId="43" fontId="18" fillId="13" borderId="4" xfId="1" applyNumberFormat="1" applyFont="1" applyFill="1" applyBorder="1" applyAlignment="1">
      <alignment horizontal="center" wrapText="1"/>
    </xf>
    <xf numFmtId="43" fontId="18" fillId="13" borderId="5" xfId="1" applyNumberFormat="1" applyFont="1" applyFill="1" applyBorder="1" applyAlignment="1">
      <alignment horizontal="center" wrapText="1"/>
    </xf>
    <xf numFmtId="0" fontId="12" fillId="0" borderId="1" xfId="0" applyFont="1" applyBorder="1" applyAlignment="1">
      <alignment horizontal="center" vertical="center"/>
    </xf>
    <xf numFmtId="0" fontId="18" fillId="38" borderId="1" xfId="0" applyFont="1" applyFill="1" applyBorder="1" applyAlignment="1">
      <alignment horizontal="center" vertical="center" wrapText="1"/>
    </xf>
    <xf numFmtId="43" fontId="12" fillId="0" borderId="1" xfId="1" applyFont="1" applyBorder="1" applyAlignment="1">
      <alignment horizontal="center"/>
    </xf>
    <xf numFmtId="43" fontId="12" fillId="34" borderId="1" xfId="1" applyFont="1" applyFill="1" applyBorder="1" applyAlignment="1">
      <alignment horizontal="center"/>
    </xf>
    <xf numFmtId="0" fontId="18" fillId="94" borderId="1" xfId="0" applyFont="1" applyFill="1" applyBorder="1" applyAlignment="1">
      <alignment horizontal="center"/>
    </xf>
    <xf numFmtId="0" fontId="18" fillId="96" borderId="1" xfId="0" applyFont="1" applyFill="1" applyBorder="1" applyAlignment="1">
      <alignment horizontal="center" vertical="center" wrapText="1"/>
    </xf>
    <xf numFmtId="0" fontId="12" fillId="94" borderId="3" xfId="0" applyFont="1" applyFill="1" applyBorder="1" applyAlignment="1">
      <alignment horizontal="center"/>
    </xf>
    <xf numFmtId="0" fontId="12" fillId="94" borderId="5" xfId="0" applyFont="1" applyFill="1" applyBorder="1" applyAlignment="1">
      <alignment horizontal="center"/>
    </xf>
    <xf numFmtId="168" fontId="143" fillId="3" borderId="64" xfId="1" applyNumberFormat="1" applyFont="1" applyFill="1" applyBorder="1" applyAlignment="1">
      <alignment horizontal="center"/>
    </xf>
    <xf numFmtId="168" fontId="143" fillId="3" borderId="65" xfId="1" applyNumberFormat="1" applyFont="1" applyFill="1" applyBorder="1" applyAlignment="1">
      <alignment horizontal="center"/>
    </xf>
    <xf numFmtId="168" fontId="143" fillId="3" borderId="66" xfId="1" applyNumberFormat="1" applyFont="1" applyFill="1" applyBorder="1" applyAlignment="1">
      <alignment horizontal="center"/>
    </xf>
    <xf numFmtId="0" fontId="18" fillId="13" borderId="1" xfId="0" applyFont="1" applyFill="1" applyBorder="1" applyAlignment="1">
      <alignment horizontal="center"/>
    </xf>
    <xf numFmtId="0" fontId="18" fillId="34" borderId="0" xfId="0" applyFont="1" applyFill="1" applyBorder="1" applyAlignment="1">
      <alignment horizontal="left"/>
    </xf>
  </cellXfs>
  <cellStyles count="51837">
    <cellStyle name=" _x0007_LÓ_x0018_ÄþÍN^NuNVþˆHÁ_x0001__x0018_(n" xfId="8" xr:uid="{00000000-0005-0000-0000-000000000000}"/>
    <cellStyle name="%" xfId="9" xr:uid="{00000000-0005-0000-0000-000001000000}"/>
    <cellStyle name="_2008 GDM ALLOCATIONS-Oct2007 (3)" xfId="10" xr:uid="{00000000-0005-0000-0000-000002000000}"/>
    <cellStyle name="_AOC EAC Summary" xfId="11" xr:uid="{00000000-0005-0000-0000-000003000000}"/>
    <cellStyle name="_Appendix D- IT-INF Rate Cards" xfId="12" xr:uid="{00000000-0005-0000-0000-000004000000}"/>
    <cellStyle name="_Book1" xfId="13" xr:uid="{00000000-0005-0000-0000-000005000000}"/>
    <cellStyle name="_BP Recompete General Pricing v02" xfId="14" xr:uid="{00000000-0005-0000-0000-000006000000}"/>
    <cellStyle name="_BP TGEM General Pricing v01" xfId="15" xr:uid="{00000000-0005-0000-0000-000007000000}"/>
    <cellStyle name="_Court QRAMs v2" xfId="16" xr:uid="{00000000-0005-0000-0000-000008000000}"/>
    <cellStyle name="_Credit Memo - CO21 version" xfId="17" xr:uid="{00000000-0005-0000-0000-000009000000}"/>
    <cellStyle name="_Duke Pricing Model v03" xfId="18" xr:uid="{00000000-0005-0000-0000-00000A000000}"/>
    <cellStyle name="_Exelon General Pricing v03" xfId="19" xr:uid="{00000000-0005-0000-0000-00000B000000}"/>
    <cellStyle name="_FP Revenue 12628 INEOS P08-08" xfId="20" xr:uid="{00000000-0005-0000-0000-00000C000000}"/>
    <cellStyle name="_FTE by tower by location.v.3 sdm" xfId="21" xr:uid="{00000000-0005-0000-0000-00000D000000}"/>
    <cellStyle name="_HA Pricing Assumptions-FINAL drk ok" xfId="22" xr:uid="{00000000-0005-0000-0000-00000E000000}"/>
    <cellStyle name="_hours and tickets" xfId="23" xr:uid="{00000000-0005-0000-0000-00000F000000}"/>
    <cellStyle name="_hours and tickets_Calpine Pricing Model v12" xfId="24" xr:uid="{00000000-0005-0000-0000-000010000000}"/>
    <cellStyle name="_IFOX" xfId="25" xr:uid="{00000000-0005-0000-0000-000011000000}"/>
    <cellStyle name="_Inv #21-13849-25 Jul'08 True Up FY09 P08 Approved 081508" xfId="26" xr:uid="{00000000-0005-0000-0000-000012000000}"/>
    <cellStyle name="_ITS Sourcing General Pricing v01" xfId="27" xr:uid="{00000000-0005-0000-0000-000013000000}"/>
    <cellStyle name="_ITS Sourcing Pricing Model v07" xfId="28" xr:uid="{00000000-0005-0000-0000-000014000000}"/>
    <cellStyle name="_Labor Build Up Template v01" xfId="29" xr:uid="{00000000-0005-0000-0000-000015000000}"/>
    <cellStyle name="_LE_201001_SAIC_MDM_UGBU_Gantt_Final" xfId="30" xr:uid="{00000000-0005-0000-0000-000016000000}"/>
    <cellStyle name="_Network Costs" xfId="31" xr:uid="{00000000-0005-0000-0000-000017000000}"/>
    <cellStyle name="_November 2008 SLR Performance Summary" xfId="32" xr:uid="{00000000-0005-0000-0000-000018000000}"/>
    <cellStyle name="_Paramount CONTRACT Cost Build Version 081206 - GETRONICS" xfId="33" xr:uid="{00000000-0005-0000-0000-000019000000}"/>
    <cellStyle name="_Paramount CONTRACT Cost Build Version 081206 - GETRONICS_Calpine Pricing Model v12" xfId="34" xr:uid="{00000000-0005-0000-0000-00001A000000}"/>
    <cellStyle name="_PepsiCo Annex C-2 (Pricing Model - TRANSITION) 23 May 06_Final" xfId="35" xr:uid="{00000000-0005-0000-0000-00001B000000}"/>
    <cellStyle name="_PI Data Center Data Collection Template 11.17.04" xfId="36" xr:uid="{00000000-0005-0000-0000-00001C000000}"/>
    <cellStyle name="_PI Data Center Data Collection Template 11.17.04_Calpine Pricing Model v12" xfId="37" xr:uid="{00000000-0005-0000-0000-00001D000000}"/>
    <cellStyle name="_PI Network Data Collection Template 11.16.04" xfId="38" xr:uid="{00000000-0005-0000-0000-00001E000000}"/>
    <cellStyle name="_PI Network Data Collection Template 11.16.04_Calpine Pricing Model v12" xfId="39" xr:uid="{00000000-0005-0000-0000-00001F000000}"/>
    <cellStyle name="_PNMR Cumulative Invoice Dollar Value Summary" xfId="40" xr:uid="{00000000-0005-0000-0000-000020000000}"/>
    <cellStyle name="_PNMR General Pricing v01" xfId="41" xr:uid="{00000000-0005-0000-0000-000021000000}"/>
    <cellStyle name="_Pricing Model to tie to SAIC 2007 FTE Submission 9-17-06" xfId="42" xr:uid="{00000000-0005-0000-0000-000022000000}"/>
    <cellStyle name="_SCSD Pricing Model v20" xfId="43" xr:uid="{00000000-0005-0000-0000-000023000000}"/>
    <cellStyle name="_SCSD Pricing Model_BAFO r4_BARFO gdw" xfId="44" xr:uid="{00000000-0005-0000-0000-000024000000}"/>
    <cellStyle name="_Site Data" xfId="45" xr:uid="{00000000-0005-0000-0000-000025000000}"/>
    <cellStyle name="_Summary" xfId="46" xr:uid="{00000000-0005-0000-0000-000026000000}"/>
    <cellStyle name="_TDSP-Network Hardware Estimates_v01 (12)sdm" xfId="47" xr:uid="{00000000-0005-0000-0000-000027000000}"/>
    <cellStyle name="¨_x000c_ LŒB" xfId="48" xr:uid="{00000000-0005-0000-0000-000028000000}"/>
    <cellStyle name="0,0_x000d__x000a_NA_x000d__x000a_" xfId="49" xr:uid="{00000000-0005-0000-0000-000029000000}"/>
    <cellStyle name="1" xfId="50" xr:uid="{00000000-0005-0000-0000-00002A000000}"/>
    <cellStyle name="2" xfId="51" xr:uid="{00000000-0005-0000-0000-00002B000000}"/>
    <cellStyle name="20% - Accent1 2" xfId="52" xr:uid="{00000000-0005-0000-0000-00002C000000}"/>
    <cellStyle name="20% - Accent1 2 2" xfId="53" xr:uid="{00000000-0005-0000-0000-00002D000000}"/>
    <cellStyle name="20% - Accent1 2 2 2" xfId="54" xr:uid="{00000000-0005-0000-0000-00002E000000}"/>
    <cellStyle name="20% - Accent1 2 3" xfId="55" xr:uid="{00000000-0005-0000-0000-00002F000000}"/>
    <cellStyle name="20% - Accent1 2 3 2" xfId="56" xr:uid="{00000000-0005-0000-0000-000030000000}"/>
    <cellStyle name="20% - Accent1 2 3 2 2" xfId="57" xr:uid="{00000000-0005-0000-0000-000031000000}"/>
    <cellStyle name="20% - Accent1 2 3 2 2 2" xfId="58" xr:uid="{00000000-0005-0000-0000-000032000000}"/>
    <cellStyle name="20% - Accent1 2 3 2 3" xfId="59" xr:uid="{00000000-0005-0000-0000-000033000000}"/>
    <cellStyle name="20% - Accent1 2 3 3" xfId="60" xr:uid="{00000000-0005-0000-0000-000034000000}"/>
    <cellStyle name="20% - Accent1 2 3 3 2" xfId="61" xr:uid="{00000000-0005-0000-0000-000035000000}"/>
    <cellStyle name="20% - Accent1 2 3 4" xfId="62" xr:uid="{00000000-0005-0000-0000-000036000000}"/>
    <cellStyle name="20% - Accent1 2 4" xfId="63" xr:uid="{00000000-0005-0000-0000-000037000000}"/>
    <cellStyle name="20% - Accent1 2 4 2" xfId="64" xr:uid="{00000000-0005-0000-0000-000038000000}"/>
    <cellStyle name="20% - Accent1 2 4 2 2" xfId="65" xr:uid="{00000000-0005-0000-0000-000039000000}"/>
    <cellStyle name="20% - Accent1 2 4 3" xfId="66" xr:uid="{00000000-0005-0000-0000-00003A000000}"/>
    <cellStyle name="20% - Accent1 2 5" xfId="67" xr:uid="{00000000-0005-0000-0000-00003B000000}"/>
    <cellStyle name="20% - Accent1 2 5 2" xfId="68" xr:uid="{00000000-0005-0000-0000-00003C000000}"/>
    <cellStyle name="20% - Accent1 2 6" xfId="69" xr:uid="{00000000-0005-0000-0000-00003D000000}"/>
    <cellStyle name="20% - Accent1 3" xfId="70" xr:uid="{00000000-0005-0000-0000-00003E000000}"/>
    <cellStyle name="20% - Accent1 3 2" xfId="71" xr:uid="{00000000-0005-0000-0000-00003F000000}"/>
    <cellStyle name="20% - Accent1 3 3" xfId="72" xr:uid="{00000000-0005-0000-0000-000040000000}"/>
    <cellStyle name="20% - Accent1 4" xfId="73" xr:uid="{00000000-0005-0000-0000-000041000000}"/>
    <cellStyle name="20% - Accent1 4 2" xfId="74" xr:uid="{00000000-0005-0000-0000-000042000000}"/>
    <cellStyle name="20% - Accent1 4 3" xfId="75" xr:uid="{00000000-0005-0000-0000-000043000000}"/>
    <cellStyle name="20% - Accent1 5" xfId="76" xr:uid="{00000000-0005-0000-0000-000044000000}"/>
    <cellStyle name="20% - Accent1 6" xfId="77" xr:uid="{00000000-0005-0000-0000-000045000000}"/>
    <cellStyle name="20% - Accent2 2" xfId="78" xr:uid="{00000000-0005-0000-0000-000046000000}"/>
    <cellStyle name="20% - Accent2 2 2" xfId="79" xr:uid="{00000000-0005-0000-0000-000047000000}"/>
    <cellStyle name="20% - Accent2 2 2 2" xfId="80" xr:uid="{00000000-0005-0000-0000-000048000000}"/>
    <cellStyle name="20% - Accent2 2 3" xfId="81" xr:uid="{00000000-0005-0000-0000-000049000000}"/>
    <cellStyle name="20% - Accent2 2 3 2" xfId="82" xr:uid="{00000000-0005-0000-0000-00004A000000}"/>
    <cellStyle name="20% - Accent2 2 3 2 2" xfId="83" xr:uid="{00000000-0005-0000-0000-00004B000000}"/>
    <cellStyle name="20% - Accent2 2 3 2 2 2" xfId="84" xr:uid="{00000000-0005-0000-0000-00004C000000}"/>
    <cellStyle name="20% - Accent2 2 3 2 3" xfId="85" xr:uid="{00000000-0005-0000-0000-00004D000000}"/>
    <cellStyle name="20% - Accent2 2 3 3" xfId="86" xr:uid="{00000000-0005-0000-0000-00004E000000}"/>
    <cellStyle name="20% - Accent2 2 3 3 2" xfId="87" xr:uid="{00000000-0005-0000-0000-00004F000000}"/>
    <cellStyle name="20% - Accent2 2 3 4" xfId="88" xr:uid="{00000000-0005-0000-0000-000050000000}"/>
    <cellStyle name="20% - Accent2 2 4" xfId="89" xr:uid="{00000000-0005-0000-0000-000051000000}"/>
    <cellStyle name="20% - Accent2 2 4 2" xfId="90" xr:uid="{00000000-0005-0000-0000-000052000000}"/>
    <cellStyle name="20% - Accent2 2 4 2 2" xfId="91" xr:uid="{00000000-0005-0000-0000-000053000000}"/>
    <cellStyle name="20% - Accent2 2 4 3" xfId="92" xr:uid="{00000000-0005-0000-0000-000054000000}"/>
    <cellStyle name="20% - Accent2 2 5" xfId="93" xr:uid="{00000000-0005-0000-0000-000055000000}"/>
    <cellStyle name="20% - Accent2 2 5 2" xfId="94" xr:uid="{00000000-0005-0000-0000-000056000000}"/>
    <cellStyle name="20% - Accent2 2 6" xfId="95" xr:uid="{00000000-0005-0000-0000-000057000000}"/>
    <cellStyle name="20% - Accent2 3" xfId="96" xr:uid="{00000000-0005-0000-0000-000058000000}"/>
    <cellStyle name="20% - Accent2 3 2" xfId="97" xr:uid="{00000000-0005-0000-0000-000059000000}"/>
    <cellStyle name="20% - Accent2 3 3" xfId="98" xr:uid="{00000000-0005-0000-0000-00005A000000}"/>
    <cellStyle name="20% - Accent2 4" xfId="99" xr:uid="{00000000-0005-0000-0000-00005B000000}"/>
    <cellStyle name="20% - Accent2 4 2" xfId="100" xr:uid="{00000000-0005-0000-0000-00005C000000}"/>
    <cellStyle name="20% - Accent2 4 3" xfId="101" xr:uid="{00000000-0005-0000-0000-00005D000000}"/>
    <cellStyle name="20% - Accent2 5" xfId="102" xr:uid="{00000000-0005-0000-0000-00005E000000}"/>
    <cellStyle name="20% - Accent2 6" xfId="103" xr:uid="{00000000-0005-0000-0000-00005F000000}"/>
    <cellStyle name="20% - Accent3 2" xfId="104" xr:uid="{00000000-0005-0000-0000-000060000000}"/>
    <cellStyle name="20% - Accent3 2 2" xfId="105" xr:uid="{00000000-0005-0000-0000-000061000000}"/>
    <cellStyle name="20% - Accent3 2 2 2" xfId="106" xr:uid="{00000000-0005-0000-0000-000062000000}"/>
    <cellStyle name="20% - Accent3 2 3" xfId="107" xr:uid="{00000000-0005-0000-0000-000063000000}"/>
    <cellStyle name="20% - Accent3 2 3 2" xfId="108" xr:uid="{00000000-0005-0000-0000-000064000000}"/>
    <cellStyle name="20% - Accent3 2 3 2 2" xfId="109" xr:uid="{00000000-0005-0000-0000-000065000000}"/>
    <cellStyle name="20% - Accent3 2 3 2 2 2" xfId="110" xr:uid="{00000000-0005-0000-0000-000066000000}"/>
    <cellStyle name="20% - Accent3 2 3 2 3" xfId="111" xr:uid="{00000000-0005-0000-0000-000067000000}"/>
    <cellStyle name="20% - Accent3 2 3 3" xfId="112" xr:uid="{00000000-0005-0000-0000-000068000000}"/>
    <cellStyle name="20% - Accent3 2 3 3 2" xfId="113" xr:uid="{00000000-0005-0000-0000-000069000000}"/>
    <cellStyle name="20% - Accent3 2 3 4" xfId="114" xr:uid="{00000000-0005-0000-0000-00006A000000}"/>
    <cellStyle name="20% - Accent3 2 4" xfId="115" xr:uid="{00000000-0005-0000-0000-00006B000000}"/>
    <cellStyle name="20% - Accent3 2 4 2" xfId="116" xr:uid="{00000000-0005-0000-0000-00006C000000}"/>
    <cellStyle name="20% - Accent3 2 4 2 2" xfId="117" xr:uid="{00000000-0005-0000-0000-00006D000000}"/>
    <cellStyle name="20% - Accent3 2 4 3" xfId="118" xr:uid="{00000000-0005-0000-0000-00006E000000}"/>
    <cellStyle name="20% - Accent3 2 5" xfId="119" xr:uid="{00000000-0005-0000-0000-00006F000000}"/>
    <cellStyle name="20% - Accent3 2 5 2" xfId="120" xr:uid="{00000000-0005-0000-0000-000070000000}"/>
    <cellStyle name="20% - Accent3 2 6" xfId="121" xr:uid="{00000000-0005-0000-0000-000071000000}"/>
    <cellStyle name="20% - Accent3 3" xfId="122" xr:uid="{00000000-0005-0000-0000-000072000000}"/>
    <cellStyle name="20% - Accent3 3 2" xfId="123" xr:uid="{00000000-0005-0000-0000-000073000000}"/>
    <cellStyle name="20% - Accent3 3 3" xfId="124" xr:uid="{00000000-0005-0000-0000-000074000000}"/>
    <cellStyle name="20% - Accent3 4" xfId="125" xr:uid="{00000000-0005-0000-0000-000075000000}"/>
    <cellStyle name="20% - Accent3 4 2" xfId="126" xr:uid="{00000000-0005-0000-0000-000076000000}"/>
    <cellStyle name="20% - Accent3 4 3" xfId="127" xr:uid="{00000000-0005-0000-0000-000077000000}"/>
    <cellStyle name="20% - Accent3 5" xfId="128" xr:uid="{00000000-0005-0000-0000-000078000000}"/>
    <cellStyle name="20% - Accent3 6" xfId="129" xr:uid="{00000000-0005-0000-0000-000079000000}"/>
    <cellStyle name="20% - Accent4 2" xfId="130" xr:uid="{00000000-0005-0000-0000-00007A000000}"/>
    <cellStyle name="20% - Accent4 2 2" xfId="131" xr:uid="{00000000-0005-0000-0000-00007B000000}"/>
    <cellStyle name="20% - Accent4 2 2 2" xfId="132" xr:uid="{00000000-0005-0000-0000-00007C000000}"/>
    <cellStyle name="20% - Accent4 2 3" xfId="133" xr:uid="{00000000-0005-0000-0000-00007D000000}"/>
    <cellStyle name="20% - Accent4 2 3 2" xfId="134" xr:uid="{00000000-0005-0000-0000-00007E000000}"/>
    <cellStyle name="20% - Accent4 2 3 2 2" xfId="135" xr:uid="{00000000-0005-0000-0000-00007F000000}"/>
    <cellStyle name="20% - Accent4 2 3 2 2 2" xfId="136" xr:uid="{00000000-0005-0000-0000-000080000000}"/>
    <cellStyle name="20% - Accent4 2 3 2 3" xfId="137" xr:uid="{00000000-0005-0000-0000-000081000000}"/>
    <cellStyle name="20% - Accent4 2 3 3" xfId="138" xr:uid="{00000000-0005-0000-0000-000082000000}"/>
    <cellStyle name="20% - Accent4 2 3 3 2" xfId="139" xr:uid="{00000000-0005-0000-0000-000083000000}"/>
    <cellStyle name="20% - Accent4 2 3 4" xfId="140" xr:uid="{00000000-0005-0000-0000-000084000000}"/>
    <cellStyle name="20% - Accent4 2 4" xfId="141" xr:uid="{00000000-0005-0000-0000-000085000000}"/>
    <cellStyle name="20% - Accent4 2 4 2" xfId="142" xr:uid="{00000000-0005-0000-0000-000086000000}"/>
    <cellStyle name="20% - Accent4 2 4 2 2" xfId="143" xr:uid="{00000000-0005-0000-0000-000087000000}"/>
    <cellStyle name="20% - Accent4 2 4 3" xfId="144" xr:uid="{00000000-0005-0000-0000-000088000000}"/>
    <cellStyle name="20% - Accent4 2 5" xfId="145" xr:uid="{00000000-0005-0000-0000-000089000000}"/>
    <cellStyle name="20% - Accent4 2 5 2" xfId="146" xr:uid="{00000000-0005-0000-0000-00008A000000}"/>
    <cellStyle name="20% - Accent4 2 6" xfId="147" xr:uid="{00000000-0005-0000-0000-00008B000000}"/>
    <cellStyle name="20% - Accent4 3" xfId="148" xr:uid="{00000000-0005-0000-0000-00008C000000}"/>
    <cellStyle name="20% - Accent4 3 2" xfId="149" xr:uid="{00000000-0005-0000-0000-00008D000000}"/>
    <cellStyle name="20% - Accent4 3 3" xfId="150" xr:uid="{00000000-0005-0000-0000-00008E000000}"/>
    <cellStyle name="20% - Accent4 4" xfId="151" xr:uid="{00000000-0005-0000-0000-00008F000000}"/>
    <cellStyle name="20% - Accent4 4 2" xfId="152" xr:uid="{00000000-0005-0000-0000-000090000000}"/>
    <cellStyle name="20% - Accent4 4 3" xfId="153" xr:uid="{00000000-0005-0000-0000-000091000000}"/>
    <cellStyle name="20% - Accent4 5" xfId="154" xr:uid="{00000000-0005-0000-0000-000092000000}"/>
    <cellStyle name="20% - Accent4 6" xfId="155" xr:uid="{00000000-0005-0000-0000-000093000000}"/>
    <cellStyle name="20% - Accent5 2" xfId="156" xr:uid="{00000000-0005-0000-0000-000094000000}"/>
    <cellStyle name="20% - Accent5 2 2" xfId="157" xr:uid="{00000000-0005-0000-0000-000095000000}"/>
    <cellStyle name="20% - Accent5 2 3" xfId="158" xr:uid="{00000000-0005-0000-0000-000096000000}"/>
    <cellStyle name="20% - Accent5 2 3 2" xfId="159" xr:uid="{00000000-0005-0000-0000-000097000000}"/>
    <cellStyle name="20% - Accent5 2 3 2 2" xfId="160" xr:uid="{00000000-0005-0000-0000-000098000000}"/>
    <cellStyle name="20% - Accent5 2 3 2 2 2" xfId="161" xr:uid="{00000000-0005-0000-0000-000099000000}"/>
    <cellStyle name="20% - Accent5 2 3 2 3" xfId="162" xr:uid="{00000000-0005-0000-0000-00009A000000}"/>
    <cellStyle name="20% - Accent5 2 3 3" xfId="163" xr:uid="{00000000-0005-0000-0000-00009B000000}"/>
    <cellStyle name="20% - Accent5 2 3 3 2" xfId="164" xr:uid="{00000000-0005-0000-0000-00009C000000}"/>
    <cellStyle name="20% - Accent5 2 3 4" xfId="165" xr:uid="{00000000-0005-0000-0000-00009D000000}"/>
    <cellStyle name="20% - Accent5 2 4" xfId="166" xr:uid="{00000000-0005-0000-0000-00009E000000}"/>
    <cellStyle name="20% - Accent5 2 4 2" xfId="167" xr:uid="{00000000-0005-0000-0000-00009F000000}"/>
    <cellStyle name="20% - Accent5 2 4 2 2" xfId="168" xr:uid="{00000000-0005-0000-0000-0000A0000000}"/>
    <cellStyle name="20% - Accent5 2 4 3" xfId="169" xr:uid="{00000000-0005-0000-0000-0000A1000000}"/>
    <cellStyle name="20% - Accent5 2 5" xfId="170" xr:uid="{00000000-0005-0000-0000-0000A2000000}"/>
    <cellStyle name="20% - Accent5 2 5 2" xfId="171" xr:uid="{00000000-0005-0000-0000-0000A3000000}"/>
    <cellStyle name="20% - Accent5 2 6" xfId="172" xr:uid="{00000000-0005-0000-0000-0000A4000000}"/>
    <cellStyle name="20% - Accent5 3" xfId="173" xr:uid="{00000000-0005-0000-0000-0000A5000000}"/>
    <cellStyle name="20% - Accent5 3 2" xfId="174" xr:uid="{00000000-0005-0000-0000-0000A6000000}"/>
    <cellStyle name="20% - Accent5 3 2 2" xfId="175" xr:uid="{00000000-0005-0000-0000-0000A7000000}"/>
    <cellStyle name="20% - Accent5 3 3" xfId="176" xr:uid="{00000000-0005-0000-0000-0000A8000000}"/>
    <cellStyle name="20% - Accent5 4" xfId="177" xr:uid="{00000000-0005-0000-0000-0000A9000000}"/>
    <cellStyle name="20% - Accent5 4 2" xfId="178" xr:uid="{00000000-0005-0000-0000-0000AA000000}"/>
    <cellStyle name="20% - Accent5 5" xfId="179" xr:uid="{00000000-0005-0000-0000-0000AB000000}"/>
    <cellStyle name="20% - Accent6 2" xfId="180" xr:uid="{00000000-0005-0000-0000-0000AC000000}"/>
    <cellStyle name="20% - Accent6 2 2" xfId="181" xr:uid="{00000000-0005-0000-0000-0000AD000000}"/>
    <cellStyle name="20% - Accent6 2 3" xfId="182" xr:uid="{00000000-0005-0000-0000-0000AE000000}"/>
    <cellStyle name="20% - Accent6 2 3 2" xfId="183" xr:uid="{00000000-0005-0000-0000-0000AF000000}"/>
    <cellStyle name="20% - Accent6 2 3 2 2" xfId="184" xr:uid="{00000000-0005-0000-0000-0000B0000000}"/>
    <cellStyle name="20% - Accent6 2 3 2 2 2" xfId="185" xr:uid="{00000000-0005-0000-0000-0000B1000000}"/>
    <cellStyle name="20% - Accent6 2 3 2 3" xfId="186" xr:uid="{00000000-0005-0000-0000-0000B2000000}"/>
    <cellStyle name="20% - Accent6 2 3 3" xfId="187" xr:uid="{00000000-0005-0000-0000-0000B3000000}"/>
    <cellStyle name="20% - Accent6 2 3 3 2" xfId="188" xr:uid="{00000000-0005-0000-0000-0000B4000000}"/>
    <cellStyle name="20% - Accent6 2 3 4" xfId="189" xr:uid="{00000000-0005-0000-0000-0000B5000000}"/>
    <cellStyle name="20% - Accent6 2 4" xfId="190" xr:uid="{00000000-0005-0000-0000-0000B6000000}"/>
    <cellStyle name="20% - Accent6 2 4 2" xfId="191" xr:uid="{00000000-0005-0000-0000-0000B7000000}"/>
    <cellStyle name="20% - Accent6 2 4 2 2" xfId="192" xr:uid="{00000000-0005-0000-0000-0000B8000000}"/>
    <cellStyle name="20% - Accent6 2 4 3" xfId="193" xr:uid="{00000000-0005-0000-0000-0000B9000000}"/>
    <cellStyle name="20% - Accent6 2 5" xfId="194" xr:uid="{00000000-0005-0000-0000-0000BA000000}"/>
    <cellStyle name="20% - Accent6 2 5 2" xfId="195" xr:uid="{00000000-0005-0000-0000-0000BB000000}"/>
    <cellStyle name="20% - Accent6 2 6" xfId="196" xr:uid="{00000000-0005-0000-0000-0000BC000000}"/>
    <cellStyle name="20% - Accent6 3" xfId="197" xr:uid="{00000000-0005-0000-0000-0000BD000000}"/>
    <cellStyle name="20% - Accent6 3 2" xfId="198" xr:uid="{00000000-0005-0000-0000-0000BE000000}"/>
    <cellStyle name="20% - Accent6 3 2 2" xfId="199" xr:uid="{00000000-0005-0000-0000-0000BF000000}"/>
    <cellStyle name="20% - Accent6 3 3" xfId="200" xr:uid="{00000000-0005-0000-0000-0000C0000000}"/>
    <cellStyle name="20% - Accent6 4" xfId="201" xr:uid="{00000000-0005-0000-0000-0000C1000000}"/>
    <cellStyle name="20% - Accent6 4 2" xfId="202" xr:uid="{00000000-0005-0000-0000-0000C2000000}"/>
    <cellStyle name="20% - Accent6 5" xfId="203" xr:uid="{00000000-0005-0000-0000-0000C3000000}"/>
    <cellStyle name="40% - Accent1 2" xfId="204" xr:uid="{00000000-0005-0000-0000-0000C4000000}"/>
    <cellStyle name="40% - Accent1 2 2" xfId="205" xr:uid="{00000000-0005-0000-0000-0000C5000000}"/>
    <cellStyle name="40% - Accent1 2 2 2" xfId="206" xr:uid="{00000000-0005-0000-0000-0000C6000000}"/>
    <cellStyle name="40% - Accent1 2 3" xfId="207" xr:uid="{00000000-0005-0000-0000-0000C7000000}"/>
    <cellStyle name="40% - Accent1 2 3 2" xfId="208" xr:uid="{00000000-0005-0000-0000-0000C8000000}"/>
    <cellStyle name="40% - Accent1 2 3 2 2" xfId="209" xr:uid="{00000000-0005-0000-0000-0000C9000000}"/>
    <cellStyle name="40% - Accent1 2 3 2 2 2" xfId="210" xr:uid="{00000000-0005-0000-0000-0000CA000000}"/>
    <cellStyle name="40% - Accent1 2 3 2 3" xfId="211" xr:uid="{00000000-0005-0000-0000-0000CB000000}"/>
    <cellStyle name="40% - Accent1 2 3 3" xfId="212" xr:uid="{00000000-0005-0000-0000-0000CC000000}"/>
    <cellStyle name="40% - Accent1 2 3 3 2" xfId="213" xr:uid="{00000000-0005-0000-0000-0000CD000000}"/>
    <cellStyle name="40% - Accent1 2 3 4" xfId="214" xr:uid="{00000000-0005-0000-0000-0000CE000000}"/>
    <cellStyle name="40% - Accent1 2 4" xfId="215" xr:uid="{00000000-0005-0000-0000-0000CF000000}"/>
    <cellStyle name="40% - Accent1 2 4 2" xfId="216" xr:uid="{00000000-0005-0000-0000-0000D0000000}"/>
    <cellStyle name="40% - Accent1 2 4 2 2" xfId="217" xr:uid="{00000000-0005-0000-0000-0000D1000000}"/>
    <cellStyle name="40% - Accent1 2 4 3" xfId="218" xr:uid="{00000000-0005-0000-0000-0000D2000000}"/>
    <cellStyle name="40% - Accent1 2 5" xfId="219" xr:uid="{00000000-0005-0000-0000-0000D3000000}"/>
    <cellStyle name="40% - Accent1 2 5 2" xfId="220" xr:uid="{00000000-0005-0000-0000-0000D4000000}"/>
    <cellStyle name="40% - Accent1 2 6" xfId="221" xr:uid="{00000000-0005-0000-0000-0000D5000000}"/>
    <cellStyle name="40% - Accent1 3" xfId="222" xr:uid="{00000000-0005-0000-0000-0000D6000000}"/>
    <cellStyle name="40% - Accent1 3 2" xfId="223" xr:uid="{00000000-0005-0000-0000-0000D7000000}"/>
    <cellStyle name="40% - Accent1 3 3" xfId="224" xr:uid="{00000000-0005-0000-0000-0000D8000000}"/>
    <cellStyle name="40% - Accent1 4" xfId="225" xr:uid="{00000000-0005-0000-0000-0000D9000000}"/>
    <cellStyle name="40% - Accent1 4 2" xfId="226" xr:uid="{00000000-0005-0000-0000-0000DA000000}"/>
    <cellStyle name="40% - Accent1 4 3" xfId="227" xr:uid="{00000000-0005-0000-0000-0000DB000000}"/>
    <cellStyle name="40% - Accent1 5" xfId="228" xr:uid="{00000000-0005-0000-0000-0000DC000000}"/>
    <cellStyle name="40% - Accent1 6" xfId="229" xr:uid="{00000000-0005-0000-0000-0000DD000000}"/>
    <cellStyle name="40% - Accent2 2" xfId="230" xr:uid="{00000000-0005-0000-0000-0000DE000000}"/>
    <cellStyle name="40% - Accent2 2 2" xfId="231" xr:uid="{00000000-0005-0000-0000-0000DF000000}"/>
    <cellStyle name="40% - Accent2 2 3" xfId="232" xr:uid="{00000000-0005-0000-0000-0000E0000000}"/>
    <cellStyle name="40% - Accent2 2 3 2" xfId="233" xr:uid="{00000000-0005-0000-0000-0000E1000000}"/>
    <cellStyle name="40% - Accent2 2 3 2 2" xfId="234" xr:uid="{00000000-0005-0000-0000-0000E2000000}"/>
    <cellStyle name="40% - Accent2 2 3 2 2 2" xfId="235" xr:uid="{00000000-0005-0000-0000-0000E3000000}"/>
    <cellStyle name="40% - Accent2 2 3 2 3" xfId="236" xr:uid="{00000000-0005-0000-0000-0000E4000000}"/>
    <cellStyle name="40% - Accent2 2 3 3" xfId="237" xr:uid="{00000000-0005-0000-0000-0000E5000000}"/>
    <cellStyle name="40% - Accent2 2 3 3 2" xfId="238" xr:uid="{00000000-0005-0000-0000-0000E6000000}"/>
    <cellStyle name="40% - Accent2 2 3 4" xfId="239" xr:uid="{00000000-0005-0000-0000-0000E7000000}"/>
    <cellStyle name="40% - Accent2 2 4" xfId="240" xr:uid="{00000000-0005-0000-0000-0000E8000000}"/>
    <cellStyle name="40% - Accent2 2 4 2" xfId="241" xr:uid="{00000000-0005-0000-0000-0000E9000000}"/>
    <cellStyle name="40% - Accent2 2 4 2 2" xfId="242" xr:uid="{00000000-0005-0000-0000-0000EA000000}"/>
    <cellStyle name="40% - Accent2 2 4 3" xfId="243" xr:uid="{00000000-0005-0000-0000-0000EB000000}"/>
    <cellStyle name="40% - Accent2 2 5" xfId="244" xr:uid="{00000000-0005-0000-0000-0000EC000000}"/>
    <cellStyle name="40% - Accent2 2 5 2" xfId="245" xr:uid="{00000000-0005-0000-0000-0000ED000000}"/>
    <cellStyle name="40% - Accent2 2 6" xfId="246" xr:uid="{00000000-0005-0000-0000-0000EE000000}"/>
    <cellStyle name="40% - Accent2 3" xfId="247" xr:uid="{00000000-0005-0000-0000-0000EF000000}"/>
    <cellStyle name="40% - Accent2 3 2" xfId="248" xr:uid="{00000000-0005-0000-0000-0000F0000000}"/>
    <cellStyle name="40% - Accent2 3 2 2" xfId="249" xr:uid="{00000000-0005-0000-0000-0000F1000000}"/>
    <cellStyle name="40% - Accent2 3 3" xfId="250" xr:uid="{00000000-0005-0000-0000-0000F2000000}"/>
    <cellStyle name="40% - Accent2 4" xfId="251" xr:uid="{00000000-0005-0000-0000-0000F3000000}"/>
    <cellStyle name="40% - Accent2 4 2" xfId="252" xr:uid="{00000000-0005-0000-0000-0000F4000000}"/>
    <cellStyle name="40% - Accent2 5" xfId="253" xr:uid="{00000000-0005-0000-0000-0000F5000000}"/>
    <cellStyle name="40% - Accent3 2" xfId="254" xr:uid="{00000000-0005-0000-0000-0000F6000000}"/>
    <cellStyle name="40% - Accent3 2 2" xfId="255" xr:uid="{00000000-0005-0000-0000-0000F7000000}"/>
    <cellStyle name="40% - Accent3 2 2 2" xfId="256" xr:uid="{00000000-0005-0000-0000-0000F8000000}"/>
    <cellStyle name="40% - Accent3 2 3" xfId="257" xr:uid="{00000000-0005-0000-0000-0000F9000000}"/>
    <cellStyle name="40% - Accent3 2 3 2" xfId="258" xr:uid="{00000000-0005-0000-0000-0000FA000000}"/>
    <cellStyle name="40% - Accent3 2 3 2 2" xfId="259" xr:uid="{00000000-0005-0000-0000-0000FB000000}"/>
    <cellStyle name="40% - Accent3 2 3 2 2 2" xfId="260" xr:uid="{00000000-0005-0000-0000-0000FC000000}"/>
    <cellStyle name="40% - Accent3 2 3 2 3" xfId="261" xr:uid="{00000000-0005-0000-0000-0000FD000000}"/>
    <cellStyle name="40% - Accent3 2 3 3" xfId="262" xr:uid="{00000000-0005-0000-0000-0000FE000000}"/>
    <cellStyle name="40% - Accent3 2 3 3 2" xfId="263" xr:uid="{00000000-0005-0000-0000-0000FF000000}"/>
    <cellStyle name="40% - Accent3 2 3 4" xfId="264" xr:uid="{00000000-0005-0000-0000-000000010000}"/>
    <cellStyle name="40% - Accent3 2 4" xfId="265" xr:uid="{00000000-0005-0000-0000-000001010000}"/>
    <cellStyle name="40% - Accent3 2 4 2" xfId="266" xr:uid="{00000000-0005-0000-0000-000002010000}"/>
    <cellStyle name="40% - Accent3 2 4 2 2" xfId="267" xr:uid="{00000000-0005-0000-0000-000003010000}"/>
    <cellStyle name="40% - Accent3 2 4 3" xfId="268" xr:uid="{00000000-0005-0000-0000-000004010000}"/>
    <cellStyle name="40% - Accent3 2 5" xfId="269" xr:uid="{00000000-0005-0000-0000-000005010000}"/>
    <cellStyle name="40% - Accent3 2 5 2" xfId="270" xr:uid="{00000000-0005-0000-0000-000006010000}"/>
    <cellStyle name="40% - Accent3 2 6" xfId="271" xr:uid="{00000000-0005-0000-0000-000007010000}"/>
    <cellStyle name="40% - Accent3 3" xfId="272" xr:uid="{00000000-0005-0000-0000-000008010000}"/>
    <cellStyle name="40% - Accent3 3 2" xfId="273" xr:uid="{00000000-0005-0000-0000-000009010000}"/>
    <cellStyle name="40% - Accent3 3 3" xfId="274" xr:uid="{00000000-0005-0000-0000-00000A010000}"/>
    <cellStyle name="40% - Accent3 4" xfId="275" xr:uid="{00000000-0005-0000-0000-00000B010000}"/>
    <cellStyle name="40% - Accent3 4 2" xfId="276" xr:uid="{00000000-0005-0000-0000-00000C010000}"/>
    <cellStyle name="40% - Accent3 4 3" xfId="277" xr:uid="{00000000-0005-0000-0000-00000D010000}"/>
    <cellStyle name="40% - Accent3 5" xfId="278" xr:uid="{00000000-0005-0000-0000-00000E010000}"/>
    <cellStyle name="40% - Accent3 6" xfId="279" xr:uid="{00000000-0005-0000-0000-00000F010000}"/>
    <cellStyle name="40% - Accent4 2" xfId="280" xr:uid="{00000000-0005-0000-0000-000010010000}"/>
    <cellStyle name="40% - Accent4 2 2" xfId="281" xr:uid="{00000000-0005-0000-0000-000011010000}"/>
    <cellStyle name="40% - Accent4 2 2 2" xfId="282" xr:uid="{00000000-0005-0000-0000-000012010000}"/>
    <cellStyle name="40% - Accent4 2 3" xfId="283" xr:uid="{00000000-0005-0000-0000-000013010000}"/>
    <cellStyle name="40% - Accent4 2 3 2" xfId="284" xr:uid="{00000000-0005-0000-0000-000014010000}"/>
    <cellStyle name="40% - Accent4 2 3 2 2" xfId="285" xr:uid="{00000000-0005-0000-0000-000015010000}"/>
    <cellStyle name="40% - Accent4 2 3 2 2 2" xfId="286" xr:uid="{00000000-0005-0000-0000-000016010000}"/>
    <cellStyle name="40% - Accent4 2 3 2 3" xfId="287" xr:uid="{00000000-0005-0000-0000-000017010000}"/>
    <cellStyle name="40% - Accent4 2 3 3" xfId="288" xr:uid="{00000000-0005-0000-0000-000018010000}"/>
    <cellStyle name="40% - Accent4 2 3 3 2" xfId="289" xr:uid="{00000000-0005-0000-0000-000019010000}"/>
    <cellStyle name="40% - Accent4 2 3 4" xfId="290" xr:uid="{00000000-0005-0000-0000-00001A010000}"/>
    <cellStyle name="40% - Accent4 2 4" xfId="291" xr:uid="{00000000-0005-0000-0000-00001B010000}"/>
    <cellStyle name="40% - Accent4 2 4 2" xfId="292" xr:uid="{00000000-0005-0000-0000-00001C010000}"/>
    <cellStyle name="40% - Accent4 2 4 2 2" xfId="293" xr:uid="{00000000-0005-0000-0000-00001D010000}"/>
    <cellStyle name="40% - Accent4 2 4 3" xfId="294" xr:uid="{00000000-0005-0000-0000-00001E010000}"/>
    <cellStyle name="40% - Accent4 2 5" xfId="295" xr:uid="{00000000-0005-0000-0000-00001F010000}"/>
    <cellStyle name="40% - Accent4 2 5 2" xfId="296" xr:uid="{00000000-0005-0000-0000-000020010000}"/>
    <cellStyle name="40% - Accent4 2 6" xfId="297" xr:uid="{00000000-0005-0000-0000-000021010000}"/>
    <cellStyle name="40% - Accent4 3" xfId="298" xr:uid="{00000000-0005-0000-0000-000022010000}"/>
    <cellStyle name="40% - Accent4 3 2" xfId="299" xr:uid="{00000000-0005-0000-0000-000023010000}"/>
    <cellStyle name="40% - Accent4 3 3" xfId="300" xr:uid="{00000000-0005-0000-0000-000024010000}"/>
    <cellStyle name="40% - Accent4 4" xfId="301" xr:uid="{00000000-0005-0000-0000-000025010000}"/>
    <cellStyle name="40% - Accent4 4 2" xfId="302" xr:uid="{00000000-0005-0000-0000-000026010000}"/>
    <cellStyle name="40% - Accent4 4 3" xfId="303" xr:uid="{00000000-0005-0000-0000-000027010000}"/>
    <cellStyle name="40% - Accent4 5" xfId="304" xr:uid="{00000000-0005-0000-0000-000028010000}"/>
    <cellStyle name="40% - Accent4 6" xfId="305" xr:uid="{00000000-0005-0000-0000-000029010000}"/>
    <cellStyle name="40% - Accent5 2" xfId="306" xr:uid="{00000000-0005-0000-0000-00002A010000}"/>
    <cellStyle name="40% - Accent5 2 2" xfId="307" xr:uid="{00000000-0005-0000-0000-00002B010000}"/>
    <cellStyle name="40% - Accent5 2 3" xfId="308" xr:uid="{00000000-0005-0000-0000-00002C010000}"/>
    <cellStyle name="40% - Accent5 2 3 2" xfId="309" xr:uid="{00000000-0005-0000-0000-00002D010000}"/>
    <cellStyle name="40% - Accent5 2 3 2 2" xfId="310" xr:uid="{00000000-0005-0000-0000-00002E010000}"/>
    <cellStyle name="40% - Accent5 2 3 2 2 2" xfId="311" xr:uid="{00000000-0005-0000-0000-00002F010000}"/>
    <cellStyle name="40% - Accent5 2 3 2 3" xfId="312" xr:uid="{00000000-0005-0000-0000-000030010000}"/>
    <cellStyle name="40% - Accent5 2 3 3" xfId="313" xr:uid="{00000000-0005-0000-0000-000031010000}"/>
    <cellStyle name="40% - Accent5 2 3 3 2" xfId="314" xr:uid="{00000000-0005-0000-0000-000032010000}"/>
    <cellStyle name="40% - Accent5 2 3 4" xfId="315" xr:uid="{00000000-0005-0000-0000-000033010000}"/>
    <cellStyle name="40% - Accent5 2 4" xfId="316" xr:uid="{00000000-0005-0000-0000-000034010000}"/>
    <cellStyle name="40% - Accent5 2 4 2" xfId="317" xr:uid="{00000000-0005-0000-0000-000035010000}"/>
    <cellStyle name="40% - Accent5 2 4 2 2" xfId="318" xr:uid="{00000000-0005-0000-0000-000036010000}"/>
    <cellStyle name="40% - Accent5 2 4 3" xfId="319" xr:uid="{00000000-0005-0000-0000-000037010000}"/>
    <cellStyle name="40% - Accent5 2 5" xfId="320" xr:uid="{00000000-0005-0000-0000-000038010000}"/>
    <cellStyle name="40% - Accent5 2 5 2" xfId="321" xr:uid="{00000000-0005-0000-0000-000039010000}"/>
    <cellStyle name="40% - Accent5 2 6" xfId="322" xr:uid="{00000000-0005-0000-0000-00003A010000}"/>
    <cellStyle name="40% - Accent5 3" xfId="323" xr:uid="{00000000-0005-0000-0000-00003B010000}"/>
    <cellStyle name="40% - Accent5 3 2" xfId="324" xr:uid="{00000000-0005-0000-0000-00003C010000}"/>
    <cellStyle name="40% - Accent5 3 2 2" xfId="325" xr:uid="{00000000-0005-0000-0000-00003D010000}"/>
    <cellStyle name="40% - Accent5 3 3" xfId="326" xr:uid="{00000000-0005-0000-0000-00003E010000}"/>
    <cellStyle name="40% - Accent5 4" xfId="327" xr:uid="{00000000-0005-0000-0000-00003F010000}"/>
    <cellStyle name="40% - Accent5 4 2" xfId="328" xr:uid="{00000000-0005-0000-0000-000040010000}"/>
    <cellStyle name="40% - Accent5 5" xfId="329" xr:uid="{00000000-0005-0000-0000-000041010000}"/>
    <cellStyle name="40% - Accent6 2" xfId="330" xr:uid="{00000000-0005-0000-0000-000042010000}"/>
    <cellStyle name="40% - Accent6 2 2" xfId="331" xr:uid="{00000000-0005-0000-0000-000043010000}"/>
    <cellStyle name="40% - Accent6 2 2 2" xfId="332" xr:uid="{00000000-0005-0000-0000-000044010000}"/>
    <cellStyle name="40% - Accent6 2 3" xfId="333" xr:uid="{00000000-0005-0000-0000-000045010000}"/>
    <cellStyle name="40% - Accent6 2 3 2" xfId="334" xr:uid="{00000000-0005-0000-0000-000046010000}"/>
    <cellStyle name="40% - Accent6 2 3 2 2" xfId="335" xr:uid="{00000000-0005-0000-0000-000047010000}"/>
    <cellStyle name="40% - Accent6 2 3 2 2 2" xfId="336" xr:uid="{00000000-0005-0000-0000-000048010000}"/>
    <cellStyle name="40% - Accent6 2 3 2 3" xfId="337" xr:uid="{00000000-0005-0000-0000-000049010000}"/>
    <cellStyle name="40% - Accent6 2 3 3" xfId="338" xr:uid="{00000000-0005-0000-0000-00004A010000}"/>
    <cellStyle name="40% - Accent6 2 3 3 2" xfId="339" xr:uid="{00000000-0005-0000-0000-00004B010000}"/>
    <cellStyle name="40% - Accent6 2 3 4" xfId="340" xr:uid="{00000000-0005-0000-0000-00004C010000}"/>
    <cellStyle name="40% - Accent6 2 4" xfId="341" xr:uid="{00000000-0005-0000-0000-00004D010000}"/>
    <cellStyle name="40% - Accent6 2 4 2" xfId="342" xr:uid="{00000000-0005-0000-0000-00004E010000}"/>
    <cellStyle name="40% - Accent6 2 4 2 2" xfId="343" xr:uid="{00000000-0005-0000-0000-00004F010000}"/>
    <cellStyle name="40% - Accent6 2 4 3" xfId="344" xr:uid="{00000000-0005-0000-0000-000050010000}"/>
    <cellStyle name="40% - Accent6 2 5" xfId="345" xr:uid="{00000000-0005-0000-0000-000051010000}"/>
    <cellStyle name="40% - Accent6 2 5 2" xfId="346" xr:uid="{00000000-0005-0000-0000-000052010000}"/>
    <cellStyle name="40% - Accent6 2 6" xfId="347" xr:uid="{00000000-0005-0000-0000-000053010000}"/>
    <cellStyle name="40% - Accent6 3" xfId="348" xr:uid="{00000000-0005-0000-0000-000054010000}"/>
    <cellStyle name="40% - Accent6 3 2" xfId="349" xr:uid="{00000000-0005-0000-0000-000055010000}"/>
    <cellStyle name="40% - Accent6 3 3" xfId="350" xr:uid="{00000000-0005-0000-0000-000056010000}"/>
    <cellStyle name="40% - Accent6 4" xfId="351" xr:uid="{00000000-0005-0000-0000-000057010000}"/>
    <cellStyle name="40% - Accent6 4 2" xfId="352" xr:uid="{00000000-0005-0000-0000-000058010000}"/>
    <cellStyle name="40% - Accent6 4 3" xfId="353" xr:uid="{00000000-0005-0000-0000-000059010000}"/>
    <cellStyle name="40% - Accent6 5" xfId="354" xr:uid="{00000000-0005-0000-0000-00005A010000}"/>
    <cellStyle name="40% - Accent6 6" xfId="355" xr:uid="{00000000-0005-0000-0000-00005B010000}"/>
    <cellStyle name="60% - Accent1 2" xfId="356" xr:uid="{00000000-0005-0000-0000-00005C010000}"/>
    <cellStyle name="60% - Accent1 2 2" xfId="357" xr:uid="{00000000-0005-0000-0000-00005D010000}"/>
    <cellStyle name="60% - Accent1 2 2 2" xfId="358" xr:uid="{00000000-0005-0000-0000-00005E010000}"/>
    <cellStyle name="60% - Accent1 2 3" xfId="359" xr:uid="{00000000-0005-0000-0000-00005F010000}"/>
    <cellStyle name="60% - Accent1 3" xfId="360" xr:uid="{00000000-0005-0000-0000-000060010000}"/>
    <cellStyle name="60% - Accent1 3 2" xfId="361" xr:uid="{00000000-0005-0000-0000-000061010000}"/>
    <cellStyle name="60% - Accent1 4" xfId="362" xr:uid="{00000000-0005-0000-0000-000062010000}"/>
    <cellStyle name="60% - Accent2 2" xfId="363" xr:uid="{00000000-0005-0000-0000-000063010000}"/>
    <cellStyle name="60% - Accent2 2 2" xfId="364" xr:uid="{00000000-0005-0000-0000-000064010000}"/>
    <cellStyle name="60% - Accent2 3" xfId="365" xr:uid="{00000000-0005-0000-0000-000065010000}"/>
    <cellStyle name="60% - Accent2 4" xfId="366" xr:uid="{00000000-0005-0000-0000-000066010000}"/>
    <cellStyle name="60% - Accent3 2" xfId="367" xr:uid="{00000000-0005-0000-0000-000067010000}"/>
    <cellStyle name="60% - Accent3 2 2" xfId="368" xr:uid="{00000000-0005-0000-0000-000068010000}"/>
    <cellStyle name="60% - Accent3 2 2 2" xfId="369" xr:uid="{00000000-0005-0000-0000-000069010000}"/>
    <cellStyle name="60% - Accent3 2 3" xfId="370" xr:uid="{00000000-0005-0000-0000-00006A010000}"/>
    <cellStyle name="60% - Accent3 3" xfId="371" xr:uid="{00000000-0005-0000-0000-00006B010000}"/>
    <cellStyle name="60% - Accent3 3 2" xfId="372" xr:uid="{00000000-0005-0000-0000-00006C010000}"/>
    <cellStyle name="60% - Accent3 4" xfId="373" xr:uid="{00000000-0005-0000-0000-00006D010000}"/>
    <cellStyle name="60% - Accent4 2" xfId="374" xr:uid="{00000000-0005-0000-0000-00006E010000}"/>
    <cellStyle name="60% - Accent4 2 2" xfId="375" xr:uid="{00000000-0005-0000-0000-00006F010000}"/>
    <cellStyle name="60% - Accent4 2 2 2" xfId="376" xr:uid="{00000000-0005-0000-0000-000070010000}"/>
    <cellStyle name="60% - Accent4 2 3" xfId="377" xr:uid="{00000000-0005-0000-0000-000071010000}"/>
    <cellStyle name="60% - Accent4 3" xfId="378" xr:uid="{00000000-0005-0000-0000-000072010000}"/>
    <cellStyle name="60% - Accent4 3 2" xfId="379" xr:uid="{00000000-0005-0000-0000-000073010000}"/>
    <cellStyle name="60% - Accent4 4" xfId="380" xr:uid="{00000000-0005-0000-0000-000074010000}"/>
    <cellStyle name="60% - Accent5 2" xfId="381" xr:uid="{00000000-0005-0000-0000-000075010000}"/>
    <cellStyle name="60% - Accent5 2 2" xfId="382" xr:uid="{00000000-0005-0000-0000-000076010000}"/>
    <cellStyle name="60% - Accent5 3" xfId="383" xr:uid="{00000000-0005-0000-0000-000077010000}"/>
    <cellStyle name="60% - Accent5 4" xfId="384" xr:uid="{00000000-0005-0000-0000-000078010000}"/>
    <cellStyle name="60% - Accent6 2" xfId="385" xr:uid="{00000000-0005-0000-0000-000079010000}"/>
    <cellStyle name="60% - Accent6 2 2" xfId="386" xr:uid="{00000000-0005-0000-0000-00007A010000}"/>
    <cellStyle name="60% - Accent6 2 2 2" xfId="387" xr:uid="{00000000-0005-0000-0000-00007B010000}"/>
    <cellStyle name="60% - Accent6 2 3" xfId="388" xr:uid="{00000000-0005-0000-0000-00007C010000}"/>
    <cellStyle name="60% - Accent6 3" xfId="389" xr:uid="{00000000-0005-0000-0000-00007D010000}"/>
    <cellStyle name="60% - Accent6 3 2" xfId="390" xr:uid="{00000000-0005-0000-0000-00007E010000}"/>
    <cellStyle name="60% - Accent6 4" xfId="391" xr:uid="{00000000-0005-0000-0000-00007F010000}"/>
    <cellStyle name="Accent1 2" xfId="392" xr:uid="{00000000-0005-0000-0000-000080010000}"/>
    <cellStyle name="Accent1 2 2" xfId="393" xr:uid="{00000000-0005-0000-0000-000081010000}"/>
    <cellStyle name="Accent1 2 2 2" xfId="394" xr:uid="{00000000-0005-0000-0000-000082010000}"/>
    <cellStyle name="Accent1 2 3" xfId="395" xr:uid="{00000000-0005-0000-0000-000083010000}"/>
    <cellStyle name="Accent1 3" xfId="396" xr:uid="{00000000-0005-0000-0000-000084010000}"/>
    <cellStyle name="Accent1 3 2" xfId="397" xr:uid="{00000000-0005-0000-0000-000085010000}"/>
    <cellStyle name="Accent1 4" xfId="398" xr:uid="{00000000-0005-0000-0000-000086010000}"/>
    <cellStyle name="Accent2 2" xfId="399" xr:uid="{00000000-0005-0000-0000-000087010000}"/>
    <cellStyle name="Accent2 2 2" xfId="400" xr:uid="{00000000-0005-0000-0000-000088010000}"/>
    <cellStyle name="Accent2 3" xfId="401" xr:uid="{00000000-0005-0000-0000-000089010000}"/>
    <cellStyle name="Accent2 4" xfId="402" xr:uid="{00000000-0005-0000-0000-00008A010000}"/>
    <cellStyle name="Accent3 2" xfId="403" xr:uid="{00000000-0005-0000-0000-00008B010000}"/>
    <cellStyle name="Accent3 2 10" xfId="404" xr:uid="{00000000-0005-0000-0000-00008C010000}"/>
    <cellStyle name="Accent3 2 11" xfId="405" xr:uid="{00000000-0005-0000-0000-00008D010000}"/>
    <cellStyle name="Accent3 2 12" xfId="406" xr:uid="{00000000-0005-0000-0000-00008E010000}"/>
    <cellStyle name="Accent3 2 13" xfId="407" xr:uid="{00000000-0005-0000-0000-00008F010000}"/>
    <cellStyle name="Accent3 2 14" xfId="408" xr:uid="{00000000-0005-0000-0000-000090010000}"/>
    <cellStyle name="Accent3 2 15" xfId="409" xr:uid="{00000000-0005-0000-0000-000091010000}"/>
    <cellStyle name="Accent3 2 16" xfId="410" xr:uid="{00000000-0005-0000-0000-000092010000}"/>
    <cellStyle name="Accent3 2 2" xfId="411" xr:uid="{00000000-0005-0000-0000-000093010000}"/>
    <cellStyle name="Accent3 2 2 2" xfId="412" xr:uid="{00000000-0005-0000-0000-000094010000}"/>
    <cellStyle name="Accent3 2 3" xfId="413" xr:uid="{00000000-0005-0000-0000-000095010000}"/>
    <cellStyle name="Accent3 2 4" xfId="414" xr:uid="{00000000-0005-0000-0000-000096010000}"/>
    <cellStyle name="Accent3 2 5" xfId="415" xr:uid="{00000000-0005-0000-0000-000097010000}"/>
    <cellStyle name="Accent3 2 6" xfId="416" xr:uid="{00000000-0005-0000-0000-000098010000}"/>
    <cellStyle name="Accent3 2 7" xfId="417" xr:uid="{00000000-0005-0000-0000-000099010000}"/>
    <cellStyle name="Accent3 2 8" xfId="418" xr:uid="{00000000-0005-0000-0000-00009A010000}"/>
    <cellStyle name="Accent3 2 9" xfId="419" xr:uid="{00000000-0005-0000-0000-00009B010000}"/>
    <cellStyle name="Accent3 3" xfId="420" xr:uid="{00000000-0005-0000-0000-00009C010000}"/>
    <cellStyle name="Accent3 4" xfId="421" xr:uid="{00000000-0005-0000-0000-00009D010000}"/>
    <cellStyle name="Accent4 2" xfId="422" xr:uid="{00000000-0005-0000-0000-00009E010000}"/>
    <cellStyle name="Accent4 2 2" xfId="423" xr:uid="{00000000-0005-0000-0000-00009F010000}"/>
    <cellStyle name="Accent4 2 2 2" xfId="424" xr:uid="{00000000-0005-0000-0000-0000A0010000}"/>
    <cellStyle name="Accent4 2 3" xfId="425" xr:uid="{00000000-0005-0000-0000-0000A1010000}"/>
    <cellStyle name="Accent4 3" xfId="426" xr:uid="{00000000-0005-0000-0000-0000A2010000}"/>
    <cellStyle name="Accent4 3 2" xfId="427" xr:uid="{00000000-0005-0000-0000-0000A3010000}"/>
    <cellStyle name="Accent4 4" xfId="428" xr:uid="{00000000-0005-0000-0000-0000A4010000}"/>
    <cellStyle name="Accent5 2" xfId="429" xr:uid="{00000000-0005-0000-0000-0000A5010000}"/>
    <cellStyle name="Accent5 2 2" xfId="430" xr:uid="{00000000-0005-0000-0000-0000A6010000}"/>
    <cellStyle name="Accent5 3" xfId="431" xr:uid="{00000000-0005-0000-0000-0000A7010000}"/>
    <cellStyle name="Accent5 4" xfId="432" xr:uid="{00000000-0005-0000-0000-0000A8010000}"/>
    <cellStyle name="Accent6 2" xfId="433" xr:uid="{00000000-0005-0000-0000-0000A9010000}"/>
    <cellStyle name="Accent6 2 2" xfId="434" xr:uid="{00000000-0005-0000-0000-0000AA010000}"/>
    <cellStyle name="Accent6 3" xfId="435" xr:uid="{00000000-0005-0000-0000-0000AB010000}"/>
    <cellStyle name="Accent6 4" xfId="436" xr:uid="{00000000-0005-0000-0000-0000AC010000}"/>
    <cellStyle name="Add" xfId="437" xr:uid="{00000000-0005-0000-0000-0000AD010000}"/>
    <cellStyle name="args.style" xfId="438" xr:uid="{00000000-0005-0000-0000-0000AE010000}"/>
    <cellStyle name="Ariel 7 pt. plain" xfId="439" xr:uid="{00000000-0005-0000-0000-0000AF010000}"/>
    <cellStyle name="AS1" xfId="440" xr:uid="{00000000-0005-0000-0000-0000B0010000}"/>
    <cellStyle name="AS2" xfId="441" xr:uid="{00000000-0005-0000-0000-0000B1010000}"/>
    <cellStyle name="AS3" xfId="442" xr:uid="{00000000-0005-0000-0000-0000B2010000}"/>
    <cellStyle name="AS4" xfId="443" xr:uid="{00000000-0005-0000-0000-0000B3010000}"/>
    <cellStyle name="AS5" xfId="444" xr:uid="{00000000-0005-0000-0000-0000B4010000}"/>
    <cellStyle name="B&amp;P" xfId="445" xr:uid="{00000000-0005-0000-0000-0000B5010000}"/>
    <cellStyle name="B&amp;P 2" xfId="446" xr:uid="{00000000-0005-0000-0000-0000B6010000}"/>
    <cellStyle name="Background" xfId="447" xr:uid="{00000000-0005-0000-0000-0000B7010000}"/>
    <cellStyle name="Background 10" xfId="448" xr:uid="{00000000-0005-0000-0000-0000B8010000}"/>
    <cellStyle name="Background 10 2" xfId="449" xr:uid="{00000000-0005-0000-0000-0000B9010000}"/>
    <cellStyle name="Background 10 2 2" xfId="450" xr:uid="{00000000-0005-0000-0000-0000BA010000}"/>
    <cellStyle name="Background 10 2 3" xfId="451" xr:uid="{00000000-0005-0000-0000-0000BB010000}"/>
    <cellStyle name="Background 10 2 4" xfId="452" xr:uid="{00000000-0005-0000-0000-0000BC010000}"/>
    <cellStyle name="Background 10 2 5" xfId="453" xr:uid="{00000000-0005-0000-0000-0000BD010000}"/>
    <cellStyle name="Background 10 2 6" xfId="454" xr:uid="{00000000-0005-0000-0000-0000BE010000}"/>
    <cellStyle name="Background 10 3" xfId="455" xr:uid="{00000000-0005-0000-0000-0000BF010000}"/>
    <cellStyle name="Background 10 4" xfId="456" xr:uid="{00000000-0005-0000-0000-0000C0010000}"/>
    <cellStyle name="Background 10 5" xfId="457" xr:uid="{00000000-0005-0000-0000-0000C1010000}"/>
    <cellStyle name="Background 11" xfId="458" xr:uid="{00000000-0005-0000-0000-0000C2010000}"/>
    <cellStyle name="Background 11 2" xfId="459" xr:uid="{00000000-0005-0000-0000-0000C3010000}"/>
    <cellStyle name="Background 11 3" xfId="460" xr:uid="{00000000-0005-0000-0000-0000C4010000}"/>
    <cellStyle name="Background 11 4" xfId="461" xr:uid="{00000000-0005-0000-0000-0000C5010000}"/>
    <cellStyle name="Background 11 5" xfId="462" xr:uid="{00000000-0005-0000-0000-0000C6010000}"/>
    <cellStyle name="Background 11 6" xfId="463" xr:uid="{00000000-0005-0000-0000-0000C7010000}"/>
    <cellStyle name="Background 12" xfId="464" xr:uid="{00000000-0005-0000-0000-0000C8010000}"/>
    <cellStyle name="Background 13" xfId="465" xr:uid="{00000000-0005-0000-0000-0000C9010000}"/>
    <cellStyle name="Background 14" xfId="466" xr:uid="{00000000-0005-0000-0000-0000CA010000}"/>
    <cellStyle name="Background 2" xfId="467" xr:uid="{00000000-0005-0000-0000-0000CB010000}"/>
    <cellStyle name="Background 2 10" xfId="468" xr:uid="{00000000-0005-0000-0000-0000CC010000}"/>
    <cellStyle name="Background 2 10 2" xfId="469" xr:uid="{00000000-0005-0000-0000-0000CD010000}"/>
    <cellStyle name="Background 2 10 3" xfId="470" xr:uid="{00000000-0005-0000-0000-0000CE010000}"/>
    <cellStyle name="Background 2 10 4" xfId="471" xr:uid="{00000000-0005-0000-0000-0000CF010000}"/>
    <cellStyle name="Background 2 10 5" xfId="472" xr:uid="{00000000-0005-0000-0000-0000D0010000}"/>
    <cellStyle name="Background 2 10 6" xfId="473" xr:uid="{00000000-0005-0000-0000-0000D1010000}"/>
    <cellStyle name="Background 2 11" xfId="474" xr:uid="{00000000-0005-0000-0000-0000D2010000}"/>
    <cellStyle name="Background 2 12" xfId="475" xr:uid="{00000000-0005-0000-0000-0000D3010000}"/>
    <cellStyle name="Background 2 13" xfId="476" xr:uid="{00000000-0005-0000-0000-0000D4010000}"/>
    <cellStyle name="Background 2 2" xfId="477" xr:uid="{00000000-0005-0000-0000-0000D5010000}"/>
    <cellStyle name="Background 2 2 10" xfId="478" xr:uid="{00000000-0005-0000-0000-0000D6010000}"/>
    <cellStyle name="Background 2 2 10 2" xfId="479" xr:uid="{00000000-0005-0000-0000-0000D7010000}"/>
    <cellStyle name="Background 2 2 10 3" xfId="480" xr:uid="{00000000-0005-0000-0000-0000D8010000}"/>
    <cellStyle name="Background 2 2 10 4" xfId="481" xr:uid="{00000000-0005-0000-0000-0000D9010000}"/>
    <cellStyle name="Background 2 2 10 5" xfId="482" xr:uid="{00000000-0005-0000-0000-0000DA010000}"/>
    <cellStyle name="Background 2 2 10 6" xfId="483" xr:uid="{00000000-0005-0000-0000-0000DB010000}"/>
    <cellStyle name="Background 2 2 11" xfId="484" xr:uid="{00000000-0005-0000-0000-0000DC010000}"/>
    <cellStyle name="Background 2 2 12" xfId="485" xr:uid="{00000000-0005-0000-0000-0000DD010000}"/>
    <cellStyle name="Background 2 2 13" xfId="486" xr:uid="{00000000-0005-0000-0000-0000DE010000}"/>
    <cellStyle name="Background 2 2 2" xfId="487" xr:uid="{00000000-0005-0000-0000-0000DF010000}"/>
    <cellStyle name="Background 2 2 2 10" xfId="488" xr:uid="{00000000-0005-0000-0000-0000E0010000}"/>
    <cellStyle name="Background 2 2 2 11" xfId="489" xr:uid="{00000000-0005-0000-0000-0000E1010000}"/>
    <cellStyle name="Background 2 2 2 12" xfId="490" xr:uid="{00000000-0005-0000-0000-0000E2010000}"/>
    <cellStyle name="Background 2 2 2 2" xfId="491" xr:uid="{00000000-0005-0000-0000-0000E3010000}"/>
    <cellStyle name="Background 2 2 2 2 10" xfId="492" xr:uid="{00000000-0005-0000-0000-0000E4010000}"/>
    <cellStyle name="Background 2 2 2 2 10 2" xfId="493" xr:uid="{00000000-0005-0000-0000-0000E5010000}"/>
    <cellStyle name="Background 2 2 2 2 10 3" xfId="494" xr:uid="{00000000-0005-0000-0000-0000E6010000}"/>
    <cellStyle name="Background 2 2 2 2 10 4" xfId="495" xr:uid="{00000000-0005-0000-0000-0000E7010000}"/>
    <cellStyle name="Background 2 2 2 2 10 5" xfId="496" xr:uid="{00000000-0005-0000-0000-0000E8010000}"/>
    <cellStyle name="Background 2 2 2 2 10 6" xfId="497" xr:uid="{00000000-0005-0000-0000-0000E9010000}"/>
    <cellStyle name="Background 2 2 2 2 11" xfId="498" xr:uid="{00000000-0005-0000-0000-0000EA010000}"/>
    <cellStyle name="Background 2 2 2 2 12" xfId="499" xr:uid="{00000000-0005-0000-0000-0000EB010000}"/>
    <cellStyle name="Background 2 2 2 2 13" xfId="500" xr:uid="{00000000-0005-0000-0000-0000EC010000}"/>
    <cellStyle name="Background 2 2 2 2 2" xfId="501" xr:uid="{00000000-0005-0000-0000-0000ED010000}"/>
    <cellStyle name="Background 2 2 2 2 2 10" xfId="502" xr:uid="{00000000-0005-0000-0000-0000EE010000}"/>
    <cellStyle name="Background 2 2 2 2 2 11" xfId="503" xr:uid="{00000000-0005-0000-0000-0000EF010000}"/>
    <cellStyle name="Background 2 2 2 2 2 12" xfId="504" xr:uid="{00000000-0005-0000-0000-0000F0010000}"/>
    <cellStyle name="Background 2 2 2 2 2 2" xfId="505" xr:uid="{00000000-0005-0000-0000-0000F1010000}"/>
    <cellStyle name="Background 2 2 2 2 2 2 2" xfId="506" xr:uid="{00000000-0005-0000-0000-0000F2010000}"/>
    <cellStyle name="Background 2 2 2 2 2 2 2 2" xfId="507" xr:uid="{00000000-0005-0000-0000-0000F3010000}"/>
    <cellStyle name="Background 2 2 2 2 2 2 2 2 2" xfId="508" xr:uid="{00000000-0005-0000-0000-0000F4010000}"/>
    <cellStyle name="Background 2 2 2 2 2 2 2 2 3" xfId="509" xr:uid="{00000000-0005-0000-0000-0000F5010000}"/>
    <cellStyle name="Background 2 2 2 2 2 2 2 2 4" xfId="510" xr:uid="{00000000-0005-0000-0000-0000F6010000}"/>
    <cellStyle name="Background 2 2 2 2 2 2 2 2 5" xfId="511" xr:uid="{00000000-0005-0000-0000-0000F7010000}"/>
    <cellStyle name="Background 2 2 2 2 2 2 2 2 6" xfId="512" xr:uid="{00000000-0005-0000-0000-0000F8010000}"/>
    <cellStyle name="Background 2 2 2 2 2 2 2 3" xfId="513" xr:uid="{00000000-0005-0000-0000-0000F9010000}"/>
    <cellStyle name="Background 2 2 2 2 2 2 2 4" xfId="514" xr:uid="{00000000-0005-0000-0000-0000FA010000}"/>
    <cellStyle name="Background 2 2 2 2 2 2 2 5" xfId="515" xr:uid="{00000000-0005-0000-0000-0000FB010000}"/>
    <cellStyle name="Background 2 2 2 2 2 2 3" xfId="516" xr:uid="{00000000-0005-0000-0000-0000FC010000}"/>
    <cellStyle name="Background 2 2 2 2 2 2 3 2" xfId="517" xr:uid="{00000000-0005-0000-0000-0000FD010000}"/>
    <cellStyle name="Background 2 2 2 2 2 2 3 2 2" xfId="518" xr:uid="{00000000-0005-0000-0000-0000FE010000}"/>
    <cellStyle name="Background 2 2 2 2 2 2 3 2 3" xfId="519" xr:uid="{00000000-0005-0000-0000-0000FF010000}"/>
    <cellStyle name="Background 2 2 2 2 2 2 3 2 4" xfId="520" xr:uid="{00000000-0005-0000-0000-000000020000}"/>
    <cellStyle name="Background 2 2 2 2 2 2 3 2 5" xfId="521" xr:uid="{00000000-0005-0000-0000-000001020000}"/>
    <cellStyle name="Background 2 2 2 2 2 2 3 2 6" xfId="522" xr:uid="{00000000-0005-0000-0000-000002020000}"/>
    <cellStyle name="Background 2 2 2 2 2 2 3 3" xfId="523" xr:uid="{00000000-0005-0000-0000-000003020000}"/>
    <cellStyle name="Background 2 2 2 2 2 2 3 4" xfId="524" xr:uid="{00000000-0005-0000-0000-000004020000}"/>
    <cellStyle name="Background 2 2 2 2 2 2 3 5" xfId="525" xr:uid="{00000000-0005-0000-0000-000005020000}"/>
    <cellStyle name="Background 2 2 2 2 2 2 4" xfId="526" xr:uid="{00000000-0005-0000-0000-000006020000}"/>
    <cellStyle name="Background 2 2 2 2 2 2 4 2" xfId="527" xr:uid="{00000000-0005-0000-0000-000007020000}"/>
    <cellStyle name="Background 2 2 2 2 2 2 4 3" xfId="528" xr:uid="{00000000-0005-0000-0000-000008020000}"/>
    <cellStyle name="Background 2 2 2 2 2 2 4 4" xfId="529" xr:uid="{00000000-0005-0000-0000-000009020000}"/>
    <cellStyle name="Background 2 2 2 2 2 2 4 5" xfId="530" xr:uid="{00000000-0005-0000-0000-00000A020000}"/>
    <cellStyle name="Background 2 2 2 2 2 2 4 6" xfId="531" xr:uid="{00000000-0005-0000-0000-00000B020000}"/>
    <cellStyle name="Background 2 2 2 2 2 2 5" xfId="532" xr:uid="{00000000-0005-0000-0000-00000C020000}"/>
    <cellStyle name="Background 2 2 2 2 2 2 6" xfId="533" xr:uid="{00000000-0005-0000-0000-00000D020000}"/>
    <cellStyle name="Background 2 2 2 2 2 2 7" xfId="534" xr:uid="{00000000-0005-0000-0000-00000E020000}"/>
    <cellStyle name="Background 2 2 2 2 2 3" xfId="535" xr:uid="{00000000-0005-0000-0000-00000F020000}"/>
    <cellStyle name="Background 2 2 2 2 2 3 2" xfId="536" xr:uid="{00000000-0005-0000-0000-000010020000}"/>
    <cellStyle name="Background 2 2 2 2 2 3 2 2" xfId="537" xr:uid="{00000000-0005-0000-0000-000011020000}"/>
    <cellStyle name="Background 2 2 2 2 2 3 2 2 2" xfId="538" xr:uid="{00000000-0005-0000-0000-000012020000}"/>
    <cellStyle name="Background 2 2 2 2 2 3 2 2 3" xfId="539" xr:uid="{00000000-0005-0000-0000-000013020000}"/>
    <cellStyle name="Background 2 2 2 2 2 3 2 2 4" xfId="540" xr:uid="{00000000-0005-0000-0000-000014020000}"/>
    <cellStyle name="Background 2 2 2 2 2 3 2 2 5" xfId="541" xr:uid="{00000000-0005-0000-0000-000015020000}"/>
    <cellStyle name="Background 2 2 2 2 2 3 2 2 6" xfId="542" xr:uid="{00000000-0005-0000-0000-000016020000}"/>
    <cellStyle name="Background 2 2 2 2 2 3 2 3" xfId="543" xr:uid="{00000000-0005-0000-0000-000017020000}"/>
    <cellStyle name="Background 2 2 2 2 2 3 2 4" xfId="544" xr:uid="{00000000-0005-0000-0000-000018020000}"/>
    <cellStyle name="Background 2 2 2 2 2 3 2 5" xfId="545" xr:uid="{00000000-0005-0000-0000-000019020000}"/>
    <cellStyle name="Background 2 2 2 2 2 3 3" xfId="546" xr:uid="{00000000-0005-0000-0000-00001A020000}"/>
    <cellStyle name="Background 2 2 2 2 2 3 3 2" xfId="547" xr:uid="{00000000-0005-0000-0000-00001B020000}"/>
    <cellStyle name="Background 2 2 2 2 2 3 3 2 2" xfId="548" xr:uid="{00000000-0005-0000-0000-00001C020000}"/>
    <cellStyle name="Background 2 2 2 2 2 3 3 2 3" xfId="549" xr:uid="{00000000-0005-0000-0000-00001D020000}"/>
    <cellStyle name="Background 2 2 2 2 2 3 3 2 4" xfId="550" xr:uid="{00000000-0005-0000-0000-00001E020000}"/>
    <cellStyle name="Background 2 2 2 2 2 3 3 2 5" xfId="551" xr:uid="{00000000-0005-0000-0000-00001F020000}"/>
    <cellStyle name="Background 2 2 2 2 2 3 3 2 6" xfId="552" xr:uid="{00000000-0005-0000-0000-000020020000}"/>
    <cellStyle name="Background 2 2 2 2 2 3 3 3" xfId="553" xr:uid="{00000000-0005-0000-0000-000021020000}"/>
    <cellStyle name="Background 2 2 2 2 2 3 3 4" xfId="554" xr:uid="{00000000-0005-0000-0000-000022020000}"/>
    <cellStyle name="Background 2 2 2 2 2 3 3 5" xfId="555" xr:uid="{00000000-0005-0000-0000-000023020000}"/>
    <cellStyle name="Background 2 2 2 2 2 3 4" xfId="556" xr:uid="{00000000-0005-0000-0000-000024020000}"/>
    <cellStyle name="Background 2 2 2 2 2 3 4 2" xfId="557" xr:uid="{00000000-0005-0000-0000-000025020000}"/>
    <cellStyle name="Background 2 2 2 2 2 3 4 3" xfId="558" xr:uid="{00000000-0005-0000-0000-000026020000}"/>
    <cellStyle name="Background 2 2 2 2 2 3 4 4" xfId="559" xr:uid="{00000000-0005-0000-0000-000027020000}"/>
    <cellStyle name="Background 2 2 2 2 2 3 4 5" xfId="560" xr:uid="{00000000-0005-0000-0000-000028020000}"/>
    <cellStyle name="Background 2 2 2 2 2 3 4 6" xfId="561" xr:uid="{00000000-0005-0000-0000-000029020000}"/>
    <cellStyle name="Background 2 2 2 2 2 3 5" xfId="562" xr:uid="{00000000-0005-0000-0000-00002A020000}"/>
    <cellStyle name="Background 2 2 2 2 2 3 6" xfId="563" xr:uid="{00000000-0005-0000-0000-00002B020000}"/>
    <cellStyle name="Background 2 2 2 2 2 3 7" xfId="564" xr:uid="{00000000-0005-0000-0000-00002C020000}"/>
    <cellStyle name="Background 2 2 2 2 2 4" xfId="565" xr:uid="{00000000-0005-0000-0000-00002D020000}"/>
    <cellStyle name="Background 2 2 2 2 2 4 2" xfId="566" xr:uid="{00000000-0005-0000-0000-00002E020000}"/>
    <cellStyle name="Background 2 2 2 2 2 4 2 2" xfId="567" xr:uid="{00000000-0005-0000-0000-00002F020000}"/>
    <cellStyle name="Background 2 2 2 2 2 4 2 2 2" xfId="568" xr:uid="{00000000-0005-0000-0000-000030020000}"/>
    <cellStyle name="Background 2 2 2 2 2 4 2 2 3" xfId="569" xr:uid="{00000000-0005-0000-0000-000031020000}"/>
    <cellStyle name="Background 2 2 2 2 2 4 2 2 4" xfId="570" xr:uid="{00000000-0005-0000-0000-000032020000}"/>
    <cellStyle name="Background 2 2 2 2 2 4 2 2 5" xfId="571" xr:uid="{00000000-0005-0000-0000-000033020000}"/>
    <cellStyle name="Background 2 2 2 2 2 4 2 2 6" xfId="572" xr:uid="{00000000-0005-0000-0000-000034020000}"/>
    <cellStyle name="Background 2 2 2 2 2 4 2 3" xfId="573" xr:uid="{00000000-0005-0000-0000-000035020000}"/>
    <cellStyle name="Background 2 2 2 2 2 4 2 4" xfId="574" xr:uid="{00000000-0005-0000-0000-000036020000}"/>
    <cellStyle name="Background 2 2 2 2 2 4 2 5" xfId="575" xr:uid="{00000000-0005-0000-0000-000037020000}"/>
    <cellStyle name="Background 2 2 2 2 2 4 3" xfId="576" xr:uid="{00000000-0005-0000-0000-000038020000}"/>
    <cellStyle name="Background 2 2 2 2 2 4 3 2" xfId="577" xr:uid="{00000000-0005-0000-0000-000039020000}"/>
    <cellStyle name="Background 2 2 2 2 2 4 3 2 2" xfId="578" xr:uid="{00000000-0005-0000-0000-00003A020000}"/>
    <cellStyle name="Background 2 2 2 2 2 4 3 2 3" xfId="579" xr:uid="{00000000-0005-0000-0000-00003B020000}"/>
    <cellStyle name="Background 2 2 2 2 2 4 3 2 4" xfId="580" xr:uid="{00000000-0005-0000-0000-00003C020000}"/>
    <cellStyle name="Background 2 2 2 2 2 4 3 2 5" xfId="581" xr:uid="{00000000-0005-0000-0000-00003D020000}"/>
    <cellStyle name="Background 2 2 2 2 2 4 3 2 6" xfId="582" xr:uid="{00000000-0005-0000-0000-00003E020000}"/>
    <cellStyle name="Background 2 2 2 2 2 4 3 3" xfId="583" xr:uid="{00000000-0005-0000-0000-00003F020000}"/>
    <cellStyle name="Background 2 2 2 2 2 4 3 4" xfId="584" xr:uid="{00000000-0005-0000-0000-000040020000}"/>
    <cellStyle name="Background 2 2 2 2 2 4 3 5" xfId="585" xr:uid="{00000000-0005-0000-0000-000041020000}"/>
    <cellStyle name="Background 2 2 2 2 2 4 4" xfId="586" xr:uid="{00000000-0005-0000-0000-000042020000}"/>
    <cellStyle name="Background 2 2 2 2 2 4 4 2" xfId="587" xr:uid="{00000000-0005-0000-0000-000043020000}"/>
    <cellStyle name="Background 2 2 2 2 2 4 4 3" xfId="588" xr:uid="{00000000-0005-0000-0000-000044020000}"/>
    <cellStyle name="Background 2 2 2 2 2 4 4 4" xfId="589" xr:uid="{00000000-0005-0000-0000-000045020000}"/>
    <cellStyle name="Background 2 2 2 2 2 4 4 5" xfId="590" xr:uid="{00000000-0005-0000-0000-000046020000}"/>
    <cellStyle name="Background 2 2 2 2 2 4 4 6" xfId="591" xr:uid="{00000000-0005-0000-0000-000047020000}"/>
    <cellStyle name="Background 2 2 2 2 2 4 5" xfId="592" xr:uid="{00000000-0005-0000-0000-000048020000}"/>
    <cellStyle name="Background 2 2 2 2 2 4 6" xfId="593" xr:uid="{00000000-0005-0000-0000-000049020000}"/>
    <cellStyle name="Background 2 2 2 2 2 4 7" xfId="594" xr:uid="{00000000-0005-0000-0000-00004A020000}"/>
    <cellStyle name="Background 2 2 2 2 2 5" xfId="595" xr:uid="{00000000-0005-0000-0000-00004B020000}"/>
    <cellStyle name="Background 2 2 2 2 2 5 2" xfId="596" xr:uid="{00000000-0005-0000-0000-00004C020000}"/>
    <cellStyle name="Background 2 2 2 2 2 5 2 2" xfId="597" xr:uid="{00000000-0005-0000-0000-00004D020000}"/>
    <cellStyle name="Background 2 2 2 2 2 5 2 2 2" xfId="598" xr:uid="{00000000-0005-0000-0000-00004E020000}"/>
    <cellStyle name="Background 2 2 2 2 2 5 2 2 3" xfId="599" xr:uid="{00000000-0005-0000-0000-00004F020000}"/>
    <cellStyle name="Background 2 2 2 2 2 5 2 2 4" xfId="600" xr:uid="{00000000-0005-0000-0000-000050020000}"/>
    <cellStyle name="Background 2 2 2 2 2 5 2 2 5" xfId="601" xr:uid="{00000000-0005-0000-0000-000051020000}"/>
    <cellStyle name="Background 2 2 2 2 2 5 2 2 6" xfId="602" xr:uid="{00000000-0005-0000-0000-000052020000}"/>
    <cellStyle name="Background 2 2 2 2 2 5 2 3" xfId="603" xr:uid="{00000000-0005-0000-0000-000053020000}"/>
    <cellStyle name="Background 2 2 2 2 2 5 2 4" xfId="604" xr:uid="{00000000-0005-0000-0000-000054020000}"/>
    <cellStyle name="Background 2 2 2 2 2 5 2 5" xfId="605" xr:uid="{00000000-0005-0000-0000-000055020000}"/>
    <cellStyle name="Background 2 2 2 2 2 5 3" xfId="606" xr:uid="{00000000-0005-0000-0000-000056020000}"/>
    <cellStyle name="Background 2 2 2 2 2 5 3 2" xfId="607" xr:uid="{00000000-0005-0000-0000-000057020000}"/>
    <cellStyle name="Background 2 2 2 2 2 5 3 2 2" xfId="608" xr:uid="{00000000-0005-0000-0000-000058020000}"/>
    <cellStyle name="Background 2 2 2 2 2 5 3 2 3" xfId="609" xr:uid="{00000000-0005-0000-0000-000059020000}"/>
    <cellStyle name="Background 2 2 2 2 2 5 3 2 4" xfId="610" xr:uid="{00000000-0005-0000-0000-00005A020000}"/>
    <cellStyle name="Background 2 2 2 2 2 5 3 2 5" xfId="611" xr:uid="{00000000-0005-0000-0000-00005B020000}"/>
    <cellStyle name="Background 2 2 2 2 2 5 3 2 6" xfId="612" xr:uid="{00000000-0005-0000-0000-00005C020000}"/>
    <cellStyle name="Background 2 2 2 2 2 5 3 3" xfId="613" xr:uid="{00000000-0005-0000-0000-00005D020000}"/>
    <cellStyle name="Background 2 2 2 2 2 5 3 4" xfId="614" xr:uid="{00000000-0005-0000-0000-00005E020000}"/>
    <cellStyle name="Background 2 2 2 2 2 5 3 5" xfId="615" xr:uid="{00000000-0005-0000-0000-00005F020000}"/>
    <cellStyle name="Background 2 2 2 2 2 5 4" xfId="616" xr:uid="{00000000-0005-0000-0000-000060020000}"/>
    <cellStyle name="Background 2 2 2 2 2 5 4 2" xfId="617" xr:uid="{00000000-0005-0000-0000-000061020000}"/>
    <cellStyle name="Background 2 2 2 2 2 5 4 3" xfId="618" xr:uid="{00000000-0005-0000-0000-000062020000}"/>
    <cellStyle name="Background 2 2 2 2 2 5 4 4" xfId="619" xr:uid="{00000000-0005-0000-0000-000063020000}"/>
    <cellStyle name="Background 2 2 2 2 2 5 4 5" xfId="620" xr:uid="{00000000-0005-0000-0000-000064020000}"/>
    <cellStyle name="Background 2 2 2 2 2 5 4 6" xfId="621" xr:uid="{00000000-0005-0000-0000-000065020000}"/>
    <cellStyle name="Background 2 2 2 2 2 5 5" xfId="622" xr:uid="{00000000-0005-0000-0000-000066020000}"/>
    <cellStyle name="Background 2 2 2 2 2 5 6" xfId="623" xr:uid="{00000000-0005-0000-0000-000067020000}"/>
    <cellStyle name="Background 2 2 2 2 2 5 7" xfId="624" xr:uid="{00000000-0005-0000-0000-000068020000}"/>
    <cellStyle name="Background 2 2 2 2 2 6" xfId="625" xr:uid="{00000000-0005-0000-0000-000069020000}"/>
    <cellStyle name="Background 2 2 2 2 2 6 2" xfId="626" xr:uid="{00000000-0005-0000-0000-00006A020000}"/>
    <cellStyle name="Background 2 2 2 2 2 6 2 2" xfId="627" xr:uid="{00000000-0005-0000-0000-00006B020000}"/>
    <cellStyle name="Background 2 2 2 2 2 6 2 2 2" xfId="628" xr:uid="{00000000-0005-0000-0000-00006C020000}"/>
    <cellStyle name="Background 2 2 2 2 2 6 2 2 3" xfId="629" xr:uid="{00000000-0005-0000-0000-00006D020000}"/>
    <cellStyle name="Background 2 2 2 2 2 6 2 2 4" xfId="630" xr:uid="{00000000-0005-0000-0000-00006E020000}"/>
    <cellStyle name="Background 2 2 2 2 2 6 2 2 5" xfId="631" xr:uid="{00000000-0005-0000-0000-00006F020000}"/>
    <cellStyle name="Background 2 2 2 2 2 6 2 2 6" xfId="632" xr:uid="{00000000-0005-0000-0000-000070020000}"/>
    <cellStyle name="Background 2 2 2 2 2 6 2 3" xfId="633" xr:uid="{00000000-0005-0000-0000-000071020000}"/>
    <cellStyle name="Background 2 2 2 2 2 6 2 4" xfId="634" xr:uid="{00000000-0005-0000-0000-000072020000}"/>
    <cellStyle name="Background 2 2 2 2 2 6 2 5" xfId="635" xr:uid="{00000000-0005-0000-0000-000073020000}"/>
    <cellStyle name="Background 2 2 2 2 2 6 3" xfId="636" xr:uid="{00000000-0005-0000-0000-000074020000}"/>
    <cellStyle name="Background 2 2 2 2 2 6 3 2" xfId="637" xr:uid="{00000000-0005-0000-0000-000075020000}"/>
    <cellStyle name="Background 2 2 2 2 2 6 3 2 2" xfId="638" xr:uid="{00000000-0005-0000-0000-000076020000}"/>
    <cellStyle name="Background 2 2 2 2 2 6 3 2 3" xfId="639" xr:uid="{00000000-0005-0000-0000-000077020000}"/>
    <cellStyle name="Background 2 2 2 2 2 6 3 2 4" xfId="640" xr:uid="{00000000-0005-0000-0000-000078020000}"/>
    <cellStyle name="Background 2 2 2 2 2 6 3 2 5" xfId="641" xr:uid="{00000000-0005-0000-0000-000079020000}"/>
    <cellStyle name="Background 2 2 2 2 2 6 3 2 6" xfId="642" xr:uid="{00000000-0005-0000-0000-00007A020000}"/>
    <cellStyle name="Background 2 2 2 2 2 6 3 3" xfId="643" xr:uid="{00000000-0005-0000-0000-00007B020000}"/>
    <cellStyle name="Background 2 2 2 2 2 6 3 4" xfId="644" xr:uid="{00000000-0005-0000-0000-00007C020000}"/>
    <cellStyle name="Background 2 2 2 2 2 6 3 5" xfId="645" xr:uid="{00000000-0005-0000-0000-00007D020000}"/>
    <cellStyle name="Background 2 2 2 2 2 6 4" xfId="646" xr:uid="{00000000-0005-0000-0000-00007E020000}"/>
    <cellStyle name="Background 2 2 2 2 2 6 4 2" xfId="647" xr:uid="{00000000-0005-0000-0000-00007F020000}"/>
    <cellStyle name="Background 2 2 2 2 2 6 4 3" xfId="648" xr:uid="{00000000-0005-0000-0000-000080020000}"/>
    <cellStyle name="Background 2 2 2 2 2 6 4 4" xfId="649" xr:uid="{00000000-0005-0000-0000-000081020000}"/>
    <cellStyle name="Background 2 2 2 2 2 6 4 5" xfId="650" xr:uid="{00000000-0005-0000-0000-000082020000}"/>
    <cellStyle name="Background 2 2 2 2 2 6 4 6" xfId="651" xr:uid="{00000000-0005-0000-0000-000083020000}"/>
    <cellStyle name="Background 2 2 2 2 2 6 5" xfId="652" xr:uid="{00000000-0005-0000-0000-000084020000}"/>
    <cellStyle name="Background 2 2 2 2 2 6 6" xfId="653" xr:uid="{00000000-0005-0000-0000-000085020000}"/>
    <cellStyle name="Background 2 2 2 2 2 6 7" xfId="654" xr:uid="{00000000-0005-0000-0000-000086020000}"/>
    <cellStyle name="Background 2 2 2 2 2 7" xfId="655" xr:uid="{00000000-0005-0000-0000-000087020000}"/>
    <cellStyle name="Background 2 2 2 2 2 7 2" xfId="656" xr:uid="{00000000-0005-0000-0000-000088020000}"/>
    <cellStyle name="Background 2 2 2 2 2 7 2 2" xfId="657" xr:uid="{00000000-0005-0000-0000-000089020000}"/>
    <cellStyle name="Background 2 2 2 2 2 7 2 3" xfId="658" xr:uid="{00000000-0005-0000-0000-00008A020000}"/>
    <cellStyle name="Background 2 2 2 2 2 7 2 4" xfId="659" xr:uid="{00000000-0005-0000-0000-00008B020000}"/>
    <cellStyle name="Background 2 2 2 2 2 7 2 5" xfId="660" xr:uid="{00000000-0005-0000-0000-00008C020000}"/>
    <cellStyle name="Background 2 2 2 2 2 7 2 6" xfId="661" xr:uid="{00000000-0005-0000-0000-00008D020000}"/>
    <cellStyle name="Background 2 2 2 2 2 7 3" xfId="662" xr:uid="{00000000-0005-0000-0000-00008E020000}"/>
    <cellStyle name="Background 2 2 2 2 2 7 4" xfId="663" xr:uid="{00000000-0005-0000-0000-00008F020000}"/>
    <cellStyle name="Background 2 2 2 2 2 7 5" xfId="664" xr:uid="{00000000-0005-0000-0000-000090020000}"/>
    <cellStyle name="Background 2 2 2 2 2 8" xfId="665" xr:uid="{00000000-0005-0000-0000-000091020000}"/>
    <cellStyle name="Background 2 2 2 2 2 8 2" xfId="666" xr:uid="{00000000-0005-0000-0000-000092020000}"/>
    <cellStyle name="Background 2 2 2 2 2 8 2 2" xfId="667" xr:uid="{00000000-0005-0000-0000-000093020000}"/>
    <cellStyle name="Background 2 2 2 2 2 8 2 3" xfId="668" xr:uid="{00000000-0005-0000-0000-000094020000}"/>
    <cellStyle name="Background 2 2 2 2 2 8 2 4" xfId="669" xr:uid="{00000000-0005-0000-0000-000095020000}"/>
    <cellStyle name="Background 2 2 2 2 2 8 2 5" xfId="670" xr:uid="{00000000-0005-0000-0000-000096020000}"/>
    <cellStyle name="Background 2 2 2 2 2 8 2 6" xfId="671" xr:uid="{00000000-0005-0000-0000-000097020000}"/>
    <cellStyle name="Background 2 2 2 2 2 8 3" xfId="672" xr:uid="{00000000-0005-0000-0000-000098020000}"/>
    <cellStyle name="Background 2 2 2 2 2 8 4" xfId="673" xr:uid="{00000000-0005-0000-0000-000099020000}"/>
    <cellStyle name="Background 2 2 2 2 2 8 5" xfId="674" xr:uid="{00000000-0005-0000-0000-00009A020000}"/>
    <cellStyle name="Background 2 2 2 2 2 9" xfId="675" xr:uid="{00000000-0005-0000-0000-00009B020000}"/>
    <cellStyle name="Background 2 2 2 2 2 9 2" xfId="676" xr:uid="{00000000-0005-0000-0000-00009C020000}"/>
    <cellStyle name="Background 2 2 2 2 2 9 3" xfId="677" xr:uid="{00000000-0005-0000-0000-00009D020000}"/>
    <cellStyle name="Background 2 2 2 2 2 9 4" xfId="678" xr:uid="{00000000-0005-0000-0000-00009E020000}"/>
    <cellStyle name="Background 2 2 2 2 2 9 5" xfId="679" xr:uid="{00000000-0005-0000-0000-00009F020000}"/>
    <cellStyle name="Background 2 2 2 2 2 9 6" xfId="680" xr:uid="{00000000-0005-0000-0000-0000A0020000}"/>
    <cellStyle name="Background 2 2 2 2 3" xfId="681" xr:uid="{00000000-0005-0000-0000-0000A1020000}"/>
    <cellStyle name="Background 2 2 2 2 3 2" xfId="682" xr:uid="{00000000-0005-0000-0000-0000A2020000}"/>
    <cellStyle name="Background 2 2 2 2 3 2 2" xfId="683" xr:uid="{00000000-0005-0000-0000-0000A3020000}"/>
    <cellStyle name="Background 2 2 2 2 3 2 2 2" xfId="684" xr:uid="{00000000-0005-0000-0000-0000A4020000}"/>
    <cellStyle name="Background 2 2 2 2 3 2 2 3" xfId="685" xr:uid="{00000000-0005-0000-0000-0000A5020000}"/>
    <cellStyle name="Background 2 2 2 2 3 2 2 4" xfId="686" xr:uid="{00000000-0005-0000-0000-0000A6020000}"/>
    <cellStyle name="Background 2 2 2 2 3 2 2 5" xfId="687" xr:uid="{00000000-0005-0000-0000-0000A7020000}"/>
    <cellStyle name="Background 2 2 2 2 3 2 2 6" xfId="688" xr:uid="{00000000-0005-0000-0000-0000A8020000}"/>
    <cellStyle name="Background 2 2 2 2 3 2 3" xfId="689" xr:uid="{00000000-0005-0000-0000-0000A9020000}"/>
    <cellStyle name="Background 2 2 2 2 3 2 4" xfId="690" xr:uid="{00000000-0005-0000-0000-0000AA020000}"/>
    <cellStyle name="Background 2 2 2 2 3 2 5" xfId="691" xr:uid="{00000000-0005-0000-0000-0000AB020000}"/>
    <cellStyle name="Background 2 2 2 2 3 3" xfId="692" xr:uid="{00000000-0005-0000-0000-0000AC020000}"/>
    <cellStyle name="Background 2 2 2 2 3 3 2" xfId="693" xr:uid="{00000000-0005-0000-0000-0000AD020000}"/>
    <cellStyle name="Background 2 2 2 2 3 3 2 2" xfId="694" xr:uid="{00000000-0005-0000-0000-0000AE020000}"/>
    <cellStyle name="Background 2 2 2 2 3 3 2 3" xfId="695" xr:uid="{00000000-0005-0000-0000-0000AF020000}"/>
    <cellStyle name="Background 2 2 2 2 3 3 2 4" xfId="696" xr:uid="{00000000-0005-0000-0000-0000B0020000}"/>
    <cellStyle name="Background 2 2 2 2 3 3 2 5" xfId="697" xr:uid="{00000000-0005-0000-0000-0000B1020000}"/>
    <cellStyle name="Background 2 2 2 2 3 3 2 6" xfId="698" xr:uid="{00000000-0005-0000-0000-0000B2020000}"/>
    <cellStyle name="Background 2 2 2 2 3 3 3" xfId="699" xr:uid="{00000000-0005-0000-0000-0000B3020000}"/>
    <cellStyle name="Background 2 2 2 2 3 3 4" xfId="700" xr:uid="{00000000-0005-0000-0000-0000B4020000}"/>
    <cellStyle name="Background 2 2 2 2 3 3 5" xfId="701" xr:uid="{00000000-0005-0000-0000-0000B5020000}"/>
    <cellStyle name="Background 2 2 2 2 3 4" xfId="702" xr:uid="{00000000-0005-0000-0000-0000B6020000}"/>
    <cellStyle name="Background 2 2 2 2 3 4 2" xfId="703" xr:uid="{00000000-0005-0000-0000-0000B7020000}"/>
    <cellStyle name="Background 2 2 2 2 3 4 3" xfId="704" xr:uid="{00000000-0005-0000-0000-0000B8020000}"/>
    <cellStyle name="Background 2 2 2 2 3 4 4" xfId="705" xr:uid="{00000000-0005-0000-0000-0000B9020000}"/>
    <cellStyle name="Background 2 2 2 2 3 4 5" xfId="706" xr:uid="{00000000-0005-0000-0000-0000BA020000}"/>
    <cellStyle name="Background 2 2 2 2 3 4 6" xfId="707" xr:uid="{00000000-0005-0000-0000-0000BB020000}"/>
    <cellStyle name="Background 2 2 2 2 3 5" xfId="708" xr:uid="{00000000-0005-0000-0000-0000BC020000}"/>
    <cellStyle name="Background 2 2 2 2 3 6" xfId="709" xr:uid="{00000000-0005-0000-0000-0000BD020000}"/>
    <cellStyle name="Background 2 2 2 2 3 7" xfId="710" xr:uid="{00000000-0005-0000-0000-0000BE020000}"/>
    <cellStyle name="Background 2 2 2 2 4" xfId="711" xr:uid="{00000000-0005-0000-0000-0000BF020000}"/>
    <cellStyle name="Background 2 2 2 2 4 2" xfId="712" xr:uid="{00000000-0005-0000-0000-0000C0020000}"/>
    <cellStyle name="Background 2 2 2 2 4 2 2" xfId="713" xr:uid="{00000000-0005-0000-0000-0000C1020000}"/>
    <cellStyle name="Background 2 2 2 2 4 2 2 2" xfId="714" xr:uid="{00000000-0005-0000-0000-0000C2020000}"/>
    <cellStyle name="Background 2 2 2 2 4 2 2 3" xfId="715" xr:uid="{00000000-0005-0000-0000-0000C3020000}"/>
    <cellStyle name="Background 2 2 2 2 4 2 2 4" xfId="716" xr:uid="{00000000-0005-0000-0000-0000C4020000}"/>
    <cellStyle name="Background 2 2 2 2 4 2 2 5" xfId="717" xr:uid="{00000000-0005-0000-0000-0000C5020000}"/>
    <cellStyle name="Background 2 2 2 2 4 2 2 6" xfId="718" xr:uid="{00000000-0005-0000-0000-0000C6020000}"/>
    <cellStyle name="Background 2 2 2 2 4 2 3" xfId="719" xr:uid="{00000000-0005-0000-0000-0000C7020000}"/>
    <cellStyle name="Background 2 2 2 2 4 2 4" xfId="720" xr:uid="{00000000-0005-0000-0000-0000C8020000}"/>
    <cellStyle name="Background 2 2 2 2 4 2 5" xfId="721" xr:uid="{00000000-0005-0000-0000-0000C9020000}"/>
    <cellStyle name="Background 2 2 2 2 4 3" xfId="722" xr:uid="{00000000-0005-0000-0000-0000CA020000}"/>
    <cellStyle name="Background 2 2 2 2 4 3 2" xfId="723" xr:uid="{00000000-0005-0000-0000-0000CB020000}"/>
    <cellStyle name="Background 2 2 2 2 4 3 2 2" xfId="724" xr:uid="{00000000-0005-0000-0000-0000CC020000}"/>
    <cellStyle name="Background 2 2 2 2 4 3 2 3" xfId="725" xr:uid="{00000000-0005-0000-0000-0000CD020000}"/>
    <cellStyle name="Background 2 2 2 2 4 3 2 4" xfId="726" xr:uid="{00000000-0005-0000-0000-0000CE020000}"/>
    <cellStyle name="Background 2 2 2 2 4 3 2 5" xfId="727" xr:uid="{00000000-0005-0000-0000-0000CF020000}"/>
    <cellStyle name="Background 2 2 2 2 4 3 2 6" xfId="728" xr:uid="{00000000-0005-0000-0000-0000D0020000}"/>
    <cellStyle name="Background 2 2 2 2 4 3 3" xfId="729" xr:uid="{00000000-0005-0000-0000-0000D1020000}"/>
    <cellStyle name="Background 2 2 2 2 4 3 4" xfId="730" xr:uid="{00000000-0005-0000-0000-0000D2020000}"/>
    <cellStyle name="Background 2 2 2 2 4 3 5" xfId="731" xr:uid="{00000000-0005-0000-0000-0000D3020000}"/>
    <cellStyle name="Background 2 2 2 2 4 4" xfId="732" xr:uid="{00000000-0005-0000-0000-0000D4020000}"/>
    <cellStyle name="Background 2 2 2 2 4 4 2" xfId="733" xr:uid="{00000000-0005-0000-0000-0000D5020000}"/>
    <cellStyle name="Background 2 2 2 2 4 4 3" xfId="734" xr:uid="{00000000-0005-0000-0000-0000D6020000}"/>
    <cellStyle name="Background 2 2 2 2 4 4 4" xfId="735" xr:uid="{00000000-0005-0000-0000-0000D7020000}"/>
    <cellStyle name="Background 2 2 2 2 4 4 5" xfId="736" xr:uid="{00000000-0005-0000-0000-0000D8020000}"/>
    <cellStyle name="Background 2 2 2 2 4 4 6" xfId="737" xr:uid="{00000000-0005-0000-0000-0000D9020000}"/>
    <cellStyle name="Background 2 2 2 2 4 5" xfId="738" xr:uid="{00000000-0005-0000-0000-0000DA020000}"/>
    <cellStyle name="Background 2 2 2 2 4 6" xfId="739" xr:uid="{00000000-0005-0000-0000-0000DB020000}"/>
    <cellStyle name="Background 2 2 2 2 4 7" xfId="740" xr:uid="{00000000-0005-0000-0000-0000DC020000}"/>
    <cellStyle name="Background 2 2 2 2 5" xfId="741" xr:uid="{00000000-0005-0000-0000-0000DD020000}"/>
    <cellStyle name="Background 2 2 2 2 5 2" xfId="742" xr:uid="{00000000-0005-0000-0000-0000DE020000}"/>
    <cellStyle name="Background 2 2 2 2 5 2 2" xfId="743" xr:uid="{00000000-0005-0000-0000-0000DF020000}"/>
    <cellStyle name="Background 2 2 2 2 5 2 2 2" xfId="744" xr:uid="{00000000-0005-0000-0000-0000E0020000}"/>
    <cellStyle name="Background 2 2 2 2 5 2 2 3" xfId="745" xr:uid="{00000000-0005-0000-0000-0000E1020000}"/>
    <cellStyle name="Background 2 2 2 2 5 2 2 4" xfId="746" xr:uid="{00000000-0005-0000-0000-0000E2020000}"/>
    <cellStyle name="Background 2 2 2 2 5 2 2 5" xfId="747" xr:uid="{00000000-0005-0000-0000-0000E3020000}"/>
    <cellStyle name="Background 2 2 2 2 5 2 2 6" xfId="748" xr:uid="{00000000-0005-0000-0000-0000E4020000}"/>
    <cellStyle name="Background 2 2 2 2 5 2 3" xfId="749" xr:uid="{00000000-0005-0000-0000-0000E5020000}"/>
    <cellStyle name="Background 2 2 2 2 5 2 4" xfId="750" xr:uid="{00000000-0005-0000-0000-0000E6020000}"/>
    <cellStyle name="Background 2 2 2 2 5 2 5" xfId="751" xr:uid="{00000000-0005-0000-0000-0000E7020000}"/>
    <cellStyle name="Background 2 2 2 2 5 3" xfId="752" xr:uid="{00000000-0005-0000-0000-0000E8020000}"/>
    <cellStyle name="Background 2 2 2 2 5 3 2" xfId="753" xr:uid="{00000000-0005-0000-0000-0000E9020000}"/>
    <cellStyle name="Background 2 2 2 2 5 3 2 2" xfId="754" xr:uid="{00000000-0005-0000-0000-0000EA020000}"/>
    <cellStyle name="Background 2 2 2 2 5 3 2 3" xfId="755" xr:uid="{00000000-0005-0000-0000-0000EB020000}"/>
    <cellStyle name="Background 2 2 2 2 5 3 2 4" xfId="756" xr:uid="{00000000-0005-0000-0000-0000EC020000}"/>
    <cellStyle name="Background 2 2 2 2 5 3 2 5" xfId="757" xr:uid="{00000000-0005-0000-0000-0000ED020000}"/>
    <cellStyle name="Background 2 2 2 2 5 3 2 6" xfId="758" xr:uid="{00000000-0005-0000-0000-0000EE020000}"/>
    <cellStyle name="Background 2 2 2 2 5 3 3" xfId="759" xr:uid="{00000000-0005-0000-0000-0000EF020000}"/>
    <cellStyle name="Background 2 2 2 2 5 3 4" xfId="760" xr:uid="{00000000-0005-0000-0000-0000F0020000}"/>
    <cellStyle name="Background 2 2 2 2 5 3 5" xfId="761" xr:uid="{00000000-0005-0000-0000-0000F1020000}"/>
    <cellStyle name="Background 2 2 2 2 5 4" xfId="762" xr:uid="{00000000-0005-0000-0000-0000F2020000}"/>
    <cellStyle name="Background 2 2 2 2 5 4 2" xfId="763" xr:uid="{00000000-0005-0000-0000-0000F3020000}"/>
    <cellStyle name="Background 2 2 2 2 5 4 3" xfId="764" xr:uid="{00000000-0005-0000-0000-0000F4020000}"/>
    <cellStyle name="Background 2 2 2 2 5 4 4" xfId="765" xr:uid="{00000000-0005-0000-0000-0000F5020000}"/>
    <cellStyle name="Background 2 2 2 2 5 4 5" xfId="766" xr:uid="{00000000-0005-0000-0000-0000F6020000}"/>
    <cellStyle name="Background 2 2 2 2 5 4 6" xfId="767" xr:uid="{00000000-0005-0000-0000-0000F7020000}"/>
    <cellStyle name="Background 2 2 2 2 5 5" xfId="768" xr:uid="{00000000-0005-0000-0000-0000F8020000}"/>
    <cellStyle name="Background 2 2 2 2 5 6" xfId="769" xr:uid="{00000000-0005-0000-0000-0000F9020000}"/>
    <cellStyle name="Background 2 2 2 2 5 7" xfId="770" xr:uid="{00000000-0005-0000-0000-0000FA020000}"/>
    <cellStyle name="Background 2 2 2 2 6" xfId="771" xr:uid="{00000000-0005-0000-0000-0000FB020000}"/>
    <cellStyle name="Background 2 2 2 2 6 2" xfId="772" xr:uid="{00000000-0005-0000-0000-0000FC020000}"/>
    <cellStyle name="Background 2 2 2 2 6 2 2" xfId="773" xr:uid="{00000000-0005-0000-0000-0000FD020000}"/>
    <cellStyle name="Background 2 2 2 2 6 2 2 2" xfId="774" xr:uid="{00000000-0005-0000-0000-0000FE020000}"/>
    <cellStyle name="Background 2 2 2 2 6 2 2 3" xfId="775" xr:uid="{00000000-0005-0000-0000-0000FF020000}"/>
    <cellStyle name="Background 2 2 2 2 6 2 2 4" xfId="776" xr:uid="{00000000-0005-0000-0000-000000030000}"/>
    <cellStyle name="Background 2 2 2 2 6 2 2 5" xfId="777" xr:uid="{00000000-0005-0000-0000-000001030000}"/>
    <cellStyle name="Background 2 2 2 2 6 2 2 6" xfId="778" xr:uid="{00000000-0005-0000-0000-000002030000}"/>
    <cellStyle name="Background 2 2 2 2 6 2 3" xfId="779" xr:uid="{00000000-0005-0000-0000-000003030000}"/>
    <cellStyle name="Background 2 2 2 2 6 2 4" xfId="780" xr:uid="{00000000-0005-0000-0000-000004030000}"/>
    <cellStyle name="Background 2 2 2 2 6 2 5" xfId="781" xr:uid="{00000000-0005-0000-0000-000005030000}"/>
    <cellStyle name="Background 2 2 2 2 6 3" xfId="782" xr:uid="{00000000-0005-0000-0000-000006030000}"/>
    <cellStyle name="Background 2 2 2 2 6 3 2" xfId="783" xr:uid="{00000000-0005-0000-0000-000007030000}"/>
    <cellStyle name="Background 2 2 2 2 6 3 2 2" xfId="784" xr:uid="{00000000-0005-0000-0000-000008030000}"/>
    <cellStyle name="Background 2 2 2 2 6 3 2 3" xfId="785" xr:uid="{00000000-0005-0000-0000-000009030000}"/>
    <cellStyle name="Background 2 2 2 2 6 3 2 4" xfId="786" xr:uid="{00000000-0005-0000-0000-00000A030000}"/>
    <cellStyle name="Background 2 2 2 2 6 3 2 5" xfId="787" xr:uid="{00000000-0005-0000-0000-00000B030000}"/>
    <cellStyle name="Background 2 2 2 2 6 3 2 6" xfId="788" xr:uid="{00000000-0005-0000-0000-00000C030000}"/>
    <cellStyle name="Background 2 2 2 2 6 3 3" xfId="789" xr:uid="{00000000-0005-0000-0000-00000D030000}"/>
    <cellStyle name="Background 2 2 2 2 6 3 4" xfId="790" xr:uid="{00000000-0005-0000-0000-00000E030000}"/>
    <cellStyle name="Background 2 2 2 2 6 3 5" xfId="791" xr:uid="{00000000-0005-0000-0000-00000F030000}"/>
    <cellStyle name="Background 2 2 2 2 6 4" xfId="792" xr:uid="{00000000-0005-0000-0000-000010030000}"/>
    <cellStyle name="Background 2 2 2 2 6 4 2" xfId="793" xr:uid="{00000000-0005-0000-0000-000011030000}"/>
    <cellStyle name="Background 2 2 2 2 6 4 3" xfId="794" xr:uid="{00000000-0005-0000-0000-000012030000}"/>
    <cellStyle name="Background 2 2 2 2 6 4 4" xfId="795" xr:uid="{00000000-0005-0000-0000-000013030000}"/>
    <cellStyle name="Background 2 2 2 2 6 4 5" xfId="796" xr:uid="{00000000-0005-0000-0000-000014030000}"/>
    <cellStyle name="Background 2 2 2 2 6 4 6" xfId="797" xr:uid="{00000000-0005-0000-0000-000015030000}"/>
    <cellStyle name="Background 2 2 2 2 6 5" xfId="798" xr:uid="{00000000-0005-0000-0000-000016030000}"/>
    <cellStyle name="Background 2 2 2 2 6 6" xfId="799" xr:uid="{00000000-0005-0000-0000-000017030000}"/>
    <cellStyle name="Background 2 2 2 2 6 7" xfId="800" xr:uid="{00000000-0005-0000-0000-000018030000}"/>
    <cellStyle name="Background 2 2 2 2 7" xfId="801" xr:uid="{00000000-0005-0000-0000-000019030000}"/>
    <cellStyle name="Background 2 2 2 2 7 2" xfId="802" xr:uid="{00000000-0005-0000-0000-00001A030000}"/>
    <cellStyle name="Background 2 2 2 2 7 2 2" xfId="803" xr:uid="{00000000-0005-0000-0000-00001B030000}"/>
    <cellStyle name="Background 2 2 2 2 7 2 2 2" xfId="804" xr:uid="{00000000-0005-0000-0000-00001C030000}"/>
    <cellStyle name="Background 2 2 2 2 7 2 2 3" xfId="805" xr:uid="{00000000-0005-0000-0000-00001D030000}"/>
    <cellStyle name="Background 2 2 2 2 7 2 2 4" xfId="806" xr:uid="{00000000-0005-0000-0000-00001E030000}"/>
    <cellStyle name="Background 2 2 2 2 7 2 2 5" xfId="807" xr:uid="{00000000-0005-0000-0000-00001F030000}"/>
    <cellStyle name="Background 2 2 2 2 7 2 2 6" xfId="808" xr:uid="{00000000-0005-0000-0000-000020030000}"/>
    <cellStyle name="Background 2 2 2 2 7 2 3" xfId="809" xr:uid="{00000000-0005-0000-0000-000021030000}"/>
    <cellStyle name="Background 2 2 2 2 7 2 4" xfId="810" xr:uid="{00000000-0005-0000-0000-000022030000}"/>
    <cellStyle name="Background 2 2 2 2 7 2 5" xfId="811" xr:uid="{00000000-0005-0000-0000-000023030000}"/>
    <cellStyle name="Background 2 2 2 2 7 3" xfId="812" xr:uid="{00000000-0005-0000-0000-000024030000}"/>
    <cellStyle name="Background 2 2 2 2 7 3 2" xfId="813" xr:uid="{00000000-0005-0000-0000-000025030000}"/>
    <cellStyle name="Background 2 2 2 2 7 3 2 2" xfId="814" xr:uid="{00000000-0005-0000-0000-000026030000}"/>
    <cellStyle name="Background 2 2 2 2 7 3 2 3" xfId="815" xr:uid="{00000000-0005-0000-0000-000027030000}"/>
    <cellStyle name="Background 2 2 2 2 7 3 2 4" xfId="816" xr:uid="{00000000-0005-0000-0000-000028030000}"/>
    <cellStyle name="Background 2 2 2 2 7 3 2 5" xfId="817" xr:uid="{00000000-0005-0000-0000-000029030000}"/>
    <cellStyle name="Background 2 2 2 2 7 3 2 6" xfId="818" xr:uid="{00000000-0005-0000-0000-00002A030000}"/>
    <cellStyle name="Background 2 2 2 2 7 3 3" xfId="819" xr:uid="{00000000-0005-0000-0000-00002B030000}"/>
    <cellStyle name="Background 2 2 2 2 7 3 4" xfId="820" xr:uid="{00000000-0005-0000-0000-00002C030000}"/>
    <cellStyle name="Background 2 2 2 2 7 3 5" xfId="821" xr:uid="{00000000-0005-0000-0000-00002D030000}"/>
    <cellStyle name="Background 2 2 2 2 7 4" xfId="822" xr:uid="{00000000-0005-0000-0000-00002E030000}"/>
    <cellStyle name="Background 2 2 2 2 7 4 2" xfId="823" xr:uid="{00000000-0005-0000-0000-00002F030000}"/>
    <cellStyle name="Background 2 2 2 2 7 4 3" xfId="824" xr:uid="{00000000-0005-0000-0000-000030030000}"/>
    <cellStyle name="Background 2 2 2 2 7 4 4" xfId="825" xr:uid="{00000000-0005-0000-0000-000031030000}"/>
    <cellStyle name="Background 2 2 2 2 7 4 5" xfId="826" xr:uid="{00000000-0005-0000-0000-000032030000}"/>
    <cellStyle name="Background 2 2 2 2 7 4 6" xfId="827" xr:uid="{00000000-0005-0000-0000-000033030000}"/>
    <cellStyle name="Background 2 2 2 2 7 5" xfId="828" xr:uid="{00000000-0005-0000-0000-000034030000}"/>
    <cellStyle name="Background 2 2 2 2 7 6" xfId="829" xr:uid="{00000000-0005-0000-0000-000035030000}"/>
    <cellStyle name="Background 2 2 2 2 7 7" xfId="830" xr:uid="{00000000-0005-0000-0000-000036030000}"/>
    <cellStyle name="Background 2 2 2 2 8" xfId="831" xr:uid="{00000000-0005-0000-0000-000037030000}"/>
    <cellStyle name="Background 2 2 2 2 8 2" xfId="832" xr:uid="{00000000-0005-0000-0000-000038030000}"/>
    <cellStyle name="Background 2 2 2 2 8 2 2" xfId="833" xr:uid="{00000000-0005-0000-0000-000039030000}"/>
    <cellStyle name="Background 2 2 2 2 8 2 3" xfId="834" xr:uid="{00000000-0005-0000-0000-00003A030000}"/>
    <cellStyle name="Background 2 2 2 2 8 2 4" xfId="835" xr:uid="{00000000-0005-0000-0000-00003B030000}"/>
    <cellStyle name="Background 2 2 2 2 8 2 5" xfId="836" xr:uid="{00000000-0005-0000-0000-00003C030000}"/>
    <cellStyle name="Background 2 2 2 2 8 2 6" xfId="837" xr:uid="{00000000-0005-0000-0000-00003D030000}"/>
    <cellStyle name="Background 2 2 2 2 8 3" xfId="838" xr:uid="{00000000-0005-0000-0000-00003E030000}"/>
    <cellStyle name="Background 2 2 2 2 8 4" xfId="839" xr:uid="{00000000-0005-0000-0000-00003F030000}"/>
    <cellStyle name="Background 2 2 2 2 8 5" xfId="840" xr:uid="{00000000-0005-0000-0000-000040030000}"/>
    <cellStyle name="Background 2 2 2 2 9" xfId="841" xr:uid="{00000000-0005-0000-0000-000041030000}"/>
    <cellStyle name="Background 2 2 2 2 9 2" xfId="842" xr:uid="{00000000-0005-0000-0000-000042030000}"/>
    <cellStyle name="Background 2 2 2 2 9 2 2" xfId="843" xr:uid="{00000000-0005-0000-0000-000043030000}"/>
    <cellStyle name="Background 2 2 2 2 9 2 3" xfId="844" xr:uid="{00000000-0005-0000-0000-000044030000}"/>
    <cellStyle name="Background 2 2 2 2 9 2 4" xfId="845" xr:uid="{00000000-0005-0000-0000-000045030000}"/>
    <cellStyle name="Background 2 2 2 2 9 2 5" xfId="846" xr:uid="{00000000-0005-0000-0000-000046030000}"/>
    <cellStyle name="Background 2 2 2 2 9 2 6" xfId="847" xr:uid="{00000000-0005-0000-0000-000047030000}"/>
    <cellStyle name="Background 2 2 2 2 9 3" xfId="848" xr:uid="{00000000-0005-0000-0000-000048030000}"/>
    <cellStyle name="Background 2 2 2 2 9 4" xfId="849" xr:uid="{00000000-0005-0000-0000-000049030000}"/>
    <cellStyle name="Background 2 2 2 2 9 5" xfId="850" xr:uid="{00000000-0005-0000-0000-00004A030000}"/>
    <cellStyle name="Background 2 2 2 3" xfId="851" xr:uid="{00000000-0005-0000-0000-00004B030000}"/>
    <cellStyle name="Background 2 2 2 3 10" xfId="852" xr:uid="{00000000-0005-0000-0000-00004C030000}"/>
    <cellStyle name="Background 2 2 2 3 11" xfId="853" xr:uid="{00000000-0005-0000-0000-00004D030000}"/>
    <cellStyle name="Background 2 2 2 3 12" xfId="854" xr:uid="{00000000-0005-0000-0000-00004E030000}"/>
    <cellStyle name="Background 2 2 2 3 2" xfId="855" xr:uid="{00000000-0005-0000-0000-00004F030000}"/>
    <cellStyle name="Background 2 2 2 3 2 2" xfId="856" xr:uid="{00000000-0005-0000-0000-000050030000}"/>
    <cellStyle name="Background 2 2 2 3 2 2 2" xfId="857" xr:uid="{00000000-0005-0000-0000-000051030000}"/>
    <cellStyle name="Background 2 2 2 3 2 2 2 2" xfId="858" xr:uid="{00000000-0005-0000-0000-000052030000}"/>
    <cellStyle name="Background 2 2 2 3 2 2 2 3" xfId="859" xr:uid="{00000000-0005-0000-0000-000053030000}"/>
    <cellStyle name="Background 2 2 2 3 2 2 2 4" xfId="860" xr:uid="{00000000-0005-0000-0000-000054030000}"/>
    <cellStyle name="Background 2 2 2 3 2 2 2 5" xfId="861" xr:uid="{00000000-0005-0000-0000-000055030000}"/>
    <cellStyle name="Background 2 2 2 3 2 2 2 6" xfId="862" xr:uid="{00000000-0005-0000-0000-000056030000}"/>
    <cellStyle name="Background 2 2 2 3 2 2 3" xfId="863" xr:uid="{00000000-0005-0000-0000-000057030000}"/>
    <cellStyle name="Background 2 2 2 3 2 2 4" xfId="864" xr:uid="{00000000-0005-0000-0000-000058030000}"/>
    <cellStyle name="Background 2 2 2 3 2 2 5" xfId="865" xr:uid="{00000000-0005-0000-0000-000059030000}"/>
    <cellStyle name="Background 2 2 2 3 2 3" xfId="866" xr:uid="{00000000-0005-0000-0000-00005A030000}"/>
    <cellStyle name="Background 2 2 2 3 2 3 2" xfId="867" xr:uid="{00000000-0005-0000-0000-00005B030000}"/>
    <cellStyle name="Background 2 2 2 3 2 3 2 2" xfId="868" xr:uid="{00000000-0005-0000-0000-00005C030000}"/>
    <cellStyle name="Background 2 2 2 3 2 3 2 3" xfId="869" xr:uid="{00000000-0005-0000-0000-00005D030000}"/>
    <cellStyle name="Background 2 2 2 3 2 3 2 4" xfId="870" xr:uid="{00000000-0005-0000-0000-00005E030000}"/>
    <cellStyle name="Background 2 2 2 3 2 3 2 5" xfId="871" xr:uid="{00000000-0005-0000-0000-00005F030000}"/>
    <cellStyle name="Background 2 2 2 3 2 3 2 6" xfId="872" xr:uid="{00000000-0005-0000-0000-000060030000}"/>
    <cellStyle name="Background 2 2 2 3 2 3 3" xfId="873" xr:uid="{00000000-0005-0000-0000-000061030000}"/>
    <cellStyle name="Background 2 2 2 3 2 3 4" xfId="874" xr:uid="{00000000-0005-0000-0000-000062030000}"/>
    <cellStyle name="Background 2 2 2 3 2 3 5" xfId="875" xr:uid="{00000000-0005-0000-0000-000063030000}"/>
    <cellStyle name="Background 2 2 2 3 2 4" xfId="876" xr:uid="{00000000-0005-0000-0000-000064030000}"/>
    <cellStyle name="Background 2 2 2 3 2 4 2" xfId="877" xr:uid="{00000000-0005-0000-0000-000065030000}"/>
    <cellStyle name="Background 2 2 2 3 2 4 3" xfId="878" xr:uid="{00000000-0005-0000-0000-000066030000}"/>
    <cellStyle name="Background 2 2 2 3 2 4 4" xfId="879" xr:uid="{00000000-0005-0000-0000-000067030000}"/>
    <cellStyle name="Background 2 2 2 3 2 4 5" xfId="880" xr:uid="{00000000-0005-0000-0000-000068030000}"/>
    <cellStyle name="Background 2 2 2 3 2 4 6" xfId="881" xr:uid="{00000000-0005-0000-0000-000069030000}"/>
    <cellStyle name="Background 2 2 2 3 2 5" xfId="882" xr:uid="{00000000-0005-0000-0000-00006A030000}"/>
    <cellStyle name="Background 2 2 2 3 2 6" xfId="883" xr:uid="{00000000-0005-0000-0000-00006B030000}"/>
    <cellStyle name="Background 2 2 2 3 2 7" xfId="884" xr:uid="{00000000-0005-0000-0000-00006C030000}"/>
    <cellStyle name="Background 2 2 2 3 3" xfId="885" xr:uid="{00000000-0005-0000-0000-00006D030000}"/>
    <cellStyle name="Background 2 2 2 3 3 2" xfId="886" xr:uid="{00000000-0005-0000-0000-00006E030000}"/>
    <cellStyle name="Background 2 2 2 3 3 2 2" xfId="887" xr:uid="{00000000-0005-0000-0000-00006F030000}"/>
    <cellStyle name="Background 2 2 2 3 3 2 2 2" xfId="888" xr:uid="{00000000-0005-0000-0000-000070030000}"/>
    <cellStyle name="Background 2 2 2 3 3 2 2 3" xfId="889" xr:uid="{00000000-0005-0000-0000-000071030000}"/>
    <cellStyle name="Background 2 2 2 3 3 2 2 4" xfId="890" xr:uid="{00000000-0005-0000-0000-000072030000}"/>
    <cellStyle name="Background 2 2 2 3 3 2 2 5" xfId="891" xr:uid="{00000000-0005-0000-0000-000073030000}"/>
    <cellStyle name="Background 2 2 2 3 3 2 2 6" xfId="892" xr:uid="{00000000-0005-0000-0000-000074030000}"/>
    <cellStyle name="Background 2 2 2 3 3 2 3" xfId="893" xr:uid="{00000000-0005-0000-0000-000075030000}"/>
    <cellStyle name="Background 2 2 2 3 3 2 4" xfId="894" xr:uid="{00000000-0005-0000-0000-000076030000}"/>
    <cellStyle name="Background 2 2 2 3 3 2 5" xfId="895" xr:uid="{00000000-0005-0000-0000-000077030000}"/>
    <cellStyle name="Background 2 2 2 3 3 3" xfId="896" xr:uid="{00000000-0005-0000-0000-000078030000}"/>
    <cellStyle name="Background 2 2 2 3 3 3 2" xfId="897" xr:uid="{00000000-0005-0000-0000-000079030000}"/>
    <cellStyle name="Background 2 2 2 3 3 3 2 2" xfId="898" xr:uid="{00000000-0005-0000-0000-00007A030000}"/>
    <cellStyle name="Background 2 2 2 3 3 3 2 3" xfId="899" xr:uid="{00000000-0005-0000-0000-00007B030000}"/>
    <cellStyle name="Background 2 2 2 3 3 3 2 4" xfId="900" xr:uid="{00000000-0005-0000-0000-00007C030000}"/>
    <cellStyle name="Background 2 2 2 3 3 3 2 5" xfId="901" xr:uid="{00000000-0005-0000-0000-00007D030000}"/>
    <cellStyle name="Background 2 2 2 3 3 3 2 6" xfId="902" xr:uid="{00000000-0005-0000-0000-00007E030000}"/>
    <cellStyle name="Background 2 2 2 3 3 3 3" xfId="903" xr:uid="{00000000-0005-0000-0000-00007F030000}"/>
    <cellStyle name="Background 2 2 2 3 3 3 4" xfId="904" xr:uid="{00000000-0005-0000-0000-000080030000}"/>
    <cellStyle name="Background 2 2 2 3 3 3 5" xfId="905" xr:uid="{00000000-0005-0000-0000-000081030000}"/>
    <cellStyle name="Background 2 2 2 3 3 4" xfId="906" xr:uid="{00000000-0005-0000-0000-000082030000}"/>
    <cellStyle name="Background 2 2 2 3 3 4 2" xfId="907" xr:uid="{00000000-0005-0000-0000-000083030000}"/>
    <cellStyle name="Background 2 2 2 3 3 4 3" xfId="908" xr:uid="{00000000-0005-0000-0000-000084030000}"/>
    <cellStyle name="Background 2 2 2 3 3 4 4" xfId="909" xr:uid="{00000000-0005-0000-0000-000085030000}"/>
    <cellStyle name="Background 2 2 2 3 3 4 5" xfId="910" xr:uid="{00000000-0005-0000-0000-000086030000}"/>
    <cellStyle name="Background 2 2 2 3 3 4 6" xfId="911" xr:uid="{00000000-0005-0000-0000-000087030000}"/>
    <cellStyle name="Background 2 2 2 3 3 5" xfId="912" xr:uid="{00000000-0005-0000-0000-000088030000}"/>
    <cellStyle name="Background 2 2 2 3 3 6" xfId="913" xr:uid="{00000000-0005-0000-0000-000089030000}"/>
    <cellStyle name="Background 2 2 2 3 3 7" xfId="914" xr:uid="{00000000-0005-0000-0000-00008A030000}"/>
    <cellStyle name="Background 2 2 2 3 4" xfId="915" xr:uid="{00000000-0005-0000-0000-00008B030000}"/>
    <cellStyle name="Background 2 2 2 3 4 2" xfId="916" xr:uid="{00000000-0005-0000-0000-00008C030000}"/>
    <cellStyle name="Background 2 2 2 3 4 2 2" xfId="917" xr:uid="{00000000-0005-0000-0000-00008D030000}"/>
    <cellStyle name="Background 2 2 2 3 4 2 2 2" xfId="918" xr:uid="{00000000-0005-0000-0000-00008E030000}"/>
    <cellStyle name="Background 2 2 2 3 4 2 2 3" xfId="919" xr:uid="{00000000-0005-0000-0000-00008F030000}"/>
    <cellStyle name="Background 2 2 2 3 4 2 2 4" xfId="920" xr:uid="{00000000-0005-0000-0000-000090030000}"/>
    <cellStyle name="Background 2 2 2 3 4 2 2 5" xfId="921" xr:uid="{00000000-0005-0000-0000-000091030000}"/>
    <cellStyle name="Background 2 2 2 3 4 2 2 6" xfId="922" xr:uid="{00000000-0005-0000-0000-000092030000}"/>
    <cellStyle name="Background 2 2 2 3 4 2 3" xfId="923" xr:uid="{00000000-0005-0000-0000-000093030000}"/>
    <cellStyle name="Background 2 2 2 3 4 2 4" xfId="924" xr:uid="{00000000-0005-0000-0000-000094030000}"/>
    <cellStyle name="Background 2 2 2 3 4 2 5" xfId="925" xr:uid="{00000000-0005-0000-0000-000095030000}"/>
    <cellStyle name="Background 2 2 2 3 4 3" xfId="926" xr:uid="{00000000-0005-0000-0000-000096030000}"/>
    <cellStyle name="Background 2 2 2 3 4 3 2" xfId="927" xr:uid="{00000000-0005-0000-0000-000097030000}"/>
    <cellStyle name="Background 2 2 2 3 4 3 2 2" xfId="928" xr:uid="{00000000-0005-0000-0000-000098030000}"/>
    <cellStyle name="Background 2 2 2 3 4 3 2 3" xfId="929" xr:uid="{00000000-0005-0000-0000-000099030000}"/>
    <cellStyle name="Background 2 2 2 3 4 3 2 4" xfId="930" xr:uid="{00000000-0005-0000-0000-00009A030000}"/>
    <cellStyle name="Background 2 2 2 3 4 3 2 5" xfId="931" xr:uid="{00000000-0005-0000-0000-00009B030000}"/>
    <cellStyle name="Background 2 2 2 3 4 3 2 6" xfId="932" xr:uid="{00000000-0005-0000-0000-00009C030000}"/>
    <cellStyle name="Background 2 2 2 3 4 3 3" xfId="933" xr:uid="{00000000-0005-0000-0000-00009D030000}"/>
    <cellStyle name="Background 2 2 2 3 4 3 4" xfId="934" xr:uid="{00000000-0005-0000-0000-00009E030000}"/>
    <cellStyle name="Background 2 2 2 3 4 3 5" xfId="935" xr:uid="{00000000-0005-0000-0000-00009F030000}"/>
    <cellStyle name="Background 2 2 2 3 4 4" xfId="936" xr:uid="{00000000-0005-0000-0000-0000A0030000}"/>
    <cellStyle name="Background 2 2 2 3 4 4 2" xfId="937" xr:uid="{00000000-0005-0000-0000-0000A1030000}"/>
    <cellStyle name="Background 2 2 2 3 4 4 3" xfId="938" xr:uid="{00000000-0005-0000-0000-0000A2030000}"/>
    <cellStyle name="Background 2 2 2 3 4 4 4" xfId="939" xr:uid="{00000000-0005-0000-0000-0000A3030000}"/>
    <cellStyle name="Background 2 2 2 3 4 4 5" xfId="940" xr:uid="{00000000-0005-0000-0000-0000A4030000}"/>
    <cellStyle name="Background 2 2 2 3 4 4 6" xfId="941" xr:uid="{00000000-0005-0000-0000-0000A5030000}"/>
    <cellStyle name="Background 2 2 2 3 4 5" xfId="942" xr:uid="{00000000-0005-0000-0000-0000A6030000}"/>
    <cellStyle name="Background 2 2 2 3 4 6" xfId="943" xr:uid="{00000000-0005-0000-0000-0000A7030000}"/>
    <cellStyle name="Background 2 2 2 3 4 7" xfId="944" xr:uid="{00000000-0005-0000-0000-0000A8030000}"/>
    <cellStyle name="Background 2 2 2 3 5" xfId="945" xr:uid="{00000000-0005-0000-0000-0000A9030000}"/>
    <cellStyle name="Background 2 2 2 3 5 2" xfId="946" xr:uid="{00000000-0005-0000-0000-0000AA030000}"/>
    <cellStyle name="Background 2 2 2 3 5 2 2" xfId="947" xr:uid="{00000000-0005-0000-0000-0000AB030000}"/>
    <cellStyle name="Background 2 2 2 3 5 2 2 2" xfId="948" xr:uid="{00000000-0005-0000-0000-0000AC030000}"/>
    <cellStyle name="Background 2 2 2 3 5 2 2 3" xfId="949" xr:uid="{00000000-0005-0000-0000-0000AD030000}"/>
    <cellStyle name="Background 2 2 2 3 5 2 2 4" xfId="950" xr:uid="{00000000-0005-0000-0000-0000AE030000}"/>
    <cellStyle name="Background 2 2 2 3 5 2 2 5" xfId="951" xr:uid="{00000000-0005-0000-0000-0000AF030000}"/>
    <cellStyle name="Background 2 2 2 3 5 2 2 6" xfId="952" xr:uid="{00000000-0005-0000-0000-0000B0030000}"/>
    <cellStyle name="Background 2 2 2 3 5 2 3" xfId="953" xr:uid="{00000000-0005-0000-0000-0000B1030000}"/>
    <cellStyle name="Background 2 2 2 3 5 2 4" xfId="954" xr:uid="{00000000-0005-0000-0000-0000B2030000}"/>
    <cellStyle name="Background 2 2 2 3 5 2 5" xfId="955" xr:uid="{00000000-0005-0000-0000-0000B3030000}"/>
    <cellStyle name="Background 2 2 2 3 5 3" xfId="956" xr:uid="{00000000-0005-0000-0000-0000B4030000}"/>
    <cellStyle name="Background 2 2 2 3 5 3 2" xfId="957" xr:uid="{00000000-0005-0000-0000-0000B5030000}"/>
    <cellStyle name="Background 2 2 2 3 5 3 2 2" xfId="958" xr:uid="{00000000-0005-0000-0000-0000B6030000}"/>
    <cellStyle name="Background 2 2 2 3 5 3 2 3" xfId="959" xr:uid="{00000000-0005-0000-0000-0000B7030000}"/>
    <cellStyle name="Background 2 2 2 3 5 3 2 4" xfId="960" xr:uid="{00000000-0005-0000-0000-0000B8030000}"/>
    <cellStyle name="Background 2 2 2 3 5 3 2 5" xfId="961" xr:uid="{00000000-0005-0000-0000-0000B9030000}"/>
    <cellStyle name="Background 2 2 2 3 5 3 2 6" xfId="962" xr:uid="{00000000-0005-0000-0000-0000BA030000}"/>
    <cellStyle name="Background 2 2 2 3 5 3 3" xfId="963" xr:uid="{00000000-0005-0000-0000-0000BB030000}"/>
    <cellStyle name="Background 2 2 2 3 5 3 4" xfId="964" xr:uid="{00000000-0005-0000-0000-0000BC030000}"/>
    <cellStyle name="Background 2 2 2 3 5 3 5" xfId="965" xr:uid="{00000000-0005-0000-0000-0000BD030000}"/>
    <cellStyle name="Background 2 2 2 3 5 4" xfId="966" xr:uid="{00000000-0005-0000-0000-0000BE030000}"/>
    <cellStyle name="Background 2 2 2 3 5 4 2" xfId="967" xr:uid="{00000000-0005-0000-0000-0000BF030000}"/>
    <cellStyle name="Background 2 2 2 3 5 4 3" xfId="968" xr:uid="{00000000-0005-0000-0000-0000C0030000}"/>
    <cellStyle name="Background 2 2 2 3 5 4 4" xfId="969" xr:uid="{00000000-0005-0000-0000-0000C1030000}"/>
    <cellStyle name="Background 2 2 2 3 5 4 5" xfId="970" xr:uid="{00000000-0005-0000-0000-0000C2030000}"/>
    <cellStyle name="Background 2 2 2 3 5 4 6" xfId="971" xr:uid="{00000000-0005-0000-0000-0000C3030000}"/>
    <cellStyle name="Background 2 2 2 3 5 5" xfId="972" xr:uid="{00000000-0005-0000-0000-0000C4030000}"/>
    <cellStyle name="Background 2 2 2 3 5 6" xfId="973" xr:uid="{00000000-0005-0000-0000-0000C5030000}"/>
    <cellStyle name="Background 2 2 2 3 5 7" xfId="974" xr:uid="{00000000-0005-0000-0000-0000C6030000}"/>
    <cellStyle name="Background 2 2 2 3 6" xfId="975" xr:uid="{00000000-0005-0000-0000-0000C7030000}"/>
    <cellStyle name="Background 2 2 2 3 6 2" xfId="976" xr:uid="{00000000-0005-0000-0000-0000C8030000}"/>
    <cellStyle name="Background 2 2 2 3 6 2 2" xfId="977" xr:uid="{00000000-0005-0000-0000-0000C9030000}"/>
    <cellStyle name="Background 2 2 2 3 6 2 2 2" xfId="978" xr:uid="{00000000-0005-0000-0000-0000CA030000}"/>
    <cellStyle name="Background 2 2 2 3 6 2 2 3" xfId="979" xr:uid="{00000000-0005-0000-0000-0000CB030000}"/>
    <cellStyle name="Background 2 2 2 3 6 2 2 4" xfId="980" xr:uid="{00000000-0005-0000-0000-0000CC030000}"/>
    <cellStyle name="Background 2 2 2 3 6 2 2 5" xfId="981" xr:uid="{00000000-0005-0000-0000-0000CD030000}"/>
    <cellStyle name="Background 2 2 2 3 6 2 2 6" xfId="982" xr:uid="{00000000-0005-0000-0000-0000CE030000}"/>
    <cellStyle name="Background 2 2 2 3 6 2 3" xfId="983" xr:uid="{00000000-0005-0000-0000-0000CF030000}"/>
    <cellStyle name="Background 2 2 2 3 6 2 4" xfId="984" xr:uid="{00000000-0005-0000-0000-0000D0030000}"/>
    <cellStyle name="Background 2 2 2 3 6 2 5" xfId="985" xr:uid="{00000000-0005-0000-0000-0000D1030000}"/>
    <cellStyle name="Background 2 2 2 3 6 3" xfId="986" xr:uid="{00000000-0005-0000-0000-0000D2030000}"/>
    <cellStyle name="Background 2 2 2 3 6 3 2" xfId="987" xr:uid="{00000000-0005-0000-0000-0000D3030000}"/>
    <cellStyle name="Background 2 2 2 3 6 3 2 2" xfId="988" xr:uid="{00000000-0005-0000-0000-0000D4030000}"/>
    <cellStyle name="Background 2 2 2 3 6 3 2 3" xfId="989" xr:uid="{00000000-0005-0000-0000-0000D5030000}"/>
    <cellStyle name="Background 2 2 2 3 6 3 2 4" xfId="990" xr:uid="{00000000-0005-0000-0000-0000D6030000}"/>
    <cellStyle name="Background 2 2 2 3 6 3 2 5" xfId="991" xr:uid="{00000000-0005-0000-0000-0000D7030000}"/>
    <cellStyle name="Background 2 2 2 3 6 3 2 6" xfId="992" xr:uid="{00000000-0005-0000-0000-0000D8030000}"/>
    <cellStyle name="Background 2 2 2 3 6 3 3" xfId="993" xr:uid="{00000000-0005-0000-0000-0000D9030000}"/>
    <cellStyle name="Background 2 2 2 3 6 3 4" xfId="994" xr:uid="{00000000-0005-0000-0000-0000DA030000}"/>
    <cellStyle name="Background 2 2 2 3 6 3 5" xfId="995" xr:uid="{00000000-0005-0000-0000-0000DB030000}"/>
    <cellStyle name="Background 2 2 2 3 6 4" xfId="996" xr:uid="{00000000-0005-0000-0000-0000DC030000}"/>
    <cellStyle name="Background 2 2 2 3 6 4 2" xfId="997" xr:uid="{00000000-0005-0000-0000-0000DD030000}"/>
    <cellStyle name="Background 2 2 2 3 6 4 3" xfId="998" xr:uid="{00000000-0005-0000-0000-0000DE030000}"/>
    <cellStyle name="Background 2 2 2 3 6 4 4" xfId="999" xr:uid="{00000000-0005-0000-0000-0000DF030000}"/>
    <cellStyle name="Background 2 2 2 3 6 4 5" xfId="1000" xr:uid="{00000000-0005-0000-0000-0000E0030000}"/>
    <cellStyle name="Background 2 2 2 3 6 4 6" xfId="1001" xr:uid="{00000000-0005-0000-0000-0000E1030000}"/>
    <cellStyle name="Background 2 2 2 3 6 5" xfId="1002" xr:uid="{00000000-0005-0000-0000-0000E2030000}"/>
    <cellStyle name="Background 2 2 2 3 6 6" xfId="1003" xr:uid="{00000000-0005-0000-0000-0000E3030000}"/>
    <cellStyle name="Background 2 2 2 3 6 7" xfId="1004" xr:uid="{00000000-0005-0000-0000-0000E4030000}"/>
    <cellStyle name="Background 2 2 2 3 7" xfId="1005" xr:uid="{00000000-0005-0000-0000-0000E5030000}"/>
    <cellStyle name="Background 2 2 2 3 7 2" xfId="1006" xr:uid="{00000000-0005-0000-0000-0000E6030000}"/>
    <cellStyle name="Background 2 2 2 3 7 2 2" xfId="1007" xr:uid="{00000000-0005-0000-0000-0000E7030000}"/>
    <cellStyle name="Background 2 2 2 3 7 2 3" xfId="1008" xr:uid="{00000000-0005-0000-0000-0000E8030000}"/>
    <cellStyle name="Background 2 2 2 3 7 2 4" xfId="1009" xr:uid="{00000000-0005-0000-0000-0000E9030000}"/>
    <cellStyle name="Background 2 2 2 3 7 2 5" xfId="1010" xr:uid="{00000000-0005-0000-0000-0000EA030000}"/>
    <cellStyle name="Background 2 2 2 3 7 2 6" xfId="1011" xr:uid="{00000000-0005-0000-0000-0000EB030000}"/>
    <cellStyle name="Background 2 2 2 3 7 3" xfId="1012" xr:uid="{00000000-0005-0000-0000-0000EC030000}"/>
    <cellStyle name="Background 2 2 2 3 7 4" xfId="1013" xr:uid="{00000000-0005-0000-0000-0000ED030000}"/>
    <cellStyle name="Background 2 2 2 3 7 5" xfId="1014" xr:uid="{00000000-0005-0000-0000-0000EE030000}"/>
    <cellStyle name="Background 2 2 2 3 8" xfId="1015" xr:uid="{00000000-0005-0000-0000-0000EF030000}"/>
    <cellStyle name="Background 2 2 2 3 8 2" xfId="1016" xr:uid="{00000000-0005-0000-0000-0000F0030000}"/>
    <cellStyle name="Background 2 2 2 3 8 2 2" xfId="1017" xr:uid="{00000000-0005-0000-0000-0000F1030000}"/>
    <cellStyle name="Background 2 2 2 3 8 2 3" xfId="1018" xr:uid="{00000000-0005-0000-0000-0000F2030000}"/>
    <cellStyle name="Background 2 2 2 3 8 2 4" xfId="1019" xr:uid="{00000000-0005-0000-0000-0000F3030000}"/>
    <cellStyle name="Background 2 2 2 3 8 2 5" xfId="1020" xr:uid="{00000000-0005-0000-0000-0000F4030000}"/>
    <cellStyle name="Background 2 2 2 3 8 2 6" xfId="1021" xr:uid="{00000000-0005-0000-0000-0000F5030000}"/>
    <cellStyle name="Background 2 2 2 3 8 3" xfId="1022" xr:uid="{00000000-0005-0000-0000-0000F6030000}"/>
    <cellStyle name="Background 2 2 2 3 8 4" xfId="1023" xr:uid="{00000000-0005-0000-0000-0000F7030000}"/>
    <cellStyle name="Background 2 2 2 3 8 5" xfId="1024" xr:uid="{00000000-0005-0000-0000-0000F8030000}"/>
    <cellStyle name="Background 2 2 2 3 9" xfId="1025" xr:uid="{00000000-0005-0000-0000-0000F9030000}"/>
    <cellStyle name="Background 2 2 2 3 9 2" xfId="1026" xr:uid="{00000000-0005-0000-0000-0000FA030000}"/>
    <cellStyle name="Background 2 2 2 3 9 3" xfId="1027" xr:uid="{00000000-0005-0000-0000-0000FB030000}"/>
    <cellStyle name="Background 2 2 2 3 9 4" xfId="1028" xr:uid="{00000000-0005-0000-0000-0000FC030000}"/>
    <cellStyle name="Background 2 2 2 3 9 5" xfId="1029" xr:uid="{00000000-0005-0000-0000-0000FD030000}"/>
    <cellStyle name="Background 2 2 2 3 9 6" xfId="1030" xr:uid="{00000000-0005-0000-0000-0000FE030000}"/>
    <cellStyle name="Background 2 2 2 4" xfId="1031" xr:uid="{00000000-0005-0000-0000-0000FF030000}"/>
    <cellStyle name="Background 2 2 2 4 2" xfId="1032" xr:uid="{00000000-0005-0000-0000-000000040000}"/>
    <cellStyle name="Background 2 2 2 4 2 2" xfId="1033" xr:uid="{00000000-0005-0000-0000-000001040000}"/>
    <cellStyle name="Background 2 2 2 4 2 2 2" xfId="1034" xr:uid="{00000000-0005-0000-0000-000002040000}"/>
    <cellStyle name="Background 2 2 2 4 2 2 3" xfId="1035" xr:uid="{00000000-0005-0000-0000-000003040000}"/>
    <cellStyle name="Background 2 2 2 4 2 2 4" xfId="1036" xr:uid="{00000000-0005-0000-0000-000004040000}"/>
    <cellStyle name="Background 2 2 2 4 2 2 5" xfId="1037" xr:uid="{00000000-0005-0000-0000-000005040000}"/>
    <cellStyle name="Background 2 2 2 4 2 2 6" xfId="1038" xr:uid="{00000000-0005-0000-0000-000006040000}"/>
    <cellStyle name="Background 2 2 2 4 2 3" xfId="1039" xr:uid="{00000000-0005-0000-0000-000007040000}"/>
    <cellStyle name="Background 2 2 2 4 2 4" xfId="1040" xr:uid="{00000000-0005-0000-0000-000008040000}"/>
    <cellStyle name="Background 2 2 2 4 2 5" xfId="1041" xr:uid="{00000000-0005-0000-0000-000009040000}"/>
    <cellStyle name="Background 2 2 2 4 3" xfId="1042" xr:uid="{00000000-0005-0000-0000-00000A040000}"/>
    <cellStyle name="Background 2 2 2 4 3 2" xfId="1043" xr:uid="{00000000-0005-0000-0000-00000B040000}"/>
    <cellStyle name="Background 2 2 2 4 3 2 2" xfId="1044" xr:uid="{00000000-0005-0000-0000-00000C040000}"/>
    <cellStyle name="Background 2 2 2 4 3 2 3" xfId="1045" xr:uid="{00000000-0005-0000-0000-00000D040000}"/>
    <cellStyle name="Background 2 2 2 4 3 2 4" xfId="1046" xr:uid="{00000000-0005-0000-0000-00000E040000}"/>
    <cellStyle name="Background 2 2 2 4 3 2 5" xfId="1047" xr:uid="{00000000-0005-0000-0000-00000F040000}"/>
    <cellStyle name="Background 2 2 2 4 3 2 6" xfId="1048" xr:uid="{00000000-0005-0000-0000-000010040000}"/>
    <cellStyle name="Background 2 2 2 4 3 3" xfId="1049" xr:uid="{00000000-0005-0000-0000-000011040000}"/>
    <cellStyle name="Background 2 2 2 4 3 4" xfId="1050" xr:uid="{00000000-0005-0000-0000-000012040000}"/>
    <cellStyle name="Background 2 2 2 4 3 5" xfId="1051" xr:uid="{00000000-0005-0000-0000-000013040000}"/>
    <cellStyle name="Background 2 2 2 4 4" xfId="1052" xr:uid="{00000000-0005-0000-0000-000014040000}"/>
    <cellStyle name="Background 2 2 2 4 4 2" xfId="1053" xr:uid="{00000000-0005-0000-0000-000015040000}"/>
    <cellStyle name="Background 2 2 2 4 4 3" xfId="1054" xr:uid="{00000000-0005-0000-0000-000016040000}"/>
    <cellStyle name="Background 2 2 2 4 4 4" xfId="1055" xr:uid="{00000000-0005-0000-0000-000017040000}"/>
    <cellStyle name="Background 2 2 2 4 4 5" xfId="1056" xr:uid="{00000000-0005-0000-0000-000018040000}"/>
    <cellStyle name="Background 2 2 2 4 4 6" xfId="1057" xr:uid="{00000000-0005-0000-0000-000019040000}"/>
    <cellStyle name="Background 2 2 2 4 5" xfId="1058" xr:uid="{00000000-0005-0000-0000-00001A040000}"/>
    <cellStyle name="Background 2 2 2 4 6" xfId="1059" xr:uid="{00000000-0005-0000-0000-00001B040000}"/>
    <cellStyle name="Background 2 2 2 4 7" xfId="1060" xr:uid="{00000000-0005-0000-0000-00001C040000}"/>
    <cellStyle name="Background 2 2 2 5" xfId="1061" xr:uid="{00000000-0005-0000-0000-00001D040000}"/>
    <cellStyle name="Background 2 2 2 5 2" xfId="1062" xr:uid="{00000000-0005-0000-0000-00001E040000}"/>
    <cellStyle name="Background 2 2 2 5 2 2" xfId="1063" xr:uid="{00000000-0005-0000-0000-00001F040000}"/>
    <cellStyle name="Background 2 2 2 5 2 2 2" xfId="1064" xr:uid="{00000000-0005-0000-0000-000020040000}"/>
    <cellStyle name="Background 2 2 2 5 2 2 3" xfId="1065" xr:uid="{00000000-0005-0000-0000-000021040000}"/>
    <cellStyle name="Background 2 2 2 5 2 2 4" xfId="1066" xr:uid="{00000000-0005-0000-0000-000022040000}"/>
    <cellStyle name="Background 2 2 2 5 2 2 5" xfId="1067" xr:uid="{00000000-0005-0000-0000-000023040000}"/>
    <cellStyle name="Background 2 2 2 5 2 2 6" xfId="1068" xr:uid="{00000000-0005-0000-0000-000024040000}"/>
    <cellStyle name="Background 2 2 2 5 2 3" xfId="1069" xr:uid="{00000000-0005-0000-0000-000025040000}"/>
    <cellStyle name="Background 2 2 2 5 2 4" xfId="1070" xr:uid="{00000000-0005-0000-0000-000026040000}"/>
    <cellStyle name="Background 2 2 2 5 2 5" xfId="1071" xr:uid="{00000000-0005-0000-0000-000027040000}"/>
    <cellStyle name="Background 2 2 2 5 3" xfId="1072" xr:uid="{00000000-0005-0000-0000-000028040000}"/>
    <cellStyle name="Background 2 2 2 5 3 2" xfId="1073" xr:uid="{00000000-0005-0000-0000-000029040000}"/>
    <cellStyle name="Background 2 2 2 5 3 2 2" xfId="1074" xr:uid="{00000000-0005-0000-0000-00002A040000}"/>
    <cellStyle name="Background 2 2 2 5 3 2 3" xfId="1075" xr:uid="{00000000-0005-0000-0000-00002B040000}"/>
    <cellStyle name="Background 2 2 2 5 3 2 4" xfId="1076" xr:uid="{00000000-0005-0000-0000-00002C040000}"/>
    <cellStyle name="Background 2 2 2 5 3 2 5" xfId="1077" xr:uid="{00000000-0005-0000-0000-00002D040000}"/>
    <cellStyle name="Background 2 2 2 5 3 2 6" xfId="1078" xr:uid="{00000000-0005-0000-0000-00002E040000}"/>
    <cellStyle name="Background 2 2 2 5 3 3" xfId="1079" xr:uid="{00000000-0005-0000-0000-00002F040000}"/>
    <cellStyle name="Background 2 2 2 5 3 4" xfId="1080" xr:uid="{00000000-0005-0000-0000-000030040000}"/>
    <cellStyle name="Background 2 2 2 5 3 5" xfId="1081" xr:uid="{00000000-0005-0000-0000-000031040000}"/>
    <cellStyle name="Background 2 2 2 5 4" xfId="1082" xr:uid="{00000000-0005-0000-0000-000032040000}"/>
    <cellStyle name="Background 2 2 2 5 4 2" xfId="1083" xr:uid="{00000000-0005-0000-0000-000033040000}"/>
    <cellStyle name="Background 2 2 2 5 4 3" xfId="1084" xr:uid="{00000000-0005-0000-0000-000034040000}"/>
    <cellStyle name="Background 2 2 2 5 4 4" xfId="1085" xr:uid="{00000000-0005-0000-0000-000035040000}"/>
    <cellStyle name="Background 2 2 2 5 4 5" xfId="1086" xr:uid="{00000000-0005-0000-0000-000036040000}"/>
    <cellStyle name="Background 2 2 2 5 4 6" xfId="1087" xr:uid="{00000000-0005-0000-0000-000037040000}"/>
    <cellStyle name="Background 2 2 2 5 5" xfId="1088" xr:uid="{00000000-0005-0000-0000-000038040000}"/>
    <cellStyle name="Background 2 2 2 5 6" xfId="1089" xr:uid="{00000000-0005-0000-0000-000039040000}"/>
    <cellStyle name="Background 2 2 2 5 7" xfId="1090" xr:uid="{00000000-0005-0000-0000-00003A040000}"/>
    <cellStyle name="Background 2 2 2 6" xfId="1091" xr:uid="{00000000-0005-0000-0000-00003B040000}"/>
    <cellStyle name="Background 2 2 2 6 2" xfId="1092" xr:uid="{00000000-0005-0000-0000-00003C040000}"/>
    <cellStyle name="Background 2 2 2 6 2 2" xfId="1093" xr:uid="{00000000-0005-0000-0000-00003D040000}"/>
    <cellStyle name="Background 2 2 2 6 2 2 2" xfId="1094" xr:uid="{00000000-0005-0000-0000-00003E040000}"/>
    <cellStyle name="Background 2 2 2 6 2 2 3" xfId="1095" xr:uid="{00000000-0005-0000-0000-00003F040000}"/>
    <cellStyle name="Background 2 2 2 6 2 2 4" xfId="1096" xr:uid="{00000000-0005-0000-0000-000040040000}"/>
    <cellStyle name="Background 2 2 2 6 2 2 5" xfId="1097" xr:uid="{00000000-0005-0000-0000-000041040000}"/>
    <cellStyle name="Background 2 2 2 6 2 2 6" xfId="1098" xr:uid="{00000000-0005-0000-0000-000042040000}"/>
    <cellStyle name="Background 2 2 2 6 2 3" xfId="1099" xr:uid="{00000000-0005-0000-0000-000043040000}"/>
    <cellStyle name="Background 2 2 2 6 2 4" xfId="1100" xr:uid="{00000000-0005-0000-0000-000044040000}"/>
    <cellStyle name="Background 2 2 2 6 2 5" xfId="1101" xr:uid="{00000000-0005-0000-0000-000045040000}"/>
    <cellStyle name="Background 2 2 2 6 3" xfId="1102" xr:uid="{00000000-0005-0000-0000-000046040000}"/>
    <cellStyle name="Background 2 2 2 6 3 2" xfId="1103" xr:uid="{00000000-0005-0000-0000-000047040000}"/>
    <cellStyle name="Background 2 2 2 6 3 2 2" xfId="1104" xr:uid="{00000000-0005-0000-0000-000048040000}"/>
    <cellStyle name="Background 2 2 2 6 3 2 3" xfId="1105" xr:uid="{00000000-0005-0000-0000-000049040000}"/>
    <cellStyle name="Background 2 2 2 6 3 2 4" xfId="1106" xr:uid="{00000000-0005-0000-0000-00004A040000}"/>
    <cellStyle name="Background 2 2 2 6 3 2 5" xfId="1107" xr:uid="{00000000-0005-0000-0000-00004B040000}"/>
    <cellStyle name="Background 2 2 2 6 3 2 6" xfId="1108" xr:uid="{00000000-0005-0000-0000-00004C040000}"/>
    <cellStyle name="Background 2 2 2 6 3 3" xfId="1109" xr:uid="{00000000-0005-0000-0000-00004D040000}"/>
    <cellStyle name="Background 2 2 2 6 3 4" xfId="1110" xr:uid="{00000000-0005-0000-0000-00004E040000}"/>
    <cellStyle name="Background 2 2 2 6 3 5" xfId="1111" xr:uid="{00000000-0005-0000-0000-00004F040000}"/>
    <cellStyle name="Background 2 2 2 6 4" xfId="1112" xr:uid="{00000000-0005-0000-0000-000050040000}"/>
    <cellStyle name="Background 2 2 2 6 4 2" xfId="1113" xr:uid="{00000000-0005-0000-0000-000051040000}"/>
    <cellStyle name="Background 2 2 2 6 4 3" xfId="1114" xr:uid="{00000000-0005-0000-0000-000052040000}"/>
    <cellStyle name="Background 2 2 2 6 4 4" xfId="1115" xr:uid="{00000000-0005-0000-0000-000053040000}"/>
    <cellStyle name="Background 2 2 2 6 4 5" xfId="1116" xr:uid="{00000000-0005-0000-0000-000054040000}"/>
    <cellStyle name="Background 2 2 2 6 4 6" xfId="1117" xr:uid="{00000000-0005-0000-0000-000055040000}"/>
    <cellStyle name="Background 2 2 2 6 5" xfId="1118" xr:uid="{00000000-0005-0000-0000-000056040000}"/>
    <cellStyle name="Background 2 2 2 6 6" xfId="1119" xr:uid="{00000000-0005-0000-0000-000057040000}"/>
    <cellStyle name="Background 2 2 2 6 7" xfId="1120" xr:uid="{00000000-0005-0000-0000-000058040000}"/>
    <cellStyle name="Background 2 2 2 7" xfId="1121" xr:uid="{00000000-0005-0000-0000-000059040000}"/>
    <cellStyle name="Background 2 2 2 7 2" xfId="1122" xr:uid="{00000000-0005-0000-0000-00005A040000}"/>
    <cellStyle name="Background 2 2 2 7 2 2" xfId="1123" xr:uid="{00000000-0005-0000-0000-00005B040000}"/>
    <cellStyle name="Background 2 2 2 7 2 3" xfId="1124" xr:uid="{00000000-0005-0000-0000-00005C040000}"/>
    <cellStyle name="Background 2 2 2 7 2 4" xfId="1125" xr:uid="{00000000-0005-0000-0000-00005D040000}"/>
    <cellStyle name="Background 2 2 2 7 2 5" xfId="1126" xr:uid="{00000000-0005-0000-0000-00005E040000}"/>
    <cellStyle name="Background 2 2 2 7 2 6" xfId="1127" xr:uid="{00000000-0005-0000-0000-00005F040000}"/>
    <cellStyle name="Background 2 2 2 7 3" xfId="1128" xr:uid="{00000000-0005-0000-0000-000060040000}"/>
    <cellStyle name="Background 2 2 2 7 4" xfId="1129" xr:uid="{00000000-0005-0000-0000-000061040000}"/>
    <cellStyle name="Background 2 2 2 7 5" xfId="1130" xr:uid="{00000000-0005-0000-0000-000062040000}"/>
    <cellStyle name="Background 2 2 2 8" xfId="1131" xr:uid="{00000000-0005-0000-0000-000063040000}"/>
    <cellStyle name="Background 2 2 2 8 2" xfId="1132" xr:uid="{00000000-0005-0000-0000-000064040000}"/>
    <cellStyle name="Background 2 2 2 8 2 2" xfId="1133" xr:uid="{00000000-0005-0000-0000-000065040000}"/>
    <cellStyle name="Background 2 2 2 8 2 3" xfId="1134" xr:uid="{00000000-0005-0000-0000-000066040000}"/>
    <cellStyle name="Background 2 2 2 8 2 4" xfId="1135" xr:uid="{00000000-0005-0000-0000-000067040000}"/>
    <cellStyle name="Background 2 2 2 8 2 5" xfId="1136" xr:uid="{00000000-0005-0000-0000-000068040000}"/>
    <cellStyle name="Background 2 2 2 8 2 6" xfId="1137" xr:uid="{00000000-0005-0000-0000-000069040000}"/>
    <cellStyle name="Background 2 2 2 8 3" xfId="1138" xr:uid="{00000000-0005-0000-0000-00006A040000}"/>
    <cellStyle name="Background 2 2 2 8 4" xfId="1139" xr:uid="{00000000-0005-0000-0000-00006B040000}"/>
    <cellStyle name="Background 2 2 2 8 5" xfId="1140" xr:uid="{00000000-0005-0000-0000-00006C040000}"/>
    <cellStyle name="Background 2 2 2 9" xfId="1141" xr:uid="{00000000-0005-0000-0000-00006D040000}"/>
    <cellStyle name="Background 2 2 2 9 2" xfId="1142" xr:uid="{00000000-0005-0000-0000-00006E040000}"/>
    <cellStyle name="Background 2 2 2 9 3" xfId="1143" xr:uid="{00000000-0005-0000-0000-00006F040000}"/>
    <cellStyle name="Background 2 2 2 9 4" xfId="1144" xr:uid="{00000000-0005-0000-0000-000070040000}"/>
    <cellStyle name="Background 2 2 2 9 5" xfId="1145" xr:uid="{00000000-0005-0000-0000-000071040000}"/>
    <cellStyle name="Background 2 2 2 9 6" xfId="1146" xr:uid="{00000000-0005-0000-0000-000072040000}"/>
    <cellStyle name="Background 2 2 3" xfId="1147" xr:uid="{00000000-0005-0000-0000-000073040000}"/>
    <cellStyle name="Background 2 2 3 10" xfId="1148" xr:uid="{00000000-0005-0000-0000-000074040000}"/>
    <cellStyle name="Background 2 2 3 10 2" xfId="1149" xr:uid="{00000000-0005-0000-0000-000075040000}"/>
    <cellStyle name="Background 2 2 3 10 3" xfId="1150" xr:uid="{00000000-0005-0000-0000-000076040000}"/>
    <cellStyle name="Background 2 2 3 10 4" xfId="1151" xr:uid="{00000000-0005-0000-0000-000077040000}"/>
    <cellStyle name="Background 2 2 3 10 5" xfId="1152" xr:uid="{00000000-0005-0000-0000-000078040000}"/>
    <cellStyle name="Background 2 2 3 10 6" xfId="1153" xr:uid="{00000000-0005-0000-0000-000079040000}"/>
    <cellStyle name="Background 2 2 3 11" xfId="1154" xr:uid="{00000000-0005-0000-0000-00007A040000}"/>
    <cellStyle name="Background 2 2 3 12" xfId="1155" xr:uid="{00000000-0005-0000-0000-00007B040000}"/>
    <cellStyle name="Background 2 2 3 13" xfId="1156" xr:uid="{00000000-0005-0000-0000-00007C040000}"/>
    <cellStyle name="Background 2 2 3 2" xfId="1157" xr:uid="{00000000-0005-0000-0000-00007D040000}"/>
    <cellStyle name="Background 2 2 3 2 10" xfId="1158" xr:uid="{00000000-0005-0000-0000-00007E040000}"/>
    <cellStyle name="Background 2 2 3 2 11" xfId="1159" xr:uid="{00000000-0005-0000-0000-00007F040000}"/>
    <cellStyle name="Background 2 2 3 2 12" xfId="1160" xr:uid="{00000000-0005-0000-0000-000080040000}"/>
    <cellStyle name="Background 2 2 3 2 2" xfId="1161" xr:uid="{00000000-0005-0000-0000-000081040000}"/>
    <cellStyle name="Background 2 2 3 2 2 2" xfId="1162" xr:uid="{00000000-0005-0000-0000-000082040000}"/>
    <cellStyle name="Background 2 2 3 2 2 2 2" xfId="1163" xr:uid="{00000000-0005-0000-0000-000083040000}"/>
    <cellStyle name="Background 2 2 3 2 2 2 2 2" xfId="1164" xr:uid="{00000000-0005-0000-0000-000084040000}"/>
    <cellStyle name="Background 2 2 3 2 2 2 2 3" xfId="1165" xr:uid="{00000000-0005-0000-0000-000085040000}"/>
    <cellStyle name="Background 2 2 3 2 2 2 2 4" xfId="1166" xr:uid="{00000000-0005-0000-0000-000086040000}"/>
    <cellStyle name="Background 2 2 3 2 2 2 2 5" xfId="1167" xr:uid="{00000000-0005-0000-0000-000087040000}"/>
    <cellStyle name="Background 2 2 3 2 2 2 2 6" xfId="1168" xr:uid="{00000000-0005-0000-0000-000088040000}"/>
    <cellStyle name="Background 2 2 3 2 2 2 3" xfId="1169" xr:uid="{00000000-0005-0000-0000-000089040000}"/>
    <cellStyle name="Background 2 2 3 2 2 2 4" xfId="1170" xr:uid="{00000000-0005-0000-0000-00008A040000}"/>
    <cellStyle name="Background 2 2 3 2 2 2 5" xfId="1171" xr:uid="{00000000-0005-0000-0000-00008B040000}"/>
    <cellStyle name="Background 2 2 3 2 2 3" xfId="1172" xr:uid="{00000000-0005-0000-0000-00008C040000}"/>
    <cellStyle name="Background 2 2 3 2 2 3 2" xfId="1173" xr:uid="{00000000-0005-0000-0000-00008D040000}"/>
    <cellStyle name="Background 2 2 3 2 2 3 2 2" xfId="1174" xr:uid="{00000000-0005-0000-0000-00008E040000}"/>
    <cellStyle name="Background 2 2 3 2 2 3 2 3" xfId="1175" xr:uid="{00000000-0005-0000-0000-00008F040000}"/>
    <cellStyle name="Background 2 2 3 2 2 3 2 4" xfId="1176" xr:uid="{00000000-0005-0000-0000-000090040000}"/>
    <cellStyle name="Background 2 2 3 2 2 3 2 5" xfId="1177" xr:uid="{00000000-0005-0000-0000-000091040000}"/>
    <cellStyle name="Background 2 2 3 2 2 3 2 6" xfId="1178" xr:uid="{00000000-0005-0000-0000-000092040000}"/>
    <cellStyle name="Background 2 2 3 2 2 3 3" xfId="1179" xr:uid="{00000000-0005-0000-0000-000093040000}"/>
    <cellStyle name="Background 2 2 3 2 2 3 4" xfId="1180" xr:uid="{00000000-0005-0000-0000-000094040000}"/>
    <cellStyle name="Background 2 2 3 2 2 3 5" xfId="1181" xr:uid="{00000000-0005-0000-0000-000095040000}"/>
    <cellStyle name="Background 2 2 3 2 2 4" xfId="1182" xr:uid="{00000000-0005-0000-0000-000096040000}"/>
    <cellStyle name="Background 2 2 3 2 2 4 2" xfId="1183" xr:uid="{00000000-0005-0000-0000-000097040000}"/>
    <cellStyle name="Background 2 2 3 2 2 4 3" xfId="1184" xr:uid="{00000000-0005-0000-0000-000098040000}"/>
    <cellStyle name="Background 2 2 3 2 2 4 4" xfId="1185" xr:uid="{00000000-0005-0000-0000-000099040000}"/>
    <cellStyle name="Background 2 2 3 2 2 4 5" xfId="1186" xr:uid="{00000000-0005-0000-0000-00009A040000}"/>
    <cellStyle name="Background 2 2 3 2 2 4 6" xfId="1187" xr:uid="{00000000-0005-0000-0000-00009B040000}"/>
    <cellStyle name="Background 2 2 3 2 2 5" xfId="1188" xr:uid="{00000000-0005-0000-0000-00009C040000}"/>
    <cellStyle name="Background 2 2 3 2 2 6" xfId="1189" xr:uid="{00000000-0005-0000-0000-00009D040000}"/>
    <cellStyle name="Background 2 2 3 2 2 7" xfId="1190" xr:uid="{00000000-0005-0000-0000-00009E040000}"/>
    <cellStyle name="Background 2 2 3 2 3" xfId="1191" xr:uid="{00000000-0005-0000-0000-00009F040000}"/>
    <cellStyle name="Background 2 2 3 2 3 2" xfId="1192" xr:uid="{00000000-0005-0000-0000-0000A0040000}"/>
    <cellStyle name="Background 2 2 3 2 3 2 2" xfId="1193" xr:uid="{00000000-0005-0000-0000-0000A1040000}"/>
    <cellStyle name="Background 2 2 3 2 3 2 2 2" xfId="1194" xr:uid="{00000000-0005-0000-0000-0000A2040000}"/>
    <cellStyle name="Background 2 2 3 2 3 2 2 3" xfId="1195" xr:uid="{00000000-0005-0000-0000-0000A3040000}"/>
    <cellStyle name="Background 2 2 3 2 3 2 2 4" xfId="1196" xr:uid="{00000000-0005-0000-0000-0000A4040000}"/>
    <cellStyle name="Background 2 2 3 2 3 2 2 5" xfId="1197" xr:uid="{00000000-0005-0000-0000-0000A5040000}"/>
    <cellStyle name="Background 2 2 3 2 3 2 2 6" xfId="1198" xr:uid="{00000000-0005-0000-0000-0000A6040000}"/>
    <cellStyle name="Background 2 2 3 2 3 2 3" xfId="1199" xr:uid="{00000000-0005-0000-0000-0000A7040000}"/>
    <cellStyle name="Background 2 2 3 2 3 2 4" xfId="1200" xr:uid="{00000000-0005-0000-0000-0000A8040000}"/>
    <cellStyle name="Background 2 2 3 2 3 2 5" xfId="1201" xr:uid="{00000000-0005-0000-0000-0000A9040000}"/>
    <cellStyle name="Background 2 2 3 2 3 3" xfId="1202" xr:uid="{00000000-0005-0000-0000-0000AA040000}"/>
    <cellStyle name="Background 2 2 3 2 3 3 2" xfId="1203" xr:uid="{00000000-0005-0000-0000-0000AB040000}"/>
    <cellStyle name="Background 2 2 3 2 3 3 2 2" xfId="1204" xr:uid="{00000000-0005-0000-0000-0000AC040000}"/>
    <cellStyle name="Background 2 2 3 2 3 3 2 3" xfId="1205" xr:uid="{00000000-0005-0000-0000-0000AD040000}"/>
    <cellStyle name="Background 2 2 3 2 3 3 2 4" xfId="1206" xr:uid="{00000000-0005-0000-0000-0000AE040000}"/>
    <cellStyle name="Background 2 2 3 2 3 3 2 5" xfId="1207" xr:uid="{00000000-0005-0000-0000-0000AF040000}"/>
    <cellStyle name="Background 2 2 3 2 3 3 2 6" xfId="1208" xr:uid="{00000000-0005-0000-0000-0000B0040000}"/>
    <cellStyle name="Background 2 2 3 2 3 3 3" xfId="1209" xr:uid="{00000000-0005-0000-0000-0000B1040000}"/>
    <cellStyle name="Background 2 2 3 2 3 3 4" xfId="1210" xr:uid="{00000000-0005-0000-0000-0000B2040000}"/>
    <cellStyle name="Background 2 2 3 2 3 3 5" xfId="1211" xr:uid="{00000000-0005-0000-0000-0000B3040000}"/>
    <cellStyle name="Background 2 2 3 2 3 4" xfId="1212" xr:uid="{00000000-0005-0000-0000-0000B4040000}"/>
    <cellStyle name="Background 2 2 3 2 3 4 2" xfId="1213" xr:uid="{00000000-0005-0000-0000-0000B5040000}"/>
    <cellStyle name="Background 2 2 3 2 3 4 3" xfId="1214" xr:uid="{00000000-0005-0000-0000-0000B6040000}"/>
    <cellStyle name="Background 2 2 3 2 3 4 4" xfId="1215" xr:uid="{00000000-0005-0000-0000-0000B7040000}"/>
    <cellStyle name="Background 2 2 3 2 3 4 5" xfId="1216" xr:uid="{00000000-0005-0000-0000-0000B8040000}"/>
    <cellStyle name="Background 2 2 3 2 3 4 6" xfId="1217" xr:uid="{00000000-0005-0000-0000-0000B9040000}"/>
    <cellStyle name="Background 2 2 3 2 3 5" xfId="1218" xr:uid="{00000000-0005-0000-0000-0000BA040000}"/>
    <cellStyle name="Background 2 2 3 2 3 6" xfId="1219" xr:uid="{00000000-0005-0000-0000-0000BB040000}"/>
    <cellStyle name="Background 2 2 3 2 3 7" xfId="1220" xr:uid="{00000000-0005-0000-0000-0000BC040000}"/>
    <cellStyle name="Background 2 2 3 2 4" xfId="1221" xr:uid="{00000000-0005-0000-0000-0000BD040000}"/>
    <cellStyle name="Background 2 2 3 2 4 2" xfId="1222" xr:uid="{00000000-0005-0000-0000-0000BE040000}"/>
    <cellStyle name="Background 2 2 3 2 4 2 2" xfId="1223" xr:uid="{00000000-0005-0000-0000-0000BF040000}"/>
    <cellStyle name="Background 2 2 3 2 4 2 2 2" xfId="1224" xr:uid="{00000000-0005-0000-0000-0000C0040000}"/>
    <cellStyle name="Background 2 2 3 2 4 2 2 3" xfId="1225" xr:uid="{00000000-0005-0000-0000-0000C1040000}"/>
    <cellStyle name="Background 2 2 3 2 4 2 2 4" xfId="1226" xr:uid="{00000000-0005-0000-0000-0000C2040000}"/>
    <cellStyle name="Background 2 2 3 2 4 2 2 5" xfId="1227" xr:uid="{00000000-0005-0000-0000-0000C3040000}"/>
    <cellStyle name="Background 2 2 3 2 4 2 2 6" xfId="1228" xr:uid="{00000000-0005-0000-0000-0000C4040000}"/>
    <cellStyle name="Background 2 2 3 2 4 2 3" xfId="1229" xr:uid="{00000000-0005-0000-0000-0000C5040000}"/>
    <cellStyle name="Background 2 2 3 2 4 2 4" xfId="1230" xr:uid="{00000000-0005-0000-0000-0000C6040000}"/>
    <cellStyle name="Background 2 2 3 2 4 2 5" xfId="1231" xr:uid="{00000000-0005-0000-0000-0000C7040000}"/>
    <cellStyle name="Background 2 2 3 2 4 3" xfId="1232" xr:uid="{00000000-0005-0000-0000-0000C8040000}"/>
    <cellStyle name="Background 2 2 3 2 4 3 2" xfId="1233" xr:uid="{00000000-0005-0000-0000-0000C9040000}"/>
    <cellStyle name="Background 2 2 3 2 4 3 2 2" xfId="1234" xr:uid="{00000000-0005-0000-0000-0000CA040000}"/>
    <cellStyle name="Background 2 2 3 2 4 3 2 3" xfId="1235" xr:uid="{00000000-0005-0000-0000-0000CB040000}"/>
    <cellStyle name="Background 2 2 3 2 4 3 2 4" xfId="1236" xr:uid="{00000000-0005-0000-0000-0000CC040000}"/>
    <cellStyle name="Background 2 2 3 2 4 3 2 5" xfId="1237" xr:uid="{00000000-0005-0000-0000-0000CD040000}"/>
    <cellStyle name="Background 2 2 3 2 4 3 2 6" xfId="1238" xr:uid="{00000000-0005-0000-0000-0000CE040000}"/>
    <cellStyle name="Background 2 2 3 2 4 3 3" xfId="1239" xr:uid="{00000000-0005-0000-0000-0000CF040000}"/>
    <cellStyle name="Background 2 2 3 2 4 3 4" xfId="1240" xr:uid="{00000000-0005-0000-0000-0000D0040000}"/>
    <cellStyle name="Background 2 2 3 2 4 3 5" xfId="1241" xr:uid="{00000000-0005-0000-0000-0000D1040000}"/>
    <cellStyle name="Background 2 2 3 2 4 4" xfId="1242" xr:uid="{00000000-0005-0000-0000-0000D2040000}"/>
    <cellStyle name="Background 2 2 3 2 4 4 2" xfId="1243" xr:uid="{00000000-0005-0000-0000-0000D3040000}"/>
    <cellStyle name="Background 2 2 3 2 4 4 3" xfId="1244" xr:uid="{00000000-0005-0000-0000-0000D4040000}"/>
    <cellStyle name="Background 2 2 3 2 4 4 4" xfId="1245" xr:uid="{00000000-0005-0000-0000-0000D5040000}"/>
    <cellStyle name="Background 2 2 3 2 4 4 5" xfId="1246" xr:uid="{00000000-0005-0000-0000-0000D6040000}"/>
    <cellStyle name="Background 2 2 3 2 4 4 6" xfId="1247" xr:uid="{00000000-0005-0000-0000-0000D7040000}"/>
    <cellStyle name="Background 2 2 3 2 4 5" xfId="1248" xr:uid="{00000000-0005-0000-0000-0000D8040000}"/>
    <cellStyle name="Background 2 2 3 2 4 6" xfId="1249" xr:uid="{00000000-0005-0000-0000-0000D9040000}"/>
    <cellStyle name="Background 2 2 3 2 4 7" xfId="1250" xr:uid="{00000000-0005-0000-0000-0000DA040000}"/>
    <cellStyle name="Background 2 2 3 2 5" xfId="1251" xr:uid="{00000000-0005-0000-0000-0000DB040000}"/>
    <cellStyle name="Background 2 2 3 2 5 2" xfId="1252" xr:uid="{00000000-0005-0000-0000-0000DC040000}"/>
    <cellStyle name="Background 2 2 3 2 5 2 2" xfId="1253" xr:uid="{00000000-0005-0000-0000-0000DD040000}"/>
    <cellStyle name="Background 2 2 3 2 5 2 2 2" xfId="1254" xr:uid="{00000000-0005-0000-0000-0000DE040000}"/>
    <cellStyle name="Background 2 2 3 2 5 2 2 3" xfId="1255" xr:uid="{00000000-0005-0000-0000-0000DF040000}"/>
    <cellStyle name="Background 2 2 3 2 5 2 2 4" xfId="1256" xr:uid="{00000000-0005-0000-0000-0000E0040000}"/>
    <cellStyle name="Background 2 2 3 2 5 2 2 5" xfId="1257" xr:uid="{00000000-0005-0000-0000-0000E1040000}"/>
    <cellStyle name="Background 2 2 3 2 5 2 2 6" xfId="1258" xr:uid="{00000000-0005-0000-0000-0000E2040000}"/>
    <cellStyle name="Background 2 2 3 2 5 2 3" xfId="1259" xr:uid="{00000000-0005-0000-0000-0000E3040000}"/>
    <cellStyle name="Background 2 2 3 2 5 2 4" xfId="1260" xr:uid="{00000000-0005-0000-0000-0000E4040000}"/>
    <cellStyle name="Background 2 2 3 2 5 2 5" xfId="1261" xr:uid="{00000000-0005-0000-0000-0000E5040000}"/>
    <cellStyle name="Background 2 2 3 2 5 3" xfId="1262" xr:uid="{00000000-0005-0000-0000-0000E6040000}"/>
    <cellStyle name="Background 2 2 3 2 5 3 2" xfId="1263" xr:uid="{00000000-0005-0000-0000-0000E7040000}"/>
    <cellStyle name="Background 2 2 3 2 5 3 2 2" xfId="1264" xr:uid="{00000000-0005-0000-0000-0000E8040000}"/>
    <cellStyle name="Background 2 2 3 2 5 3 2 3" xfId="1265" xr:uid="{00000000-0005-0000-0000-0000E9040000}"/>
    <cellStyle name="Background 2 2 3 2 5 3 2 4" xfId="1266" xr:uid="{00000000-0005-0000-0000-0000EA040000}"/>
    <cellStyle name="Background 2 2 3 2 5 3 2 5" xfId="1267" xr:uid="{00000000-0005-0000-0000-0000EB040000}"/>
    <cellStyle name="Background 2 2 3 2 5 3 2 6" xfId="1268" xr:uid="{00000000-0005-0000-0000-0000EC040000}"/>
    <cellStyle name="Background 2 2 3 2 5 3 3" xfId="1269" xr:uid="{00000000-0005-0000-0000-0000ED040000}"/>
    <cellStyle name="Background 2 2 3 2 5 3 4" xfId="1270" xr:uid="{00000000-0005-0000-0000-0000EE040000}"/>
    <cellStyle name="Background 2 2 3 2 5 3 5" xfId="1271" xr:uid="{00000000-0005-0000-0000-0000EF040000}"/>
    <cellStyle name="Background 2 2 3 2 5 4" xfId="1272" xr:uid="{00000000-0005-0000-0000-0000F0040000}"/>
    <cellStyle name="Background 2 2 3 2 5 4 2" xfId="1273" xr:uid="{00000000-0005-0000-0000-0000F1040000}"/>
    <cellStyle name="Background 2 2 3 2 5 4 3" xfId="1274" xr:uid="{00000000-0005-0000-0000-0000F2040000}"/>
    <cellStyle name="Background 2 2 3 2 5 4 4" xfId="1275" xr:uid="{00000000-0005-0000-0000-0000F3040000}"/>
    <cellStyle name="Background 2 2 3 2 5 4 5" xfId="1276" xr:uid="{00000000-0005-0000-0000-0000F4040000}"/>
    <cellStyle name="Background 2 2 3 2 5 4 6" xfId="1277" xr:uid="{00000000-0005-0000-0000-0000F5040000}"/>
    <cellStyle name="Background 2 2 3 2 5 5" xfId="1278" xr:uid="{00000000-0005-0000-0000-0000F6040000}"/>
    <cellStyle name="Background 2 2 3 2 5 6" xfId="1279" xr:uid="{00000000-0005-0000-0000-0000F7040000}"/>
    <cellStyle name="Background 2 2 3 2 5 7" xfId="1280" xr:uid="{00000000-0005-0000-0000-0000F8040000}"/>
    <cellStyle name="Background 2 2 3 2 6" xfId="1281" xr:uid="{00000000-0005-0000-0000-0000F9040000}"/>
    <cellStyle name="Background 2 2 3 2 6 2" xfId="1282" xr:uid="{00000000-0005-0000-0000-0000FA040000}"/>
    <cellStyle name="Background 2 2 3 2 6 2 2" xfId="1283" xr:uid="{00000000-0005-0000-0000-0000FB040000}"/>
    <cellStyle name="Background 2 2 3 2 6 2 2 2" xfId="1284" xr:uid="{00000000-0005-0000-0000-0000FC040000}"/>
    <cellStyle name="Background 2 2 3 2 6 2 2 3" xfId="1285" xr:uid="{00000000-0005-0000-0000-0000FD040000}"/>
    <cellStyle name="Background 2 2 3 2 6 2 2 4" xfId="1286" xr:uid="{00000000-0005-0000-0000-0000FE040000}"/>
    <cellStyle name="Background 2 2 3 2 6 2 2 5" xfId="1287" xr:uid="{00000000-0005-0000-0000-0000FF040000}"/>
    <cellStyle name="Background 2 2 3 2 6 2 2 6" xfId="1288" xr:uid="{00000000-0005-0000-0000-000000050000}"/>
    <cellStyle name="Background 2 2 3 2 6 2 3" xfId="1289" xr:uid="{00000000-0005-0000-0000-000001050000}"/>
    <cellStyle name="Background 2 2 3 2 6 2 4" xfId="1290" xr:uid="{00000000-0005-0000-0000-000002050000}"/>
    <cellStyle name="Background 2 2 3 2 6 2 5" xfId="1291" xr:uid="{00000000-0005-0000-0000-000003050000}"/>
    <cellStyle name="Background 2 2 3 2 6 3" xfId="1292" xr:uid="{00000000-0005-0000-0000-000004050000}"/>
    <cellStyle name="Background 2 2 3 2 6 3 2" xfId="1293" xr:uid="{00000000-0005-0000-0000-000005050000}"/>
    <cellStyle name="Background 2 2 3 2 6 3 2 2" xfId="1294" xr:uid="{00000000-0005-0000-0000-000006050000}"/>
    <cellStyle name="Background 2 2 3 2 6 3 2 3" xfId="1295" xr:uid="{00000000-0005-0000-0000-000007050000}"/>
    <cellStyle name="Background 2 2 3 2 6 3 2 4" xfId="1296" xr:uid="{00000000-0005-0000-0000-000008050000}"/>
    <cellStyle name="Background 2 2 3 2 6 3 2 5" xfId="1297" xr:uid="{00000000-0005-0000-0000-000009050000}"/>
    <cellStyle name="Background 2 2 3 2 6 3 2 6" xfId="1298" xr:uid="{00000000-0005-0000-0000-00000A050000}"/>
    <cellStyle name="Background 2 2 3 2 6 3 3" xfId="1299" xr:uid="{00000000-0005-0000-0000-00000B050000}"/>
    <cellStyle name="Background 2 2 3 2 6 3 4" xfId="1300" xr:uid="{00000000-0005-0000-0000-00000C050000}"/>
    <cellStyle name="Background 2 2 3 2 6 3 5" xfId="1301" xr:uid="{00000000-0005-0000-0000-00000D050000}"/>
    <cellStyle name="Background 2 2 3 2 6 4" xfId="1302" xr:uid="{00000000-0005-0000-0000-00000E050000}"/>
    <cellStyle name="Background 2 2 3 2 6 4 2" xfId="1303" xr:uid="{00000000-0005-0000-0000-00000F050000}"/>
    <cellStyle name="Background 2 2 3 2 6 4 3" xfId="1304" xr:uid="{00000000-0005-0000-0000-000010050000}"/>
    <cellStyle name="Background 2 2 3 2 6 4 4" xfId="1305" xr:uid="{00000000-0005-0000-0000-000011050000}"/>
    <cellStyle name="Background 2 2 3 2 6 4 5" xfId="1306" xr:uid="{00000000-0005-0000-0000-000012050000}"/>
    <cellStyle name="Background 2 2 3 2 6 4 6" xfId="1307" xr:uid="{00000000-0005-0000-0000-000013050000}"/>
    <cellStyle name="Background 2 2 3 2 6 5" xfId="1308" xr:uid="{00000000-0005-0000-0000-000014050000}"/>
    <cellStyle name="Background 2 2 3 2 6 6" xfId="1309" xr:uid="{00000000-0005-0000-0000-000015050000}"/>
    <cellStyle name="Background 2 2 3 2 6 7" xfId="1310" xr:uid="{00000000-0005-0000-0000-000016050000}"/>
    <cellStyle name="Background 2 2 3 2 7" xfId="1311" xr:uid="{00000000-0005-0000-0000-000017050000}"/>
    <cellStyle name="Background 2 2 3 2 7 2" xfId="1312" xr:uid="{00000000-0005-0000-0000-000018050000}"/>
    <cellStyle name="Background 2 2 3 2 7 2 2" xfId="1313" xr:uid="{00000000-0005-0000-0000-000019050000}"/>
    <cellStyle name="Background 2 2 3 2 7 2 3" xfId="1314" xr:uid="{00000000-0005-0000-0000-00001A050000}"/>
    <cellStyle name="Background 2 2 3 2 7 2 4" xfId="1315" xr:uid="{00000000-0005-0000-0000-00001B050000}"/>
    <cellStyle name="Background 2 2 3 2 7 2 5" xfId="1316" xr:uid="{00000000-0005-0000-0000-00001C050000}"/>
    <cellStyle name="Background 2 2 3 2 7 2 6" xfId="1317" xr:uid="{00000000-0005-0000-0000-00001D050000}"/>
    <cellStyle name="Background 2 2 3 2 7 3" xfId="1318" xr:uid="{00000000-0005-0000-0000-00001E050000}"/>
    <cellStyle name="Background 2 2 3 2 7 4" xfId="1319" xr:uid="{00000000-0005-0000-0000-00001F050000}"/>
    <cellStyle name="Background 2 2 3 2 7 5" xfId="1320" xr:uid="{00000000-0005-0000-0000-000020050000}"/>
    <cellStyle name="Background 2 2 3 2 8" xfId="1321" xr:uid="{00000000-0005-0000-0000-000021050000}"/>
    <cellStyle name="Background 2 2 3 2 8 2" xfId="1322" xr:uid="{00000000-0005-0000-0000-000022050000}"/>
    <cellStyle name="Background 2 2 3 2 8 2 2" xfId="1323" xr:uid="{00000000-0005-0000-0000-000023050000}"/>
    <cellStyle name="Background 2 2 3 2 8 2 3" xfId="1324" xr:uid="{00000000-0005-0000-0000-000024050000}"/>
    <cellStyle name="Background 2 2 3 2 8 2 4" xfId="1325" xr:uid="{00000000-0005-0000-0000-000025050000}"/>
    <cellStyle name="Background 2 2 3 2 8 2 5" xfId="1326" xr:uid="{00000000-0005-0000-0000-000026050000}"/>
    <cellStyle name="Background 2 2 3 2 8 2 6" xfId="1327" xr:uid="{00000000-0005-0000-0000-000027050000}"/>
    <cellStyle name="Background 2 2 3 2 8 3" xfId="1328" xr:uid="{00000000-0005-0000-0000-000028050000}"/>
    <cellStyle name="Background 2 2 3 2 8 4" xfId="1329" xr:uid="{00000000-0005-0000-0000-000029050000}"/>
    <cellStyle name="Background 2 2 3 2 8 5" xfId="1330" xr:uid="{00000000-0005-0000-0000-00002A050000}"/>
    <cellStyle name="Background 2 2 3 2 9" xfId="1331" xr:uid="{00000000-0005-0000-0000-00002B050000}"/>
    <cellStyle name="Background 2 2 3 2 9 2" xfId="1332" xr:uid="{00000000-0005-0000-0000-00002C050000}"/>
    <cellStyle name="Background 2 2 3 2 9 3" xfId="1333" xr:uid="{00000000-0005-0000-0000-00002D050000}"/>
    <cellStyle name="Background 2 2 3 2 9 4" xfId="1334" xr:uid="{00000000-0005-0000-0000-00002E050000}"/>
    <cellStyle name="Background 2 2 3 2 9 5" xfId="1335" xr:uid="{00000000-0005-0000-0000-00002F050000}"/>
    <cellStyle name="Background 2 2 3 2 9 6" xfId="1336" xr:uid="{00000000-0005-0000-0000-000030050000}"/>
    <cellStyle name="Background 2 2 3 3" xfId="1337" xr:uid="{00000000-0005-0000-0000-000031050000}"/>
    <cellStyle name="Background 2 2 3 3 2" xfId="1338" xr:uid="{00000000-0005-0000-0000-000032050000}"/>
    <cellStyle name="Background 2 2 3 3 2 2" xfId="1339" xr:uid="{00000000-0005-0000-0000-000033050000}"/>
    <cellStyle name="Background 2 2 3 3 2 2 2" xfId="1340" xr:uid="{00000000-0005-0000-0000-000034050000}"/>
    <cellStyle name="Background 2 2 3 3 2 2 3" xfId="1341" xr:uid="{00000000-0005-0000-0000-000035050000}"/>
    <cellStyle name="Background 2 2 3 3 2 2 4" xfId="1342" xr:uid="{00000000-0005-0000-0000-000036050000}"/>
    <cellStyle name="Background 2 2 3 3 2 2 5" xfId="1343" xr:uid="{00000000-0005-0000-0000-000037050000}"/>
    <cellStyle name="Background 2 2 3 3 2 2 6" xfId="1344" xr:uid="{00000000-0005-0000-0000-000038050000}"/>
    <cellStyle name="Background 2 2 3 3 2 3" xfId="1345" xr:uid="{00000000-0005-0000-0000-000039050000}"/>
    <cellStyle name="Background 2 2 3 3 2 4" xfId="1346" xr:uid="{00000000-0005-0000-0000-00003A050000}"/>
    <cellStyle name="Background 2 2 3 3 2 5" xfId="1347" xr:uid="{00000000-0005-0000-0000-00003B050000}"/>
    <cellStyle name="Background 2 2 3 3 3" xfId="1348" xr:uid="{00000000-0005-0000-0000-00003C050000}"/>
    <cellStyle name="Background 2 2 3 3 3 2" xfId="1349" xr:uid="{00000000-0005-0000-0000-00003D050000}"/>
    <cellStyle name="Background 2 2 3 3 3 2 2" xfId="1350" xr:uid="{00000000-0005-0000-0000-00003E050000}"/>
    <cellStyle name="Background 2 2 3 3 3 2 3" xfId="1351" xr:uid="{00000000-0005-0000-0000-00003F050000}"/>
    <cellStyle name="Background 2 2 3 3 3 2 4" xfId="1352" xr:uid="{00000000-0005-0000-0000-000040050000}"/>
    <cellStyle name="Background 2 2 3 3 3 2 5" xfId="1353" xr:uid="{00000000-0005-0000-0000-000041050000}"/>
    <cellStyle name="Background 2 2 3 3 3 2 6" xfId="1354" xr:uid="{00000000-0005-0000-0000-000042050000}"/>
    <cellStyle name="Background 2 2 3 3 3 3" xfId="1355" xr:uid="{00000000-0005-0000-0000-000043050000}"/>
    <cellStyle name="Background 2 2 3 3 3 4" xfId="1356" xr:uid="{00000000-0005-0000-0000-000044050000}"/>
    <cellStyle name="Background 2 2 3 3 3 5" xfId="1357" xr:uid="{00000000-0005-0000-0000-000045050000}"/>
    <cellStyle name="Background 2 2 3 3 4" xfId="1358" xr:uid="{00000000-0005-0000-0000-000046050000}"/>
    <cellStyle name="Background 2 2 3 3 4 2" xfId="1359" xr:uid="{00000000-0005-0000-0000-000047050000}"/>
    <cellStyle name="Background 2 2 3 3 4 3" xfId="1360" xr:uid="{00000000-0005-0000-0000-000048050000}"/>
    <cellStyle name="Background 2 2 3 3 4 4" xfId="1361" xr:uid="{00000000-0005-0000-0000-000049050000}"/>
    <cellStyle name="Background 2 2 3 3 4 5" xfId="1362" xr:uid="{00000000-0005-0000-0000-00004A050000}"/>
    <cellStyle name="Background 2 2 3 3 4 6" xfId="1363" xr:uid="{00000000-0005-0000-0000-00004B050000}"/>
    <cellStyle name="Background 2 2 3 3 5" xfId="1364" xr:uid="{00000000-0005-0000-0000-00004C050000}"/>
    <cellStyle name="Background 2 2 3 3 6" xfId="1365" xr:uid="{00000000-0005-0000-0000-00004D050000}"/>
    <cellStyle name="Background 2 2 3 3 7" xfId="1366" xr:uid="{00000000-0005-0000-0000-00004E050000}"/>
    <cellStyle name="Background 2 2 3 4" xfId="1367" xr:uid="{00000000-0005-0000-0000-00004F050000}"/>
    <cellStyle name="Background 2 2 3 4 2" xfId="1368" xr:uid="{00000000-0005-0000-0000-000050050000}"/>
    <cellStyle name="Background 2 2 3 4 2 2" xfId="1369" xr:uid="{00000000-0005-0000-0000-000051050000}"/>
    <cellStyle name="Background 2 2 3 4 2 2 2" xfId="1370" xr:uid="{00000000-0005-0000-0000-000052050000}"/>
    <cellStyle name="Background 2 2 3 4 2 2 3" xfId="1371" xr:uid="{00000000-0005-0000-0000-000053050000}"/>
    <cellStyle name="Background 2 2 3 4 2 2 4" xfId="1372" xr:uid="{00000000-0005-0000-0000-000054050000}"/>
    <cellStyle name="Background 2 2 3 4 2 2 5" xfId="1373" xr:uid="{00000000-0005-0000-0000-000055050000}"/>
    <cellStyle name="Background 2 2 3 4 2 2 6" xfId="1374" xr:uid="{00000000-0005-0000-0000-000056050000}"/>
    <cellStyle name="Background 2 2 3 4 2 3" xfId="1375" xr:uid="{00000000-0005-0000-0000-000057050000}"/>
    <cellStyle name="Background 2 2 3 4 2 4" xfId="1376" xr:uid="{00000000-0005-0000-0000-000058050000}"/>
    <cellStyle name="Background 2 2 3 4 2 5" xfId="1377" xr:uid="{00000000-0005-0000-0000-000059050000}"/>
    <cellStyle name="Background 2 2 3 4 3" xfId="1378" xr:uid="{00000000-0005-0000-0000-00005A050000}"/>
    <cellStyle name="Background 2 2 3 4 3 2" xfId="1379" xr:uid="{00000000-0005-0000-0000-00005B050000}"/>
    <cellStyle name="Background 2 2 3 4 3 2 2" xfId="1380" xr:uid="{00000000-0005-0000-0000-00005C050000}"/>
    <cellStyle name="Background 2 2 3 4 3 2 3" xfId="1381" xr:uid="{00000000-0005-0000-0000-00005D050000}"/>
    <cellStyle name="Background 2 2 3 4 3 2 4" xfId="1382" xr:uid="{00000000-0005-0000-0000-00005E050000}"/>
    <cellStyle name="Background 2 2 3 4 3 2 5" xfId="1383" xr:uid="{00000000-0005-0000-0000-00005F050000}"/>
    <cellStyle name="Background 2 2 3 4 3 2 6" xfId="1384" xr:uid="{00000000-0005-0000-0000-000060050000}"/>
    <cellStyle name="Background 2 2 3 4 3 3" xfId="1385" xr:uid="{00000000-0005-0000-0000-000061050000}"/>
    <cellStyle name="Background 2 2 3 4 3 4" xfId="1386" xr:uid="{00000000-0005-0000-0000-000062050000}"/>
    <cellStyle name="Background 2 2 3 4 3 5" xfId="1387" xr:uid="{00000000-0005-0000-0000-000063050000}"/>
    <cellStyle name="Background 2 2 3 4 4" xfId="1388" xr:uid="{00000000-0005-0000-0000-000064050000}"/>
    <cellStyle name="Background 2 2 3 4 4 2" xfId="1389" xr:uid="{00000000-0005-0000-0000-000065050000}"/>
    <cellStyle name="Background 2 2 3 4 4 3" xfId="1390" xr:uid="{00000000-0005-0000-0000-000066050000}"/>
    <cellStyle name="Background 2 2 3 4 4 4" xfId="1391" xr:uid="{00000000-0005-0000-0000-000067050000}"/>
    <cellStyle name="Background 2 2 3 4 4 5" xfId="1392" xr:uid="{00000000-0005-0000-0000-000068050000}"/>
    <cellStyle name="Background 2 2 3 4 4 6" xfId="1393" xr:uid="{00000000-0005-0000-0000-000069050000}"/>
    <cellStyle name="Background 2 2 3 4 5" xfId="1394" xr:uid="{00000000-0005-0000-0000-00006A050000}"/>
    <cellStyle name="Background 2 2 3 4 6" xfId="1395" xr:uid="{00000000-0005-0000-0000-00006B050000}"/>
    <cellStyle name="Background 2 2 3 4 7" xfId="1396" xr:uid="{00000000-0005-0000-0000-00006C050000}"/>
    <cellStyle name="Background 2 2 3 5" xfId="1397" xr:uid="{00000000-0005-0000-0000-00006D050000}"/>
    <cellStyle name="Background 2 2 3 5 2" xfId="1398" xr:uid="{00000000-0005-0000-0000-00006E050000}"/>
    <cellStyle name="Background 2 2 3 5 2 2" xfId="1399" xr:uid="{00000000-0005-0000-0000-00006F050000}"/>
    <cellStyle name="Background 2 2 3 5 2 2 2" xfId="1400" xr:uid="{00000000-0005-0000-0000-000070050000}"/>
    <cellStyle name="Background 2 2 3 5 2 2 3" xfId="1401" xr:uid="{00000000-0005-0000-0000-000071050000}"/>
    <cellStyle name="Background 2 2 3 5 2 2 4" xfId="1402" xr:uid="{00000000-0005-0000-0000-000072050000}"/>
    <cellStyle name="Background 2 2 3 5 2 2 5" xfId="1403" xr:uid="{00000000-0005-0000-0000-000073050000}"/>
    <cellStyle name="Background 2 2 3 5 2 2 6" xfId="1404" xr:uid="{00000000-0005-0000-0000-000074050000}"/>
    <cellStyle name="Background 2 2 3 5 2 3" xfId="1405" xr:uid="{00000000-0005-0000-0000-000075050000}"/>
    <cellStyle name="Background 2 2 3 5 2 4" xfId="1406" xr:uid="{00000000-0005-0000-0000-000076050000}"/>
    <cellStyle name="Background 2 2 3 5 2 5" xfId="1407" xr:uid="{00000000-0005-0000-0000-000077050000}"/>
    <cellStyle name="Background 2 2 3 5 3" xfId="1408" xr:uid="{00000000-0005-0000-0000-000078050000}"/>
    <cellStyle name="Background 2 2 3 5 3 2" xfId="1409" xr:uid="{00000000-0005-0000-0000-000079050000}"/>
    <cellStyle name="Background 2 2 3 5 3 2 2" xfId="1410" xr:uid="{00000000-0005-0000-0000-00007A050000}"/>
    <cellStyle name="Background 2 2 3 5 3 2 3" xfId="1411" xr:uid="{00000000-0005-0000-0000-00007B050000}"/>
    <cellStyle name="Background 2 2 3 5 3 2 4" xfId="1412" xr:uid="{00000000-0005-0000-0000-00007C050000}"/>
    <cellStyle name="Background 2 2 3 5 3 2 5" xfId="1413" xr:uid="{00000000-0005-0000-0000-00007D050000}"/>
    <cellStyle name="Background 2 2 3 5 3 2 6" xfId="1414" xr:uid="{00000000-0005-0000-0000-00007E050000}"/>
    <cellStyle name="Background 2 2 3 5 3 3" xfId="1415" xr:uid="{00000000-0005-0000-0000-00007F050000}"/>
    <cellStyle name="Background 2 2 3 5 3 4" xfId="1416" xr:uid="{00000000-0005-0000-0000-000080050000}"/>
    <cellStyle name="Background 2 2 3 5 3 5" xfId="1417" xr:uid="{00000000-0005-0000-0000-000081050000}"/>
    <cellStyle name="Background 2 2 3 5 4" xfId="1418" xr:uid="{00000000-0005-0000-0000-000082050000}"/>
    <cellStyle name="Background 2 2 3 5 4 2" xfId="1419" xr:uid="{00000000-0005-0000-0000-000083050000}"/>
    <cellStyle name="Background 2 2 3 5 4 3" xfId="1420" xr:uid="{00000000-0005-0000-0000-000084050000}"/>
    <cellStyle name="Background 2 2 3 5 4 4" xfId="1421" xr:uid="{00000000-0005-0000-0000-000085050000}"/>
    <cellStyle name="Background 2 2 3 5 4 5" xfId="1422" xr:uid="{00000000-0005-0000-0000-000086050000}"/>
    <cellStyle name="Background 2 2 3 5 4 6" xfId="1423" xr:uid="{00000000-0005-0000-0000-000087050000}"/>
    <cellStyle name="Background 2 2 3 5 5" xfId="1424" xr:uid="{00000000-0005-0000-0000-000088050000}"/>
    <cellStyle name="Background 2 2 3 5 6" xfId="1425" xr:uid="{00000000-0005-0000-0000-000089050000}"/>
    <cellStyle name="Background 2 2 3 5 7" xfId="1426" xr:uid="{00000000-0005-0000-0000-00008A050000}"/>
    <cellStyle name="Background 2 2 3 6" xfId="1427" xr:uid="{00000000-0005-0000-0000-00008B050000}"/>
    <cellStyle name="Background 2 2 3 6 2" xfId="1428" xr:uid="{00000000-0005-0000-0000-00008C050000}"/>
    <cellStyle name="Background 2 2 3 6 2 2" xfId="1429" xr:uid="{00000000-0005-0000-0000-00008D050000}"/>
    <cellStyle name="Background 2 2 3 6 2 2 2" xfId="1430" xr:uid="{00000000-0005-0000-0000-00008E050000}"/>
    <cellStyle name="Background 2 2 3 6 2 2 3" xfId="1431" xr:uid="{00000000-0005-0000-0000-00008F050000}"/>
    <cellStyle name="Background 2 2 3 6 2 2 4" xfId="1432" xr:uid="{00000000-0005-0000-0000-000090050000}"/>
    <cellStyle name="Background 2 2 3 6 2 2 5" xfId="1433" xr:uid="{00000000-0005-0000-0000-000091050000}"/>
    <cellStyle name="Background 2 2 3 6 2 2 6" xfId="1434" xr:uid="{00000000-0005-0000-0000-000092050000}"/>
    <cellStyle name="Background 2 2 3 6 2 3" xfId="1435" xr:uid="{00000000-0005-0000-0000-000093050000}"/>
    <cellStyle name="Background 2 2 3 6 2 4" xfId="1436" xr:uid="{00000000-0005-0000-0000-000094050000}"/>
    <cellStyle name="Background 2 2 3 6 2 5" xfId="1437" xr:uid="{00000000-0005-0000-0000-000095050000}"/>
    <cellStyle name="Background 2 2 3 6 3" xfId="1438" xr:uid="{00000000-0005-0000-0000-000096050000}"/>
    <cellStyle name="Background 2 2 3 6 3 2" xfId="1439" xr:uid="{00000000-0005-0000-0000-000097050000}"/>
    <cellStyle name="Background 2 2 3 6 3 2 2" xfId="1440" xr:uid="{00000000-0005-0000-0000-000098050000}"/>
    <cellStyle name="Background 2 2 3 6 3 2 3" xfId="1441" xr:uid="{00000000-0005-0000-0000-000099050000}"/>
    <cellStyle name="Background 2 2 3 6 3 2 4" xfId="1442" xr:uid="{00000000-0005-0000-0000-00009A050000}"/>
    <cellStyle name="Background 2 2 3 6 3 2 5" xfId="1443" xr:uid="{00000000-0005-0000-0000-00009B050000}"/>
    <cellStyle name="Background 2 2 3 6 3 2 6" xfId="1444" xr:uid="{00000000-0005-0000-0000-00009C050000}"/>
    <cellStyle name="Background 2 2 3 6 3 3" xfId="1445" xr:uid="{00000000-0005-0000-0000-00009D050000}"/>
    <cellStyle name="Background 2 2 3 6 3 4" xfId="1446" xr:uid="{00000000-0005-0000-0000-00009E050000}"/>
    <cellStyle name="Background 2 2 3 6 3 5" xfId="1447" xr:uid="{00000000-0005-0000-0000-00009F050000}"/>
    <cellStyle name="Background 2 2 3 6 4" xfId="1448" xr:uid="{00000000-0005-0000-0000-0000A0050000}"/>
    <cellStyle name="Background 2 2 3 6 4 2" xfId="1449" xr:uid="{00000000-0005-0000-0000-0000A1050000}"/>
    <cellStyle name="Background 2 2 3 6 4 3" xfId="1450" xr:uid="{00000000-0005-0000-0000-0000A2050000}"/>
    <cellStyle name="Background 2 2 3 6 4 4" xfId="1451" xr:uid="{00000000-0005-0000-0000-0000A3050000}"/>
    <cellStyle name="Background 2 2 3 6 4 5" xfId="1452" xr:uid="{00000000-0005-0000-0000-0000A4050000}"/>
    <cellStyle name="Background 2 2 3 6 4 6" xfId="1453" xr:uid="{00000000-0005-0000-0000-0000A5050000}"/>
    <cellStyle name="Background 2 2 3 6 5" xfId="1454" xr:uid="{00000000-0005-0000-0000-0000A6050000}"/>
    <cellStyle name="Background 2 2 3 6 6" xfId="1455" xr:uid="{00000000-0005-0000-0000-0000A7050000}"/>
    <cellStyle name="Background 2 2 3 6 7" xfId="1456" xr:uid="{00000000-0005-0000-0000-0000A8050000}"/>
    <cellStyle name="Background 2 2 3 7" xfId="1457" xr:uid="{00000000-0005-0000-0000-0000A9050000}"/>
    <cellStyle name="Background 2 2 3 7 2" xfId="1458" xr:uid="{00000000-0005-0000-0000-0000AA050000}"/>
    <cellStyle name="Background 2 2 3 7 2 2" xfId="1459" xr:uid="{00000000-0005-0000-0000-0000AB050000}"/>
    <cellStyle name="Background 2 2 3 7 2 2 2" xfId="1460" xr:uid="{00000000-0005-0000-0000-0000AC050000}"/>
    <cellStyle name="Background 2 2 3 7 2 2 3" xfId="1461" xr:uid="{00000000-0005-0000-0000-0000AD050000}"/>
    <cellStyle name="Background 2 2 3 7 2 2 4" xfId="1462" xr:uid="{00000000-0005-0000-0000-0000AE050000}"/>
    <cellStyle name="Background 2 2 3 7 2 2 5" xfId="1463" xr:uid="{00000000-0005-0000-0000-0000AF050000}"/>
    <cellStyle name="Background 2 2 3 7 2 2 6" xfId="1464" xr:uid="{00000000-0005-0000-0000-0000B0050000}"/>
    <cellStyle name="Background 2 2 3 7 2 3" xfId="1465" xr:uid="{00000000-0005-0000-0000-0000B1050000}"/>
    <cellStyle name="Background 2 2 3 7 2 4" xfId="1466" xr:uid="{00000000-0005-0000-0000-0000B2050000}"/>
    <cellStyle name="Background 2 2 3 7 2 5" xfId="1467" xr:uid="{00000000-0005-0000-0000-0000B3050000}"/>
    <cellStyle name="Background 2 2 3 7 3" xfId="1468" xr:uid="{00000000-0005-0000-0000-0000B4050000}"/>
    <cellStyle name="Background 2 2 3 7 3 2" xfId="1469" xr:uid="{00000000-0005-0000-0000-0000B5050000}"/>
    <cellStyle name="Background 2 2 3 7 3 2 2" xfId="1470" xr:uid="{00000000-0005-0000-0000-0000B6050000}"/>
    <cellStyle name="Background 2 2 3 7 3 2 3" xfId="1471" xr:uid="{00000000-0005-0000-0000-0000B7050000}"/>
    <cellStyle name="Background 2 2 3 7 3 2 4" xfId="1472" xr:uid="{00000000-0005-0000-0000-0000B8050000}"/>
    <cellStyle name="Background 2 2 3 7 3 2 5" xfId="1473" xr:uid="{00000000-0005-0000-0000-0000B9050000}"/>
    <cellStyle name="Background 2 2 3 7 3 2 6" xfId="1474" xr:uid="{00000000-0005-0000-0000-0000BA050000}"/>
    <cellStyle name="Background 2 2 3 7 3 3" xfId="1475" xr:uid="{00000000-0005-0000-0000-0000BB050000}"/>
    <cellStyle name="Background 2 2 3 7 3 4" xfId="1476" xr:uid="{00000000-0005-0000-0000-0000BC050000}"/>
    <cellStyle name="Background 2 2 3 7 3 5" xfId="1477" xr:uid="{00000000-0005-0000-0000-0000BD050000}"/>
    <cellStyle name="Background 2 2 3 7 4" xfId="1478" xr:uid="{00000000-0005-0000-0000-0000BE050000}"/>
    <cellStyle name="Background 2 2 3 7 4 2" xfId="1479" xr:uid="{00000000-0005-0000-0000-0000BF050000}"/>
    <cellStyle name="Background 2 2 3 7 4 3" xfId="1480" xr:uid="{00000000-0005-0000-0000-0000C0050000}"/>
    <cellStyle name="Background 2 2 3 7 4 4" xfId="1481" xr:uid="{00000000-0005-0000-0000-0000C1050000}"/>
    <cellStyle name="Background 2 2 3 7 4 5" xfId="1482" xr:uid="{00000000-0005-0000-0000-0000C2050000}"/>
    <cellStyle name="Background 2 2 3 7 4 6" xfId="1483" xr:uid="{00000000-0005-0000-0000-0000C3050000}"/>
    <cellStyle name="Background 2 2 3 7 5" xfId="1484" xr:uid="{00000000-0005-0000-0000-0000C4050000}"/>
    <cellStyle name="Background 2 2 3 7 6" xfId="1485" xr:uid="{00000000-0005-0000-0000-0000C5050000}"/>
    <cellStyle name="Background 2 2 3 7 7" xfId="1486" xr:uid="{00000000-0005-0000-0000-0000C6050000}"/>
    <cellStyle name="Background 2 2 3 8" xfId="1487" xr:uid="{00000000-0005-0000-0000-0000C7050000}"/>
    <cellStyle name="Background 2 2 3 8 2" xfId="1488" xr:uid="{00000000-0005-0000-0000-0000C8050000}"/>
    <cellStyle name="Background 2 2 3 8 2 2" xfId="1489" xr:uid="{00000000-0005-0000-0000-0000C9050000}"/>
    <cellStyle name="Background 2 2 3 8 2 3" xfId="1490" xr:uid="{00000000-0005-0000-0000-0000CA050000}"/>
    <cellStyle name="Background 2 2 3 8 2 4" xfId="1491" xr:uid="{00000000-0005-0000-0000-0000CB050000}"/>
    <cellStyle name="Background 2 2 3 8 2 5" xfId="1492" xr:uid="{00000000-0005-0000-0000-0000CC050000}"/>
    <cellStyle name="Background 2 2 3 8 2 6" xfId="1493" xr:uid="{00000000-0005-0000-0000-0000CD050000}"/>
    <cellStyle name="Background 2 2 3 8 3" xfId="1494" xr:uid="{00000000-0005-0000-0000-0000CE050000}"/>
    <cellStyle name="Background 2 2 3 8 4" xfId="1495" xr:uid="{00000000-0005-0000-0000-0000CF050000}"/>
    <cellStyle name="Background 2 2 3 8 5" xfId="1496" xr:uid="{00000000-0005-0000-0000-0000D0050000}"/>
    <cellStyle name="Background 2 2 3 9" xfId="1497" xr:uid="{00000000-0005-0000-0000-0000D1050000}"/>
    <cellStyle name="Background 2 2 3 9 2" xfId="1498" xr:uid="{00000000-0005-0000-0000-0000D2050000}"/>
    <cellStyle name="Background 2 2 3 9 2 2" xfId="1499" xr:uid="{00000000-0005-0000-0000-0000D3050000}"/>
    <cellStyle name="Background 2 2 3 9 2 3" xfId="1500" xr:uid="{00000000-0005-0000-0000-0000D4050000}"/>
    <cellStyle name="Background 2 2 3 9 2 4" xfId="1501" xr:uid="{00000000-0005-0000-0000-0000D5050000}"/>
    <cellStyle name="Background 2 2 3 9 2 5" xfId="1502" xr:uid="{00000000-0005-0000-0000-0000D6050000}"/>
    <cellStyle name="Background 2 2 3 9 2 6" xfId="1503" xr:uid="{00000000-0005-0000-0000-0000D7050000}"/>
    <cellStyle name="Background 2 2 3 9 3" xfId="1504" xr:uid="{00000000-0005-0000-0000-0000D8050000}"/>
    <cellStyle name="Background 2 2 3 9 4" xfId="1505" xr:uid="{00000000-0005-0000-0000-0000D9050000}"/>
    <cellStyle name="Background 2 2 3 9 5" xfId="1506" xr:uid="{00000000-0005-0000-0000-0000DA050000}"/>
    <cellStyle name="Background 2 2 4" xfId="1507" xr:uid="{00000000-0005-0000-0000-0000DB050000}"/>
    <cellStyle name="Background 2 2 4 10" xfId="1508" xr:uid="{00000000-0005-0000-0000-0000DC050000}"/>
    <cellStyle name="Background 2 2 4 11" xfId="1509" xr:uid="{00000000-0005-0000-0000-0000DD050000}"/>
    <cellStyle name="Background 2 2 4 12" xfId="1510" xr:uid="{00000000-0005-0000-0000-0000DE050000}"/>
    <cellStyle name="Background 2 2 4 2" xfId="1511" xr:uid="{00000000-0005-0000-0000-0000DF050000}"/>
    <cellStyle name="Background 2 2 4 2 2" xfId="1512" xr:uid="{00000000-0005-0000-0000-0000E0050000}"/>
    <cellStyle name="Background 2 2 4 2 2 2" xfId="1513" xr:uid="{00000000-0005-0000-0000-0000E1050000}"/>
    <cellStyle name="Background 2 2 4 2 2 2 2" xfId="1514" xr:uid="{00000000-0005-0000-0000-0000E2050000}"/>
    <cellStyle name="Background 2 2 4 2 2 2 3" xfId="1515" xr:uid="{00000000-0005-0000-0000-0000E3050000}"/>
    <cellStyle name="Background 2 2 4 2 2 2 4" xfId="1516" xr:uid="{00000000-0005-0000-0000-0000E4050000}"/>
    <cellStyle name="Background 2 2 4 2 2 2 5" xfId="1517" xr:uid="{00000000-0005-0000-0000-0000E5050000}"/>
    <cellStyle name="Background 2 2 4 2 2 2 6" xfId="1518" xr:uid="{00000000-0005-0000-0000-0000E6050000}"/>
    <cellStyle name="Background 2 2 4 2 2 3" xfId="1519" xr:uid="{00000000-0005-0000-0000-0000E7050000}"/>
    <cellStyle name="Background 2 2 4 2 2 4" xfId="1520" xr:uid="{00000000-0005-0000-0000-0000E8050000}"/>
    <cellStyle name="Background 2 2 4 2 2 5" xfId="1521" xr:uid="{00000000-0005-0000-0000-0000E9050000}"/>
    <cellStyle name="Background 2 2 4 2 3" xfId="1522" xr:uid="{00000000-0005-0000-0000-0000EA050000}"/>
    <cellStyle name="Background 2 2 4 2 3 2" xfId="1523" xr:uid="{00000000-0005-0000-0000-0000EB050000}"/>
    <cellStyle name="Background 2 2 4 2 3 2 2" xfId="1524" xr:uid="{00000000-0005-0000-0000-0000EC050000}"/>
    <cellStyle name="Background 2 2 4 2 3 2 3" xfId="1525" xr:uid="{00000000-0005-0000-0000-0000ED050000}"/>
    <cellStyle name="Background 2 2 4 2 3 2 4" xfId="1526" xr:uid="{00000000-0005-0000-0000-0000EE050000}"/>
    <cellStyle name="Background 2 2 4 2 3 2 5" xfId="1527" xr:uid="{00000000-0005-0000-0000-0000EF050000}"/>
    <cellStyle name="Background 2 2 4 2 3 2 6" xfId="1528" xr:uid="{00000000-0005-0000-0000-0000F0050000}"/>
    <cellStyle name="Background 2 2 4 2 3 3" xfId="1529" xr:uid="{00000000-0005-0000-0000-0000F1050000}"/>
    <cellStyle name="Background 2 2 4 2 3 4" xfId="1530" xr:uid="{00000000-0005-0000-0000-0000F2050000}"/>
    <cellStyle name="Background 2 2 4 2 3 5" xfId="1531" xr:uid="{00000000-0005-0000-0000-0000F3050000}"/>
    <cellStyle name="Background 2 2 4 2 4" xfId="1532" xr:uid="{00000000-0005-0000-0000-0000F4050000}"/>
    <cellStyle name="Background 2 2 4 2 4 2" xfId="1533" xr:uid="{00000000-0005-0000-0000-0000F5050000}"/>
    <cellStyle name="Background 2 2 4 2 4 3" xfId="1534" xr:uid="{00000000-0005-0000-0000-0000F6050000}"/>
    <cellStyle name="Background 2 2 4 2 4 4" xfId="1535" xr:uid="{00000000-0005-0000-0000-0000F7050000}"/>
    <cellStyle name="Background 2 2 4 2 4 5" xfId="1536" xr:uid="{00000000-0005-0000-0000-0000F8050000}"/>
    <cellStyle name="Background 2 2 4 2 4 6" xfId="1537" xr:uid="{00000000-0005-0000-0000-0000F9050000}"/>
    <cellStyle name="Background 2 2 4 2 5" xfId="1538" xr:uid="{00000000-0005-0000-0000-0000FA050000}"/>
    <cellStyle name="Background 2 2 4 2 6" xfId="1539" xr:uid="{00000000-0005-0000-0000-0000FB050000}"/>
    <cellStyle name="Background 2 2 4 2 7" xfId="1540" xr:uid="{00000000-0005-0000-0000-0000FC050000}"/>
    <cellStyle name="Background 2 2 4 3" xfId="1541" xr:uid="{00000000-0005-0000-0000-0000FD050000}"/>
    <cellStyle name="Background 2 2 4 3 2" xfId="1542" xr:uid="{00000000-0005-0000-0000-0000FE050000}"/>
    <cellStyle name="Background 2 2 4 3 2 2" xfId="1543" xr:uid="{00000000-0005-0000-0000-0000FF050000}"/>
    <cellStyle name="Background 2 2 4 3 2 2 2" xfId="1544" xr:uid="{00000000-0005-0000-0000-000000060000}"/>
    <cellStyle name="Background 2 2 4 3 2 2 3" xfId="1545" xr:uid="{00000000-0005-0000-0000-000001060000}"/>
    <cellStyle name="Background 2 2 4 3 2 2 4" xfId="1546" xr:uid="{00000000-0005-0000-0000-000002060000}"/>
    <cellStyle name="Background 2 2 4 3 2 2 5" xfId="1547" xr:uid="{00000000-0005-0000-0000-000003060000}"/>
    <cellStyle name="Background 2 2 4 3 2 2 6" xfId="1548" xr:uid="{00000000-0005-0000-0000-000004060000}"/>
    <cellStyle name="Background 2 2 4 3 2 3" xfId="1549" xr:uid="{00000000-0005-0000-0000-000005060000}"/>
    <cellStyle name="Background 2 2 4 3 2 4" xfId="1550" xr:uid="{00000000-0005-0000-0000-000006060000}"/>
    <cellStyle name="Background 2 2 4 3 2 5" xfId="1551" xr:uid="{00000000-0005-0000-0000-000007060000}"/>
    <cellStyle name="Background 2 2 4 3 3" xfId="1552" xr:uid="{00000000-0005-0000-0000-000008060000}"/>
    <cellStyle name="Background 2 2 4 3 3 2" xfId="1553" xr:uid="{00000000-0005-0000-0000-000009060000}"/>
    <cellStyle name="Background 2 2 4 3 3 2 2" xfId="1554" xr:uid="{00000000-0005-0000-0000-00000A060000}"/>
    <cellStyle name="Background 2 2 4 3 3 2 3" xfId="1555" xr:uid="{00000000-0005-0000-0000-00000B060000}"/>
    <cellStyle name="Background 2 2 4 3 3 2 4" xfId="1556" xr:uid="{00000000-0005-0000-0000-00000C060000}"/>
    <cellStyle name="Background 2 2 4 3 3 2 5" xfId="1557" xr:uid="{00000000-0005-0000-0000-00000D060000}"/>
    <cellStyle name="Background 2 2 4 3 3 2 6" xfId="1558" xr:uid="{00000000-0005-0000-0000-00000E060000}"/>
    <cellStyle name="Background 2 2 4 3 3 3" xfId="1559" xr:uid="{00000000-0005-0000-0000-00000F060000}"/>
    <cellStyle name="Background 2 2 4 3 3 4" xfId="1560" xr:uid="{00000000-0005-0000-0000-000010060000}"/>
    <cellStyle name="Background 2 2 4 3 3 5" xfId="1561" xr:uid="{00000000-0005-0000-0000-000011060000}"/>
    <cellStyle name="Background 2 2 4 3 4" xfId="1562" xr:uid="{00000000-0005-0000-0000-000012060000}"/>
    <cellStyle name="Background 2 2 4 3 4 2" xfId="1563" xr:uid="{00000000-0005-0000-0000-000013060000}"/>
    <cellStyle name="Background 2 2 4 3 4 3" xfId="1564" xr:uid="{00000000-0005-0000-0000-000014060000}"/>
    <cellStyle name="Background 2 2 4 3 4 4" xfId="1565" xr:uid="{00000000-0005-0000-0000-000015060000}"/>
    <cellStyle name="Background 2 2 4 3 4 5" xfId="1566" xr:uid="{00000000-0005-0000-0000-000016060000}"/>
    <cellStyle name="Background 2 2 4 3 4 6" xfId="1567" xr:uid="{00000000-0005-0000-0000-000017060000}"/>
    <cellStyle name="Background 2 2 4 3 5" xfId="1568" xr:uid="{00000000-0005-0000-0000-000018060000}"/>
    <cellStyle name="Background 2 2 4 3 6" xfId="1569" xr:uid="{00000000-0005-0000-0000-000019060000}"/>
    <cellStyle name="Background 2 2 4 3 7" xfId="1570" xr:uid="{00000000-0005-0000-0000-00001A060000}"/>
    <cellStyle name="Background 2 2 4 4" xfId="1571" xr:uid="{00000000-0005-0000-0000-00001B060000}"/>
    <cellStyle name="Background 2 2 4 4 2" xfId="1572" xr:uid="{00000000-0005-0000-0000-00001C060000}"/>
    <cellStyle name="Background 2 2 4 4 2 2" xfId="1573" xr:uid="{00000000-0005-0000-0000-00001D060000}"/>
    <cellStyle name="Background 2 2 4 4 2 2 2" xfId="1574" xr:uid="{00000000-0005-0000-0000-00001E060000}"/>
    <cellStyle name="Background 2 2 4 4 2 2 3" xfId="1575" xr:uid="{00000000-0005-0000-0000-00001F060000}"/>
    <cellStyle name="Background 2 2 4 4 2 2 4" xfId="1576" xr:uid="{00000000-0005-0000-0000-000020060000}"/>
    <cellStyle name="Background 2 2 4 4 2 2 5" xfId="1577" xr:uid="{00000000-0005-0000-0000-000021060000}"/>
    <cellStyle name="Background 2 2 4 4 2 2 6" xfId="1578" xr:uid="{00000000-0005-0000-0000-000022060000}"/>
    <cellStyle name="Background 2 2 4 4 2 3" xfId="1579" xr:uid="{00000000-0005-0000-0000-000023060000}"/>
    <cellStyle name="Background 2 2 4 4 2 4" xfId="1580" xr:uid="{00000000-0005-0000-0000-000024060000}"/>
    <cellStyle name="Background 2 2 4 4 2 5" xfId="1581" xr:uid="{00000000-0005-0000-0000-000025060000}"/>
    <cellStyle name="Background 2 2 4 4 3" xfId="1582" xr:uid="{00000000-0005-0000-0000-000026060000}"/>
    <cellStyle name="Background 2 2 4 4 3 2" xfId="1583" xr:uid="{00000000-0005-0000-0000-000027060000}"/>
    <cellStyle name="Background 2 2 4 4 3 2 2" xfId="1584" xr:uid="{00000000-0005-0000-0000-000028060000}"/>
    <cellStyle name="Background 2 2 4 4 3 2 3" xfId="1585" xr:uid="{00000000-0005-0000-0000-000029060000}"/>
    <cellStyle name="Background 2 2 4 4 3 2 4" xfId="1586" xr:uid="{00000000-0005-0000-0000-00002A060000}"/>
    <cellStyle name="Background 2 2 4 4 3 2 5" xfId="1587" xr:uid="{00000000-0005-0000-0000-00002B060000}"/>
    <cellStyle name="Background 2 2 4 4 3 2 6" xfId="1588" xr:uid="{00000000-0005-0000-0000-00002C060000}"/>
    <cellStyle name="Background 2 2 4 4 3 3" xfId="1589" xr:uid="{00000000-0005-0000-0000-00002D060000}"/>
    <cellStyle name="Background 2 2 4 4 3 4" xfId="1590" xr:uid="{00000000-0005-0000-0000-00002E060000}"/>
    <cellStyle name="Background 2 2 4 4 3 5" xfId="1591" xr:uid="{00000000-0005-0000-0000-00002F060000}"/>
    <cellStyle name="Background 2 2 4 4 4" xfId="1592" xr:uid="{00000000-0005-0000-0000-000030060000}"/>
    <cellStyle name="Background 2 2 4 4 4 2" xfId="1593" xr:uid="{00000000-0005-0000-0000-000031060000}"/>
    <cellStyle name="Background 2 2 4 4 4 3" xfId="1594" xr:uid="{00000000-0005-0000-0000-000032060000}"/>
    <cellStyle name="Background 2 2 4 4 4 4" xfId="1595" xr:uid="{00000000-0005-0000-0000-000033060000}"/>
    <cellStyle name="Background 2 2 4 4 4 5" xfId="1596" xr:uid="{00000000-0005-0000-0000-000034060000}"/>
    <cellStyle name="Background 2 2 4 4 4 6" xfId="1597" xr:uid="{00000000-0005-0000-0000-000035060000}"/>
    <cellStyle name="Background 2 2 4 4 5" xfId="1598" xr:uid="{00000000-0005-0000-0000-000036060000}"/>
    <cellStyle name="Background 2 2 4 4 6" xfId="1599" xr:uid="{00000000-0005-0000-0000-000037060000}"/>
    <cellStyle name="Background 2 2 4 4 7" xfId="1600" xr:uid="{00000000-0005-0000-0000-000038060000}"/>
    <cellStyle name="Background 2 2 4 5" xfId="1601" xr:uid="{00000000-0005-0000-0000-000039060000}"/>
    <cellStyle name="Background 2 2 4 5 2" xfId="1602" xr:uid="{00000000-0005-0000-0000-00003A060000}"/>
    <cellStyle name="Background 2 2 4 5 2 2" xfId="1603" xr:uid="{00000000-0005-0000-0000-00003B060000}"/>
    <cellStyle name="Background 2 2 4 5 2 2 2" xfId="1604" xr:uid="{00000000-0005-0000-0000-00003C060000}"/>
    <cellStyle name="Background 2 2 4 5 2 2 3" xfId="1605" xr:uid="{00000000-0005-0000-0000-00003D060000}"/>
    <cellStyle name="Background 2 2 4 5 2 2 4" xfId="1606" xr:uid="{00000000-0005-0000-0000-00003E060000}"/>
    <cellStyle name="Background 2 2 4 5 2 2 5" xfId="1607" xr:uid="{00000000-0005-0000-0000-00003F060000}"/>
    <cellStyle name="Background 2 2 4 5 2 2 6" xfId="1608" xr:uid="{00000000-0005-0000-0000-000040060000}"/>
    <cellStyle name="Background 2 2 4 5 2 3" xfId="1609" xr:uid="{00000000-0005-0000-0000-000041060000}"/>
    <cellStyle name="Background 2 2 4 5 2 4" xfId="1610" xr:uid="{00000000-0005-0000-0000-000042060000}"/>
    <cellStyle name="Background 2 2 4 5 2 5" xfId="1611" xr:uid="{00000000-0005-0000-0000-000043060000}"/>
    <cellStyle name="Background 2 2 4 5 3" xfId="1612" xr:uid="{00000000-0005-0000-0000-000044060000}"/>
    <cellStyle name="Background 2 2 4 5 3 2" xfId="1613" xr:uid="{00000000-0005-0000-0000-000045060000}"/>
    <cellStyle name="Background 2 2 4 5 3 2 2" xfId="1614" xr:uid="{00000000-0005-0000-0000-000046060000}"/>
    <cellStyle name="Background 2 2 4 5 3 2 3" xfId="1615" xr:uid="{00000000-0005-0000-0000-000047060000}"/>
    <cellStyle name="Background 2 2 4 5 3 2 4" xfId="1616" xr:uid="{00000000-0005-0000-0000-000048060000}"/>
    <cellStyle name="Background 2 2 4 5 3 2 5" xfId="1617" xr:uid="{00000000-0005-0000-0000-000049060000}"/>
    <cellStyle name="Background 2 2 4 5 3 2 6" xfId="1618" xr:uid="{00000000-0005-0000-0000-00004A060000}"/>
    <cellStyle name="Background 2 2 4 5 3 3" xfId="1619" xr:uid="{00000000-0005-0000-0000-00004B060000}"/>
    <cellStyle name="Background 2 2 4 5 3 4" xfId="1620" xr:uid="{00000000-0005-0000-0000-00004C060000}"/>
    <cellStyle name="Background 2 2 4 5 3 5" xfId="1621" xr:uid="{00000000-0005-0000-0000-00004D060000}"/>
    <cellStyle name="Background 2 2 4 5 4" xfId="1622" xr:uid="{00000000-0005-0000-0000-00004E060000}"/>
    <cellStyle name="Background 2 2 4 5 4 2" xfId="1623" xr:uid="{00000000-0005-0000-0000-00004F060000}"/>
    <cellStyle name="Background 2 2 4 5 4 3" xfId="1624" xr:uid="{00000000-0005-0000-0000-000050060000}"/>
    <cellStyle name="Background 2 2 4 5 4 4" xfId="1625" xr:uid="{00000000-0005-0000-0000-000051060000}"/>
    <cellStyle name="Background 2 2 4 5 4 5" xfId="1626" xr:uid="{00000000-0005-0000-0000-000052060000}"/>
    <cellStyle name="Background 2 2 4 5 4 6" xfId="1627" xr:uid="{00000000-0005-0000-0000-000053060000}"/>
    <cellStyle name="Background 2 2 4 5 5" xfId="1628" xr:uid="{00000000-0005-0000-0000-000054060000}"/>
    <cellStyle name="Background 2 2 4 5 6" xfId="1629" xr:uid="{00000000-0005-0000-0000-000055060000}"/>
    <cellStyle name="Background 2 2 4 5 7" xfId="1630" xr:uid="{00000000-0005-0000-0000-000056060000}"/>
    <cellStyle name="Background 2 2 4 6" xfId="1631" xr:uid="{00000000-0005-0000-0000-000057060000}"/>
    <cellStyle name="Background 2 2 4 6 2" xfId="1632" xr:uid="{00000000-0005-0000-0000-000058060000}"/>
    <cellStyle name="Background 2 2 4 6 2 2" xfId="1633" xr:uid="{00000000-0005-0000-0000-000059060000}"/>
    <cellStyle name="Background 2 2 4 6 2 2 2" xfId="1634" xr:uid="{00000000-0005-0000-0000-00005A060000}"/>
    <cellStyle name="Background 2 2 4 6 2 2 3" xfId="1635" xr:uid="{00000000-0005-0000-0000-00005B060000}"/>
    <cellStyle name="Background 2 2 4 6 2 2 4" xfId="1636" xr:uid="{00000000-0005-0000-0000-00005C060000}"/>
    <cellStyle name="Background 2 2 4 6 2 2 5" xfId="1637" xr:uid="{00000000-0005-0000-0000-00005D060000}"/>
    <cellStyle name="Background 2 2 4 6 2 2 6" xfId="1638" xr:uid="{00000000-0005-0000-0000-00005E060000}"/>
    <cellStyle name="Background 2 2 4 6 2 3" xfId="1639" xr:uid="{00000000-0005-0000-0000-00005F060000}"/>
    <cellStyle name="Background 2 2 4 6 2 4" xfId="1640" xr:uid="{00000000-0005-0000-0000-000060060000}"/>
    <cellStyle name="Background 2 2 4 6 2 5" xfId="1641" xr:uid="{00000000-0005-0000-0000-000061060000}"/>
    <cellStyle name="Background 2 2 4 6 3" xfId="1642" xr:uid="{00000000-0005-0000-0000-000062060000}"/>
    <cellStyle name="Background 2 2 4 6 3 2" xfId="1643" xr:uid="{00000000-0005-0000-0000-000063060000}"/>
    <cellStyle name="Background 2 2 4 6 3 2 2" xfId="1644" xr:uid="{00000000-0005-0000-0000-000064060000}"/>
    <cellStyle name="Background 2 2 4 6 3 2 3" xfId="1645" xr:uid="{00000000-0005-0000-0000-000065060000}"/>
    <cellStyle name="Background 2 2 4 6 3 2 4" xfId="1646" xr:uid="{00000000-0005-0000-0000-000066060000}"/>
    <cellStyle name="Background 2 2 4 6 3 2 5" xfId="1647" xr:uid="{00000000-0005-0000-0000-000067060000}"/>
    <cellStyle name="Background 2 2 4 6 3 2 6" xfId="1648" xr:uid="{00000000-0005-0000-0000-000068060000}"/>
    <cellStyle name="Background 2 2 4 6 3 3" xfId="1649" xr:uid="{00000000-0005-0000-0000-000069060000}"/>
    <cellStyle name="Background 2 2 4 6 3 4" xfId="1650" xr:uid="{00000000-0005-0000-0000-00006A060000}"/>
    <cellStyle name="Background 2 2 4 6 3 5" xfId="1651" xr:uid="{00000000-0005-0000-0000-00006B060000}"/>
    <cellStyle name="Background 2 2 4 6 4" xfId="1652" xr:uid="{00000000-0005-0000-0000-00006C060000}"/>
    <cellStyle name="Background 2 2 4 6 4 2" xfId="1653" xr:uid="{00000000-0005-0000-0000-00006D060000}"/>
    <cellStyle name="Background 2 2 4 6 4 3" xfId="1654" xr:uid="{00000000-0005-0000-0000-00006E060000}"/>
    <cellStyle name="Background 2 2 4 6 4 4" xfId="1655" xr:uid="{00000000-0005-0000-0000-00006F060000}"/>
    <cellStyle name="Background 2 2 4 6 4 5" xfId="1656" xr:uid="{00000000-0005-0000-0000-000070060000}"/>
    <cellStyle name="Background 2 2 4 6 4 6" xfId="1657" xr:uid="{00000000-0005-0000-0000-000071060000}"/>
    <cellStyle name="Background 2 2 4 6 5" xfId="1658" xr:uid="{00000000-0005-0000-0000-000072060000}"/>
    <cellStyle name="Background 2 2 4 6 6" xfId="1659" xr:uid="{00000000-0005-0000-0000-000073060000}"/>
    <cellStyle name="Background 2 2 4 6 7" xfId="1660" xr:uid="{00000000-0005-0000-0000-000074060000}"/>
    <cellStyle name="Background 2 2 4 7" xfId="1661" xr:uid="{00000000-0005-0000-0000-000075060000}"/>
    <cellStyle name="Background 2 2 4 7 2" xfId="1662" xr:uid="{00000000-0005-0000-0000-000076060000}"/>
    <cellStyle name="Background 2 2 4 7 2 2" xfId="1663" xr:uid="{00000000-0005-0000-0000-000077060000}"/>
    <cellStyle name="Background 2 2 4 7 2 3" xfId="1664" xr:uid="{00000000-0005-0000-0000-000078060000}"/>
    <cellStyle name="Background 2 2 4 7 2 4" xfId="1665" xr:uid="{00000000-0005-0000-0000-000079060000}"/>
    <cellStyle name="Background 2 2 4 7 2 5" xfId="1666" xr:uid="{00000000-0005-0000-0000-00007A060000}"/>
    <cellStyle name="Background 2 2 4 7 2 6" xfId="1667" xr:uid="{00000000-0005-0000-0000-00007B060000}"/>
    <cellStyle name="Background 2 2 4 7 3" xfId="1668" xr:uid="{00000000-0005-0000-0000-00007C060000}"/>
    <cellStyle name="Background 2 2 4 7 4" xfId="1669" xr:uid="{00000000-0005-0000-0000-00007D060000}"/>
    <cellStyle name="Background 2 2 4 7 5" xfId="1670" xr:uid="{00000000-0005-0000-0000-00007E060000}"/>
    <cellStyle name="Background 2 2 4 8" xfId="1671" xr:uid="{00000000-0005-0000-0000-00007F060000}"/>
    <cellStyle name="Background 2 2 4 8 2" xfId="1672" xr:uid="{00000000-0005-0000-0000-000080060000}"/>
    <cellStyle name="Background 2 2 4 8 2 2" xfId="1673" xr:uid="{00000000-0005-0000-0000-000081060000}"/>
    <cellStyle name="Background 2 2 4 8 2 3" xfId="1674" xr:uid="{00000000-0005-0000-0000-000082060000}"/>
    <cellStyle name="Background 2 2 4 8 2 4" xfId="1675" xr:uid="{00000000-0005-0000-0000-000083060000}"/>
    <cellStyle name="Background 2 2 4 8 2 5" xfId="1676" xr:uid="{00000000-0005-0000-0000-000084060000}"/>
    <cellStyle name="Background 2 2 4 8 2 6" xfId="1677" xr:uid="{00000000-0005-0000-0000-000085060000}"/>
    <cellStyle name="Background 2 2 4 8 3" xfId="1678" xr:uid="{00000000-0005-0000-0000-000086060000}"/>
    <cellStyle name="Background 2 2 4 8 4" xfId="1679" xr:uid="{00000000-0005-0000-0000-000087060000}"/>
    <cellStyle name="Background 2 2 4 8 5" xfId="1680" xr:uid="{00000000-0005-0000-0000-000088060000}"/>
    <cellStyle name="Background 2 2 4 9" xfId="1681" xr:uid="{00000000-0005-0000-0000-000089060000}"/>
    <cellStyle name="Background 2 2 4 9 2" xfId="1682" xr:uid="{00000000-0005-0000-0000-00008A060000}"/>
    <cellStyle name="Background 2 2 4 9 3" xfId="1683" xr:uid="{00000000-0005-0000-0000-00008B060000}"/>
    <cellStyle name="Background 2 2 4 9 4" xfId="1684" xr:uid="{00000000-0005-0000-0000-00008C060000}"/>
    <cellStyle name="Background 2 2 4 9 5" xfId="1685" xr:uid="{00000000-0005-0000-0000-00008D060000}"/>
    <cellStyle name="Background 2 2 4 9 6" xfId="1686" xr:uid="{00000000-0005-0000-0000-00008E060000}"/>
    <cellStyle name="Background 2 2 5" xfId="1687" xr:uid="{00000000-0005-0000-0000-00008F060000}"/>
    <cellStyle name="Background 2 2 5 2" xfId="1688" xr:uid="{00000000-0005-0000-0000-000090060000}"/>
    <cellStyle name="Background 2 2 5 2 2" xfId="1689" xr:uid="{00000000-0005-0000-0000-000091060000}"/>
    <cellStyle name="Background 2 2 5 2 2 2" xfId="1690" xr:uid="{00000000-0005-0000-0000-000092060000}"/>
    <cellStyle name="Background 2 2 5 2 2 3" xfId="1691" xr:uid="{00000000-0005-0000-0000-000093060000}"/>
    <cellStyle name="Background 2 2 5 2 2 4" xfId="1692" xr:uid="{00000000-0005-0000-0000-000094060000}"/>
    <cellStyle name="Background 2 2 5 2 2 5" xfId="1693" xr:uid="{00000000-0005-0000-0000-000095060000}"/>
    <cellStyle name="Background 2 2 5 2 2 6" xfId="1694" xr:uid="{00000000-0005-0000-0000-000096060000}"/>
    <cellStyle name="Background 2 2 5 2 3" xfId="1695" xr:uid="{00000000-0005-0000-0000-000097060000}"/>
    <cellStyle name="Background 2 2 5 2 4" xfId="1696" xr:uid="{00000000-0005-0000-0000-000098060000}"/>
    <cellStyle name="Background 2 2 5 2 5" xfId="1697" xr:uid="{00000000-0005-0000-0000-000099060000}"/>
    <cellStyle name="Background 2 2 5 3" xfId="1698" xr:uid="{00000000-0005-0000-0000-00009A060000}"/>
    <cellStyle name="Background 2 2 5 3 2" xfId="1699" xr:uid="{00000000-0005-0000-0000-00009B060000}"/>
    <cellStyle name="Background 2 2 5 3 2 2" xfId="1700" xr:uid="{00000000-0005-0000-0000-00009C060000}"/>
    <cellStyle name="Background 2 2 5 3 2 3" xfId="1701" xr:uid="{00000000-0005-0000-0000-00009D060000}"/>
    <cellStyle name="Background 2 2 5 3 2 4" xfId="1702" xr:uid="{00000000-0005-0000-0000-00009E060000}"/>
    <cellStyle name="Background 2 2 5 3 2 5" xfId="1703" xr:uid="{00000000-0005-0000-0000-00009F060000}"/>
    <cellStyle name="Background 2 2 5 3 2 6" xfId="1704" xr:uid="{00000000-0005-0000-0000-0000A0060000}"/>
    <cellStyle name="Background 2 2 5 3 3" xfId="1705" xr:uid="{00000000-0005-0000-0000-0000A1060000}"/>
    <cellStyle name="Background 2 2 5 3 4" xfId="1706" xr:uid="{00000000-0005-0000-0000-0000A2060000}"/>
    <cellStyle name="Background 2 2 5 3 5" xfId="1707" xr:uid="{00000000-0005-0000-0000-0000A3060000}"/>
    <cellStyle name="Background 2 2 5 4" xfId="1708" xr:uid="{00000000-0005-0000-0000-0000A4060000}"/>
    <cellStyle name="Background 2 2 5 4 2" xfId="1709" xr:uid="{00000000-0005-0000-0000-0000A5060000}"/>
    <cellStyle name="Background 2 2 5 4 3" xfId="1710" xr:uid="{00000000-0005-0000-0000-0000A6060000}"/>
    <cellStyle name="Background 2 2 5 4 4" xfId="1711" xr:uid="{00000000-0005-0000-0000-0000A7060000}"/>
    <cellStyle name="Background 2 2 5 4 5" xfId="1712" xr:uid="{00000000-0005-0000-0000-0000A8060000}"/>
    <cellStyle name="Background 2 2 5 4 6" xfId="1713" xr:uid="{00000000-0005-0000-0000-0000A9060000}"/>
    <cellStyle name="Background 2 2 5 5" xfId="1714" xr:uid="{00000000-0005-0000-0000-0000AA060000}"/>
    <cellStyle name="Background 2 2 5 6" xfId="1715" xr:uid="{00000000-0005-0000-0000-0000AB060000}"/>
    <cellStyle name="Background 2 2 5 7" xfId="1716" xr:uid="{00000000-0005-0000-0000-0000AC060000}"/>
    <cellStyle name="Background 2 2 6" xfId="1717" xr:uid="{00000000-0005-0000-0000-0000AD060000}"/>
    <cellStyle name="Background 2 2 6 2" xfId="1718" xr:uid="{00000000-0005-0000-0000-0000AE060000}"/>
    <cellStyle name="Background 2 2 6 2 2" xfId="1719" xr:uid="{00000000-0005-0000-0000-0000AF060000}"/>
    <cellStyle name="Background 2 2 6 2 2 2" xfId="1720" xr:uid="{00000000-0005-0000-0000-0000B0060000}"/>
    <cellStyle name="Background 2 2 6 2 2 3" xfId="1721" xr:uid="{00000000-0005-0000-0000-0000B1060000}"/>
    <cellStyle name="Background 2 2 6 2 2 4" xfId="1722" xr:uid="{00000000-0005-0000-0000-0000B2060000}"/>
    <cellStyle name="Background 2 2 6 2 2 5" xfId="1723" xr:uid="{00000000-0005-0000-0000-0000B3060000}"/>
    <cellStyle name="Background 2 2 6 2 2 6" xfId="1724" xr:uid="{00000000-0005-0000-0000-0000B4060000}"/>
    <cellStyle name="Background 2 2 6 2 3" xfId="1725" xr:uid="{00000000-0005-0000-0000-0000B5060000}"/>
    <cellStyle name="Background 2 2 6 2 4" xfId="1726" xr:uid="{00000000-0005-0000-0000-0000B6060000}"/>
    <cellStyle name="Background 2 2 6 2 5" xfId="1727" xr:uid="{00000000-0005-0000-0000-0000B7060000}"/>
    <cellStyle name="Background 2 2 6 3" xfId="1728" xr:uid="{00000000-0005-0000-0000-0000B8060000}"/>
    <cellStyle name="Background 2 2 6 3 2" xfId="1729" xr:uid="{00000000-0005-0000-0000-0000B9060000}"/>
    <cellStyle name="Background 2 2 6 3 2 2" xfId="1730" xr:uid="{00000000-0005-0000-0000-0000BA060000}"/>
    <cellStyle name="Background 2 2 6 3 2 3" xfId="1731" xr:uid="{00000000-0005-0000-0000-0000BB060000}"/>
    <cellStyle name="Background 2 2 6 3 2 4" xfId="1732" xr:uid="{00000000-0005-0000-0000-0000BC060000}"/>
    <cellStyle name="Background 2 2 6 3 2 5" xfId="1733" xr:uid="{00000000-0005-0000-0000-0000BD060000}"/>
    <cellStyle name="Background 2 2 6 3 2 6" xfId="1734" xr:uid="{00000000-0005-0000-0000-0000BE060000}"/>
    <cellStyle name="Background 2 2 6 3 3" xfId="1735" xr:uid="{00000000-0005-0000-0000-0000BF060000}"/>
    <cellStyle name="Background 2 2 6 3 4" xfId="1736" xr:uid="{00000000-0005-0000-0000-0000C0060000}"/>
    <cellStyle name="Background 2 2 6 3 5" xfId="1737" xr:uid="{00000000-0005-0000-0000-0000C1060000}"/>
    <cellStyle name="Background 2 2 6 4" xfId="1738" xr:uid="{00000000-0005-0000-0000-0000C2060000}"/>
    <cellStyle name="Background 2 2 6 4 2" xfId="1739" xr:uid="{00000000-0005-0000-0000-0000C3060000}"/>
    <cellStyle name="Background 2 2 6 4 3" xfId="1740" xr:uid="{00000000-0005-0000-0000-0000C4060000}"/>
    <cellStyle name="Background 2 2 6 4 4" xfId="1741" xr:uid="{00000000-0005-0000-0000-0000C5060000}"/>
    <cellStyle name="Background 2 2 6 4 5" xfId="1742" xr:uid="{00000000-0005-0000-0000-0000C6060000}"/>
    <cellStyle name="Background 2 2 6 4 6" xfId="1743" xr:uid="{00000000-0005-0000-0000-0000C7060000}"/>
    <cellStyle name="Background 2 2 6 5" xfId="1744" xr:uid="{00000000-0005-0000-0000-0000C8060000}"/>
    <cellStyle name="Background 2 2 6 6" xfId="1745" xr:uid="{00000000-0005-0000-0000-0000C9060000}"/>
    <cellStyle name="Background 2 2 6 7" xfId="1746" xr:uid="{00000000-0005-0000-0000-0000CA060000}"/>
    <cellStyle name="Background 2 2 7" xfId="1747" xr:uid="{00000000-0005-0000-0000-0000CB060000}"/>
    <cellStyle name="Background 2 2 7 2" xfId="1748" xr:uid="{00000000-0005-0000-0000-0000CC060000}"/>
    <cellStyle name="Background 2 2 7 2 2" xfId="1749" xr:uid="{00000000-0005-0000-0000-0000CD060000}"/>
    <cellStyle name="Background 2 2 7 2 2 2" xfId="1750" xr:uid="{00000000-0005-0000-0000-0000CE060000}"/>
    <cellStyle name="Background 2 2 7 2 2 3" xfId="1751" xr:uid="{00000000-0005-0000-0000-0000CF060000}"/>
    <cellStyle name="Background 2 2 7 2 2 4" xfId="1752" xr:uid="{00000000-0005-0000-0000-0000D0060000}"/>
    <cellStyle name="Background 2 2 7 2 2 5" xfId="1753" xr:uid="{00000000-0005-0000-0000-0000D1060000}"/>
    <cellStyle name="Background 2 2 7 2 2 6" xfId="1754" xr:uid="{00000000-0005-0000-0000-0000D2060000}"/>
    <cellStyle name="Background 2 2 7 2 3" xfId="1755" xr:uid="{00000000-0005-0000-0000-0000D3060000}"/>
    <cellStyle name="Background 2 2 7 2 4" xfId="1756" xr:uid="{00000000-0005-0000-0000-0000D4060000}"/>
    <cellStyle name="Background 2 2 7 2 5" xfId="1757" xr:uid="{00000000-0005-0000-0000-0000D5060000}"/>
    <cellStyle name="Background 2 2 7 3" xfId="1758" xr:uid="{00000000-0005-0000-0000-0000D6060000}"/>
    <cellStyle name="Background 2 2 7 3 2" xfId="1759" xr:uid="{00000000-0005-0000-0000-0000D7060000}"/>
    <cellStyle name="Background 2 2 7 3 2 2" xfId="1760" xr:uid="{00000000-0005-0000-0000-0000D8060000}"/>
    <cellStyle name="Background 2 2 7 3 2 3" xfId="1761" xr:uid="{00000000-0005-0000-0000-0000D9060000}"/>
    <cellStyle name="Background 2 2 7 3 2 4" xfId="1762" xr:uid="{00000000-0005-0000-0000-0000DA060000}"/>
    <cellStyle name="Background 2 2 7 3 2 5" xfId="1763" xr:uid="{00000000-0005-0000-0000-0000DB060000}"/>
    <cellStyle name="Background 2 2 7 3 2 6" xfId="1764" xr:uid="{00000000-0005-0000-0000-0000DC060000}"/>
    <cellStyle name="Background 2 2 7 3 3" xfId="1765" xr:uid="{00000000-0005-0000-0000-0000DD060000}"/>
    <cellStyle name="Background 2 2 7 3 4" xfId="1766" xr:uid="{00000000-0005-0000-0000-0000DE060000}"/>
    <cellStyle name="Background 2 2 7 3 5" xfId="1767" xr:uid="{00000000-0005-0000-0000-0000DF060000}"/>
    <cellStyle name="Background 2 2 7 4" xfId="1768" xr:uid="{00000000-0005-0000-0000-0000E0060000}"/>
    <cellStyle name="Background 2 2 7 4 2" xfId="1769" xr:uid="{00000000-0005-0000-0000-0000E1060000}"/>
    <cellStyle name="Background 2 2 7 4 3" xfId="1770" xr:uid="{00000000-0005-0000-0000-0000E2060000}"/>
    <cellStyle name="Background 2 2 7 4 4" xfId="1771" xr:uid="{00000000-0005-0000-0000-0000E3060000}"/>
    <cellStyle name="Background 2 2 7 4 5" xfId="1772" xr:uid="{00000000-0005-0000-0000-0000E4060000}"/>
    <cellStyle name="Background 2 2 7 4 6" xfId="1773" xr:uid="{00000000-0005-0000-0000-0000E5060000}"/>
    <cellStyle name="Background 2 2 7 5" xfId="1774" xr:uid="{00000000-0005-0000-0000-0000E6060000}"/>
    <cellStyle name="Background 2 2 7 6" xfId="1775" xr:uid="{00000000-0005-0000-0000-0000E7060000}"/>
    <cellStyle name="Background 2 2 7 7" xfId="1776" xr:uid="{00000000-0005-0000-0000-0000E8060000}"/>
    <cellStyle name="Background 2 2 8" xfId="1777" xr:uid="{00000000-0005-0000-0000-0000E9060000}"/>
    <cellStyle name="Background 2 2 8 2" xfId="1778" xr:uid="{00000000-0005-0000-0000-0000EA060000}"/>
    <cellStyle name="Background 2 2 8 2 2" xfId="1779" xr:uid="{00000000-0005-0000-0000-0000EB060000}"/>
    <cellStyle name="Background 2 2 8 2 3" xfId="1780" xr:uid="{00000000-0005-0000-0000-0000EC060000}"/>
    <cellStyle name="Background 2 2 8 2 4" xfId="1781" xr:uid="{00000000-0005-0000-0000-0000ED060000}"/>
    <cellStyle name="Background 2 2 8 2 5" xfId="1782" xr:uid="{00000000-0005-0000-0000-0000EE060000}"/>
    <cellStyle name="Background 2 2 8 2 6" xfId="1783" xr:uid="{00000000-0005-0000-0000-0000EF060000}"/>
    <cellStyle name="Background 2 2 8 3" xfId="1784" xr:uid="{00000000-0005-0000-0000-0000F0060000}"/>
    <cellStyle name="Background 2 2 8 4" xfId="1785" xr:uid="{00000000-0005-0000-0000-0000F1060000}"/>
    <cellStyle name="Background 2 2 8 5" xfId="1786" xr:uid="{00000000-0005-0000-0000-0000F2060000}"/>
    <cellStyle name="Background 2 2 9" xfId="1787" xr:uid="{00000000-0005-0000-0000-0000F3060000}"/>
    <cellStyle name="Background 2 2 9 2" xfId="1788" xr:uid="{00000000-0005-0000-0000-0000F4060000}"/>
    <cellStyle name="Background 2 2 9 2 2" xfId="1789" xr:uid="{00000000-0005-0000-0000-0000F5060000}"/>
    <cellStyle name="Background 2 2 9 2 3" xfId="1790" xr:uid="{00000000-0005-0000-0000-0000F6060000}"/>
    <cellStyle name="Background 2 2 9 2 4" xfId="1791" xr:uid="{00000000-0005-0000-0000-0000F7060000}"/>
    <cellStyle name="Background 2 2 9 2 5" xfId="1792" xr:uid="{00000000-0005-0000-0000-0000F8060000}"/>
    <cellStyle name="Background 2 2 9 2 6" xfId="1793" xr:uid="{00000000-0005-0000-0000-0000F9060000}"/>
    <cellStyle name="Background 2 2 9 3" xfId="1794" xr:uid="{00000000-0005-0000-0000-0000FA060000}"/>
    <cellStyle name="Background 2 2 9 4" xfId="1795" xr:uid="{00000000-0005-0000-0000-0000FB060000}"/>
    <cellStyle name="Background 2 2 9 5" xfId="1796" xr:uid="{00000000-0005-0000-0000-0000FC060000}"/>
    <cellStyle name="Background 2 3" xfId="1797" xr:uid="{00000000-0005-0000-0000-0000FD060000}"/>
    <cellStyle name="Background 2 3 10" xfId="1798" xr:uid="{00000000-0005-0000-0000-0000FE060000}"/>
    <cellStyle name="Background 2 3 10 2" xfId="1799" xr:uid="{00000000-0005-0000-0000-0000FF060000}"/>
    <cellStyle name="Background 2 3 10 3" xfId="1800" xr:uid="{00000000-0005-0000-0000-000000070000}"/>
    <cellStyle name="Background 2 3 10 4" xfId="1801" xr:uid="{00000000-0005-0000-0000-000001070000}"/>
    <cellStyle name="Background 2 3 10 5" xfId="1802" xr:uid="{00000000-0005-0000-0000-000002070000}"/>
    <cellStyle name="Background 2 3 10 6" xfId="1803" xr:uid="{00000000-0005-0000-0000-000003070000}"/>
    <cellStyle name="Background 2 3 11" xfId="1804" xr:uid="{00000000-0005-0000-0000-000004070000}"/>
    <cellStyle name="Background 2 3 12" xfId="1805" xr:uid="{00000000-0005-0000-0000-000005070000}"/>
    <cellStyle name="Background 2 3 13" xfId="1806" xr:uid="{00000000-0005-0000-0000-000006070000}"/>
    <cellStyle name="Background 2 3 2" xfId="1807" xr:uid="{00000000-0005-0000-0000-000007070000}"/>
    <cellStyle name="Background 2 3 2 10" xfId="1808" xr:uid="{00000000-0005-0000-0000-000008070000}"/>
    <cellStyle name="Background 2 3 2 11" xfId="1809" xr:uid="{00000000-0005-0000-0000-000009070000}"/>
    <cellStyle name="Background 2 3 2 12" xfId="1810" xr:uid="{00000000-0005-0000-0000-00000A070000}"/>
    <cellStyle name="Background 2 3 2 2" xfId="1811" xr:uid="{00000000-0005-0000-0000-00000B070000}"/>
    <cellStyle name="Background 2 3 2 2 2" xfId="1812" xr:uid="{00000000-0005-0000-0000-00000C070000}"/>
    <cellStyle name="Background 2 3 2 2 2 2" xfId="1813" xr:uid="{00000000-0005-0000-0000-00000D070000}"/>
    <cellStyle name="Background 2 3 2 2 2 2 2" xfId="1814" xr:uid="{00000000-0005-0000-0000-00000E070000}"/>
    <cellStyle name="Background 2 3 2 2 2 2 3" xfId="1815" xr:uid="{00000000-0005-0000-0000-00000F070000}"/>
    <cellStyle name="Background 2 3 2 2 2 2 4" xfId="1816" xr:uid="{00000000-0005-0000-0000-000010070000}"/>
    <cellStyle name="Background 2 3 2 2 2 2 5" xfId="1817" xr:uid="{00000000-0005-0000-0000-000011070000}"/>
    <cellStyle name="Background 2 3 2 2 2 2 6" xfId="1818" xr:uid="{00000000-0005-0000-0000-000012070000}"/>
    <cellStyle name="Background 2 3 2 2 2 3" xfId="1819" xr:uid="{00000000-0005-0000-0000-000013070000}"/>
    <cellStyle name="Background 2 3 2 2 2 4" xfId="1820" xr:uid="{00000000-0005-0000-0000-000014070000}"/>
    <cellStyle name="Background 2 3 2 2 2 5" xfId="1821" xr:uid="{00000000-0005-0000-0000-000015070000}"/>
    <cellStyle name="Background 2 3 2 2 3" xfId="1822" xr:uid="{00000000-0005-0000-0000-000016070000}"/>
    <cellStyle name="Background 2 3 2 2 3 2" xfId="1823" xr:uid="{00000000-0005-0000-0000-000017070000}"/>
    <cellStyle name="Background 2 3 2 2 3 2 2" xfId="1824" xr:uid="{00000000-0005-0000-0000-000018070000}"/>
    <cellStyle name="Background 2 3 2 2 3 2 3" xfId="1825" xr:uid="{00000000-0005-0000-0000-000019070000}"/>
    <cellStyle name="Background 2 3 2 2 3 2 4" xfId="1826" xr:uid="{00000000-0005-0000-0000-00001A070000}"/>
    <cellStyle name="Background 2 3 2 2 3 2 5" xfId="1827" xr:uid="{00000000-0005-0000-0000-00001B070000}"/>
    <cellStyle name="Background 2 3 2 2 3 2 6" xfId="1828" xr:uid="{00000000-0005-0000-0000-00001C070000}"/>
    <cellStyle name="Background 2 3 2 2 3 3" xfId="1829" xr:uid="{00000000-0005-0000-0000-00001D070000}"/>
    <cellStyle name="Background 2 3 2 2 3 4" xfId="1830" xr:uid="{00000000-0005-0000-0000-00001E070000}"/>
    <cellStyle name="Background 2 3 2 2 3 5" xfId="1831" xr:uid="{00000000-0005-0000-0000-00001F070000}"/>
    <cellStyle name="Background 2 3 2 2 4" xfId="1832" xr:uid="{00000000-0005-0000-0000-000020070000}"/>
    <cellStyle name="Background 2 3 2 2 4 2" xfId="1833" xr:uid="{00000000-0005-0000-0000-000021070000}"/>
    <cellStyle name="Background 2 3 2 2 4 3" xfId="1834" xr:uid="{00000000-0005-0000-0000-000022070000}"/>
    <cellStyle name="Background 2 3 2 2 4 4" xfId="1835" xr:uid="{00000000-0005-0000-0000-000023070000}"/>
    <cellStyle name="Background 2 3 2 2 4 5" xfId="1836" xr:uid="{00000000-0005-0000-0000-000024070000}"/>
    <cellStyle name="Background 2 3 2 2 4 6" xfId="1837" xr:uid="{00000000-0005-0000-0000-000025070000}"/>
    <cellStyle name="Background 2 3 2 2 5" xfId="1838" xr:uid="{00000000-0005-0000-0000-000026070000}"/>
    <cellStyle name="Background 2 3 2 2 6" xfId="1839" xr:uid="{00000000-0005-0000-0000-000027070000}"/>
    <cellStyle name="Background 2 3 2 2 7" xfId="1840" xr:uid="{00000000-0005-0000-0000-000028070000}"/>
    <cellStyle name="Background 2 3 2 3" xfId="1841" xr:uid="{00000000-0005-0000-0000-000029070000}"/>
    <cellStyle name="Background 2 3 2 3 2" xfId="1842" xr:uid="{00000000-0005-0000-0000-00002A070000}"/>
    <cellStyle name="Background 2 3 2 3 2 2" xfId="1843" xr:uid="{00000000-0005-0000-0000-00002B070000}"/>
    <cellStyle name="Background 2 3 2 3 2 2 2" xfId="1844" xr:uid="{00000000-0005-0000-0000-00002C070000}"/>
    <cellStyle name="Background 2 3 2 3 2 2 3" xfId="1845" xr:uid="{00000000-0005-0000-0000-00002D070000}"/>
    <cellStyle name="Background 2 3 2 3 2 2 4" xfId="1846" xr:uid="{00000000-0005-0000-0000-00002E070000}"/>
    <cellStyle name="Background 2 3 2 3 2 2 5" xfId="1847" xr:uid="{00000000-0005-0000-0000-00002F070000}"/>
    <cellStyle name="Background 2 3 2 3 2 2 6" xfId="1848" xr:uid="{00000000-0005-0000-0000-000030070000}"/>
    <cellStyle name="Background 2 3 2 3 2 3" xfId="1849" xr:uid="{00000000-0005-0000-0000-000031070000}"/>
    <cellStyle name="Background 2 3 2 3 2 4" xfId="1850" xr:uid="{00000000-0005-0000-0000-000032070000}"/>
    <cellStyle name="Background 2 3 2 3 2 5" xfId="1851" xr:uid="{00000000-0005-0000-0000-000033070000}"/>
    <cellStyle name="Background 2 3 2 3 3" xfId="1852" xr:uid="{00000000-0005-0000-0000-000034070000}"/>
    <cellStyle name="Background 2 3 2 3 3 2" xfId="1853" xr:uid="{00000000-0005-0000-0000-000035070000}"/>
    <cellStyle name="Background 2 3 2 3 3 2 2" xfId="1854" xr:uid="{00000000-0005-0000-0000-000036070000}"/>
    <cellStyle name="Background 2 3 2 3 3 2 3" xfId="1855" xr:uid="{00000000-0005-0000-0000-000037070000}"/>
    <cellStyle name="Background 2 3 2 3 3 2 4" xfId="1856" xr:uid="{00000000-0005-0000-0000-000038070000}"/>
    <cellStyle name="Background 2 3 2 3 3 2 5" xfId="1857" xr:uid="{00000000-0005-0000-0000-000039070000}"/>
    <cellStyle name="Background 2 3 2 3 3 2 6" xfId="1858" xr:uid="{00000000-0005-0000-0000-00003A070000}"/>
    <cellStyle name="Background 2 3 2 3 3 3" xfId="1859" xr:uid="{00000000-0005-0000-0000-00003B070000}"/>
    <cellStyle name="Background 2 3 2 3 3 4" xfId="1860" xr:uid="{00000000-0005-0000-0000-00003C070000}"/>
    <cellStyle name="Background 2 3 2 3 3 5" xfId="1861" xr:uid="{00000000-0005-0000-0000-00003D070000}"/>
    <cellStyle name="Background 2 3 2 3 4" xfId="1862" xr:uid="{00000000-0005-0000-0000-00003E070000}"/>
    <cellStyle name="Background 2 3 2 3 4 2" xfId="1863" xr:uid="{00000000-0005-0000-0000-00003F070000}"/>
    <cellStyle name="Background 2 3 2 3 4 3" xfId="1864" xr:uid="{00000000-0005-0000-0000-000040070000}"/>
    <cellStyle name="Background 2 3 2 3 4 4" xfId="1865" xr:uid="{00000000-0005-0000-0000-000041070000}"/>
    <cellStyle name="Background 2 3 2 3 4 5" xfId="1866" xr:uid="{00000000-0005-0000-0000-000042070000}"/>
    <cellStyle name="Background 2 3 2 3 4 6" xfId="1867" xr:uid="{00000000-0005-0000-0000-000043070000}"/>
    <cellStyle name="Background 2 3 2 3 5" xfId="1868" xr:uid="{00000000-0005-0000-0000-000044070000}"/>
    <cellStyle name="Background 2 3 2 3 6" xfId="1869" xr:uid="{00000000-0005-0000-0000-000045070000}"/>
    <cellStyle name="Background 2 3 2 3 7" xfId="1870" xr:uid="{00000000-0005-0000-0000-000046070000}"/>
    <cellStyle name="Background 2 3 2 4" xfId="1871" xr:uid="{00000000-0005-0000-0000-000047070000}"/>
    <cellStyle name="Background 2 3 2 4 2" xfId="1872" xr:uid="{00000000-0005-0000-0000-000048070000}"/>
    <cellStyle name="Background 2 3 2 4 2 2" xfId="1873" xr:uid="{00000000-0005-0000-0000-000049070000}"/>
    <cellStyle name="Background 2 3 2 4 2 2 2" xfId="1874" xr:uid="{00000000-0005-0000-0000-00004A070000}"/>
    <cellStyle name="Background 2 3 2 4 2 2 3" xfId="1875" xr:uid="{00000000-0005-0000-0000-00004B070000}"/>
    <cellStyle name="Background 2 3 2 4 2 2 4" xfId="1876" xr:uid="{00000000-0005-0000-0000-00004C070000}"/>
    <cellStyle name="Background 2 3 2 4 2 2 5" xfId="1877" xr:uid="{00000000-0005-0000-0000-00004D070000}"/>
    <cellStyle name="Background 2 3 2 4 2 2 6" xfId="1878" xr:uid="{00000000-0005-0000-0000-00004E070000}"/>
    <cellStyle name="Background 2 3 2 4 2 3" xfId="1879" xr:uid="{00000000-0005-0000-0000-00004F070000}"/>
    <cellStyle name="Background 2 3 2 4 2 4" xfId="1880" xr:uid="{00000000-0005-0000-0000-000050070000}"/>
    <cellStyle name="Background 2 3 2 4 2 5" xfId="1881" xr:uid="{00000000-0005-0000-0000-000051070000}"/>
    <cellStyle name="Background 2 3 2 4 3" xfId="1882" xr:uid="{00000000-0005-0000-0000-000052070000}"/>
    <cellStyle name="Background 2 3 2 4 3 2" xfId="1883" xr:uid="{00000000-0005-0000-0000-000053070000}"/>
    <cellStyle name="Background 2 3 2 4 3 2 2" xfId="1884" xr:uid="{00000000-0005-0000-0000-000054070000}"/>
    <cellStyle name="Background 2 3 2 4 3 2 3" xfId="1885" xr:uid="{00000000-0005-0000-0000-000055070000}"/>
    <cellStyle name="Background 2 3 2 4 3 2 4" xfId="1886" xr:uid="{00000000-0005-0000-0000-000056070000}"/>
    <cellStyle name="Background 2 3 2 4 3 2 5" xfId="1887" xr:uid="{00000000-0005-0000-0000-000057070000}"/>
    <cellStyle name="Background 2 3 2 4 3 2 6" xfId="1888" xr:uid="{00000000-0005-0000-0000-000058070000}"/>
    <cellStyle name="Background 2 3 2 4 3 3" xfId="1889" xr:uid="{00000000-0005-0000-0000-000059070000}"/>
    <cellStyle name="Background 2 3 2 4 3 4" xfId="1890" xr:uid="{00000000-0005-0000-0000-00005A070000}"/>
    <cellStyle name="Background 2 3 2 4 3 5" xfId="1891" xr:uid="{00000000-0005-0000-0000-00005B070000}"/>
    <cellStyle name="Background 2 3 2 4 4" xfId="1892" xr:uid="{00000000-0005-0000-0000-00005C070000}"/>
    <cellStyle name="Background 2 3 2 4 4 2" xfId="1893" xr:uid="{00000000-0005-0000-0000-00005D070000}"/>
    <cellStyle name="Background 2 3 2 4 4 3" xfId="1894" xr:uid="{00000000-0005-0000-0000-00005E070000}"/>
    <cellStyle name="Background 2 3 2 4 4 4" xfId="1895" xr:uid="{00000000-0005-0000-0000-00005F070000}"/>
    <cellStyle name="Background 2 3 2 4 4 5" xfId="1896" xr:uid="{00000000-0005-0000-0000-000060070000}"/>
    <cellStyle name="Background 2 3 2 4 4 6" xfId="1897" xr:uid="{00000000-0005-0000-0000-000061070000}"/>
    <cellStyle name="Background 2 3 2 4 5" xfId="1898" xr:uid="{00000000-0005-0000-0000-000062070000}"/>
    <cellStyle name="Background 2 3 2 4 6" xfId="1899" xr:uid="{00000000-0005-0000-0000-000063070000}"/>
    <cellStyle name="Background 2 3 2 4 7" xfId="1900" xr:uid="{00000000-0005-0000-0000-000064070000}"/>
    <cellStyle name="Background 2 3 2 5" xfId="1901" xr:uid="{00000000-0005-0000-0000-000065070000}"/>
    <cellStyle name="Background 2 3 2 5 2" xfId="1902" xr:uid="{00000000-0005-0000-0000-000066070000}"/>
    <cellStyle name="Background 2 3 2 5 2 2" xfId="1903" xr:uid="{00000000-0005-0000-0000-000067070000}"/>
    <cellStyle name="Background 2 3 2 5 2 2 2" xfId="1904" xr:uid="{00000000-0005-0000-0000-000068070000}"/>
    <cellStyle name="Background 2 3 2 5 2 2 3" xfId="1905" xr:uid="{00000000-0005-0000-0000-000069070000}"/>
    <cellStyle name="Background 2 3 2 5 2 2 4" xfId="1906" xr:uid="{00000000-0005-0000-0000-00006A070000}"/>
    <cellStyle name="Background 2 3 2 5 2 2 5" xfId="1907" xr:uid="{00000000-0005-0000-0000-00006B070000}"/>
    <cellStyle name="Background 2 3 2 5 2 2 6" xfId="1908" xr:uid="{00000000-0005-0000-0000-00006C070000}"/>
    <cellStyle name="Background 2 3 2 5 2 3" xfId="1909" xr:uid="{00000000-0005-0000-0000-00006D070000}"/>
    <cellStyle name="Background 2 3 2 5 2 4" xfId="1910" xr:uid="{00000000-0005-0000-0000-00006E070000}"/>
    <cellStyle name="Background 2 3 2 5 2 5" xfId="1911" xr:uid="{00000000-0005-0000-0000-00006F070000}"/>
    <cellStyle name="Background 2 3 2 5 3" xfId="1912" xr:uid="{00000000-0005-0000-0000-000070070000}"/>
    <cellStyle name="Background 2 3 2 5 3 2" xfId="1913" xr:uid="{00000000-0005-0000-0000-000071070000}"/>
    <cellStyle name="Background 2 3 2 5 3 2 2" xfId="1914" xr:uid="{00000000-0005-0000-0000-000072070000}"/>
    <cellStyle name="Background 2 3 2 5 3 2 3" xfId="1915" xr:uid="{00000000-0005-0000-0000-000073070000}"/>
    <cellStyle name="Background 2 3 2 5 3 2 4" xfId="1916" xr:uid="{00000000-0005-0000-0000-000074070000}"/>
    <cellStyle name="Background 2 3 2 5 3 2 5" xfId="1917" xr:uid="{00000000-0005-0000-0000-000075070000}"/>
    <cellStyle name="Background 2 3 2 5 3 2 6" xfId="1918" xr:uid="{00000000-0005-0000-0000-000076070000}"/>
    <cellStyle name="Background 2 3 2 5 3 3" xfId="1919" xr:uid="{00000000-0005-0000-0000-000077070000}"/>
    <cellStyle name="Background 2 3 2 5 3 4" xfId="1920" xr:uid="{00000000-0005-0000-0000-000078070000}"/>
    <cellStyle name="Background 2 3 2 5 3 5" xfId="1921" xr:uid="{00000000-0005-0000-0000-000079070000}"/>
    <cellStyle name="Background 2 3 2 5 4" xfId="1922" xr:uid="{00000000-0005-0000-0000-00007A070000}"/>
    <cellStyle name="Background 2 3 2 5 4 2" xfId="1923" xr:uid="{00000000-0005-0000-0000-00007B070000}"/>
    <cellStyle name="Background 2 3 2 5 4 3" xfId="1924" xr:uid="{00000000-0005-0000-0000-00007C070000}"/>
    <cellStyle name="Background 2 3 2 5 4 4" xfId="1925" xr:uid="{00000000-0005-0000-0000-00007D070000}"/>
    <cellStyle name="Background 2 3 2 5 4 5" xfId="1926" xr:uid="{00000000-0005-0000-0000-00007E070000}"/>
    <cellStyle name="Background 2 3 2 5 4 6" xfId="1927" xr:uid="{00000000-0005-0000-0000-00007F070000}"/>
    <cellStyle name="Background 2 3 2 5 5" xfId="1928" xr:uid="{00000000-0005-0000-0000-000080070000}"/>
    <cellStyle name="Background 2 3 2 5 6" xfId="1929" xr:uid="{00000000-0005-0000-0000-000081070000}"/>
    <cellStyle name="Background 2 3 2 5 7" xfId="1930" xr:uid="{00000000-0005-0000-0000-000082070000}"/>
    <cellStyle name="Background 2 3 2 6" xfId="1931" xr:uid="{00000000-0005-0000-0000-000083070000}"/>
    <cellStyle name="Background 2 3 2 6 2" xfId="1932" xr:uid="{00000000-0005-0000-0000-000084070000}"/>
    <cellStyle name="Background 2 3 2 6 2 2" xfId="1933" xr:uid="{00000000-0005-0000-0000-000085070000}"/>
    <cellStyle name="Background 2 3 2 6 2 2 2" xfId="1934" xr:uid="{00000000-0005-0000-0000-000086070000}"/>
    <cellStyle name="Background 2 3 2 6 2 2 3" xfId="1935" xr:uid="{00000000-0005-0000-0000-000087070000}"/>
    <cellStyle name="Background 2 3 2 6 2 2 4" xfId="1936" xr:uid="{00000000-0005-0000-0000-000088070000}"/>
    <cellStyle name="Background 2 3 2 6 2 2 5" xfId="1937" xr:uid="{00000000-0005-0000-0000-000089070000}"/>
    <cellStyle name="Background 2 3 2 6 2 2 6" xfId="1938" xr:uid="{00000000-0005-0000-0000-00008A070000}"/>
    <cellStyle name="Background 2 3 2 6 2 3" xfId="1939" xr:uid="{00000000-0005-0000-0000-00008B070000}"/>
    <cellStyle name="Background 2 3 2 6 2 4" xfId="1940" xr:uid="{00000000-0005-0000-0000-00008C070000}"/>
    <cellStyle name="Background 2 3 2 6 2 5" xfId="1941" xr:uid="{00000000-0005-0000-0000-00008D070000}"/>
    <cellStyle name="Background 2 3 2 6 3" xfId="1942" xr:uid="{00000000-0005-0000-0000-00008E070000}"/>
    <cellStyle name="Background 2 3 2 6 3 2" xfId="1943" xr:uid="{00000000-0005-0000-0000-00008F070000}"/>
    <cellStyle name="Background 2 3 2 6 3 2 2" xfId="1944" xr:uid="{00000000-0005-0000-0000-000090070000}"/>
    <cellStyle name="Background 2 3 2 6 3 2 3" xfId="1945" xr:uid="{00000000-0005-0000-0000-000091070000}"/>
    <cellStyle name="Background 2 3 2 6 3 2 4" xfId="1946" xr:uid="{00000000-0005-0000-0000-000092070000}"/>
    <cellStyle name="Background 2 3 2 6 3 2 5" xfId="1947" xr:uid="{00000000-0005-0000-0000-000093070000}"/>
    <cellStyle name="Background 2 3 2 6 3 2 6" xfId="1948" xr:uid="{00000000-0005-0000-0000-000094070000}"/>
    <cellStyle name="Background 2 3 2 6 3 3" xfId="1949" xr:uid="{00000000-0005-0000-0000-000095070000}"/>
    <cellStyle name="Background 2 3 2 6 3 4" xfId="1950" xr:uid="{00000000-0005-0000-0000-000096070000}"/>
    <cellStyle name="Background 2 3 2 6 3 5" xfId="1951" xr:uid="{00000000-0005-0000-0000-000097070000}"/>
    <cellStyle name="Background 2 3 2 6 4" xfId="1952" xr:uid="{00000000-0005-0000-0000-000098070000}"/>
    <cellStyle name="Background 2 3 2 6 4 2" xfId="1953" xr:uid="{00000000-0005-0000-0000-000099070000}"/>
    <cellStyle name="Background 2 3 2 6 4 3" xfId="1954" xr:uid="{00000000-0005-0000-0000-00009A070000}"/>
    <cellStyle name="Background 2 3 2 6 4 4" xfId="1955" xr:uid="{00000000-0005-0000-0000-00009B070000}"/>
    <cellStyle name="Background 2 3 2 6 4 5" xfId="1956" xr:uid="{00000000-0005-0000-0000-00009C070000}"/>
    <cellStyle name="Background 2 3 2 6 4 6" xfId="1957" xr:uid="{00000000-0005-0000-0000-00009D070000}"/>
    <cellStyle name="Background 2 3 2 6 5" xfId="1958" xr:uid="{00000000-0005-0000-0000-00009E070000}"/>
    <cellStyle name="Background 2 3 2 6 6" xfId="1959" xr:uid="{00000000-0005-0000-0000-00009F070000}"/>
    <cellStyle name="Background 2 3 2 6 7" xfId="1960" xr:uid="{00000000-0005-0000-0000-0000A0070000}"/>
    <cellStyle name="Background 2 3 2 7" xfId="1961" xr:uid="{00000000-0005-0000-0000-0000A1070000}"/>
    <cellStyle name="Background 2 3 2 7 2" xfId="1962" xr:uid="{00000000-0005-0000-0000-0000A2070000}"/>
    <cellStyle name="Background 2 3 2 7 2 2" xfId="1963" xr:uid="{00000000-0005-0000-0000-0000A3070000}"/>
    <cellStyle name="Background 2 3 2 7 2 3" xfId="1964" xr:uid="{00000000-0005-0000-0000-0000A4070000}"/>
    <cellStyle name="Background 2 3 2 7 2 4" xfId="1965" xr:uid="{00000000-0005-0000-0000-0000A5070000}"/>
    <cellStyle name="Background 2 3 2 7 2 5" xfId="1966" xr:uid="{00000000-0005-0000-0000-0000A6070000}"/>
    <cellStyle name="Background 2 3 2 7 2 6" xfId="1967" xr:uid="{00000000-0005-0000-0000-0000A7070000}"/>
    <cellStyle name="Background 2 3 2 7 3" xfId="1968" xr:uid="{00000000-0005-0000-0000-0000A8070000}"/>
    <cellStyle name="Background 2 3 2 7 4" xfId="1969" xr:uid="{00000000-0005-0000-0000-0000A9070000}"/>
    <cellStyle name="Background 2 3 2 7 5" xfId="1970" xr:uid="{00000000-0005-0000-0000-0000AA070000}"/>
    <cellStyle name="Background 2 3 2 8" xfId="1971" xr:uid="{00000000-0005-0000-0000-0000AB070000}"/>
    <cellStyle name="Background 2 3 2 8 2" xfId="1972" xr:uid="{00000000-0005-0000-0000-0000AC070000}"/>
    <cellStyle name="Background 2 3 2 8 2 2" xfId="1973" xr:uid="{00000000-0005-0000-0000-0000AD070000}"/>
    <cellStyle name="Background 2 3 2 8 2 3" xfId="1974" xr:uid="{00000000-0005-0000-0000-0000AE070000}"/>
    <cellStyle name="Background 2 3 2 8 2 4" xfId="1975" xr:uid="{00000000-0005-0000-0000-0000AF070000}"/>
    <cellStyle name="Background 2 3 2 8 2 5" xfId="1976" xr:uid="{00000000-0005-0000-0000-0000B0070000}"/>
    <cellStyle name="Background 2 3 2 8 2 6" xfId="1977" xr:uid="{00000000-0005-0000-0000-0000B1070000}"/>
    <cellStyle name="Background 2 3 2 8 3" xfId="1978" xr:uid="{00000000-0005-0000-0000-0000B2070000}"/>
    <cellStyle name="Background 2 3 2 8 4" xfId="1979" xr:uid="{00000000-0005-0000-0000-0000B3070000}"/>
    <cellStyle name="Background 2 3 2 8 5" xfId="1980" xr:uid="{00000000-0005-0000-0000-0000B4070000}"/>
    <cellStyle name="Background 2 3 2 9" xfId="1981" xr:uid="{00000000-0005-0000-0000-0000B5070000}"/>
    <cellStyle name="Background 2 3 2 9 2" xfId="1982" xr:uid="{00000000-0005-0000-0000-0000B6070000}"/>
    <cellStyle name="Background 2 3 2 9 3" xfId="1983" xr:uid="{00000000-0005-0000-0000-0000B7070000}"/>
    <cellStyle name="Background 2 3 2 9 4" xfId="1984" xr:uid="{00000000-0005-0000-0000-0000B8070000}"/>
    <cellStyle name="Background 2 3 2 9 5" xfId="1985" xr:uid="{00000000-0005-0000-0000-0000B9070000}"/>
    <cellStyle name="Background 2 3 2 9 6" xfId="1986" xr:uid="{00000000-0005-0000-0000-0000BA070000}"/>
    <cellStyle name="Background 2 3 3" xfId="1987" xr:uid="{00000000-0005-0000-0000-0000BB070000}"/>
    <cellStyle name="Background 2 3 3 2" xfId="1988" xr:uid="{00000000-0005-0000-0000-0000BC070000}"/>
    <cellStyle name="Background 2 3 3 2 2" xfId="1989" xr:uid="{00000000-0005-0000-0000-0000BD070000}"/>
    <cellStyle name="Background 2 3 3 2 2 2" xfId="1990" xr:uid="{00000000-0005-0000-0000-0000BE070000}"/>
    <cellStyle name="Background 2 3 3 2 2 3" xfId="1991" xr:uid="{00000000-0005-0000-0000-0000BF070000}"/>
    <cellStyle name="Background 2 3 3 2 2 4" xfId="1992" xr:uid="{00000000-0005-0000-0000-0000C0070000}"/>
    <cellStyle name="Background 2 3 3 2 2 5" xfId="1993" xr:uid="{00000000-0005-0000-0000-0000C1070000}"/>
    <cellStyle name="Background 2 3 3 2 2 6" xfId="1994" xr:uid="{00000000-0005-0000-0000-0000C2070000}"/>
    <cellStyle name="Background 2 3 3 2 3" xfId="1995" xr:uid="{00000000-0005-0000-0000-0000C3070000}"/>
    <cellStyle name="Background 2 3 3 2 4" xfId="1996" xr:uid="{00000000-0005-0000-0000-0000C4070000}"/>
    <cellStyle name="Background 2 3 3 2 5" xfId="1997" xr:uid="{00000000-0005-0000-0000-0000C5070000}"/>
    <cellStyle name="Background 2 3 3 3" xfId="1998" xr:uid="{00000000-0005-0000-0000-0000C6070000}"/>
    <cellStyle name="Background 2 3 3 3 2" xfId="1999" xr:uid="{00000000-0005-0000-0000-0000C7070000}"/>
    <cellStyle name="Background 2 3 3 3 2 2" xfId="2000" xr:uid="{00000000-0005-0000-0000-0000C8070000}"/>
    <cellStyle name="Background 2 3 3 3 2 3" xfId="2001" xr:uid="{00000000-0005-0000-0000-0000C9070000}"/>
    <cellStyle name="Background 2 3 3 3 2 4" xfId="2002" xr:uid="{00000000-0005-0000-0000-0000CA070000}"/>
    <cellStyle name="Background 2 3 3 3 2 5" xfId="2003" xr:uid="{00000000-0005-0000-0000-0000CB070000}"/>
    <cellStyle name="Background 2 3 3 3 2 6" xfId="2004" xr:uid="{00000000-0005-0000-0000-0000CC070000}"/>
    <cellStyle name="Background 2 3 3 3 3" xfId="2005" xr:uid="{00000000-0005-0000-0000-0000CD070000}"/>
    <cellStyle name="Background 2 3 3 3 4" xfId="2006" xr:uid="{00000000-0005-0000-0000-0000CE070000}"/>
    <cellStyle name="Background 2 3 3 3 5" xfId="2007" xr:uid="{00000000-0005-0000-0000-0000CF070000}"/>
    <cellStyle name="Background 2 3 3 4" xfId="2008" xr:uid="{00000000-0005-0000-0000-0000D0070000}"/>
    <cellStyle name="Background 2 3 3 4 2" xfId="2009" xr:uid="{00000000-0005-0000-0000-0000D1070000}"/>
    <cellStyle name="Background 2 3 3 4 3" xfId="2010" xr:uid="{00000000-0005-0000-0000-0000D2070000}"/>
    <cellStyle name="Background 2 3 3 4 4" xfId="2011" xr:uid="{00000000-0005-0000-0000-0000D3070000}"/>
    <cellStyle name="Background 2 3 3 4 5" xfId="2012" xr:uid="{00000000-0005-0000-0000-0000D4070000}"/>
    <cellStyle name="Background 2 3 3 4 6" xfId="2013" xr:uid="{00000000-0005-0000-0000-0000D5070000}"/>
    <cellStyle name="Background 2 3 3 5" xfId="2014" xr:uid="{00000000-0005-0000-0000-0000D6070000}"/>
    <cellStyle name="Background 2 3 3 6" xfId="2015" xr:uid="{00000000-0005-0000-0000-0000D7070000}"/>
    <cellStyle name="Background 2 3 3 7" xfId="2016" xr:uid="{00000000-0005-0000-0000-0000D8070000}"/>
    <cellStyle name="Background 2 3 4" xfId="2017" xr:uid="{00000000-0005-0000-0000-0000D9070000}"/>
    <cellStyle name="Background 2 3 4 2" xfId="2018" xr:uid="{00000000-0005-0000-0000-0000DA070000}"/>
    <cellStyle name="Background 2 3 4 2 2" xfId="2019" xr:uid="{00000000-0005-0000-0000-0000DB070000}"/>
    <cellStyle name="Background 2 3 4 2 2 2" xfId="2020" xr:uid="{00000000-0005-0000-0000-0000DC070000}"/>
    <cellStyle name="Background 2 3 4 2 2 3" xfId="2021" xr:uid="{00000000-0005-0000-0000-0000DD070000}"/>
    <cellStyle name="Background 2 3 4 2 2 4" xfId="2022" xr:uid="{00000000-0005-0000-0000-0000DE070000}"/>
    <cellStyle name="Background 2 3 4 2 2 5" xfId="2023" xr:uid="{00000000-0005-0000-0000-0000DF070000}"/>
    <cellStyle name="Background 2 3 4 2 2 6" xfId="2024" xr:uid="{00000000-0005-0000-0000-0000E0070000}"/>
    <cellStyle name="Background 2 3 4 2 3" xfId="2025" xr:uid="{00000000-0005-0000-0000-0000E1070000}"/>
    <cellStyle name="Background 2 3 4 2 4" xfId="2026" xr:uid="{00000000-0005-0000-0000-0000E2070000}"/>
    <cellStyle name="Background 2 3 4 2 5" xfId="2027" xr:uid="{00000000-0005-0000-0000-0000E3070000}"/>
    <cellStyle name="Background 2 3 4 3" xfId="2028" xr:uid="{00000000-0005-0000-0000-0000E4070000}"/>
    <cellStyle name="Background 2 3 4 3 2" xfId="2029" xr:uid="{00000000-0005-0000-0000-0000E5070000}"/>
    <cellStyle name="Background 2 3 4 3 2 2" xfId="2030" xr:uid="{00000000-0005-0000-0000-0000E6070000}"/>
    <cellStyle name="Background 2 3 4 3 2 3" xfId="2031" xr:uid="{00000000-0005-0000-0000-0000E7070000}"/>
    <cellStyle name="Background 2 3 4 3 2 4" xfId="2032" xr:uid="{00000000-0005-0000-0000-0000E8070000}"/>
    <cellStyle name="Background 2 3 4 3 2 5" xfId="2033" xr:uid="{00000000-0005-0000-0000-0000E9070000}"/>
    <cellStyle name="Background 2 3 4 3 2 6" xfId="2034" xr:uid="{00000000-0005-0000-0000-0000EA070000}"/>
    <cellStyle name="Background 2 3 4 3 3" xfId="2035" xr:uid="{00000000-0005-0000-0000-0000EB070000}"/>
    <cellStyle name="Background 2 3 4 3 4" xfId="2036" xr:uid="{00000000-0005-0000-0000-0000EC070000}"/>
    <cellStyle name="Background 2 3 4 3 5" xfId="2037" xr:uid="{00000000-0005-0000-0000-0000ED070000}"/>
    <cellStyle name="Background 2 3 4 4" xfId="2038" xr:uid="{00000000-0005-0000-0000-0000EE070000}"/>
    <cellStyle name="Background 2 3 4 4 2" xfId="2039" xr:uid="{00000000-0005-0000-0000-0000EF070000}"/>
    <cellStyle name="Background 2 3 4 4 3" xfId="2040" xr:uid="{00000000-0005-0000-0000-0000F0070000}"/>
    <cellStyle name="Background 2 3 4 4 4" xfId="2041" xr:uid="{00000000-0005-0000-0000-0000F1070000}"/>
    <cellStyle name="Background 2 3 4 4 5" xfId="2042" xr:uid="{00000000-0005-0000-0000-0000F2070000}"/>
    <cellStyle name="Background 2 3 4 4 6" xfId="2043" xr:uid="{00000000-0005-0000-0000-0000F3070000}"/>
    <cellStyle name="Background 2 3 4 5" xfId="2044" xr:uid="{00000000-0005-0000-0000-0000F4070000}"/>
    <cellStyle name="Background 2 3 4 6" xfId="2045" xr:uid="{00000000-0005-0000-0000-0000F5070000}"/>
    <cellStyle name="Background 2 3 4 7" xfId="2046" xr:uid="{00000000-0005-0000-0000-0000F6070000}"/>
    <cellStyle name="Background 2 3 5" xfId="2047" xr:uid="{00000000-0005-0000-0000-0000F7070000}"/>
    <cellStyle name="Background 2 3 5 2" xfId="2048" xr:uid="{00000000-0005-0000-0000-0000F8070000}"/>
    <cellStyle name="Background 2 3 5 2 2" xfId="2049" xr:uid="{00000000-0005-0000-0000-0000F9070000}"/>
    <cellStyle name="Background 2 3 5 2 2 2" xfId="2050" xr:uid="{00000000-0005-0000-0000-0000FA070000}"/>
    <cellStyle name="Background 2 3 5 2 2 3" xfId="2051" xr:uid="{00000000-0005-0000-0000-0000FB070000}"/>
    <cellStyle name="Background 2 3 5 2 2 4" xfId="2052" xr:uid="{00000000-0005-0000-0000-0000FC070000}"/>
    <cellStyle name="Background 2 3 5 2 2 5" xfId="2053" xr:uid="{00000000-0005-0000-0000-0000FD070000}"/>
    <cellStyle name="Background 2 3 5 2 2 6" xfId="2054" xr:uid="{00000000-0005-0000-0000-0000FE070000}"/>
    <cellStyle name="Background 2 3 5 2 3" xfId="2055" xr:uid="{00000000-0005-0000-0000-0000FF070000}"/>
    <cellStyle name="Background 2 3 5 2 4" xfId="2056" xr:uid="{00000000-0005-0000-0000-000000080000}"/>
    <cellStyle name="Background 2 3 5 2 5" xfId="2057" xr:uid="{00000000-0005-0000-0000-000001080000}"/>
    <cellStyle name="Background 2 3 5 3" xfId="2058" xr:uid="{00000000-0005-0000-0000-000002080000}"/>
    <cellStyle name="Background 2 3 5 3 2" xfId="2059" xr:uid="{00000000-0005-0000-0000-000003080000}"/>
    <cellStyle name="Background 2 3 5 3 2 2" xfId="2060" xr:uid="{00000000-0005-0000-0000-000004080000}"/>
    <cellStyle name="Background 2 3 5 3 2 3" xfId="2061" xr:uid="{00000000-0005-0000-0000-000005080000}"/>
    <cellStyle name="Background 2 3 5 3 2 4" xfId="2062" xr:uid="{00000000-0005-0000-0000-000006080000}"/>
    <cellStyle name="Background 2 3 5 3 2 5" xfId="2063" xr:uid="{00000000-0005-0000-0000-000007080000}"/>
    <cellStyle name="Background 2 3 5 3 2 6" xfId="2064" xr:uid="{00000000-0005-0000-0000-000008080000}"/>
    <cellStyle name="Background 2 3 5 3 3" xfId="2065" xr:uid="{00000000-0005-0000-0000-000009080000}"/>
    <cellStyle name="Background 2 3 5 3 4" xfId="2066" xr:uid="{00000000-0005-0000-0000-00000A080000}"/>
    <cellStyle name="Background 2 3 5 3 5" xfId="2067" xr:uid="{00000000-0005-0000-0000-00000B080000}"/>
    <cellStyle name="Background 2 3 5 4" xfId="2068" xr:uid="{00000000-0005-0000-0000-00000C080000}"/>
    <cellStyle name="Background 2 3 5 4 2" xfId="2069" xr:uid="{00000000-0005-0000-0000-00000D080000}"/>
    <cellStyle name="Background 2 3 5 4 3" xfId="2070" xr:uid="{00000000-0005-0000-0000-00000E080000}"/>
    <cellStyle name="Background 2 3 5 4 4" xfId="2071" xr:uid="{00000000-0005-0000-0000-00000F080000}"/>
    <cellStyle name="Background 2 3 5 4 5" xfId="2072" xr:uid="{00000000-0005-0000-0000-000010080000}"/>
    <cellStyle name="Background 2 3 5 4 6" xfId="2073" xr:uid="{00000000-0005-0000-0000-000011080000}"/>
    <cellStyle name="Background 2 3 5 5" xfId="2074" xr:uid="{00000000-0005-0000-0000-000012080000}"/>
    <cellStyle name="Background 2 3 5 6" xfId="2075" xr:uid="{00000000-0005-0000-0000-000013080000}"/>
    <cellStyle name="Background 2 3 5 7" xfId="2076" xr:uid="{00000000-0005-0000-0000-000014080000}"/>
    <cellStyle name="Background 2 3 6" xfId="2077" xr:uid="{00000000-0005-0000-0000-000015080000}"/>
    <cellStyle name="Background 2 3 6 2" xfId="2078" xr:uid="{00000000-0005-0000-0000-000016080000}"/>
    <cellStyle name="Background 2 3 6 2 2" xfId="2079" xr:uid="{00000000-0005-0000-0000-000017080000}"/>
    <cellStyle name="Background 2 3 6 2 2 2" xfId="2080" xr:uid="{00000000-0005-0000-0000-000018080000}"/>
    <cellStyle name="Background 2 3 6 2 2 3" xfId="2081" xr:uid="{00000000-0005-0000-0000-000019080000}"/>
    <cellStyle name="Background 2 3 6 2 2 4" xfId="2082" xr:uid="{00000000-0005-0000-0000-00001A080000}"/>
    <cellStyle name="Background 2 3 6 2 2 5" xfId="2083" xr:uid="{00000000-0005-0000-0000-00001B080000}"/>
    <cellStyle name="Background 2 3 6 2 2 6" xfId="2084" xr:uid="{00000000-0005-0000-0000-00001C080000}"/>
    <cellStyle name="Background 2 3 6 2 3" xfId="2085" xr:uid="{00000000-0005-0000-0000-00001D080000}"/>
    <cellStyle name="Background 2 3 6 2 4" xfId="2086" xr:uid="{00000000-0005-0000-0000-00001E080000}"/>
    <cellStyle name="Background 2 3 6 2 5" xfId="2087" xr:uid="{00000000-0005-0000-0000-00001F080000}"/>
    <cellStyle name="Background 2 3 6 3" xfId="2088" xr:uid="{00000000-0005-0000-0000-000020080000}"/>
    <cellStyle name="Background 2 3 6 3 2" xfId="2089" xr:uid="{00000000-0005-0000-0000-000021080000}"/>
    <cellStyle name="Background 2 3 6 3 2 2" xfId="2090" xr:uid="{00000000-0005-0000-0000-000022080000}"/>
    <cellStyle name="Background 2 3 6 3 2 3" xfId="2091" xr:uid="{00000000-0005-0000-0000-000023080000}"/>
    <cellStyle name="Background 2 3 6 3 2 4" xfId="2092" xr:uid="{00000000-0005-0000-0000-000024080000}"/>
    <cellStyle name="Background 2 3 6 3 2 5" xfId="2093" xr:uid="{00000000-0005-0000-0000-000025080000}"/>
    <cellStyle name="Background 2 3 6 3 2 6" xfId="2094" xr:uid="{00000000-0005-0000-0000-000026080000}"/>
    <cellStyle name="Background 2 3 6 3 3" xfId="2095" xr:uid="{00000000-0005-0000-0000-000027080000}"/>
    <cellStyle name="Background 2 3 6 3 4" xfId="2096" xr:uid="{00000000-0005-0000-0000-000028080000}"/>
    <cellStyle name="Background 2 3 6 3 5" xfId="2097" xr:uid="{00000000-0005-0000-0000-000029080000}"/>
    <cellStyle name="Background 2 3 6 4" xfId="2098" xr:uid="{00000000-0005-0000-0000-00002A080000}"/>
    <cellStyle name="Background 2 3 6 4 2" xfId="2099" xr:uid="{00000000-0005-0000-0000-00002B080000}"/>
    <cellStyle name="Background 2 3 6 4 3" xfId="2100" xr:uid="{00000000-0005-0000-0000-00002C080000}"/>
    <cellStyle name="Background 2 3 6 4 4" xfId="2101" xr:uid="{00000000-0005-0000-0000-00002D080000}"/>
    <cellStyle name="Background 2 3 6 4 5" xfId="2102" xr:uid="{00000000-0005-0000-0000-00002E080000}"/>
    <cellStyle name="Background 2 3 6 4 6" xfId="2103" xr:uid="{00000000-0005-0000-0000-00002F080000}"/>
    <cellStyle name="Background 2 3 6 5" xfId="2104" xr:uid="{00000000-0005-0000-0000-000030080000}"/>
    <cellStyle name="Background 2 3 6 6" xfId="2105" xr:uid="{00000000-0005-0000-0000-000031080000}"/>
    <cellStyle name="Background 2 3 6 7" xfId="2106" xr:uid="{00000000-0005-0000-0000-000032080000}"/>
    <cellStyle name="Background 2 3 7" xfId="2107" xr:uid="{00000000-0005-0000-0000-000033080000}"/>
    <cellStyle name="Background 2 3 7 2" xfId="2108" xr:uid="{00000000-0005-0000-0000-000034080000}"/>
    <cellStyle name="Background 2 3 7 2 2" xfId="2109" xr:uid="{00000000-0005-0000-0000-000035080000}"/>
    <cellStyle name="Background 2 3 7 2 2 2" xfId="2110" xr:uid="{00000000-0005-0000-0000-000036080000}"/>
    <cellStyle name="Background 2 3 7 2 2 3" xfId="2111" xr:uid="{00000000-0005-0000-0000-000037080000}"/>
    <cellStyle name="Background 2 3 7 2 2 4" xfId="2112" xr:uid="{00000000-0005-0000-0000-000038080000}"/>
    <cellStyle name="Background 2 3 7 2 2 5" xfId="2113" xr:uid="{00000000-0005-0000-0000-000039080000}"/>
    <cellStyle name="Background 2 3 7 2 2 6" xfId="2114" xr:uid="{00000000-0005-0000-0000-00003A080000}"/>
    <cellStyle name="Background 2 3 7 2 3" xfId="2115" xr:uid="{00000000-0005-0000-0000-00003B080000}"/>
    <cellStyle name="Background 2 3 7 2 4" xfId="2116" xr:uid="{00000000-0005-0000-0000-00003C080000}"/>
    <cellStyle name="Background 2 3 7 2 5" xfId="2117" xr:uid="{00000000-0005-0000-0000-00003D080000}"/>
    <cellStyle name="Background 2 3 7 3" xfId="2118" xr:uid="{00000000-0005-0000-0000-00003E080000}"/>
    <cellStyle name="Background 2 3 7 3 2" xfId="2119" xr:uid="{00000000-0005-0000-0000-00003F080000}"/>
    <cellStyle name="Background 2 3 7 3 2 2" xfId="2120" xr:uid="{00000000-0005-0000-0000-000040080000}"/>
    <cellStyle name="Background 2 3 7 3 2 3" xfId="2121" xr:uid="{00000000-0005-0000-0000-000041080000}"/>
    <cellStyle name="Background 2 3 7 3 2 4" xfId="2122" xr:uid="{00000000-0005-0000-0000-000042080000}"/>
    <cellStyle name="Background 2 3 7 3 2 5" xfId="2123" xr:uid="{00000000-0005-0000-0000-000043080000}"/>
    <cellStyle name="Background 2 3 7 3 2 6" xfId="2124" xr:uid="{00000000-0005-0000-0000-000044080000}"/>
    <cellStyle name="Background 2 3 7 3 3" xfId="2125" xr:uid="{00000000-0005-0000-0000-000045080000}"/>
    <cellStyle name="Background 2 3 7 3 4" xfId="2126" xr:uid="{00000000-0005-0000-0000-000046080000}"/>
    <cellStyle name="Background 2 3 7 3 5" xfId="2127" xr:uid="{00000000-0005-0000-0000-000047080000}"/>
    <cellStyle name="Background 2 3 7 4" xfId="2128" xr:uid="{00000000-0005-0000-0000-000048080000}"/>
    <cellStyle name="Background 2 3 7 4 2" xfId="2129" xr:uid="{00000000-0005-0000-0000-000049080000}"/>
    <cellStyle name="Background 2 3 7 4 3" xfId="2130" xr:uid="{00000000-0005-0000-0000-00004A080000}"/>
    <cellStyle name="Background 2 3 7 4 4" xfId="2131" xr:uid="{00000000-0005-0000-0000-00004B080000}"/>
    <cellStyle name="Background 2 3 7 4 5" xfId="2132" xr:uid="{00000000-0005-0000-0000-00004C080000}"/>
    <cellStyle name="Background 2 3 7 4 6" xfId="2133" xr:uid="{00000000-0005-0000-0000-00004D080000}"/>
    <cellStyle name="Background 2 3 7 5" xfId="2134" xr:uid="{00000000-0005-0000-0000-00004E080000}"/>
    <cellStyle name="Background 2 3 7 6" xfId="2135" xr:uid="{00000000-0005-0000-0000-00004F080000}"/>
    <cellStyle name="Background 2 3 7 7" xfId="2136" xr:uid="{00000000-0005-0000-0000-000050080000}"/>
    <cellStyle name="Background 2 3 8" xfId="2137" xr:uid="{00000000-0005-0000-0000-000051080000}"/>
    <cellStyle name="Background 2 3 8 2" xfId="2138" xr:uid="{00000000-0005-0000-0000-000052080000}"/>
    <cellStyle name="Background 2 3 8 2 2" xfId="2139" xr:uid="{00000000-0005-0000-0000-000053080000}"/>
    <cellStyle name="Background 2 3 8 2 3" xfId="2140" xr:uid="{00000000-0005-0000-0000-000054080000}"/>
    <cellStyle name="Background 2 3 8 2 4" xfId="2141" xr:uid="{00000000-0005-0000-0000-000055080000}"/>
    <cellStyle name="Background 2 3 8 2 5" xfId="2142" xr:uid="{00000000-0005-0000-0000-000056080000}"/>
    <cellStyle name="Background 2 3 8 2 6" xfId="2143" xr:uid="{00000000-0005-0000-0000-000057080000}"/>
    <cellStyle name="Background 2 3 8 3" xfId="2144" xr:uid="{00000000-0005-0000-0000-000058080000}"/>
    <cellStyle name="Background 2 3 8 4" xfId="2145" xr:uid="{00000000-0005-0000-0000-000059080000}"/>
    <cellStyle name="Background 2 3 8 5" xfId="2146" xr:uid="{00000000-0005-0000-0000-00005A080000}"/>
    <cellStyle name="Background 2 3 9" xfId="2147" xr:uid="{00000000-0005-0000-0000-00005B080000}"/>
    <cellStyle name="Background 2 3 9 2" xfId="2148" xr:uid="{00000000-0005-0000-0000-00005C080000}"/>
    <cellStyle name="Background 2 3 9 2 2" xfId="2149" xr:uid="{00000000-0005-0000-0000-00005D080000}"/>
    <cellStyle name="Background 2 3 9 2 3" xfId="2150" xr:uid="{00000000-0005-0000-0000-00005E080000}"/>
    <cellStyle name="Background 2 3 9 2 4" xfId="2151" xr:uid="{00000000-0005-0000-0000-00005F080000}"/>
    <cellStyle name="Background 2 3 9 2 5" xfId="2152" xr:uid="{00000000-0005-0000-0000-000060080000}"/>
    <cellStyle name="Background 2 3 9 2 6" xfId="2153" xr:uid="{00000000-0005-0000-0000-000061080000}"/>
    <cellStyle name="Background 2 3 9 3" xfId="2154" xr:uid="{00000000-0005-0000-0000-000062080000}"/>
    <cellStyle name="Background 2 3 9 4" xfId="2155" xr:uid="{00000000-0005-0000-0000-000063080000}"/>
    <cellStyle name="Background 2 3 9 5" xfId="2156" xr:uid="{00000000-0005-0000-0000-000064080000}"/>
    <cellStyle name="Background 2 4" xfId="2157" xr:uid="{00000000-0005-0000-0000-000065080000}"/>
    <cellStyle name="Background 2 4 10" xfId="2158" xr:uid="{00000000-0005-0000-0000-000066080000}"/>
    <cellStyle name="Background 2 4 11" xfId="2159" xr:uid="{00000000-0005-0000-0000-000067080000}"/>
    <cellStyle name="Background 2 4 12" xfId="2160" xr:uid="{00000000-0005-0000-0000-000068080000}"/>
    <cellStyle name="Background 2 4 2" xfId="2161" xr:uid="{00000000-0005-0000-0000-000069080000}"/>
    <cellStyle name="Background 2 4 2 2" xfId="2162" xr:uid="{00000000-0005-0000-0000-00006A080000}"/>
    <cellStyle name="Background 2 4 2 2 2" xfId="2163" xr:uid="{00000000-0005-0000-0000-00006B080000}"/>
    <cellStyle name="Background 2 4 2 2 2 2" xfId="2164" xr:uid="{00000000-0005-0000-0000-00006C080000}"/>
    <cellStyle name="Background 2 4 2 2 2 3" xfId="2165" xr:uid="{00000000-0005-0000-0000-00006D080000}"/>
    <cellStyle name="Background 2 4 2 2 2 4" xfId="2166" xr:uid="{00000000-0005-0000-0000-00006E080000}"/>
    <cellStyle name="Background 2 4 2 2 2 5" xfId="2167" xr:uid="{00000000-0005-0000-0000-00006F080000}"/>
    <cellStyle name="Background 2 4 2 2 2 6" xfId="2168" xr:uid="{00000000-0005-0000-0000-000070080000}"/>
    <cellStyle name="Background 2 4 2 2 3" xfId="2169" xr:uid="{00000000-0005-0000-0000-000071080000}"/>
    <cellStyle name="Background 2 4 2 2 4" xfId="2170" xr:uid="{00000000-0005-0000-0000-000072080000}"/>
    <cellStyle name="Background 2 4 2 2 5" xfId="2171" xr:uid="{00000000-0005-0000-0000-000073080000}"/>
    <cellStyle name="Background 2 4 2 3" xfId="2172" xr:uid="{00000000-0005-0000-0000-000074080000}"/>
    <cellStyle name="Background 2 4 2 3 2" xfId="2173" xr:uid="{00000000-0005-0000-0000-000075080000}"/>
    <cellStyle name="Background 2 4 2 3 2 2" xfId="2174" xr:uid="{00000000-0005-0000-0000-000076080000}"/>
    <cellStyle name="Background 2 4 2 3 2 3" xfId="2175" xr:uid="{00000000-0005-0000-0000-000077080000}"/>
    <cellStyle name="Background 2 4 2 3 2 4" xfId="2176" xr:uid="{00000000-0005-0000-0000-000078080000}"/>
    <cellStyle name="Background 2 4 2 3 2 5" xfId="2177" xr:uid="{00000000-0005-0000-0000-000079080000}"/>
    <cellStyle name="Background 2 4 2 3 2 6" xfId="2178" xr:uid="{00000000-0005-0000-0000-00007A080000}"/>
    <cellStyle name="Background 2 4 2 3 3" xfId="2179" xr:uid="{00000000-0005-0000-0000-00007B080000}"/>
    <cellStyle name="Background 2 4 2 3 4" xfId="2180" xr:uid="{00000000-0005-0000-0000-00007C080000}"/>
    <cellStyle name="Background 2 4 2 3 5" xfId="2181" xr:uid="{00000000-0005-0000-0000-00007D080000}"/>
    <cellStyle name="Background 2 4 2 4" xfId="2182" xr:uid="{00000000-0005-0000-0000-00007E080000}"/>
    <cellStyle name="Background 2 4 2 4 2" xfId="2183" xr:uid="{00000000-0005-0000-0000-00007F080000}"/>
    <cellStyle name="Background 2 4 2 4 3" xfId="2184" xr:uid="{00000000-0005-0000-0000-000080080000}"/>
    <cellStyle name="Background 2 4 2 4 4" xfId="2185" xr:uid="{00000000-0005-0000-0000-000081080000}"/>
    <cellStyle name="Background 2 4 2 4 5" xfId="2186" xr:uid="{00000000-0005-0000-0000-000082080000}"/>
    <cellStyle name="Background 2 4 2 4 6" xfId="2187" xr:uid="{00000000-0005-0000-0000-000083080000}"/>
    <cellStyle name="Background 2 4 2 5" xfId="2188" xr:uid="{00000000-0005-0000-0000-000084080000}"/>
    <cellStyle name="Background 2 4 2 6" xfId="2189" xr:uid="{00000000-0005-0000-0000-000085080000}"/>
    <cellStyle name="Background 2 4 2 7" xfId="2190" xr:uid="{00000000-0005-0000-0000-000086080000}"/>
    <cellStyle name="Background 2 4 3" xfId="2191" xr:uid="{00000000-0005-0000-0000-000087080000}"/>
    <cellStyle name="Background 2 4 3 2" xfId="2192" xr:uid="{00000000-0005-0000-0000-000088080000}"/>
    <cellStyle name="Background 2 4 3 2 2" xfId="2193" xr:uid="{00000000-0005-0000-0000-000089080000}"/>
    <cellStyle name="Background 2 4 3 2 2 2" xfId="2194" xr:uid="{00000000-0005-0000-0000-00008A080000}"/>
    <cellStyle name="Background 2 4 3 2 2 3" xfId="2195" xr:uid="{00000000-0005-0000-0000-00008B080000}"/>
    <cellStyle name="Background 2 4 3 2 2 4" xfId="2196" xr:uid="{00000000-0005-0000-0000-00008C080000}"/>
    <cellStyle name="Background 2 4 3 2 2 5" xfId="2197" xr:uid="{00000000-0005-0000-0000-00008D080000}"/>
    <cellStyle name="Background 2 4 3 2 2 6" xfId="2198" xr:uid="{00000000-0005-0000-0000-00008E080000}"/>
    <cellStyle name="Background 2 4 3 2 3" xfId="2199" xr:uid="{00000000-0005-0000-0000-00008F080000}"/>
    <cellStyle name="Background 2 4 3 2 4" xfId="2200" xr:uid="{00000000-0005-0000-0000-000090080000}"/>
    <cellStyle name="Background 2 4 3 2 5" xfId="2201" xr:uid="{00000000-0005-0000-0000-000091080000}"/>
    <cellStyle name="Background 2 4 3 3" xfId="2202" xr:uid="{00000000-0005-0000-0000-000092080000}"/>
    <cellStyle name="Background 2 4 3 3 2" xfId="2203" xr:uid="{00000000-0005-0000-0000-000093080000}"/>
    <cellStyle name="Background 2 4 3 3 2 2" xfId="2204" xr:uid="{00000000-0005-0000-0000-000094080000}"/>
    <cellStyle name="Background 2 4 3 3 2 3" xfId="2205" xr:uid="{00000000-0005-0000-0000-000095080000}"/>
    <cellStyle name="Background 2 4 3 3 2 4" xfId="2206" xr:uid="{00000000-0005-0000-0000-000096080000}"/>
    <cellStyle name="Background 2 4 3 3 2 5" xfId="2207" xr:uid="{00000000-0005-0000-0000-000097080000}"/>
    <cellStyle name="Background 2 4 3 3 2 6" xfId="2208" xr:uid="{00000000-0005-0000-0000-000098080000}"/>
    <cellStyle name="Background 2 4 3 3 3" xfId="2209" xr:uid="{00000000-0005-0000-0000-000099080000}"/>
    <cellStyle name="Background 2 4 3 3 4" xfId="2210" xr:uid="{00000000-0005-0000-0000-00009A080000}"/>
    <cellStyle name="Background 2 4 3 3 5" xfId="2211" xr:uid="{00000000-0005-0000-0000-00009B080000}"/>
    <cellStyle name="Background 2 4 3 4" xfId="2212" xr:uid="{00000000-0005-0000-0000-00009C080000}"/>
    <cellStyle name="Background 2 4 3 4 2" xfId="2213" xr:uid="{00000000-0005-0000-0000-00009D080000}"/>
    <cellStyle name="Background 2 4 3 4 3" xfId="2214" xr:uid="{00000000-0005-0000-0000-00009E080000}"/>
    <cellStyle name="Background 2 4 3 4 4" xfId="2215" xr:uid="{00000000-0005-0000-0000-00009F080000}"/>
    <cellStyle name="Background 2 4 3 4 5" xfId="2216" xr:uid="{00000000-0005-0000-0000-0000A0080000}"/>
    <cellStyle name="Background 2 4 3 4 6" xfId="2217" xr:uid="{00000000-0005-0000-0000-0000A1080000}"/>
    <cellStyle name="Background 2 4 3 5" xfId="2218" xr:uid="{00000000-0005-0000-0000-0000A2080000}"/>
    <cellStyle name="Background 2 4 3 6" xfId="2219" xr:uid="{00000000-0005-0000-0000-0000A3080000}"/>
    <cellStyle name="Background 2 4 3 7" xfId="2220" xr:uid="{00000000-0005-0000-0000-0000A4080000}"/>
    <cellStyle name="Background 2 4 4" xfId="2221" xr:uid="{00000000-0005-0000-0000-0000A5080000}"/>
    <cellStyle name="Background 2 4 4 2" xfId="2222" xr:uid="{00000000-0005-0000-0000-0000A6080000}"/>
    <cellStyle name="Background 2 4 4 2 2" xfId="2223" xr:uid="{00000000-0005-0000-0000-0000A7080000}"/>
    <cellStyle name="Background 2 4 4 2 2 2" xfId="2224" xr:uid="{00000000-0005-0000-0000-0000A8080000}"/>
    <cellStyle name="Background 2 4 4 2 2 3" xfId="2225" xr:uid="{00000000-0005-0000-0000-0000A9080000}"/>
    <cellStyle name="Background 2 4 4 2 2 4" xfId="2226" xr:uid="{00000000-0005-0000-0000-0000AA080000}"/>
    <cellStyle name="Background 2 4 4 2 2 5" xfId="2227" xr:uid="{00000000-0005-0000-0000-0000AB080000}"/>
    <cellStyle name="Background 2 4 4 2 2 6" xfId="2228" xr:uid="{00000000-0005-0000-0000-0000AC080000}"/>
    <cellStyle name="Background 2 4 4 2 3" xfId="2229" xr:uid="{00000000-0005-0000-0000-0000AD080000}"/>
    <cellStyle name="Background 2 4 4 2 4" xfId="2230" xr:uid="{00000000-0005-0000-0000-0000AE080000}"/>
    <cellStyle name="Background 2 4 4 2 5" xfId="2231" xr:uid="{00000000-0005-0000-0000-0000AF080000}"/>
    <cellStyle name="Background 2 4 4 3" xfId="2232" xr:uid="{00000000-0005-0000-0000-0000B0080000}"/>
    <cellStyle name="Background 2 4 4 3 2" xfId="2233" xr:uid="{00000000-0005-0000-0000-0000B1080000}"/>
    <cellStyle name="Background 2 4 4 3 2 2" xfId="2234" xr:uid="{00000000-0005-0000-0000-0000B2080000}"/>
    <cellStyle name="Background 2 4 4 3 2 3" xfId="2235" xr:uid="{00000000-0005-0000-0000-0000B3080000}"/>
    <cellStyle name="Background 2 4 4 3 2 4" xfId="2236" xr:uid="{00000000-0005-0000-0000-0000B4080000}"/>
    <cellStyle name="Background 2 4 4 3 2 5" xfId="2237" xr:uid="{00000000-0005-0000-0000-0000B5080000}"/>
    <cellStyle name="Background 2 4 4 3 2 6" xfId="2238" xr:uid="{00000000-0005-0000-0000-0000B6080000}"/>
    <cellStyle name="Background 2 4 4 3 3" xfId="2239" xr:uid="{00000000-0005-0000-0000-0000B7080000}"/>
    <cellStyle name="Background 2 4 4 3 4" xfId="2240" xr:uid="{00000000-0005-0000-0000-0000B8080000}"/>
    <cellStyle name="Background 2 4 4 3 5" xfId="2241" xr:uid="{00000000-0005-0000-0000-0000B9080000}"/>
    <cellStyle name="Background 2 4 4 4" xfId="2242" xr:uid="{00000000-0005-0000-0000-0000BA080000}"/>
    <cellStyle name="Background 2 4 4 4 2" xfId="2243" xr:uid="{00000000-0005-0000-0000-0000BB080000}"/>
    <cellStyle name="Background 2 4 4 4 3" xfId="2244" xr:uid="{00000000-0005-0000-0000-0000BC080000}"/>
    <cellStyle name="Background 2 4 4 4 4" xfId="2245" xr:uid="{00000000-0005-0000-0000-0000BD080000}"/>
    <cellStyle name="Background 2 4 4 4 5" xfId="2246" xr:uid="{00000000-0005-0000-0000-0000BE080000}"/>
    <cellStyle name="Background 2 4 4 4 6" xfId="2247" xr:uid="{00000000-0005-0000-0000-0000BF080000}"/>
    <cellStyle name="Background 2 4 4 5" xfId="2248" xr:uid="{00000000-0005-0000-0000-0000C0080000}"/>
    <cellStyle name="Background 2 4 4 6" xfId="2249" xr:uid="{00000000-0005-0000-0000-0000C1080000}"/>
    <cellStyle name="Background 2 4 4 7" xfId="2250" xr:uid="{00000000-0005-0000-0000-0000C2080000}"/>
    <cellStyle name="Background 2 4 5" xfId="2251" xr:uid="{00000000-0005-0000-0000-0000C3080000}"/>
    <cellStyle name="Background 2 4 5 2" xfId="2252" xr:uid="{00000000-0005-0000-0000-0000C4080000}"/>
    <cellStyle name="Background 2 4 5 2 2" xfId="2253" xr:uid="{00000000-0005-0000-0000-0000C5080000}"/>
    <cellStyle name="Background 2 4 5 2 2 2" xfId="2254" xr:uid="{00000000-0005-0000-0000-0000C6080000}"/>
    <cellStyle name="Background 2 4 5 2 2 3" xfId="2255" xr:uid="{00000000-0005-0000-0000-0000C7080000}"/>
    <cellStyle name="Background 2 4 5 2 2 4" xfId="2256" xr:uid="{00000000-0005-0000-0000-0000C8080000}"/>
    <cellStyle name="Background 2 4 5 2 2 5" xfId="2257" xr:uid="{00000000-0005-0000-0000-0000C9080000}"/>
    <cellStyle name="Background 2 4 5 2 2 6" xfId="2258" xr:uid="{00000000-0005-0000-0000-0000CA080000}"/>
    <cellStyle name="Background 2 4 5 2 3" xfId="2259" xr:uid="{00000000-0005-0000-0000-0000CB080000}"/>
    <cellStyle name="Background 2 4 5 2 4" xfId="2260" xr:uid="{00000000-0005-0000-0000-0000CC080000}"/>
    <cellStyle name="Background 2 4 5 2 5" xfId="2261" xr:uid="{00000000-0005-0000-0000-0000CD080000}"/>
    <cellStyle name="Background 2 4 5 3" xfId="2262" xr:uid="{00000000-0005-0000-0000-0000CE080000}"/>
    <cellStyle name="Background 2 4 5 3 2" xfId="2263" xr:uid="{00000000-0005-0000-0000-0000CF080000}"/>
    <cellStyle name="Background 2 4 5 3 2 2" xfId="2264" xr:uid="{00000000-0005-0000-0000-0000D0080000}"/>
    <cellStyle name="Background 2 4 5 3 2 3" xfId="2265" xr:uid="{00000000-0005-0000-0000-0000D1080000}"/>
    <cellStyle name="Background 2 4 5 3 2 4" xfId="2266" xr:uid="{00000000-0005-0000-0000-0000D2080000}"/>
    <cellStyle name="Background 2 4 5 3 2 5" xfId="2267" xr:uid="{00000000-0005-0000-0000-0000D3080000}"/>
    <cellStyle name="Background 2 4 5 3 2 6" xfId="2268" xr:uid="{00000000-0005-0000-0000-0000D4080000}"/>
    <cellStyle name="Background 2 4 5 3 3" xfId="2269" xr:uid="{00000000-0005-0000-0000-0000D5080000}"/>
    <cellStyle name="Background 2 4 5 3 4" xfId="2270" xr:uid="{00000000-0005-0000-0000-0000D6080000}"/>
    <cellStyle name="Background 2 4 5 3 5" xfId="2271" xr:uid="{00000000-0005-0000-0000-0000D7080000}"/>
    <cellStyle name="Background 2 4 5 4" xfId="2272" xr:uid="{00000000-0005-0000-0000-0000D8080000}"/>
    <cellStyle name="Background 2 4 5 4 2" xfId="2273" xr:uid="{00000000-0005-0000-0000-0000D9080000}"/>
    <cellStyle name="Background 2 4 5 4 3" xfId="2274" xr:uid="{00000000-0005-0000-0000-0000DA080000}"/>
    <cellStyle name="Background 2 4 5 4 4" xfId="2275" xr:uid="{00000000-0005-0000-0000-0000DB080000}"/>
    <cellStyle name="Background 2 4 5 4 5" xfId="2276" xr:uid="{00000000-0005-0000-0000-0000DC080000}"/>
    <cellStyle name="Background 2 4 5 4 6" xfId="2277" xr:uid="{00000000-0005-0000-0000-0000DD080000}"/>
    <cellStyle name="Background 2 4 5 5" xfId="2278" xr:uid="{00000000-0005-0000-0000-0000DE080000}"/>
    <cellStyle name="Background 2 4 5 6" xfId="2279" xr:uid="{00000000-0005-0000-0000-0000DF080000}"/>
    <cellStyle name="Background 2 4 5 7" xfId="2280" xr:uid="{00000000-0005-0000-0000-0000E0080000}"/>
    <cellStyle name="Background 2 4 6" xfId="2281" xr:uid="{00000000-0005-0000-0000-0000E1080000}"/>
    <cellStyle name="Background 2 4 6 2" xfId="2282" xr:uid="{00000000-0005-0000-0000-0000E2080000}"/>
    <cellStyle name="Background 2 4 6 2 2" xfId="2283" xr:uid="{00000000-0005-0000-0000-0000E3080000}"/>
    <cellStyle name="Background 2 4 6 2 2 2" xfId="2284" xr:uid="{00000000-0005-0000-0000-0000E4080000}"/>
    <cellStyle name="Background 2 4 6 2 2 3" xfId="2285" xr:uid="{00000000-0005-0000-0000-0000E5080000}"/>
    <cellStyle name="Background 2 4 6 2 2 4" xfId="2286" xr:uid="{00000000-0005-0000-0000-0000E6080000}"/>
    <cellStyle name="Background 2 4 6 2 2 5" xfId="2287" xr:uid="{00000000-0005-0000-0000-0000E7080000}"/>
    <cellStyle name="Background 2 4 6 2 2 6" xfId="2288" xr:uid="{00000000-0005-0000-0000-0000E8080000}"/>
    <cellStyle name="Background 2 4 6 2 3" xfId="2289" xr:uid="{00000000-0005-0000-0000-0000E9080000}"/>
    <cellStyle name="Background 2 4 6 2 4" xfId="2290" xr:uid="{00000000-0005-0000-0000-0000EA080000}"/>
    <cellStyle name="Background 2 4 6 2 5" xfId="2291" xr:uid="{00000000-0005-0000-0000-0000EB080000}"/>
    <cellStyle name="Background 2 4 6 3" xfId="2292" xr:uid="{00000000-0005-0000-0000-0000EC080000}"/>
    <cellStyle name="Background 2 4 6 3 2" xfId="2293" xr:uid="{00000000-0005-0000-0000-0000ED080000}"/>
    <cellStyle name="Background 2 4 6 3 2 2" xfId="2294" xr:uid="{00000000-0005-0000-0000-0000EE080000}"/>
    <cellStyle name="Background 2 4 6 3 2 3" xfId="2295" xr:uid="{00000000-0005-0000-0000-0000EF080000}"/>
    <cellStyle name="Background 2 4 6 3 2 4" xfId="2296" xr:uid="{00000000-0005-0000-0000-0000F0080000}"/>
    <cellStyle name="Background 2 4 6 3 2 5" xfId="2297" xr:uid="{00000000-0005-0000-0000-0000F1080000}"/>
    <cellStyle name="Background 2 4 6 3 2 6" xfId="2298" xr:uid="{00000000-0005-0000-0000-0000F2080000}"/>
    <cellStyle name="Background 2 4 6 3 3" xfId="2299" xr:uid="{00000000-0005-0000-0000-0000F3080000}"/>
    <cellStyle name="Background 2 4 6 3 4" xfId="2300" xr:uid="{00000000-0005-0000-0000-0000F4080000}"/>
    <cellStyle name="Background 2 4 6 3 5" xfId="2301" xr:uid="{00000000-0005-0000-0000-0000F5080000}"/>
    <cellStyle name="Background 2 4 6 4" xfId="2302" xr:uid="{00000000-0005-0000-0000-0000F6080000}"/>
    <cellStyle name="Background 2 4 6 4 2" xfId="2303" xr:uid="{00000000-0005-0000-0000-0000F7080000}"/>
    <cellStyle name="Background 2 4 6 4 3" xfId="2304" xr:uid="{00000000-0005-0000-0000-0000F8080000}"/>
    <cellStyle name="Background 2 4 6 4 4" xfId="2305" xr:uid="{00000000-0005-0000-0000-0000F9080000}"/>
    <cellStyle name="Background 2 4 6 4 5" xfId="2306" xr:uid="{00000000-0005-0000-0000-0000FA080000}"/>
    <cellStyle name="Background 2 4 6 4 6" xfId="2307" xr:uid="{00000000-0005-0000-0000-0000FB080000}"/>
    <cellStyle name="Background 2 4 6 5" xfId="2308" xr:uid="{00000000-0005-0000-0000-0000FC080000}"/>
    <cellStyle name="Background 2 4 6 6" xfId="2309" xr:uid="{00000000-0005-0000-0000-0000FD080000}"/>
    <cellStyle name="Background 2 4 6 7" xfId="2310" xr:uid="{00000000-0005-0000-0000-0000FE080000}"/>
    <cellStyle name="Background 2 4 7" xfId="2311" xr:uid="{00000000-0005-0000-0000-0000FF080000}"/>
    <cellStyle name="Background 2 4 7 2" xfId="2312" xr:uid="{00000000-0005-0000-0000-000000090000}"/>
    <cellStyle name="Background 2 4 7 2 2" xfId="2313" xr:uid="{00000000-0005-0000-0000-000001090000}"/>
    <cellStyle name="Background 2 4 7 2 3" xfId="2314" xr:uid="{00000000-0005-0000-0000-000002090000}"/>
    <cellStyle name="Background 2 4 7 2 4" xfId="2315" xr:uid="{00000000-0005-0000-0000-000003090000}"/>
    <cellStyle name="Background 2 4 7 2 5" xfId="2316" xr:uid="{00000000-0005-0000-0000-000004090000}"/>
    <cellStyle name="Background 2 4 7 2 6" xfId="2317" xr:uid="{00000000-0005-0000-0000-000005090000}"/>
    <cellStyle name="Background 2 4 7 3" xfId="2318" xr:uid="{00000000-0005-0000-0000-000006090000}"/>
    <cellStyle name="Background 2 4 7 4" xfId="2319" xr:uid="{00000000-0005-0000-0000-000007090000}"/>
    <cellStyle name="Background 2 4 7 5" xfId="2320" xr:uid="{00000000-0005-0000-0000-000008090000}"/>
    <cellStyle name="Background 2 4 8" xfId="2321" xr:uid="{00000000-0005-0000-0000-000009090000}"/>
    <cellStyle name="Background 2 4 8 2" xfId="2322" xr:uid="{00000000-0005-0000-0000-00000A090000}"/>
    <cellStyle name="Background 2 4 8 2 2" xfId="2323" xr:uid="{00000000-0005-0000-0000-00000B090000}"/>
    <cellStyle name="Background 2 4 8 2 3" xfId="2324" xr:uid="{00000000-0005-0000-0000-00000C090000}"/>
    <cellStyle name="Background 2 4 8 2 4" xfId="2325" xr:uid="{00000000-0005-0000-0000-00000D090000}"/>
    <cellStyle name="Background 2 4 8 2 5" xfId="2326" xr:uid="{00000000-0005-0000-0000-00000E090000}"/>
    <cellStyle name="Background 2 4 8 2 6" xfId="2327" xr:uid="{00000000-0005-0000-0000-00000F090000}"/>
    <cellStyle name="Background 2 4 8 3" xfId="2328" xr:uid="{00000000-0005-0000-0000-000010090000}"/>
    <cellStyle name="Background 2 4 8 4" xfId="2329" xr:uid="{00000000-0005-0000-0000-000011090000}"/>
    <cellStyle name="Background 2 4 8 5" xfId="2330" xr:uid="{00000000-0005-0000-0000-000012090000}"/>
    <cellStyle name="Background 2 4 9" xfId="2331" xr:uid="{00000000-0005-0000-0000-000013090000}"/>
    <cellStyle name="Background 2 4 9 2" xfId="2332" xr:uid="{00000000-0005-0000-0000-000014090000}"/>
    <cellStyle name="Background 2 4 9 3" xfId="2333" xr:uid="{00000000-0005-0000-0000-000015090000}"/>
    <cellStyle name="Background 2 4 9 4" xfId="2334" xr:uid="{00000000-0005-0000-0000-000016090000}"/>
    <cellStyle name="Background 2 4 9 5" xfId="2335" xr:uid="{00000000-0005-0000-0000-000017090000}"/>
    <cellStyle name="Background 2 4 9 6" xfId="2336" xr:uid="{00000000-0005-0000-0000-000018090000}"/>
    <cellStyle name="Background 2 5" xfId="2337" xr:uid="{00000000-0005-0000-0000-000019090000}"/>
    <cellStyle name="Background 2 5 2" xfId="2338" xr:uid="{00000000-0005-0000-0000-00001A090000}"/>
    <cellStyle name="Background 2 5 2 2" xfId="2339" xr:uid="{00000000-0005-0000-0000-00001B090000}"/>
    <cellStyle name="Background 2 5 2 2 2" xfId="2340" xr:uid="{00000000-0005-0000-0000-00001C090000}"/>
    <cellStyle name="Background 2 5 2 2 3" xfId="2341" xr:uid="{00000000-0005-0000-0000-00001D090000}"/>
    <cellStyle name="Background 2 5 2 2 4" xfId="2342" xr:uid="{00000000-0005-0000-0000-00001E090000}"/>
    <cellStyle name="Background 2 5 2 2 5" xfId="2343" xr:uid="{00000000-0005-0000-0000-00001F090000}"/>
    <cellStyle name="Background 2 5 2 2 6" xfId="2344" xr:uid="{00000000-0005-0000-0000-000020090000}"/>
    <cellStyle name="Background 2 5 2 3" xfId="2345" xr:uid="{00000000-0005-0000-0000-000021090000}"/>
    <cellStyle name="Background 2 5 2 4" xfId="2346" xr:uid="{00000000-0005-0000-0000-000022090000}"/>
    <cellStyle name="Background 2 5 2 5" xfId="2347" xr:uid="{00000000-0005-0000-0000-000023090000}"/>
    <cellStyle name="Background 2 5 3" xfId="2348" xr:uid="{00000000-0005-0000-0000-000024090000}"/>
    <cellStyle name="Background 2 5 3 2" xfId="2349" xr:uid="{00000000-0005-0000-0000-000025090000}"/>
    <cellStyle name="Background 2 5 3 2 2" xfId="2350" xr:uid="{00000000-0005-0000-0000-000026090000}"/>
    <cellStyle name="Background 2 5 3 2 3" xfId="2351" xr:uid="{00000000-0005-0000-0000-000027090000}"/>
    <cellStyle name="Background 2 5 3 2 4" xfId="2352" xr:uid="{00000000-0005-0000-0000-000028090000}"/>
    <cellStyle name="Background 2 5 3 2 5" xfId="2353" xr:uid="{00000000-0005-0000-0000-000029090000}"/>
    <cellStyle name="Background 2 5 3 2 6" xfId="2354" xr:uid="{00000000-0005-0000-0000-00002A090000}"/>
    <cellStyle name="Background 2 5 3 3" xfId="2355" xr:uid="{00000000-0005-0000-0000-00002B090000}"/>
    <cellStyle name="Background 2 5 3 4" xfId="2356" xr:uid="{00000000-0005-0000-0000-00002C090000}"/>
    <cellStyle name="Background 2 5 3 5" xfId="2357" xr:uid="{00000000-0005-0000-0000-00002D090000}"/>
    <cellStyle name="Background 2 5 4" xfId="2358" xr:uid="{00000000-0005-0000-0000-00002E090000}"/>
    <cellStyle name="Background 2 5 4 2" xfId="2359" xr:uid="{00000000-0005-0000-0000-00002F090000}"/>
    <cellStyle name="Background 2 5 4 3" xfId="2360" xr:uid="{00000000-0005-0000-0000-000030090000}"/>
    <cellStyle name="Background 2 5 4 4" xfId="2361" xr:uid="{00000000-0005-0000-0000-000031090000}"/>
    <cellStyle name="Background 2 5 4 5" xfId="2362" xr:uid="{00000000-0005-0000-0000-000032090000}"/>
    <cellStyle name="Background 2 5 4 6" xfId="2363" xr:uid="{00000000-0005-0000-0000-000033090000}"/>
    <cellStyle name="Background 2 5 5" xfId="2364" xr:uid="{00000000-0005-0000-0000-000034090000}"/>
    <cellStyle name="Background 2 5 6" xfId="2365" xr:uid="{00000000-0005-0000-0000-000035090000}"/>
    <cellStyle name="Background 2 5 7" xfId="2366" xr:uid="{00000000-0005-0000-0000-000036090000}"/>
    <cellStyle name="Background 2 6" xfId="2367" xr:uid="{00000000-0005-0000-0000-000037090000}"/>
    <cellStyle name="Background 2 6 2" xfId="2368" xr:uid="{00000000-0005-0000-0000-000038090000}"/>
    <cellStyle name="Background 2 6 2 2" xfId="2369" xr:uid="{00000000-0005-0000-0000-000039090000}"/>
    <cellStyle name="Background 2 6 2 2 2" xfId="2370" xr:uid="{00000000-0005-0000-0000-00003A090000}"/>
    <cellStyle name="Background 2 6 2 2 3" xfId="2371" xr:uid="{00000000-0005-0000-0000-00003B090000}"/>
    <cellStyle name="Background 2 6 2 2 4" xfId="2372" xr:uid="{00000000-0005-0000-0000-00003C090000}"/>
    <cellStyle name="Background 2 6 2 2 5" xfId="2373" xr:uid="{00000000-0005-0000-0000-00003D090000}"/>
    <cellStyle name="Background 2 6 2 2 6" xfId="2374" xr:uid="{00000000-0005-0000-0000-00003E090000}"/>
    <cellStyle name="Background 2 6 2 3" xfId="2375" xr:uid="{00000000-0005-0000-0000-00003F090000}"/>
    <cellStyle name="Background 2 6 2 4" xfId="2376" xr:uid="{00000000-0005-0000-0000-000040090000}"/>
    <cellStyle name="Background 2 6 2 5" xfId="2377" xr:uid="{00000000-0005-0000-0000-000041090000}"/>
    <cellStyle name="Background 2 6 3" xfId="2378" xr:uid="{00000000-0005-0000-0000-000042090000}"/>
    <cellStyle name="Background 2 6 3 2" xfId="2379" xr:uid="{00000000-0005-0000-0000-000043090000}"/>
    <cellStyle name="Background 2 6 3 2 2" xfId="2380" xr:uid="{00000000-0005-0000-0000-000044090000}"/>
    <cellStyle name="Background 2 6 3 2 3" xfId="2381" xr:uid="{00000000-0005-0000-0000-000045090000}"/>
    <cellStyle name="Background 2 6 3 2 4" xfId="2382" xr:uid="{00000000-0005-0000-0000-000046090000}"/>
    <cellStyle name="Background 2 6 3 2 5" xfId="2383" xr:uid="{00000000-0005-0000-0000-000047090000}"/>
    <cellStyle name="Background 2 6 3 2 6" xfId="2384" xr:uid="{00000000-0005-0000-0000-000048090000}"/>
    <cellStyle name="Background 2 6 3 3" xfId="2385" xr:uid="{00000000-0005-0000-0000-000049090000}"/>
    <cellStyle name="Background 2 6 3 4" xfId="2386" xr:uid="{00000000-0005-0000-0000-00004A090000}"/>
    <cellStyle name="Background 2 6 3 5" xfId="2387" xr:uid="{00000000-0005-0000-0000-00004B090000}"/>
    <cellStyle name="Background 2 6 4" xfId="2388" xr:uid="{00000000-0005-0000-0000-00004C090000}"/>
    <cellStyle name="Background 2 6 4 2" xfId="2389" xr:uid="{00000000-0005-0000-0000-00004D090000}"/>
    <cellStyle name="Background 2 6 4 3" xfId="2390" xr:uid="{00000000-0005-0000-0000-00004E090000}"/>
    <cellStyle name="Background 2 6 4 4" xfId="2391" xr:uid="{00000000-0005-0000-0000-00004F090000}"/>
    <cellStyle name="Background 2 6 4 5" xfId="2392" xr:uid="{00000000-0005-0000-0000-000050090000}"/>
    <cellStyle name="Background 2 6 4 6" xfId="2393" xr:uid="{00000000-0005-0000-0000-000051090000}"/>
    <cellStyle name="Background 2 6 5" xfId="2394" xr:uid="{00000000-0005-0000-0000-000052090000}"/>
    <cellStyle name="Background 2 6 6" xfId="2395" xr:uid="{00000000-0005-0000-0000-000053090000}"/>
    <cellStyle name="Background 2 6 7" xfId="2396" xr:uid="{00000000-0005-0000-0000-000054090000}"/>
    <cellStyle name="Background 2 7" xfId="2397" xr:uid="{00000000-0005-0000-0000-000055090000}"/>
    <cellStyle name="Background 2 7 2" xfId="2398" xr:uid="{00000000-0005-0000-0000-000056090000}"/>
    <cellStyle name="Background 2 7 2 2" xfId="2399" xr:uid="{00000000-0005-0000-0000-000057090000}"/>
    <cellStyle name="Background 2 7 2 2 2" xfId="2400" xr:uid="{00000000-0005-0000-0000-000058090000}"/>
    <cellStyle name="Background 2 7 2 2 3" xfId="2401" xr:uid="{00000000-0005-0000-0000-000059090000}"/>
    <cellStyle name="Background 2 7 2 2 4" xfId="2402" xr:uid="{00000000-0005-0000-0000-00005A090000}"/>
    <cellStyle name="Background 2 7 2 2 5" xfId="2403" xr:uid="{00000000-0005-0000-0000-00005B090000}"/>
    <cellStyle name="Background 2 7 2 2 6" xfId="2404" xr:uid="{00000000-0005-0000-0000-00005C090000}"/>
    <cellStyle name="Background 2 7 2 3" xfId="2405" xr:uid="{00000000-0005-0000-0000-00005D090000}"/>
    <cellStyle name="Background 2 7 2 4" xfId="2406" xr:uid="{00000000-0005-0000-0000-00005E090000}"/>
    <cellStyle name="Background 2 7 2 5" xfId="2407" xr:uid="{00000000-0005-0000-0000-00005F090000}"/>
    <cellStyle name="Background 2 7 3" xfId="2408" xr:uid="{00000000-0005-0000-0000-000060090000}"/>
    <cellStyle name="Background 2 7 3 2" xfId="2409" xr:uid="{00000000-0005-0000-0000-000061090000}"/>
    <cellStyle name="Background 2 7 3 2 2" xfId="2410" xr:uid="{00000000-0005-0000-0000-000062090000}"/>
    <cellStyle name="Background 2 7 3 2 3" xfId="2411" xr:uid="{00000000-0005-0000-0000-000063090000}"/>
    <cellStyle name="Background 2 7 3 2 4" xfId="2412" xr:uid="{00000000-0005-0000-0000-000064090000}"/>
    <cellStyle name="Background 2 7 3 2 5" xfId="2413" xr:uid="{00000000-0005-0000-0000-000065090000}"/>
    <cellStyle name="Background 2 7 3 2 6" xfId="2414" xr:uid="{00000000-0005-0000-0000-000066090000}"/>
    <cellStyle name="Background 2 7 3 3" xfId="2415" xr:uid="{00000000-0005-0000-0000-000067090000}"/>
    <cellStyle name="Background 2 7 3 4" xfId="2416" xr:uid="{00000000-0005-0000-0000-000068090000}"/>
    <cellStyle name="Background 2 7 3 5" xfId="2417" xr:uid="{00000000-0005-0000-0000-000069090000}"/>
    <cellStyle name="Background 2 7 4" xfId="2418" xr:uid="{00000000-0005-0000-0000-00006A090000}"/>
    <cellStyle name="Background 2 7 4 2" xfId="2419" xr:uid="{00000000-0005-0000-0000-00006B090000}"/>
    <cellStyle name="Background 2 7 4 3" xfId="2420" xr:uid="{00000000-0005-0000-0000-00006C090000}"/>
    <cellStyle name="Background 2 7 4 4" xfId="2421" xr:uid="{00000000-0005-0000-0000-00006D090000}"/>
    <cellStyle name="Background 2 7 4 5" xfId="2422" xr:uid="{00000000-0005-0000-0000-00006E090000}"/>
    <cellStyle name="Background 2 7 4 6" xfId="2423" xr:uid="{00000000-0005-0000-0000-00006F090000}"/>
    <cellStyle name="Background 2 7 5" xfId="2424" xr:uid="{00000000-0005-0000-0000-000070090000}"/>
    <cellStyle name="Background 2 7 6" xfId="2425" xr:uid="{00000000-0005-0000-0000-000071090000}"/>
    <cellStyle name="Background 2 7 7" xfId="2426" xr:uid="{00000000-0005-0000-0000-000072090000}"/>
    <cellStyle name="Background 2 8" xfId="2427" xr:uid="{00000000-0005-0000-0000-000073090000}"/>
    <cellStyle name="Background 2 8 2" xfId="2428" xr:uid="{00000000-0005-0000-0000-000074090000}"/>
    <cellStyle name="Background 2 8 2 2" xfId="2429" xr:uid="{00000000-0005-0000-0000-000075090000}"/>
    <cellStyle name="Background 2 8 2 3" xfId="2430" xr:uid="{00000000-0005-0000-0000-000076090000}"/>
    <cellStyle name="Background 2 8 2 4" xfId="2431" xr:uid="{00000000-0005-0000-0000-000077090000}"/>
    <cellStyle name="Background 2 8 2 5" xfId="2432" xr:uid="{00000000-0005-0000-0000-000078090000}"/>
    <cellStyle name="Background 2 8 2 6" xfId="2433" xr:uid="{00000000-0005-0000-0000-000079090000}"/>
    <cellStyle name="Background 2 8 3" xfId="2434" xr:uid="{00000000-0005-0000-0000-00007A090000}"/>
    <cellStyle name="Background 2 8 4" xfId="2435" xr:uid="{00000000-0005-0000-0000-00007B090000}"/>
    <cellStyle name="Background 2 8 5" xfId="2436" xr:uid="{00000000-0005-0000-0000-00007C090000}"/>
    <cellStyle name="Background 2 9" xfId="2437" xr:uid="{00000000-0005-0000-0000-00007D090000}"/>
    <cellStyle name="Background 2 9 2" xfId="2438" xr:uid="{00000000-0005-0000-0000-00007E090000}"/>
    <cellStyle name="Background 2 9 2 2" xfId="2439" xr:uid="{00000000-0005-0000-0000-00007F090000}"/>
    <cellStyle name="Background 2 9 2 3" xfId="2440" xr:uid="{00000000-0005-0000-0000-000080090000}"/>
    <cellStyle name="Background 2 9 2 4" xfId="2441" xr:uid="{00000000-0005-0000-0000-000081090000}"/>
    <cellStyle name="Background 2 9 2 5" xfId="2442" xr:uid="{00000000-0005-0000-0000-000082090000}"/>
    <cellStyle name="Background 2 9 2 6" xfId="2443" xr:uid="{00000000-0005-0000-0000-000083090000}"/>
    <cellStyle name="Background 2 9 3" xfId="2444" xr:uid="{00000000-0005-0000-0000-000084090000}"/>
    <cellStyle name="Background 2 9 4" xfId="2445" xr:uid="{00000000-0005-0000-0000-000085090000}"/>
    <cellStyle name="Background 2 9 5" xfId="2446" xr:uid="{00000000-0005-0000-0000-000086090000}"/>
    <cellStyle name="Background 3" xfId="2447" xr:uid="{00000000-0005-0000-0000-000087090000}"/>
    <cellStyle name="Background 3 10" xfId="2448" xr:uid="{00000000-0005-0000-0000-000088090000}"/>
    <cellStyle name="Background 3 10 2" xfId="2449" xr:uid="{00000000-0005-0000-0000-000089090000}"/>
    <cellStyle name="Background 3 10 3" xfId="2450" xr:uid="{00000000-0005-0000-0000-00008A090000}"/>
    <cellStyle name="Background 3 10 4" xfId="2451" xr:uid="{00000000-0005-0000-0000-00008B090000}"/>
    <cellStyle name="Background 3 10 5" xfId="2452" xr:uid="{00000000-0005-0000-0000-00008C090000}"/>
    <cellStyle name="Background 3 10 6" xfId="2453" xr:uid="{00000000-0005-0000-0000-00008D090000}"/>
    <cellStyle name="Background 3 11" xfId="2454" xr:uid="{00000000-0005-0000-0000-00008E090000}"/>
    <cellStyle name="Background 3 12" xfId="2455" xr:uid="{00000000-0005-0000-0000-00008F090000}"/>
    <cellStyle name="Background 3 13" xfId="2456" xr:uid="{00000000-0005-0000-0000-000090090000}"/>
    <cellStyle name="Background 3 2" xfId="2457" xr:uid="{00000000-0005-0000-0000-000091090000}"/>
    <cellStyle name="Background 3 2 10" xfId="2458" xr:uid="{00000000-0005-0000-0000-000092090000}"/>
    <cellStyle name="Background 3 2 11" xfId="2459" xr:uid="{00000000-0005-0000-0000-000093090000}"/>
    <cellStyle name="Background 3 2 12" xfId="2460" xr:uid="{00000000-0005-0000-0000-000094090000}"/>
    <cellStyle name="Background 3 2 2" xfId="2461" xr:uid="{00000000-0005-0000-0000-000095090000}"/>
    <cellStyle name="Background 3 2 2 10" xfId="2462" xr:uid="{00000000-0005-0000-0000-000096090000}"/>
    <cellStyle name="Background 3 2 2 10 2" xfId="2463" xr:uid="{00000000-0005-0000-0000-000097090000}"/>
    <cellStyle name="Background 3 2 2 10 3" xfId="2464" xr:uid="{00000000-0005-0000-0000-000098090000}"/>
    <cellStyle name="Background 3 2 2 10 4" xfId="2465" xr:uid="{00000000-0005-0000-0000-000099090000}"/>
    <cellStyle name="Background 3 2 2 10 5" xfId="2466" xr:uid="{00000000-0005-0000-0000-00009A090000}"/>
    <cellStyle name="Background 3 2 2 10 6" xfId="2467" xr:uid="{00000000-0005-0000-0000-00009B090000}"/>
    <cellStyle name="Background 3 2 2 11" xfId="2468" xr:uid="{00000000-0005-0000-0000-00009C090000}"/>
    <cellStyle name="Background 3 2 2 12" xfId="2469" xr:uid="{00000000-0005-0000-0000-00009D090000}"/>
    <cellStyle name="Background 3 2 2 13" xfId="2470" xr:uid="{00000000-0005-0000-0000-00009E090000}"/>
    <cellStyle name="Background 3 2 2 2" xfId="2471" xr:uid="{00000000-0005-0000-0000-00009F090000}"/>
    <cellStyle name="Background 3 2 2 2 10" xfId="2472" xr:uid="{00000000-0005-0000-0000-0000A0090000}"/>
    <cellStyle name="Background 3 2 2 2 11" xfId="2473" xr:uid="{00000000-0005-0000-0000-0000A1090000}"/>
    <cellStyle name="Background 3 2 2 2 12" xfId="2474" xr:uid="{00000000-0005-0000-0000-0000A2090000}"/>
    <cellStyle name="Background 3 2 2 2 2" xfId="2475" xr:uid="{00000000-0005-0000-0000-0000A3090000}"/>
    <cellStyle name="Background 3 2 2 2 2 2" xfId="2476" xr:uid="{00000000-0005-0000-0000-0000A4090000}"/>
    <cellStyle name="Background 3 2 2 2 2 2 2" xfId="2477" xr:uid="{00000000-0005-0000-0000-0000A5090000}"/>
    <cellStyle name="Background 3 2 2 2 2 2 2 2" xfId="2478" xr:uid="{00000000-0005-0000-0000-0000A6090000}"/>
    <cellStyle name="Background 3 2 2 2 2 2 2 3" xfId="2479" xr:uid="{00000000-0005-0000-0000-0000A7090000}"/>
    <cellStyle name="Background 3 2 2 2 2 2 2 4" xfId="2480" xr:uid="{00000000-0005-0000-0000-0000A8090000}"/>
    <cellStyle name="Background 3 2 2 2 2 2 2 5" xfId="2481" xr:uid="{00000000-0005-0000-0000-0000A9090000}"/>
    <cellStyle name="Background 3 2 2 2 2 2 2 6" xfId="2482" xr:uid="{00000000-0005-0000-0000-0000AA090000}"/>
    <cellStyle name="Background 3 2 2 2 2 2 3" xfId="2483" xr:uid="{00000000-0005-0000-0000-0000AB090000}"/>
    <cellStyle name="Background 3 2 2 2 2 2 4" xfId="2484" xr:uid="{00000000-0005-0000-0000-0000AC090000}"/>
    <cellStyle name="Background 3 2 2 2 2 2 5" xfId="2485" xr:uid="{00000000-0005-0000-0000-0000AD090000}"/>
    <cellStyle name="Background 3 2 2 2 2 3" xfId="2486" xr:uid="{00000000-0005-0000-0000-0000AE090000}"/>
    <cellStyle name="Background 3 2 2 2 2 3 2" xfId="2487" xr:uid="{00000000-0005-0000-0000-0000AF090000}"/>
    <cellStyle name="Background 3 2 2 2 2 3 2 2" xfId="2488" xr:uid="{00000000-0005-0000-0000-0000B0090000}"/>
    <cellStyle name="Background 3 2 2 2 2 3 2 3" xfId="2489" xr:uid="{00000000-0005-0000-0000-0000B1090000}"/>
    <cellStyle name="Background 3 2 2 2 2 3 2 4" xfId="2490" xr:uid="{00000000-0005-0000-0000-0000B2090000}"/>
    <cellStyle name="Background 3 2 2 2 2 3 2 5" xfId="2491" xr:uid="{00000000-0005-0000-0000-0000B3090000}"/>
    <cellStyle name="Background 3 2 2 2 2 3 2 6" xfId="2492" xr:uid="{00000000-0005-0000-0000-0000B4090000}"/>
    <cellStyle name="Background 3 2 2 2 2 3 3" xfId="2493" xr:uid="{00000000-0005-0000-0000-0000B5090000}"/>
    <cellStyle name="Background 3 2 2 2 2 3 4" xfId="2494" xr:uid="{00000000-0005-0000-0000-0000B6090000}"/>
    <cellStyle name="Background 3 2 2 2 2 3 5" xfId="2495" xr:uid="{00000000-0005-0000-0000-0000B7090000}"/>
    <cellStyle name="Background 3 2 2 2 2 4" xfId="2496" xr:uid="{00000000-0005-0000-0000-0000B8090000}"/>
    <cellStyle name="Background 3 2 2 2 2 4 2" xfId="2497" xr:uid="{00000000-0005-0000-0000-0000B9090000}"/>
    <cellStyle name="Background 3 2 2 2 2 4 3" xfId="2498" xr:uid="{00000000-0005-0000-0000-0000BA090000}"/>
    <cellStyle name="Background 3 2 2 2 2 4 4" xfId="2499" xr:uid="{00000000-0005-0000-0000-0000BB090000}"/>
    <cellStyle name="Background 3 2 2 2 2 4 5" xfId="2500" xr:uid="{00000000-0005-0000-0000-0000BC090000}"/>
    <cellStyle name="Background 3 2 2 2 2 4 6" xfId="2501" xr:uid="{00000000-0005-0000-0000-0000BD090000}"/>
    <cellStyle name="Background 3 2 2 2 2 5" xfId="2502" xr:uid="{00000000-0005-0000-0000-0000BE090000}"/>
    <cellStyle name="Background 3 2 2 2 2 6" xfId="2503" xr:uid="{00000000-0005-0000-0000-0000BF090000}"/>
    <cellStyle name="Background 3 2 2 2 2 7" xfId="2504" xr:uid="{00000000-0005-0000-0000-0000C0090000}"/>
    <cellStyle name="Background 3 2 2 2 3" xfId="2505" xr:uid="{00000000-0005-0000-0000-0000C1090000}"/>
    <cellStyle name="Background 3 2 2 2 3 2" xfId="2506" xr:uid="{00000000-0005-0000-0000-0000C2090000}"/>
    <cellStyle name="Background 3 2 2 2 3 2 2" xfId="2507" xr:uid="{00000000-0005-0000-0000-0000C3090000}"/>
    <cellStyle name="Background 3 2 2 2 3 2 2 2" xfId="2508" xr:uid="{00000000-0005-0000-0000-0000C4090000}"/>
    <cellStyle name="Background 3 2 2 2 3 2 2 3" xfId="2509" xr:uid="{00000000-0005-0000-0000-0000C5090000}"/>
    <cellStyle name="Background 3 2 2 2 3 2 2 4" xfId="2510" xr:uid="{00000000-0005-0000-0000-0000C6090000}"/>
    <cellStyle name="Background 3 2 2 2 3 2 2 5" xfId="2511" xr:uid="{00000000-0005-0000-0000-0000C7090000}"/>
    <cellStyle name="Background 3 2 2 2 3 2 2 6" xfId="2512" xr:uid="{00000000-0005-0000-0000-0000C8090000}"/>
    <cellStyle name="Background 3 2 2 2 3 2 3" xfId="2513" xr:uid="{00000000-0005-0000-0000-0000C9090000}"/>
    <cellStyle name="Background 3 2 2 2 3 2 4" xfId="2514" xr:uid="{00000000-0005-0000-0000-0000CA090000}"/>
    <cellStyle name="Background 3 2 2 2 3 2 5" xfId="2515" xr:uid="{00000000-0005-0000-0000-0000CB090000}"/>
    <cellStyle name="Background 3 2 2 2 3 3" xfId="2516" xr:uid="{00000000-0005-0000-0000-0000CC090000}"/>
    <cellStyle name="Background 3 2 2 2 3 3 2" xfId="2517" xr:uid="{00000000-0005-0000-0000-0000CD090000}"/>
    <cellStyle name="Background 3 2 2 2 3 3 2 2" xfId="2518" xr:uid="{00000000-0005-0000-0000-0000CE090000}"/>
    <cellStyle name="Background 3 2 2 2 3 3 2 3" xfId="2519" xr:uid="{00000000-0005-0000-0000-0000CF090000}"/>
    <cellStyle name="Background 3 2 2 2 3 3 2 4" xfId="2520" xr:uid="{00000000-0005-0000-0000-0000D0090000}"/>
    <cellStyle name="Background 3 2 2 2 3 3 2 5" xfId="2521" xr:uid="{00000000-0005-0000-0000-0000D1090000}"/>
    <cellStyle name="Background 3 2 2 2 3 3 2 6" xfId="2522" xr:uid="{00000000-0005-0000-0000-0000D2090000}"/>
    <cellStyle name="Background 3 2 2 2 3 3 3" xfId="2523" xr:uid="{00000000-0005-0000-0000-0000D3090000}"/>
    <cellStyle name="Background 3 2 2 2 3 3 4" xfId="2524" xr:uid="{00000000-0005-0000-0000-0000D4090000}"/>
    <cellStyle name="Background 3 2 2 2 3 3 5" xfId="2525" xr:uid="{00000000-0005-0000-0000-0000D5090000}"/>
    <cellStyle name="Background 3 2 2 2 3 4" xfId="2526" xr:uid="{00000000-0005-0000-0000-0000D6090000}"/>
    <cellStyle name="Background 3 2 2 2 3 4 2" xfId="2527" xr:uid="{00000000-0005-0000-0000-0000D7090000}"/>
    <cellStyle name="Background 3 2 2 2 3 4 3" xfId="2528" xr:uid="{00000000-0005-0000-0000-0000D8090000}"/>
    <cellStyle name="Background 3 2 2 2 3 4 4" xfId="2529" xr:uid="{00000000-0005-0000-0000-0000D9090000}"/>
    <cellStyle name="Background 3 2 2 2 3 4 5" xfId="2530" xr:uid="{00000000-0005-0000-0000-0000DA090000}"/>
    <cellStyle name="Background 3 2 2 2 3 4 6" xfId="2531" xr:uid="{00000000-0005-0000-0000-0000DB090000}"/>
    <cellStyle name="Background 3 2 2 2 3 5" xfId="2532" xr:uid="{00000000-0005-0000-0000-0000DC090000}"/>
    <cellStyle name="Background 3 2 2 2 3 6" xfId="2533" xr:uid="{00000000-0005-0000-0000-0000DD090000}"/>
    <cellStyle name="Background 3 2 2 2 3 7" xfId="2534" xr:uid="{00000000-0005-0000-0000-0000DE090000}"/>
    <cellStyle name="Background 3 2 2 2 4" xfId="2535" xr:uid="{00000000-0005-0000-0000-0000DF090000}"/>
    <cellStyle name="Background 3 2 2 2 4 2" xfId="2536" xr:uid="{00000000-0005-0000-0000-0000E0090000}"/>
    <cellStyle name="Background 3 2 2 2 4 2 2" xfId="2537" xr:uid="{00000000-0005-0000-0000-0000E1090000}"/>
    <cellStyle name="Background 3 2 2 2 4 2 2 2" xfId="2538" xr:uid="{00000000-0005-0000-0000-0000E2090000}"/>
    <cellStyle name="Background 3 2 2 2 4 2 2 3" xfId="2539" xr:uid="{00000000-0005-0000-0000-0000E3090000}"/>
    <cellStyle name="Background 3 2 2 2 4 2 2 4" xfId="2540" xr:uid="{00000000-0005-0000-0000-0000E4090000}"/>
    <cellStyle name="Background 3 2 2 2 4 2 2 5" xfId="2541" xr:uid="{00000000-0005-0000-0000-0000E5090000}"/>
    <cellStyle name="Background 3 2 2 2 4 2 2 6" xfId="2542" xr:uid="{00000000-0005-0000-0000-0000E6090000}"/>
    <cellStyle name="Background 3 2 2 2 4 2 3" xfId="2543" xr:uid="{00000000-0005-0000-0000-0000E7090000}"/>
    <cellStyle name="Background 3 2 2 2 4 2 4" xfId="2544" xr:uid="{00000000-0005-0000-0000-0000E8090000}"/>
    <cellStyle name="Background 3 2 2 2 4 2 5" xfId="2545" xr:uid="{00000000-0005-0000-0000-0000E9090000}"/>
    <cellStyle name="Background 3 2 2 2 4 3" xfId="2546" xr:uid="{00000000-0005-0000-0000-0000EA090000}"/>
    <cellStyle name="Background 3 2 2 2 4 3 2" xfId="2547" xr:uid="{00000000-0005-0000-0000-0000EB090000}"/>
    <cellStyle name="Background 3 2 2 2 4 3 2 2" xfId="2548" xr:uid="{00000000-0005-0000-0000-0000EC090000}"/>
    <cellStyle name="Background 3 2 2 2 4 3 2 3" xfId="2549" xr:uid="{00000000-0005-0000-0000-0000ED090000}"/>
    <cellStyle name="Background 3 2 2 2 4 3 2 4" xfId="2550" xr:uid="{00000000-0005-0000-0000-0000EE090000}"/>
    <cellStyle name="Background 3 2 2 2 4 3 2 5" xfId="2551" xr:uid="{00000000-0005-0000-0000-0000EF090000}"/>
    <cellStyle name="Background 3 2 2 2 4 3 2 6" xfId="2552" xr:uid="{00000000-0005-0000-0000-0000F0090000}"/>
    <cellStyle name="Background 3 2 2 2 4 3 3" xfId="2553" xr:uid="{00000000-0005-0000-0000-0000F1090000}"/>
    <cellStyle name="Background 3 2 2 2 4 3 4" xfId="2554" xr:uid="{00000000-0005-0000-0000-0000F2090000}"/>
    <cellStyle name="Background 3 2 2 2 4 3 5" xfId="2555" xr:uid="{00000000-0005-0000-0000-0000F3090000}"/>
    <cellStyle name="Background 3 2 2 2 4 4" xfId="2556" xr:uid="{00000000-0005-0000-0000-0000F4090000}"/>
    <cellStyle name="Background 3 2 2 2 4 4 2" xfId="2557" xr:uid="{00000000-0005-0000-0000-0000F5090000}"/>
    <cellStyle name="Background 3 2 2 2 4 4 3" xfId="2558" xr:uid="{00000000-0005-0000-0000-0000F6090000}"/>
    <cellStyle name="Background 3 2 2 2 4 4 4" xfId="2559" xr:uid="{00000000-0005-0000-0000-0000F7090000}"/>
    <cellStyle name="Background 3 2 2 2 4 4 5" xfId="2560" xr:uid="{00000000-0005-0000-0000-0000F8090000}"/>
    <cellStyle name="Background 3 2 2 2 4 4 6" xfId="2561" xr:uid="{00000000-0005-0000-0000-0000F9090000}"/>
    <cellStyle name="Background 3 2 2 2 4 5" xfId="2562" xr:uid="{00000000-0005-0000-0000-0000FA090000}"/>
    <cellStyle name="Background 3 2 2 2 4 6" xfId="2563" xr:uid="{00000000-0005-0000-0000-0000FB090000}"/>
    <cellStyle name="Background 3 2 2 2 4 7" xfId="2564" xr:uid="{00000000-0005-0000-0000-0000FC090000}"/>
    <cellStyle name="Background 3 2 2 2 5" xfId="2565" xr:uid="{00000000-0005-0000-0000-0000FD090000}"/>
    <cellStyle name="Background 3 2 2 2 5 2" xfId="2566" xr:uid="{00000000-0005-0000-0000-0000FE090000}"/>
    <cellStyle name="Background 3 2 2 2 5 2 2" xfId="2567" xr:uid="{00000000-0005-0000-0000-0000FF090000}"/>
    <cellStyle name="Background 3 2 2 2 5 2 2 2" xfId="2568" xr:uid="{00000000-0005-0000-0000-0000000A0000}"/>
    <cellStyle name="Background 3 2 2 2 5 2 2 3" xfId="2569" xr:uid="{00000000-0005-0000-0000-0000010A0000}"/>
    <cellStyle name="Background 3 2 2 2 5 2 2 4" xfId="2570" xr:uid="{00000000-0005-0000-0000-0000020A0000}"/>
    <cellStyle name="Background 3 2 2 2 5 2 2 5" xfId="2571" xr:uid="{00000000-0005-0000-0000-0000030A0000}"/>
    <cellStyle name="Background 3 2 2 2 5 2 2 6" xfId="2572" xr:uid="{00000000-0005-0000-0000-0000040A0000}"/>
    <cellStyle name="Background 3 2 2 2 5 2 3" xfId="2573" xr:uid="{00000000-0005-0000-0000-0000050A0000}"/>
    <cellStyle name="Background 3 2 2 2 5 2 4" xfId="2574" xr:uid="{00000000-0005-0000-0000-0000060A0000}"/>
    <cellStyle name="Background 3 2 2 2 5 2 5" xfId="2575" xr:uid="{00000000-0005-0000-0000-0000070A0000}"/>
    <cellStyle name="Background 3 2 2 2 5 3" xfId="2576" xr:uid="{00000000-0005-0000-0000-0000080A0000}"/>
    <cellStyle name="Background 3 2 2 2 5 3 2" xfId="2577" xr:uid="{00000000-0005-0000-0000-0000090A0000}"/>
    <cellStyle name="Background 3 2 2 2 5 3 2 2" xfId="2578" xr:uid="{00000000-0005-0000-0000-00000A0A0000}"/>
    <cellStyle name="Background 3 2 2 2 5 3 2 3" xfId="2579" xr:uid="{00000000-0005-0000-0000-00000B0A0000}"/>
    <cellStyle name="Background 3 2 2 2 5 3 2 4" xfId="2580" xr:uid="{00000000-0005-0000-0000-00000C0A0000}"/>
    <cellStyle name="Background 3 2 2 2 5 3 2 5" xfId="2581" xr:uid="{00000000-0005-0000-0000-00000D0A0000}"/>
    <cellStyle name="Background 3 2 2 2 5 3 2 6" xfId="2582" xr:uid="{00000000-0005-0000-0000-00000E0A0000}"/>
    <cellStyle name="Background 3 2 2 2 5 3 3" xfId="2583" xr:uid="{00000000-0005-0000-0000-00000F0A0000}"/>
    <cellStyle name="Background 3 2 2 2 5 3 4" xfId="2584" xr:uid="{00000000-0005-0000-0000-0000100A0000}"/>
    <cellStyle name="Background 3 2 2 2 5 3 5" xfId="2585" xr:uid="{00000000-0005-0000-0000-0000110A0000}"/>
    <cellStyle name="Background 3 2 2 2 5 4" xfId="2586" xr:uid="{00000000-0005-0000-0000-0000120A0000}"/>
    <cellStyle name="Background 3 2 2 2 5 4 2" xfId="2587" xr:uid="{00000000-0005-0000-0000-0000130A0000}"/>
    <cellStyle name="Background 3 2 2 2 5 4 3" xfId="2588" xr:uid="{00000000-0005-0000-0000-0000140A0000}"/>
    <cellStyle name="Background 3 2 2 2 5 4 4" xfId="2589" xr:uid="{00000000-0005-0000-0000-0000150A0000}"/>
    <cellStyle name="Background 3 2 2 2 5 4 5" xfId="2590" xr:uid="{00000000-0005-0000-0000-0000160A0000}"/>
    <cellStyle name="Background 3 2 2 2 5 4 6" xfId="2591" xr:uid="{00000000-0005-0000-0000-0000170A0000}"/>
    <cellStyle name="Background 3 2 2 2 5 5" xfId="2592" xr:uid="{00000000-0005-0000-0000-0000180A0000}"/>
    <cellStyle name="Background 3 2 2 2 5 6" xfId="2593" xr:uid="{00000000-0005-0000-0000-0000190A0000}"/>
    <cellStyle name="Background 3 2 2 2 5 7" xfId="2594" xr:uid="{00000000-0005-0000-0000-00001A0A0000}"/>
    <cellStyle name="Background 3 2 2 2 6" xfId="2595" xr:uid="{00000000-0005-0000-0000-00001B0A0000}"/>
    <cellStyle name="Background 3 2 2 2 6 2" xfId="2596" xr:uid="{00000000-0005-0000-0000-00001C0A0000}"/>
    <cellStyle name="Background 3 2 2 2 6 2 2" xfId="2597" xr:uid="{00000000-0005-0000-0000-00001D0A0000}"/>
    <cellStyle name="Background 3 2 2 2 6 2 2 2" xfId="2598" xr:uid="{00000000-0005-0000-0000-00001E0A0000}"/>
    <cellStyle name="Background 3 2 2 2 6 2 2 3" xfId="2599" xr:uid="{00000000-0005-0000-0000-00001F0A0000}"/>
    <cellStyle name="Background 3 2 2 2 6 2 2 4" xfId="2600" xr:uid="{00000000-0005-0000-0000-0000200A0000}"/>
    <cellStyle name="Background 3 2 2 2 6 2 2 5" xfId="2601" xr:uid="{00000000-0005-0000-0000-0000210A0000}"/>
    <cellStyle name="Background 3 2 2 2 6 2 2 6" xfId="2602" xr:uid="{00000000-0005-0000-0000-0000220A0000}"/>
    <cellStyle name="Background 3 2 2 2 6 2 3" xfId="2603" xr:uid="{00000000-0005-0000-0000-0000230A0000}"/>
    <cellStyle name="Background 3 2 2 2 6 2 4" xfId="2604" xr:uid="{00000000-0005-0000-0000-0000240A0000}"/>
    <cellStyle name="Background 3 2 2 2 6 2 5" xfId="2605" xr:uid="{00000000-0005-0000-0000-0000250A0000}"/>
    <cellStyle name="Background 3 2 2 2 6 3" xfId="2606" xr:uid="{00000000-0005-0000-0000-0000260A0000}"/>
    <cellStyle name="Background 3 2 2 2 6 3 2" xfId="2607" xr:uid="{00000000-0005-0000-0000-0000270A0000}"/>
    <cellStyle name="Background 3 2 2 2 6 3 2 2" xfId="2608" xr:uid="{00000000-0005-0000-0000-0000280A0000}"/>
    <cellStyle name="Background 3 2 2 2 6 3 2 3" xfId="2609" xr:uid="{00000000-0005-0000-0000-0000290A0000}"/>
    <cellStyle name="Background 3 2 2 2 6 3 2 4" xfId="2610" xr:uid="{00000000-0005-0000-0000-00002A0A0000}"/>
    <cellStyle name="Background 3 2 2 2 6 3 2 5" xfId="2611" xr:uid="{00000000-0005-0000-0000-00002B0A0000}"/>
    <cellStyle name="Background 3 2 2 2 6 3 2 6" xfId="2612" xr:uid="{00000000-0005-0000-0000-00002C0A0000}"/>
    <cellStyle name="Background 3 2 2 2 6 3 3" xfId="2613" xr:uid="{00000000-0005-0000-0000-00002D0A0000}"/>
    <cellStyle name="Background 3 2 2 2 6 3 4" xfId="2614" xr:uid="{00000000-0005-0000-0000-00002E0A0000}"/>
    <cellStyle name="Background 3 2 2 2 6 3 5" xfId="2615" xr:uid="{00000000-0005-0000-0000-00002F0A0000}"/>
    <cellStyle name="Background 3 2 2 2 6 4" xfId="2616" xr:uid="{00000000-0005-0000-0000-0000300A0000}"/>
    <cellStyle name="Background 3 2 2 2 6 4 2" xfId="2617" xr:uid="{00000000-0005-0000-0000-0000310A0000}"/>
    <cellStyle name="Background 3 2 2 2 6 4 3" xfId="2618" xr:uid="{00000000-0005-0000-0000-0000320A0000}"/>
    <cellStyle name="Background 3 2 2 2 6 4 4" xfId="2619" xr:uid="{00000000-0005-0000-0000-0000330A0000}"/>
    <cellStyle name="Background 3 2 2 2 6 4 5" xfId="2620" xr:uid="{00000000-0005-0000-0000-0000340A0000}"/>
    <cellStyle name="Background 3 2 2 2 6 4 6" xfId="2621" xr:uid="{00000000-0005-0000-0000-0000350A0000}"/>
    <cellStyle name="Background 3 2 2 2 6 5" xfId="2622" xr:uid="{00000000-0005-0000-0000-0000360A0000}"/>
    <cellStyle name="Background 3 2 2 2 6 6" xfId="2623" xr:uid="{00000000-0005-0000-0000-0000370A0000}"/>
    <cellStyle name="Background 3 2 2 2 6 7" xfId="2624" xr:uid="{00000000-0005-0000-0000-0000380A0000}"/>
    <cellStyle name="Background 3 2 2 2 7" xfId="2625" xr:uid="{00000000-0005-0000-0000-0000390A0000}"/>
    <cellStyle name="Background 3 2 2 2 7 2" xfId="2626" xr:uid="{00000000-0005-0000-0000-00003A0A0000}"/>
    <cellStyle name="Background 3 2 2 2 7 2 2" xfId="2627" xr:uid="{00000000-0005-0000-0000-00003B0A0000}"/>
    <cellStyle name="Background 3 2 2 2 7 2 3" xfId="2628" xr:uid="{00000000-0005-0000-0000-00003C0A0000}"/>
    <cellStyle name="Background 3 2 2 2 7 2 4" xfId="2629" xr:uid="{00000000-0005-0000-0000-00003D0A0000}"/>
    <cellStyle name="Background 3 2 2 2 7 2 5" xfId="2630" xr:uid="{00000000-0005-0000-0000-00003E0A0000}"/>
    <cellStyle name="Background 3 2 2 2 7 2 6" xfId="2631" xr:uid="{00000000-0005-0000-0000-00003F0A0000}"/>
    <cellStyle name="Background 3 2 2 2 7 3" xfId="2632" xr:uid="{00000000-0005-0000-0000-0000400A0000}"/>
    <cellStyle name="Background 3 2 2 2 7 4" xfId="2633" xr:uid="{00000000-0005-0000-0000-0000410A0000}"/>
    <cellStyle name="Background 3 2 2 2 7 5" xfId="2634" xr:uid="{00000000-0005-0000-0000-0000420A0000}"/>
    <cellStyle name="Background 3 2 2 2 8" xfId="2635" xr:uid="{00000000-0005-0000-0000-0000430A0000}"/>
    <cellStyle name="Background 3 2 2 2 8 2" xfId="2636" xr:uid="{00000000-0005-0000-0000-0000440A0000}"/>
    <cellStyle name="Background 3 2 2 2 8 2 2" xfId="2637" xr:uid="{00000000-0005-0000-0000-0000450A0000}"/>
    <cellStyle name="Background 3 2 2 2 8 2 3" xfId="2638" xr:uid="{00000000-0005-0000-0000-0000460A0000}"/>
    <cellStyle name="Background 3 2 2 2 8 2 4" xfId="2639" xr:uid="{00000000-0005-0000-0000-0000470A0000}"/>
    <cellStyle name="Background 3 2 2 2 8 2 5" xfId="2640" xr:uid="{00000000-0005-0000-0000-0000480A0000}"/>
    <cellStyle name="Background 3 2 2 2 8 2 6" xfId="2641" xr:uid="{00000000-0005-0000-0000-0000490A0000}"/>
    <cellStyle name="Background 3 2 2 2 8 3" xfId="2642" xr:uid="{00000000-0005-0000-0000-00004A0A0000}"/>
    <cellStyle name="Background 3 2 2 2 8 4" xfId="2643" xr:uid="{00000000-0005-0000-0000-00004B0A0000}"/>
    <cellStyle name="Background 3 2 2 2 8 5" xfId="2644" xr:uid="{00000000-0005-0000-0000-00004C0A0000}"/>
    <cellStyle name="Background 3 2 2 2 9" xfId="2645" xr:uid="{00000000-0005-0000-0000-00004D0A0000}"/>
    <cellStyle name="Background 3 2 2 2 9 2" xfId="2646" xr:uid="{00000000-0005-0000-0000-00004E0A0000}"/>
    <cellStyle name="Background 3 2 2 2 9 3" xfId="2647" xr:uid="{00000000-0005-0000-0000-00004F0A0000}"/>
    <cellStyle name="Background 3 2 2 2 9 4" xfId="2648" xr:uid="{00000000-0005-0000-0000-0000500A0000}"/>
    <cellStyle name="Background 3 2 2 2 9 5" xfId="2649" xr:uid="{00000000-0005-0000-0000-0000510A0000}"/>
    <cellStyle name="Background 3 2 2 2 9 6" xfId="2650" xr:uid="{00000000-0005-0000-0000-0000520A0000}"/>
    <cellStyle name="Background 3 2 2 3" xfId="2651" xr:uid="{00000000-0005-0000-0000-0000530A0000}"/>
    <cellStyle name="Background 3 2 2 3 2" xfId="2652" xr:uid="{00000000-0005-0000-0000-0000540A0000}"/>
    <cellStyle name="Background 3 2 2 3 2 2" xfId="2653" xr:uid="{00000000-0005-0000-0000-0000550A0000}"/>
    <cellStyle name="Background 3 2 2 3 2 2 2" xfId="2654" xr:uid="{00000000-0005-0000-0000-0000560A0000}"/>
    <cellStyle name="Background 3 2 2 3 2 2 3" xfId="2655" xr:uid="{00000000-0005-0000-0000-0000570A0000}"/>
    <cellStyle name="Background 3 2 2 3 2 2 4" xfId="2656" xr:uid="{00000000-0005-0000-0000-0000580A0000}"/>
    <cellStyle name="Background 3 2 2 3 2 2 5" xfId="2657" xr:uid="{00000000-0005-0000-0000-0000590A0000}"/>
    <cellStyle name="Background 3 2 2 3 2 2 6" xfId="2658" xr:uid="{00000000-0005-0000-0000-00005A0A0000}"/>
    <cellStyle name="Background 3 2 2 3 2 3" xfId="2659" xr:uid="{00000000-0005-0000-0000-00005B0A0000}"/>
    <cellStyle name="Background 3 2 2 3 2 4" xfId="2660" xr:uid="{00000000-0005-0000-0000-00005C0A0000}"/>
    <cellStyle name="Background 3 2 2 3 2 5" xfId="2661" xr:uid="{00000000-0005-0000-0000-00005D0A0000}"/>
    <cellStyle name="Background 3 2 2 3 3" xfId="2662" xr:uid="{00000000-0005-0000-0000-00005E0A0000}"/>
    <cellStyle name="Background 3 2 2 3 3 2" xfId="2663" xr:uid="{00000000-0005-0000-0000-00005F0A0000}"/>
    <cellStyle name="Background 3 2 2 3 3 2 2" xfId="2664" xr:uid="{00000000-0005-0000-0000-0000600A0000}"/>
    <cellStyle name="Background 3 2 2 3 3 2 3" xfId="2665" xr:uid="{00000000-0005-0000-0000-0000610A0000}"/>
    <cellStyle name="Background 3 2 2 3 3 2 4" xfId="2666" xr:uid="{00000000-0005-0000-0000-0000620A0000}"/>
    <cellStyle name="Background 3 2 2 3 3 2 5" xfId="2667" xr:uid="{00000000-0005-0000-0000-0000630A0000}"/>
    <cellStyle name="Background 3 2 2 3 3 2 6" xfId="2668" xr:uid="{00000000-0005-0000-0000-0000640A0000}"/>
    <cellStyle name="Background 3 2 2 3 3 3" xfId="2669" xr:uid="{00000000-0005-0000-0000-0000650A0000}"/>
    <cellStyle name="Background 3 2 2 3 3 4" xfId="2670" xr:uid="{00000000-0005-0000-0000-0000660A0000}"/>
    <cellStyle name="Background 3 2 2 3 3 5" xfId="2671" xr:uid="{00000000-0005-0000-0000-0000670A0000}"/>
    <cellStyle name="Background 3 2 2 3 4" xfId="2672" xr:uid="{00000000-0005-0000-0000-0000680A0000}"/>
    <cellStyle name="Background 3 2 2 3 4 2" xfId="2673" xr:uid="{00000000-0005-0000-0000-0000690A0000}"/>
    <cellStyle name="Background 3 2 2 3 4 3" xfId="2674" xr:uid="{00000000-0005-0000-0000-00006A0A0000}"/>
    <cellStyle name="Background 3 2 2 3 4 4" xfId="2675" xr:uid="{00000000-0005-0000-0000-00006B0A0000}"/>
    <cellStyle name="Background 3 2 2 3 4 5" xfId="2676" xr:uid="{00000000-0005-0000-0000-00006C0A0000}"/>
    <cellStyle name="Background 3 2 2 3 4 6" xfId="2677" xr:uid="{00000000-0005-0000-0000-00006D0A0000}"/>
    <cellStyle name="Background 3 2 2 3 5" xfId="2678" xr:uid="{00000000-0005-0000-0000-00006E0A0000}"/>
    <cellStyle name="Background 3 2 2 3 6" xfId="2679" xr:uid="{00000000-0005-0000-0000-00006F0A0000}"/>
    <cellStyle name="Background 3 2 2 3 7" xfId="2680" xr:uid="{00000000-0005-0000-0000-0000700A0000}"/>
    <cellStyle name="Background 3 2 2 4" xfId="2681" xr:uid="{00000000-0005-0000-0000-0000710A0000}"/>
    <cellStyle name="Background 3 2 2 4 2" xfId="2682" xr:uid="{00000000-0005-0000-0000-0000720A0000}"/>
    <cellStyle name="Background 3 2 2 4 2 2" xfId="2683" xr:uid="{00000000-0005-0000-0000-0000730A0000}"/>
    <cellStyle name="Background 3 2 2 4 2 2 2" xfId="2684" xr:uid="{00000000-0005-0000-0000-0000740A0000}"/>
    <cellStyle name="Background 3 2 2 4 2 2 3" xfId="2685" xr:uid="{00000000-0005-0000-0000-0000750A0000}"/>
    <cellStyle name="Background 3 2 2 4 2 2 4" xfId="2686" xr:uid="{00000000-0005-0000-0000-0000760A0000}"/>
    <cellStyle name="Background 3 2 2 4 2 2 5" xfId="2687" xr:uid="{00000000-0005-0000-0000-0000770A0000}"/>
    <cellStyle name="Background 3 2 2 4 2 2 6" xfId="2688" xr:uid="{00000000-0005-0000-0000-0000780A0000}"/>
    <cellStyle name="Background 3 2 2 4 2 3" xfId="2689" xr:uid="{00000000-0005-0000-0000-0000790A0000}"/>
    <cellStyle name="Background 3 2 2 4 2 4" xfId="2690" xr:uid="{00000000-0005-0000-0000-00007A0A0000}"/>
    <cellStyle name="Background 3 2 2 4 2 5" xfId="2691" xr:uid="{00000000-0005-0000-0000-00007B0A0000}"/>
    <cellStyle name="Background 3 2 2 4 3" xfId="2692" xr:uid="{00000000-0005-0000-0000-00007C0A0000}"/>
    <cellStyle name="Background 3 2 2 4 3 2" xfId="2693" xr:uid="{00000000-0005-0000-0000-00007D0A0000}"/>
    <cellStyle name="Background 3 2 2 4 3 2 2" xfId="2694" xr:uid="{00000000-0005-0000-0000-00007E0A0000}"/>
    <cellStyle name="Background 3 2 2 4 3 2 3" xfId="2695" xr:uid="{00000000-0005-0000-0000-00007F0A0000}"/>
    <cellStyle name="Background 3 2 2 4 3 2 4" xfId="2696" xr:uid="{00000000-0005-0000-0000-0000800A0000}"/>
    <cellStyle name="Background 3 2 2 4 3 2 5" xfId="2697" xr:uid="{00000000-0005-0000-0000-0000810A0000}"/>
    <cellStyle name="Background 3 2 2 4 3 2 6" xfId="2698" xr:uid="{00000000-0005-0000-0000-0000820A0000}"/>
    <cellStyle name="Background 3 2 2 4 3 3" xfId="2699" xr:uid="{00000000-0005-0000-0000-0000830A0000}"/>
    <cellStyle name="Background 3 2 2 4 3 4" xfId="2700" xr:uid="{00000000-0005-0000-0000-0000840A0000}"/>
    <cellStyle name="Background 3 2 2 4 3 5" xfId="2701" xr:uid="{00000000-0005-0000-0000-0000850A0000}"/>
    <cellStyle name="Background 3 2 2 4 4" xfId="2702" xr:uid="{00000000-0005-0000-0000-0000860A0000}"/>
    <cellStyle name="Background 3 2 2 4 4 2" xfId="2703" xr:uid="{00000000-0005-0000-0000-0000870A0000}"/>
    <cellStyle name="Background 3 2 2 4 4 3" xfId="2704" xr:uid="{00000000-0005-0000-0000-0000880A0000}"/>
    <cellStyle name="Background 3 2 2 4 4 4" xfId="2705" xr:uid="{00000000-0005-0000-0000-0000890A0000}"/>
    <cellStyle name="Background 3 2 2 4 4 5" xfId="2706" xr:uid="{00000000-0005-0000-0000-00008A0A0000}"/>
    <cellStyle name="Background 3 2 2 4 4 6" xfId="2707" xr:uid="{00000000-0005-0000-0000-00008B0A0000}"/>
    <cellStyle name="Background 3 2 2 4 5" xfId="2708" xr:uid="{00000000-0005-0000-0000-00008C0A0000}"/>
    <cellStyle name="Background 3 2 2 4 6" xfId="2709" xr:uid="{00000000-0005-0000-0000-00008D0A0000}"/>
    <cellStyle name="Background 3 2 2 4 7" xfId="2710" xr:uid="{00000000-0005-0000-0000-00008E0A0000}"/>
    <cellStyle name="Background 3 2 2 5" xfId="2711" xr:uid="{00000000-0005-0000-0000-00008F0A0000}"/>
    <cellStyle name="Background 3 2 2 5 2" xfId="2712" xr:uid="{00000000-0005-0000-0000-0000900A0000}"/>
    <cellStyle name="Background 3 2 2 5 2 2" xfId="2713" xr:uid="{00000000-0005-0000-0000-0000910A0000}"/>
    <cellStyle name="Background 3 2 2 5 2 2 2" xfId="2714" xr:uid="{00000000-0005-0000-0000-0000920A0000}"/>
    <cellStyle name="Background 3 2 2 5 2 2 3" xfId="2715" xr:uid="{00000000-0005-0000-0000-0000930A0000}"/>
    <cellStyle name="Background 3 2 2 5 2 2 4" xfId="2716" xr:uid="{00000000-0005-0000-0000-0000940A0000}"/>
    <cellStyle name="Background 3 2 2 5 2 2 5" xfId="2717" xr:uid="{00000000-0005-0000-0000-0000950A0000}"/>
    <cellStyle name="Background 3 2 2 5 2 2 6" xfId="2718" xr:uid="{00000000-0005-0000-0000-0000960A0000}"/>
    <cellStyle name="Background 3 2 2 5 2 3" xfId="2719" xr:uid="{00000000-0005-0000-0000-0000970A0000}"/>
    <cellStyle name="Background 3 2 2 5 2 4" xfId="2720" xr:uid="{00000000-0005-0000-0000-0000980A0000}"/>
    <cellStyle name="Background 3 2 2 5 2 5" xfId="2721" xr:uid="{00000000-0005-0000-0000-0000990A0000}"/>
    <cellStyle name="Background 3 2 2 5 3" xfId="2722" xr:uid="{00000000-0005-0000-0000-00009A0A0000}"/>
    <cellStyle name="Background 3 2 2 5 3 2" xfId="2723" xr:uid="{00000000-0005-0000-0000-00009B0A0000}"/>
    <cellStyle name="Background 3 2 2 5 3 2 2" xfId="2724" xr:uid="{00000000-0005-0000-0000-00009C0A0000}"/>
    <cellStyle name="Background 3 2 2 5 3 2 3" xfId="2725" xr:uid="{00000000-0005-0000-0000-00009D0A0000}"/>
    <cellStyle name="Background 3 2 2 5 3 2 4" xfId="2726" xr:uid="{00000000-0005-0000-0000-00009E0A0000}"/>
    <cellStyle name="Background 3 2 2 5 3 2 5" xfId="2727" xr:uid="{00000000-0005-0000-0000-00009F0A0000}"/>
    <cellStyle name="Background 3 2 2 5 3 2 6" xfId="2728" xr:uid="{00000000-0005-0000-0000-0000A00A0000}"/>
    <cellStyle name="Background 3 2 2 5 3 3" xfId="2729" xr:uid="{00000000-0005-0000-0000-0000A10A0000}"/>
    <cellStyle name="Background 3 2 2 5 3 4" xfId="2730" xr:uid="{00000000-0005-0000-0000-0000A20A0000}"/>
    <cellStyle name="Background 3 2 2 5 3 5" xfId="2731" xr:uid="{00000000-0005-0000-0000-0000A30A0000}"/>
    <cellStyle name="Background 3 2 2 5 4" xfId="2732" xr:uid="{00000000-0005-0000-0000-0000A40A0000}"/>
    <cellStyle name="Background 3 2 2 5 4 2" xfId="2733" xr:uid="{00000000-0005-0000-0000-0000A50A0000}"/>
    <cellStyle name="Background 3 2 2 5 4 3" xfId="2734" xr:uid="{00000000-0005-0000-0000-0000A60A0000}"/>
    <cellStyle name="Background 3 2 2 5 4 4" xfId="2735" xr:uid="{00000000-0005-0000-0000-0000A70A0000}"/>
    <cellStyle name="Background 3 2 2 5 4 5" xfId="2736" xr:uid="{00000000-0005-0000-0000-0000A80A0000}"/>
    <cellStyle name="Background 3 2 2 5 4 6" xfId="2737" xr:uid="{00000000-0005-0000-0000-0000A90A0000}"/>
    <cellStyle name="Background 3 2 2 5 5" xfId="2738" xr:uid="{00000000-0005-0000-0000-0000AA0A0000}"/>
    <cellStyle name="Background 3 2 2 5 6" xfId="2739" xr:uid="{00000000-0005-0000-0000-0000AB0A0000}"/>
    <cellStyle name="Background 3 2 2 5 7" xfId="2740" xr:uid="{00000000-0005-0000-0000-0000AC0A0000}"/>
    <cellStyle name="Background 3 2 2 6" xfId="2741" xr:uid="{00000000-0005-0000-0000-0000AD0A0000}"/>
    <cellStyle name="Background 3 2 2 6 2" xfId="2742" xr:uid="{00000000-0005-0000-0000-0000AE0A0000}"/>
    <cellStyle name="Background 3 2 2 6 2 2" xfId="2743" xr:uid="{00000000-0005-0000-0000-0000AF0A0000}"/>
    <cellStyle name="Background 3 2 2 6 2 2 2" xfId="2744" xr:uid="{00000000-0005-0000-0000-0000B00A0000}"/>
    <cellStyle name="Background 3 2 2 6 2 2 3" xfId="2745" xr:uid="{00000000-0005-0000-0000-0000B10A0000}"/>
    <cellStyle name="Background 3 2 2 6 2 2 4" xfId="2746" xr:uid="{00000000-0005-0000-0000-0000B20A0000}"/>
    <cellStyle name="Background 3 2 2 6 2 2 5" xfId="2747" xr:uid="{00000000-0005-0000-0000-0000B30A0000}"/>
    <cellStyle name="Background 3 2 2 6 2 2 6" xfId="2748" xr:uid="{00000000-0005-0000-0000-0000B40A0000}"/>
    <cellStyle name="Background 3 2 2 6 2 3" xfId="2749" xr:uid="{00000000-0005-0000-0000-0000B50A0000}"/>
    <cellStyle name="Background 3 2 2 6 2 4" xfId="2750" xr:uid="{00000000-0005-0000-0000-0000B60A0000}"/>
    <cellStyle name="Background 3 2 2 6 2 5" xfId="2751" xr:uid="{00000000-0005-0000-0000-0000B70A0000}"/>
    <cellStyle name="Background 3 2 2 6 3" xfId="2752" xr:uid="{00000000-0005-0000-0000-0000B80A0000}"/>
    <cellStyle name="Background 3 2 2 6 3 2" xfId="2753" xr:uid="{00000000-0005-0000-0000-0000B90A0000}"/>
    <cellStyle name="Background 3 2 2 6 3 2 2" xfId="2754" xr:uid="{00000000-0005-0000-0000-0000BA0A0000}"/>
    <cellStyle name="Background 3 2 2 6 3 2 3" xfId="2755" xr:uid="{00000000-0005-0000-0000-0000BB0A0000}"/>
    <cellStyle name="Background 3 2 2 6 3 2 4" xfId="2756" xr:uid="{00000000-0005-0000-0000-0000BC0A0000}"/>
    <cellStyle name="Background 3 2 2 6 3 2 5" xfId="2757" xr:uid="{00000000-0005-0000-0000-0000BD0A0000}"/>
    <cellStyle name="Background 3 2 2 6 3 2 6" xfId="2758" xr:uid="{00000000-0005-0000-0000-0000BE0A0000}"/>
    <cellStyle name="Background 3 2 2 6 3 3" xfId="2759" xr:uid="{00000000-0005-0000-0000-0000BF0A0000}"/>
    <cellStyle name="Background 3 2 2 6 3 4" xfId="2760" xr:uid="{00000000-0005-0000-0000-0000C00A0000}"/>
    <cellStyle name="Background 3 2 2 6 3 5" xfId="2761" xr:uid="{00000000-0005-0000-0000-0000C10A0000}"/>
    <cellStyle name="Background 3 2 2 6 4" xfId="2762" xr:uid="{00000000-0005-0000-0000-0000C20A0000}"/>
    <cellStyle name="Background 3 2 2 6 4 2" xfId="2763" xr:uid="{00000000-0005-0000-0000-0000C30A0000}"/>
    <cellStyle name="Background 3 2 2 6 4 3" xfId="2764" xr:uid="{00000000-0005-0000-0000-0000C40A0000}"/>
    <cellStyle name="Background 3 2 2 6 4 4" xfId="2765" xr:uid="{00000000-0005-0000-0000-0000C50A0000}"/>
    <cellStyle name="Background 3 2 2 6 4 5" xfId="2766" xr:uid="{00000000-0005-0000-0000-0000C60A0000}"/>
    <cellStyle name="Background 3 2 2 6 4 6" xfId="2767" xr:uid="{00000000-0005-0000-0000-0000C70A0000}"/>
    <cellStyle name="Background 3 2 2 6 5" xfId="2768" xr:uid="{00000000-0005-0000-0000-0000C80A0000}"/>
    <cellStyle name="Background 3 2 2 6 6" xfId="2769" xr:uid="{00000000-0005-0000-0000-0000C90A0000}"/>
    <cellStyle name="Background 3 2 2 6 7" xfId="2770" xr:uid="{00000000-0005-0000-0000-0000CA0A0000}"/>
    <cellStyle name="Background 3 2 2 7" xfId="2771" xr:uid="{00000000-0005-0000-0000-0000CB0A0000}"/>
    <cellStyle name="Background 3 2 2 7 2" xfId="2772" xr:uid="{00000000-0005-0000-0000-0000CC0A0000}"/>
    <cellStyle name="Background 3 2 2 7 2 2" xfId="2773" xr:uid="{00000000-0005-0000-0000-0000CD0A0000}"/>
    <cellStyle name="Background 3 2 2 7 2 2 2" xfId="2774" xr:uid="{00000000-0005-0000-0000-0000CE0A0000}"/>
    <cellStyle name="Background 3 2 2 7 2 2 3" xfId="2775" xr:uid="{00000000-0005-0000-0000-0000CF0A0000}"/>
    <cellStyle name="Background 3 2 2 7 2 2 4" xfId="2776" xr:uid="{00000000-0005-0000-0000-0000D00A0000}"/>
    <cellStyle name="Background 3 2 2 7 2 2 5" xfId="2777" xr:uid="{00000000-0005-0000-0000-0000D10A0000}"/>
    <cellStyle name="Background 3 2 2 7 2 2 6" xfId="2778" xr:uid="{00000000-0005-0000-0000-0000D20A0000}"/>
    <cellStyle name="Background 3 2 2 7 2 3" xfId="2779" xr:uid="{00000000-0005-0000-0000-0000D30A0000}"/>
    <cellStyle name="Background 3 2 2 7 2 4" xfId="2780" xr:uid="{00000000-0005-0000-0000-0000D40A0000}"/>
    <cellStyle name="Background 3 2 2 7 2 5" xfId="2781" xr:uid="{00000000-0005-0000-0000-0000D50A0000}"/>
    <cellStyle name="Background 3 2 2 7 3" xfId="2782" xr:uid="{00000000-0005-0000-0000-0000D60A0000}"/>
    <cellStyle name="Background 3 2 2 7 3 2" xfId="2783" xr:uid="{00000000-0005-0000-0000-0000D70A0000}"/>
    <cellStyle name="Background 3 2 2 7 3 2 2" xfId="2784" xr:uid="{00000000-0005-0000-0000-0000D80A0000}"/>
    <cellStyle name="Background 3 2 2 7 3 2 3" xfId="2785" xr:uid="{00000000-0005-0000-0000-0000D90A0000}"/>
    <cellStyle name="Background 3 2 2 7 3 2 4" xfId="2786" xr:uid="{00000000-0005-0000-0000-0000DA0A0000}"/>
    <cellStyle name="Background 3 2 2 7 3 2 5" xfId="2787" xr:uid="{00000000-0005-0000-0000-0000DB0A0000}"/>
    <cellStyle name="Background 3 2 2 7 3 2 6" xfId="2788" xr:uid="{00000000-0005-0000-0000-0000DC0A0000}"/>
    <cellStyle name="Background 3 2 2 7 3 3" xfId="2789" xr:uid="{00000000-0005-0000-0000-0000DD0A0000}"/>
    <cellStyle name="Background 3 2 2 7 3 4" xfId="2790" xr:uid="{00000000-0005-0000-0000-0000DE0A0000}"/>
    <cellStyle name="Background 3 2 2 7 3 5" xfId="2791" xr:uid="{00000000-0005-0000-0000-0000DF0A0000}"/>
    <cellStyle name="Background 3 2 2 7 4" xfId="2792" xr:uid="{00000000-0005-0000-0000-0000E00A0000}"/>
    <cellStyle name="Background 3 2 2 7 4 2" xfId="2793" xr:uid="{00000000-0005-0000-0000-0000E10A0000}"/>
    <cellStyle name="Background 3 2 2 7 4 3" xfId="2794" xr:uid="{00000000-0005-0000-0000-0000E20A0000}"/>
    <cellStyle name="Background 3 2 2 7 4 4" xfId="2795" xr:uid="{00000000-0005-0000-0000-0000E30A0000}"/>
    <cellStyle name="Background 3 2 2 7 4 5" xfId="2796" xr:uid="{00000000-0005-0000-0000-0000E40A0000}"/>
    <cellStyle name="Background 3 2 2 7 4 6" xfId="2797" xr:uid="{00000000-0005-0000-0000-0000E50A0000}"/>
    <cellStyle name="Background 3 2 2 7 5" xfId="2798" xr:uid="{00000000-0005-0000-0000-0000E60A0000}"/>
    <cellStyle name="Background 3 2 2 7 6" xfId="2799" xr:uid="{00000000-0005-0000-0000-0000E70A0000}"/>
    <cellStyle name="Background 3 2 2 7 7" xfId="2800" xr:uid="{00000000-0005-0000-0000-0000E80A0000}"/>
    <cellStyle name="Background 3 2 2 8" xfId="2801" xr:uid="{00000000-0005-0000-0000-0000E90A0000}"/>
    <cellStyle name="Background 3 2 2 8 2" xfId="2802" xr:uid="{00000000-0005-0000-0000-0000EA0A0000}"/>
    <cellStyle name="Background 3 2 2 8 2 2" xfId="2803" xr:uid="{00000000-0005-0000-0000-0000EB0A0000}"/>
    <cellStyle name="Background 3 2 2 8 2 3" xfId="2804" xr:uid="{00000000-0005-0000-0000-0000EC0A0000}"/>
    <cellStyle name="Background 3 2 2 8 2 4" xfId="2805" xr:uid="{00000000-0005-0000-0000-0000ED0A0000}"/>
    <cellStyle name="Background 3 2 2 8 2 5" xfId="2806" xr:uid="{00000000-0005-0000-0000-0000EE0A0000}"/>
    <cellStyle name="Background 3 2 2 8 2 6" xfId="2807" xr:uid="{00000000-0005-0000-0000-0000EF0A0000}"/>
    <cellStyle name="Background 3 2 2 8 3" xfId="2808" xr:uid="{00000000-0005-0000-0000-0000F00A0000}"/>
    <cellStyle name="Background 3 2 2 8 4" xfId="2809" xr:uid="{00000000-0005-0000-0000-0000F10A0000}"/>
    <cellStyle name="Background 3 2 2 8 5" xfId="2810" xr:uid="{00000000-0005-0000-0000-0000F20A0000}"/>
    <cellStyle name="Background 3 2 2 9" xfId="2811" xr:uid="{00000000-0005-0000-0000-0000F30A0000}"/>
    <cellStyle name="Background 3 2 2 9 2" xfId="2812" xr:uid="{00000000-0005-0000-0000-0000F40A0000}"/>
    <cellStyle name="Background 3 2 2 9 2 2" xfId="2813" xr:uid="{00000000-0005-0000-0000-0000F50A0000}"/>
    <cellStyle name="Background 3 2 2 9 2 3" xfId="2814" xr:uid="{00000000-0005-0000-0000-0000F60A0000}"/>
    <cellStyle name="Background 3 2 2 9 2 4" xfId="2815" xr:uid="{00000000-0005-0000-0000-0000F70A0000}"/>
    <cellStyle name="Background 3 2 2 9 2 5" xfId="2816" xr:uid="{00000000-0005-0000-0000-0000F80A0000}"/>
    <cellStyle name="Background 3 2 2 9 2 6" xfId="2817" xr:uid="{00000000-0005-0000-0000-0000F90A0000}"/>
    <cellStyle name="Background 3 2 2 9 3" xfId="2818" xr:uid="{00000000-0005-0000-0000-0000FA0A0000}"/>
    <cellStyle name="Background 3 2 2 9 4" xfId="2819" xr:uid="{00000000-0005-0000-0000-0000FB0A0000}"/>
    <cellStyle name="Background 3 2 2 9 5" xfId="2820" xr:uid="{00000000-0005-0000-0000-0000FC0A0000}"/>
    <cellStyle name="Background 3 2 3" xfId="2821" xr:uid="{00000000-0005-0000-0000-0000FD0A0000}"/>
    <cellStyle name="Background 3 2 3 10" xfId="2822" xr:uid="{00000000-0005-0000-0000-0000FE0A0000}"/>
    <cellStyle name="Background 3 2 3 11" xfId="2823" xr:uid="{00000000-0005-0000-0000-0000FF0A0000}"/>
    <cellStyle name="Background 3 2 3 12" xfId="2824" xr:uid="{00000000-0005-0000-0000-0000000B0000}"/>
    <cellStyle name="Background 3 2 3 2" xfId="2825" xr:uid="{00000000-0005-0000-0000-0000010B0000}"/>
    <cellStyle name="Background 3 2 3 2 2" xfId="2826" xr:uid="{00000000-0005-0000-0000-0000020B0000}"/>
    <cellStyle name="Background 3 2 3 2 2 2" xfId="2827" xr:uid="{00000000-0005-0000-0000-0000030B0000}"/>
    <cellStyle name="Background 3 2 3 2 2 2 2" xfId="2828" xr:uid="{00000000-0005-0000-0000-0000040B0000}"/>
    <cellStyle name="Background 3 2 3 2 2 2 3" xfId="2829" xr:uid="{00000000-0005-0000-0000-0000050B0000}"/>
    <cellStyle name="Background 3 2 3 2 2 2 4" xfId="2830" xr:uid="{00000000-0005-0000-0000-0000060B0000}"/>
    <cellStyle name="Background 3 2 3 2 2 2 5" xfId="2831" xr:uid="{00000000-0005-0000-0000-0000070B0000}"/>
    <cellStyle name="Background 3 2 3 2 2 2 6" xfId="2832" xr:uid="{00000000-0005-0000-0000-0000080B0000}"/>
    <cellStyle name="Background 3 2 3 2 2 3" xfId="2833" xr:uid="{00000000-0005-0000-0000-0000090B0000}"/>
    <cellStyle name="Background 3 2 3 2 2 4" xfId="2834" xr:uid="{00000000-0005-0000-0000-00000A0B0000}"/>
    <cellStyle name="Background 3 2 3 2 2 5" xfId="2835" xr:uid="{00000000-0005-0000-0000-00000B0B0000}"/>
    <cellStyle name="Background 3 2 3 2 3" xfId="2836" xr:uid="{00000000-0005-0000-0000-00000C0B0000}"/>
    <cellStyle name="Background 3 2 3 2 3 2" xfId="2837" xr:uid="{00000000-0005-0000-0000-00000D0B0000}"/>
    <cellStyle name="Background 3 2 3 2 3 2 2" xfId="2838" xr:uid="{00000000-0005-0000-0000-00000E0B0000}"/>
    <cellStyle name="Background 3 2 3 2 3 2 3" xfId="2839" xr:uid="{00000000-0005-0000-0000-00000F0B0000}"/>
    <cellStyle name="Background 3 2 3 2 3 2 4" xfId="2840" xr:uid="{00000000-0005-0000-0000-0000100B0000}"/>
    <cellStyle name="Background 3 2 3 2 3 2 5" xfId="2841" xr:uid="{00000000-0005-0000-0000-0000110B0000}"/>
    <cellStyle name="Background 3 2 3 2 3 2 6" xfId="2842" xr:uid="{00000000-0005-0000-0000-0000120B0000}"/>
    <cellStyle name="Background 3 2 3 2 3 3" xfId="2843" xr:uid="{00000000-0005-0000-0000-0000130B0000}"/>
    <cellStyle name="Background 3 2 3 2 3 4" xfId="2844" xr:uid="{00000000-0005-0000-0000-0000140B0000}"/>
    <cellStyle name="Background 3 2 3 2 3 5" xfId="2845" xr:uid="{00000000-0005-0000-0000-0000150B0000}"/>
    <cellStyle name="Background 3 2 3 2 4" xfId="2846" xr:uid="{00000000-0005-0000-0000-0000160B0000}"/>
    <cellStyle name="Background 3 2 3 2 4 2" xfId="2847" xr:uid="{00000000-0005-0000-0000-0000170B0000}"/>
    <cellStyle name="Background 3 2 3 2 4 3" xfId="2848" xr:uid="{00000000-0005-0000-0000-0000180B0000}"/>
    <cellStyle name="Background 3 2 3 2 4 4" xfId="2849" xr:uid="{00000000-0005-0000-0000-0000190B0000}"/>
    <cellStyle name="Background 3 2 3 2 4 5" xfId="2850" xr:uid="{00000000-0005-0000-0000-00001A0B0000}"/>
    <cellStyle name="Background 3 2 3 2 4 6" xfId="2851" xr:uid="{00000000-0005-0000-0000-00001B0B0000}"/>
    <cellStyle name="Background 3 2 3 2 5" xfId="2852" xr:uid="{00000000-0005-0000-0000-00001C0B0000}"/>
    <cellStyle name="Background 3 2 3 2 6" xfId="2853" xr:uid="{00000000-0005-0000-0000-00001D0B0000}"/>
    <cellStyle name="Background 3 2 3 2 7" xfId="2854" xr:uid="{00000000-0005-0000-0000-00001E0B0000}"/>
    <cellStyle name="Background 3 2 3 3" xfId="2855" xr:uid="{00000000-0005-0000-0000-00001F0B0000}"/>
    <cellStyle name="Background 3 2 3 3 2" xfId="2856" xr:uid="{00000000-0005-0000-0000-0000200B0000}"/>
    <cellStyle name="Background 3 2 3 3 2 2" xfId="2857" xr:uid="{00000000-0005-0000-0000-0000210B0000}"/>
    <cellStyle name="Background 3 2 3 3 2 2 2" xfId="2858" xr:uid="{00000000-0005-0000-0000-0000220B0000}"/>
    <cellStyle name="Background 3 2 3 3 2 2 3" xfId="2859" xr:uid="{00000000-0005-0000-0000-0000230B0000}"/>
    <cellStyle name="Background 3 2 3 3 2 2 4" xfId="2860" xr:uid="{00000000-0005-0000-0000-0000240B0000}"/>
    <cellStyle name="Background 3 2 3 3 2 2 5" xfId="2861" xr:uid="{00000000-0005-0000-0000-0000250B0000}"/>
    <cellStyle name="Background 3 2 3 3 2 2 6" xfId="2862" xr:uid="{00000000-0005-0000-0000-0000260B0000}"/>
    <cellStyle name="Background 3 2 3 3 2 3" xfId="2863" xr:uid="{00000000-0005-0000-0000-0000270B0000}"/>
    <cellStyle name="Background 3 2 3 3 2 4" xfId="2864" xr:uid="{00000000-0005-0000-0000-0000280B0000}"/>
    <cellStyle name="Background 3 2 3 3 2 5" xfId="2865" xr:uid="{00000000-0005-0000-0000-0000290B0000}"/>
    <cellStyle name="Background 3 2 3 3 3" xfId="2866" xr:uid="{00000000-0005-0000-0000-00002A0B0000}"/>
    <cellStyle name="Background 3 2 3 3 3 2" xfId="2867" xr:uid="{00000000-0005-0000-0000-00002B0B0000}"/>
    <cellStyle name="Background 3 2 3 3 3 2 2" xfId="2868" xr:uid="{00000000-0005-0000-0000-00002C0B0000}"/>
    <cellStyle name="Background 3 2 3 3 3 2 3" xfId="2869" xr:uid="{00000000-0005-0000-0000-00002D0B0000}"/>
    <cellStyle name="Background 3 2 3 3 3 2 4" xfId="2870" xr:uid="{00000000-0005-0000-0000-00002E0B0000}"/>
    <cellStyle name="Background 3 2 3 3 3 2 5" xfId="2871" xr:uid="{00000000-0005-0000-0000-00002F0B0000}"/>
    <cellStyle name="Background 3 2 3 3 3 2 6" xfId="2872" xr:uid="{00000000-0005-0000-0000-0000300B0000}"/>
    <cellStyle name="Background 3 2 3 3 3 3" xfId="2873" xr:uid="{00000000-0005-0000-0000-0000310B0000}"/>
    <cellStyle name="Background 3 2 3 3 3 4" xfId="2874" xr:uid="{00000000-0005-0000-0000-0000320B0000}"/>
    <cellStyle name="Background 3 2 3 3 3 5" xfId="2875" xr:uid="{00000000-0005-0000-0000-0000330B0000}"/>
    <cellStyle name="Background 3 2 3 3 4" xfId="2876" xr:uid="{00000000-0005-0000-0000-0000340B0000}"/>
    <cellStyle name="Background 3 2 3 3 4 2" xfId="2877" xr:uid="{00000000-0005-0000-0000-0000350B0000}"/>
    <cellStyle name="Background 3 2 3 3 4 3" xfId="2878" xr:uid="{00000000-0005-0000-0000-0000360B0000}"/>
    <cellStyle name="Background 3 2 3 3 4 4" xfId="2879" xr:uid="{00000000-0005-0000-0000-0000370B0000}"/>
    <cellStyle name="Background 3 2 3 3 4 5" xfId="2880" xr:uid="{00000000-0005-0000-0000-0000380B0000}"/>
    <cellStyle name="Background 3 2 3 3 4 6" xfId="2881" xr:uid="{00000000-0005-0000-0000-0000390B0000}"/>
    <cellStyle name="Background 3 2 3 3 5" xfId="2882" xr:uid="{00000000-0005-0000-0000-00003A0B0000}"/>
    <cellStyle name="Background 3 2 3 3 6" xfId="2883" xr:uid="{00000000-0005-0000-0000-00003B0B0000}"/>
    <cellStyle name="Background 3 2 3 3 7" xfId="2884" xr:uid="{00000000-0005-0000-0000-00003C0B0000}"/>
    <cellStyle name="Background 3 2 3 4" xfId="2885" xr:uid="{00000000-0005-0000-0000-00003D0B0000}"/>
    <cellStyle name="Background 3 2 3 4 2" xfId="2886" xr:uid="{00000000-0005-0000-0000-00003E0B0000}"/>
    <cellStyle name="Background 3 2 3 4 2 2" xfId="2887" xr:uid="{00000000-0005-0000-0000-00003F0B0000}"/>
    <cellStyle name="Background 3 2 3 4 2 2 2" xfId="2888" xr:uid="{00000000-0005-0000-0000-0000400B0000}"/>
    <cellStyle name="Background 3 2 3 4 2 2 3" xfId="2889" xr:uid="{00000000-0005-0000-0000-0000410B0000}"/>
    <cellStyle name="Background 3 2 3 4 2 2 4" xfId="2890" xr:uid="{00000000-0005-0000-0000-0000420B0000}"/>
    <cellStyle name="Background 3 2 3 4 2 2 5" xfId="2891" xr:uid="{00000000-0005-0000-0000-0000430B0000}"/>
    <cellStyle name="Background 3 2 3 4 2 2 6" xfId="2892" xr:uid="{00000000-0005-0000-0000-0000440B0000}"/>
    <cellStyle name="Background 3 2 3 4 2 3" xfId="2893" xr:uid="{00000000-0005-0000-0000-0000450B0000}"/>
    <cellStyle name="Background 3 2 3 4 2 4" xfId="2894" xr:uid="{00000000-0005-0000-0000-0000460B0000}"/>
    <cellStyle name="Background 3 2 3 4 2 5" xfId="2895" xr:uid="{00000000-0005-0000-0000-0000470B0000}"/>
    <cellStyle name="Background 3 2 3 4 3" xfId="2896" xr:uid="{00000000-0005-0000-0000-0000480B0000}"/>
    <cellStyle name="Background 3 2 3 4 3 2" xfId="2897" xr:uid="{00000000-0005-0000-0000-0000490B0000}"/>
    <cellStyle name="Background 3 2 3 4 3 2 2" xfId="2898" xr:uid="{00000000-0005-0000-0000-00004A0B0000}"/>
    <cellStyle name="Background 3 2 3 4 3 2 3" xfId="2899" xr:uid="{00000000-0005-0000-0000-00004B0B0000}"/>
    <cellStyle name="Background 3 2 3 4 3 2 4" xfId="2900" xr:uid="{00000000-0005-0000-0000-00004C0B0000}"/>
    <cellStyle name="Background 3 2 3 4 3 2 5" xfId="2901" xr:uid="{00000000-0005-0000-0000-00004D0B0000}"/>
    <cellStyle name="Background 3 2 3 4 3 2 6" xfId="2902" xr:uid="{00000000-0005-0000-0000-00004E0B0000}"/>
    <cellStyle name="Background 3 2 3 4 3 3" xfId="2903" xr:uid="{00000000-0005-0000-0000-00004F0B0000}"/>
    <cellStyle name="Background 3 2 3 4 3 4" xfId="2904" xr:uid="{00000000-0005-0000-0000-0000500B0000}"/>
    <cellStyle name="Background 3 2 3 4 3 5" xfId="2905" xr:uid="{00000000-0005-0000-0000-0000510B0000}"/>
    <cellStyle name="Background 3 2 3 4 4" xfId="2906" xr:uid="{00000000-0005-0000-0000-0000520B0000}"/>
    <cellStyle name="Background 3 2 3 4 4 2" xfId="2907" xr:uid="{00000000-0005-0000-0000-0000530B0000}"/>
    <cellStyle name="Background 3 2 3 4 4 3" xfId="2908" xr:uid="{00000000-0005-0000-0000-0000540B0000}"/>
    <cellStyle name="Background 3 2 3 4 4 4" xfId="2909" xr:uid="{00000000-0005-0000-0000-0000550B0000}"/>
    <cellStyle name="Background 3 2 3 4 4 5" xfId="2910" xr:uid="{00000000-0005-0000-0000-0000560B0000}"/>
    <cellStyle name="Background 3 2 3 4 4 6" xfId="2911" xr:uid="{00000000-0005-0000-0000-0000570B0000}"/>
    <cellStyle name="Background 3 2 3 4 5" xfId="2912" xr:uid="{00000000-0005-0000-0000-0000580B0000}"/>
    <cellStyle name="Background 3 2 3 4 6" xfId="2913" xr:uid="{00000000-0005-0000-0000-0000590B0000}"/>
    <cellStyle name="Background 3 2 3 4 7" xfId="2914" xr:uid="{00000000-0005-0000-0000-00005A0B0000}"/>
    <cellStyle name="Background 3 2 3 5" xfId="2915" xr:uid="{00000000-0005-0000-0000-00005B0B0000}"/>
    <cellStyle name="Background 3 2 3 5 2" xfId="2916" xr:uid="{00000000-0005-0000-0000-00005C0B0000}"/>
    <cellStyle name="Background 3 2 3 5 2 2" xfId="2917" xr:uid="{00000000-0005-0000-0000-00005D0B0000}"/>
    <cellStyle name="Background 3 2 3 5 2 2 2" xfId="2918" xr:uid="{00000000-0005-0000-0000-00005E0B0000}"/>
    <cellStyle name="Background 3 2 3 5 2 2 3" xfId="2919" xr:uid="{00000000-0005-0000-0000-00005F0B0000}"/>
    <cellStyle name="Background 3 2 3 5 2 2 4" xfId="2920" xr:uid="{00000000-0005-0000-0000-0000600B0000}"/>
    <cellStyle name="Background 3 2 3 5 2 2 5" xfId="2921" xr:uid="{00000000-0005-0000-0000-0000610B0000}"/>
    <cellStyle name="Background 3 2 3 5 2 2 6" xfId="2922" xr:uid="{00000000-0005-0000-0000-0000620B0000}"/>
    <cellStyle name="Background 3 2 3 5 2 3" xfId="2923" xr:uid="{00000000-0005-0000-0000-0000630B0000}"/>
    <cellStyle name="Background 3 2 3 5 2 4" xfId="2924" xr:uid="{00000000-0005-0000-0000-0000640B0000}"/>
    <cellStyle name="Background 3 2 3 5 2 5" xfId="2925" xr:uid="{00000000-0005-0000-0000-0000650B0000}"/>
    <cellStyle name="Background 3 2 3 5 3" xfId="2926" xr:uid="{00000000-0005-0000-0000-0000660B0000}"/>
    <cellStyle name="Background 3 2 3 5 3 2" xfId="2927" xr:uid="{00000000-0005-0000-0000-0000670B0000}"/>
    <cellStyle name="Background 3 2 3 5 3 2 2" xfId="2928" xr:uid="{00000000-0005-0000-0000-0000680B0000}"/>
    <cellStyle name="Background 3 2 3 5 3 2 3" xfId="2929" xr:uid="{00000000-0005-0000-0000-0000690B0000}"/>
    <cellStyle name="Background 3 2 3 5 3 2 4" xfId="2930" xr:uid="{00000000-0005-0000-0000-00006A0B0000}"/>
    <cellStyle name="Background 3 2 3 5 3 2 5" xfId="2931" xr:uid="{00000000-0005-0000-0000-00006B0B0000}"/>
    <cellStyle name="Background 3 2 3 5 3 2 6" xfId="2932" xr:uid="{00000000-0005-0000-0000-00006C0B0000}"/>
    <cellStyle name="Background 3 2 3 5 3 3" xfId="2933" xr:uid="{00000000-0005-0000-0000-00006D0B0000}"/>
    <cellStyle name="Background 3 2 3 5 3 4" xfId="2934" xr:uid="{00000000-0005-0000-0000-00006E0B0000}"/>
    <cellStyle name="Background 3 2 3 5 3 5" xfId="2935" xr:uid="{00000000-0005-0000-0000-00006F0B0000}"/>
    <cellStyle name="Background 3 2 3 5 4" xfId="2936" xr:uid="{00000000-0005-0000-0000-0000700B0000}"/>
    <cellStyle name="Background 3 2 3 5 4 2" xfId="2937" xr:uid="{00000000-0005-0000-0000-0000710B0000}"/>
    <cellStyle name="Background 3 2 3 5 4 3" xfId="2938" xr:uid="{00000000-0005-0000-0000-0000720B0000}"/>
    <cellStyle name="Background 3 2 3 5 4 4" xfId="2939" xr:uid="{00000000-0005-0000-0000-0000730B0000}"/>
    <cellStyle name="Background 3 2 3 5 4 5" xfId="2940" xr:uid="{00000000-0005-0000-0000-0000740B0000}"/>
    <cellStyle name="Background 3 2 3 5 4 6" xfId="2941" xr:uid="{00000000-0005-0000-0000-0000750B0000}"/>
    <cellStyle name="Background 3 2 3 5 5" xfId="2942" xr:uid="{00000000-0005-0000-0000-0000760B0000}"/>
    <cellStyle name="Background 3 2 3 5 6" xfId="2943" xr:uid="{00000000-0005-0000-0000-0000770B0000}"/>
    <cellStyle name="Background 3 2 3 5 7" xfId="2944" xr:uid="{00000000-0005-0000-0000-0000780B0000}"/>
    <cellStyle name="Background 3 2 3 6" xfId="2945" xr:uid="{00000000-0005-0000-0000-0000790B0000}"/>
    <cellStyle name="Background 3 2 3 6 2" xfId="2946" xr:uid="{00000000-0005-0000-0000-00007A0B0000}"/>
    <cellStyle name="Background 3 2 3 6 2 2" xfId="2947" xr:uid="{00000000-0005-0000-0000-00007B0B0000}"/>
    <cellStyle name="Background 3 2 3 6 2 2 2" xfId="2948" xr:uid="{00000000-0005-0000-0000-00007C0B0000}"/>
    <cellStyle name="Background 3 2 3 6 2 2 3" xfId="2949" xr:uid="{00000000-0005-0000-0000-00007D0B0000}"/>
    <cellStyle name="Background 3 2 3 6 2 2 4" xfId="2950" xr:uid="{00000000-0005-0000-0000-00007E0B0000}"/>
    <cellStyle name="Background 3 2 3 6 2 2 5" xfId="2951" xr:uid="{00000000-0005-0000-0000-00007F0B0000}"/>
    <cellStyle name="Background 3 2 3 6 2 2 6" xfId="2952" xr:uid="{00000000-0005-0000-0000-0000800B0000}"/>
    <cellStyle name="Background 3 2 3 6 2 3" xfId="2953" xr:uid="{00000000-0005-0000-0000-0000810B0000}"/>
    <cellStyle name="Background 3 2 3 6 2 4" xfId="2954" xr:uid="{00000000-0005-0000-0000-0000820B0000}"/>
    <cellStyle name="Background 3 2 3 6 2 5" xfId="2955" xr:uid="{00000000-0005-0000-0000-0000830B0000}"/>
    <cellStyle name="Background 3 2 3 6 3" xfId="2956" xr:uid="{00000000-0005-0000-0000-0000840B0000}"/>
    <cellStyle name="Background 3 2 3 6 3 2" xfId="2957" xr:uid="{00000000-0005-0000-0000-0000850B0000}"/>
    <cellStyle name="Background 3 2 3 6 3 2 2" xfId="2958" xr:uid="{00000000-0005-0000-0000-0000860B0000}"/>
    <cellStyle name="Background 3 2 3 6 3 2 3" xfId="2959" xr:uid="{00000000-0005-0000-0000-0000870B0000}"/>
    <cellStyle name="Background 3 2 3 6 3 2 4" xfId="2960" xr:uid="{00000000-0005-0000-0000-0000880B0000}"/>
    <cellStyle name="Background 3 2 3 6 3 2 5" xfId="2961" xr:uid="{00000000-0005-0000-0000-0000890B0000}"/>
    <cellStyle name="Background 3 2 3 6 3 2 6" xfId="2962" xr:uid="{00000000-0005-0000-0000-00008A0B0000}"/>
    <cellStyle name="Background 3 2 3 6 3 3" xfId="2963" xr:uid="{00000000-0005-0000-0000-00008B0B0000}"/>
    <cellStyle name="Background 3 2 3 6 3 4" xfId="2964" xr:uid="{00000000-0005-0000-0000-00008C0B0000}"/>
    <cellStyle name="Background 3 2 3 6 3 5" xfId="2965" xr:uid="{00000000-0005-0000-0000-00008D0B0000}"/>
    <cellStyle name="Background 3 2 3 6 4" xfId="2966" xr:uid="{00000000-0005-0000-0000-00008E0B0000}"/>
    <cellStyle name="Background 3 2 3 6 4 2" xfId="2967" xr:uid="{00000000-0005-0000-0000-00008F0B0000}"/>
    <cellStyle name="Background 3 2 3 6 4 3" xfId="2968" xr:uid="{00000000-0005-0000-0000-0000900B0000}"/>
    <cellStyle name="Background 3 2 3 6 4 4" xfId="2969" xr:uid="{00000000-0005-0000-0000-0000910B0000}"/>
    <cellStyle name="Background 3 2 3 6 4 5" xfId="2970" xr:uid="{00000000-0005-0000-0000-0000920B0000}"/>
    <cellStyle name="Background 3 2 3 6 4 6" xfId="2971" xr:uid="{00000000-0005-0000-0000-0000930B0000}"/>
    <cellStyle name="Background 3 2 3 6 5" xfId="2972" xr:uid="{00000000-0005-0000-0000-0000940B0000}"/>
    <cellStyle name="Background 3 2 3 6 6" xfId="2973" xr:uid="{00000000-0005-0000-0000-0000950B0000}"/>
    <cellStyle name="Background 3 2 3 6 7" xfId="2974" xr:uid="{00000000-0005-0000-0000-0000960B0000}"/>
    <cellStyle name="Background 3 2 3 7" xfId="2975" xr:uid="{00000000-0005-0000-0000-0000970B0000}"/>
    <cellStyle name="Background 3 2 3 7 2" xfId="2976" xr:uid="{00000000-0005-0000-0000-0000980B0000}"/>
    <cellStyle name="Background 3 2 3 7 2 2" xfId="2977" xr:uid="{00000000-0005-0000-0000-0000990B0000}"/>
    <cellStyle name="Background 3 2 3 7 2 3" xfId="2978" xr:uid="{00000000-0005-0000-0000-00009A0B0000}"/>
    <cellStyle name="Background 3 2 3 7 2 4" xfId="2979" xr:uid="{00000000-0005-0000-0000-00009B0B0000}"/>
    <cellStyle name="Background 3 2 3 7 2 5" xfId="2980" xr:uid="{00000000-0005-0000-0000-00009C0B0000}"/>
    <cellStyle name="Background 3 2 3 7 2 6" xfId="2981" xr:uid="{00000000-0005-0000-0000-00009D0B0000}"/>
    <cellStyle name="Background 3 2 3 7 3" xfId="2982" xr:uid="{00000000-0005-0000-0000-00009E0B0000}"/>
    <cellStyle name="Background 3 2 3 7 4" xfId="2983" xr:uid="{00000000-0005-0000-0000-00009F0B0000}"/>
    <cellStyle name="Background 3 2 3 7 5" xfId="2984" xr:uid="{00000000-0005-0000-0000-0000A00B0000}"/>
    <cellStyle name="Background 3 2 3 8" xfId="2985" xr:uid="{00000000-0005-0000-0000-0000A10B0000}"/>
    <cellStyle name="Background 3 2 3 8 2" xfId="2986" xr:uid="{00000000-0005-0000-0000-0000A20B0000}"/>
    <cellStyle name="Background 3 2 3 8 2 2" xfId="2987" xr:uid="{00000000-0005-0000-0000-0000A30B0000}"/>
    <cellStyle name="Background 3 2 3 8 2 3" xfId="2988" xr:uid="{00000000-0005-0000-0000-0000A40B0000}"/>
    <cellStyle name="Background 3 2 3 8 2 4" xfId="2989" xr:uid="{00000000-0005-0000-0000-0000A50B0000}"/>
    <cellStyle name="Background 3 2 3 8 2 5" xfId="2990" xr:uid="{00000000-0005-0000-0000-0000A60B0000}"/>
    <cellStyle name="Background 3 2 3 8 2 6" xfId="2991" xr:uid="{00000000-0005-0000-0000-0000A70B0000}"/>
    <cellStyle name="Background 3 2 3 8 3" xfId="2992" xr:uid="{00000000-0005-0000-0000-0000A80B0000}"/>
    <cellStyle name="Background 3 2 3 8 4" xfId="2993" xr:uid="{00000000-0005-0000-0000-0000A90B0000}"/>
    <cellStyle name="Background 3 2 3 8 5" xfId="2994" xr:uid="{00000000-0005-0000-0000-0000AA0B0000}"/>
    <cellStyle name="Background 3 2 3 9" xfId="2995" xr:uid="{00000000-0005-0000-0000-0000AB0B0000}"/>
    <cellStyle name="Background 3 2 3 9 2" xfId="2996" xr:uid="{00000000-0005-0000-0000-0000AC0B0000}"/>
    <cellStyle name="Background 3 2 3 9 3" xfId="2997" xr:uid="{00000000-0005-0000-0000-0000AD0B0000}"/>
    <cellStyle name="Background 3 2 3 9 4" xfId="2998" xr:uid="{00000000-0005-0000-0000-0000AE0B0000}"/>
    <cellStyle name="Background 3 2 3 9 5" xfId="2999" xr:uid="{00000000-0005-0000-0000-0000AF0B0000}"/>
    <cellStyle name="Background 3 2 3 9 6" xfId="3000" xr:uid="{00000000-0005-0000-0000-0000B00B0000}"/>
    <cellStyle name="Background 3 2 4" xfId="3001" xr:uid="{00000000-0005-0000-0000-0000B10B0000}"/>
    <cellStyle name="Background 3 2 4 2" xfId="3002" xr:uid="{00000000-0005-0000-0000-0000B20B0000}"/>
    <cellStyle name="Background 3 2 4 2 2" xfId="3003" xr:uid="{00000000-0005-0000-0000-0000B30B0000}"/>
    <cellStyle name="Background 3 2 4 2 2 2" xfId="3004" xr:uid="{00000000-0005-0000-0000-0000B40B0000}"/>
    <cellStyle name="Background 3 2 4 2 2 3" xfId="3005" xr:uid="{00000000-0005-0000-0000-0000B50B0000}"/>
    <cellStyle name="Background 3 2 4 2 2 4" xfId="3006" xr:uid="{00000000-0005-0000-0000-0000B60B0000}"/>
    <cellStyle name="Background 3 2 4 2 2 5" xfId="3007" xr:uid="{00000000-0005-0000-0000-0000B70B0000}"/>
    <cellStyle name="Background 3 2 4 2 2 6" xfId="3008" xr:uid="{00000000-0005-0000-0000-0000B80B0000}"/>
    <cellStyle name="Background 3 2 4 2 3" xfId="3009" xr:uid="{00000000-0005-0000-0000-0000B90B0000}"/>
    <cellStyle name="Background 3 2 4 2 4" xfId="3010" xr:uid="{00000000-0005-0000-0000-0000BA0B0000}"/>
    <cellStyle name="Background 3 2 4 2 5" xfId="3011" xr:uid="{00000000-0005-0000-0000-0000BB0B0000}"/>
    <cellStyle name="Background 3 2 4 3" xfId="3012" xr:uid="{00000000-0005-0000-0000-0000BC0B0000}"/>
    <cellStyle name="Background 3 2 4 3 2" xfId="3013" xr:uid="{00000000-0005-0000-0000-0000BD0B0000}"/>
    <cellStyle name="Background 3 2 4 3 2 2" xfId="3014" xr:uid="{00000000-0005-0000-0000-0000BE0B0000}"/>
    <cellStyle name="Background 3 2 4 3 2 3" xfId="3015" xr:uid="{00000000-0005-0000-0000-0000BF0B0000}"/>
    <cellStyle name="Background 3 2 4 3 2 4" xfId="3016" xr:uid="{00000000-0005-0000-0000-0000C00B0000}"/>
    <cellStyle name="Background 3 2 4 3 2 5" xfId="3017" xr:uid="{00000000-0005-0000-0000-0000C10B0000}"/>
    <cellStyle name="Background 3 2 4 3 2 6" xfId="3018" xr:uid="{00000000-0005-0000-0000-0000C20B0000}"/>
    <cellStyle name="Background 3 2 4 3 3" xfId="3019" xr:uid="{00000000-0005-0000-0000-0000C30B0000}"/>
    <cellStyle name="Background 3 2 4 3 4" xfId="3020" xr:uid="{00000000-0005-0000-0000-0000C40B0000}"/>
    <cellStyle name="Background 3 2 4 3 5" xfId="3021" xr:uid="{00000000-0005-0000-0000-0000C50B0000}"/>
    <cellStyle name="Background 3 2 4 4" xfId="3022" xr:uid="{00000000-0005-0000-0000-0000C60B0000}"/>
    <cellStyle name="Background 3 2 4 4 2" xfId="3023" xr:uid="{00000000-0005-0000-0000-0000C70B0000}"/>
    <cellStyle name="Background 3 2 4 4 3" xfId="3024" xr:uid="{00000000-0005-0000-0000-0000C80B0000}"/>
    <cellStyle name="Background 3 2 4 4 4" xfId="3025" xr:uid="{00000000-0005-0000-0000-0000C90B0000}"/>
    <cellStyle name="Background 3 2 4 4 5" xfId="3026" xr:uid="{00000000-0005-0000-0000-0000CA0B0000}"/>
    <cellStyle name="Background 3 2 4 4 6" xfId="3027" xr:uid="{00000000-0005-0000-0000-0000CB0B0000}"/>
    <cellStyle name="Background 3 2 4 5" xfId="3028" xr:uid="{00000000-0005-0000-0000-0000CC0B0000}"/>
    <cellStyle name="Background 3 2 4 6" xfId="3029" xr:uid="{00000000-0005-0000-0000-0000CD0B0000}"/>
    <cellStyle name="Background 3 2 4 7" xfId="3030" xr:uid="{00000000-0005-0000-0000-0000CE0B0000}"/>
    <cellStyle name="Background 3 2 5" xfId="3031" xr:uid="{00000000-0005-0000-0000-0000CF0B0000}"/>
    <cellStyle name="Background 3 2 5 2" xfId="3032" xr:uid="{00000000-0005-0000-0000-0000D00B0000}"/>
    <cellStyle name="Background 3 2 5 2 2" xfId="3033" xr:uid="{00000000-0005-0000-0000-0000D10B0000}"/>
    <cellStyle name="Background 3 2 5 2 2 2" xfId="3034" xr:uid="{00000000-0005-0000-0000-0000D20B0000}"/>
    <cellStyle name="Background 3 2 5 2 2 3" xfId="3035" xr:uid="{00000000-0005-0000-0000-0000D30B0000}"/>
    <cellStyle name="Background 3 2 5 2 2 4" xfId="3036" xr:uid="{00000000-0005-0000-0000-0000D40B0000}"/>
    <cellStyle name="Background 3 2 5 2 2 5" xfId="3037" xr:uid="{00000000-0005-0000-0000-0000D50B0000}"/>
    <cellStyle name="Background 3 2 5 2 2 6" xfId="3038" xr:uid="{00000000-0005-0000-0000-0000D60B0000}"/>
    <cellStyle name="Background 3 2 5 2 3" xfId="3039" xr:uid="{00000000-0005-0000-0000-0000D70B0000}"/>
    <cellStyle name="Background 3 2 5 2 4" xfId="3040" xr:uid="{00000000-0005-0000-0000-0000D80B0000}"/>
    <cellStyle name="Background 3 2 5 2 5" xfId="3041" xr:uid="{00000000-0005-0000-0000-0000D90B0000}"/>
    <cellStyle name="Background 3 2 5 3" xfId="3042" xr:uid="{00000000-0005-0000-0000-0000DA0B0000}"/>
    <cellStyle name="Background 3 2 5 3 2" xfId="3043" xr:uid="{00000000-0005-0000-0000-0000DB0B0000}"/>
    <cellStyle name="Background 3 2 5 3 2 2" xfId="3044" xr:uid="{00000000-0005-0000-0000-0000DC0B0000}"/>
    <cellStyle name="Background 3 2 5 3 2 3" xfId="3045" xr:uid="{00000000-0005-0000-0000-0000DD0B0000}"/>
    <cellStyle name="Background 3 2 5 3 2 4" xfId="3046" xr:uid="{00000000-0005-0000-0000-0000DE0B0000}"/>
    <cellStyle name="Background 3 2 5 3 2 5" xfId="3047" xr:uid="{00000000-0005-0000-0000-0000DF0B0000}"/>
    <cellStyle name="Background 3 2 5 3 2 6" xfId="3048" xr:uid="{00000000-0005-0000-0000-0000E00B0000}"/>
    <cellStyle name="Background 3 2 5 3 3" xfId="3049" xr:uid="{00000000-0005-0000-0000-0000E10B0000}"/>
    <cellStyle name="Background 3 2 5 3 4" xfId="3050" xr:uid="{00000000-0005-0000-0000-0000E20B0000}"/>
    <cellStyle name="Background 3 2 5 3 5" xfId="3051" xr:uid="{00000000-0005-0000-0000-0000E30B0000}"/>
    <cellStyle name="Background 3 2 5 4" xfId="3052" xr:uid="{00000000-0005-0000-0000-0000E40B0000}"/>
    <cellStyle name="Background 3 2 5 4 2" xfId="3053" xr:uid="{00000000-0005-0000-0000-0000E50B0000}"/>
    <cellStyle name="Background 3 2 5 4 3" xfId="3054" xr:uid="{00000000-0005-0000-0000-0000E60B0000}"/>
    <cellStyle name="Background 3 2 5 4 4" xfId="3055" xr:uid="{00000000-0005-0000-0000-0000E70B0000}"/>
    <cellStyle name="Background 3 2 5 4 5" xfId="3056" xr:uid="{00000000-0005-0000-0000-0000E80B0000}"/>
    <cellStyle name="Background 3 2 5 4 6" xfId="3057" xr:uid="{00000000-0005-0000-0000-0000E90B0000}"/>
    <cellStyle name="Background 3 2 5 5" xfId="3058" xr:uid="{00000000-0005-0000-0000-0000EA0B0000}"/>
    <cellStyle name="Background 3 2 5 6" xfId="3059" xr:uid="{00000000-0005-0000-0000-0000EB0B0000}"/>
    <cellStyle name="Background 3 2 5 7" xfId="3060" xr:uid="{00000000-0005-0000-0000-0000EC0B0000}"/>
    <cellStyle name="Background 3 2 6" xfId="3061" xr:uid="{00000000-0005-0000-0000-0000ED0B0000}"/>
    <cellStyle name="Background 3 2 6 2" xfId="3062" xr:uid="{00000000-0005-0000-0000-0000EE0B0000}"/>
    <cellStyle name="Background 3 2 6 2 2" xfId="3063" xr:uid="{00000000-0005-0000-0000-0000EF0B0000}"/>
    <cellStyle name="Background 3 2 6 2 2 2" xfId="3064" xr:uid="{00000000-0005-0000-0000-0000F00B0000}"/>
    <cellStyle name="Background 3 2 6 2 2 3" xfId="3065" xr:uid="{00000000-0005-0000-0000-0000F10B0000}"/>
    <cellStyle name="Background 3 2 6 2 2 4" xfId="3066" xr:uid="{00000000-0005-0000-0000-0000F20B0000}"/>
    <cellStyle name="Background 3 2 6 2 2 5" xfId="3067" xr:uid="{00000000-0005-0000-0000-0000F30B0000}"/>
    <cellStyle name="Background 3 2 6 2 2 6" xfId="3068" xr:uid="{00000000-0005-0000-0000-0000F40B0000}"/>
    <cellStyle name="Background 3 2 6 2 3" xfId="3069" xr:uid="{00000000-0005-0000-0000-0000F50B0000}"/>
    <cellStyle name="Background 3 2 6 2 4" xfId="3070" xr:uid="{00000000-0005-0000-0000-0000F60B0000}"/>
    <cellStyle name="Background 3 2 6 2 5" xfId="3071" xr:uid="{00000000-0005-0000-0000-0000F70B0000}"/>
    <cellStyle name="Background 3 2 6 3" xfId="3072" xr:uid="{00000000-0005-0000-0000-0000F80B0000}"/>
    <cellStyle name="Background 3 2 6 3 2" xfId="3073" xr:uid="{00000000-0005-0000-0000-0000F90B0000}"/>
    <cellStyle name="Background 3 2 6 3 2 2" xfId="3074" xr:uid="{00000000-0005-0000-0000-0000FA0B0000}"/>
    <cellStyle name="Background 3 2 6 3 2 3" xfId="3075" xr:uid="{00000000-0005-0000-0000-0000FB0B0000}"/>
    <cellStyle name="Background 3 2 6 3 2 4" xfId="3076" xr:uid="{00000000-0005-0000-0000-0000FC0B0000}"/>
    <cellStyle name="Background 3 2 6 3 2 5" xfId="3077" xr:uid="{00000000-0005-0000-0000-0000FD0B0000}"/>
    <cellStyle name="Background 3 2 6 3 2 6" xfId="3078" xr:uid="{00000000-0005-0000-0000-0000FE0B0000}"/>
    <cellStyle name="Background 3 2 6 3 3" xfId="3079" xr:uid="{00000000-0005-0000-0000-0000FF0B0000}"/>
    <cellStyle name="Background 3 2 6 3 4" xfId="3080" xr:uid="{00000000-0005-0000-0000-0000000C0000}"/>
    <cellStyle name="Background 3 2 6 3 5" xfId="3081" xr:uid="{00000000-0005-0000-0000-0000010C0000}"/>
    <cellStyle name="Background 3 2 6 4" xfId="3082" xr:uid="{00000000-0005-0000-0000-0000020C0000}"/>
    <cellStyle name="Background 3 2 6 4 2" xfId="3083" xr:uid="{00000000-0005-0000-0000-0000030C0000}"/>
    <cellStyle name="Background 3 2 6 4 3" xfId="3084" xr:uid="{00000000-0005-0000-0000-0000040C0000}"/>
    <cellStyle name="Background 3 2 6 4 4" xfId="3085" xr:uid="{00000000-0005-0000-0000-0000050C0000}"/>
    <cellStyle name="Background 3 2 6 4 5" xfId="3086" xr:uid="{00000000-0005-0000-0000-0000060C0000}"/>
    <cellStyle name="Background 3 2 6 4 6" xfId="3087" xr:uid="{00000000-0005-0000-0000-0000070C0000}"/>
    <cellStyle name="Background 3 2 6 5" xfId="3088" xr:uid="{00000000-0005-0000-0000-0000080C0000}"/>
    <cellStyle name="Background 3 2 6 6" xfId="3089" xr:uid="{00000000-0005-0000-0000-0000090C0000}"/>
    <cellStyle name="Background 3 2 6 7" xfId="3090" xr:uid="{00000000-0005-0000-0000-00000A0C0000}"/>
    <cellStyle name="Background 3 2 7" xfId="3091" xr:uid="{00000000-0005-0000-0000-00000B0C0000}"/>
    <cellStyle name="Background 3 2 7 2" xfId="3092" xr:uid="{00000000-0005-0000-0000-00000C0C0000}"/>
    <cellStyle name="Background 3 2 7 2 2" xfId="3093" xr:uid="{00000000-0005-0000-0000-00000D0C0000}"/>
    <cellStyle name="Background 3 2 7 2 3" xfId="3094" xr:uid="{00000000-0005-0000-0000-00000E0C0000}"/>
    <cellStyle name="Background 3 2 7 2 4" xfId="3095" xr:uid="{00000000-0005-0000-0000-00000F0C0000}"/>
    <cellStyle name="Background 3 2 7 2 5" xfId="3096" xr:uid="{00000000-0005-0000-0000-0000100C0000}"/>
    <cellStyle name="Background 3 2 7 2 6" xfId="3097" xr:uid="{00000000-0005-0000-0000-0000110C0000}"/>
    <cellStyle name="Background 3 2 7 3" xfId="3098" xr:uid="{00000000-0005-0000-0000-0000120C0000}"/>
    <cellStyle name="Background 3 2 7 4" xfId="3099" xr:uid="{00000000-0005-0000-0000-0000130C0000}"/>
    <cellStyle name="Background 3 2 7 5" xfId="3100" xr:uid="{00000000-0005-0000-0000-0000140C0000}"/>
    <cellStyle name="Background 3 2 8" xfId="3101" xr:uid="{00000000-0005-0000-0000-0000150C0000}"/>
    <cellStyle name="Background 3 2 8 2" xfId="3102" xr:uid="{00000000-0005-0000-0000-0000160C0000}"/>
    <cellStyle name="Background 3 2 8 2 2" xfId="3103" xr:uid="{00000000-0005-0000-0000-0000170C0000}"/>
    <cellStyle name="Background 3 2 8 2 3" xfId="3104" xr:uid="{00000000-0005-0000-0000-0000180C0000}"/>
    <cellStyle name="Background 3 2 8 2 4" xfId="3105" xr:uid="{00000000-0005-0000-0000-0000190C0000}"/>
    <cellStyle name="Background 3 2 8 2 5" xfId="3106" xr:uid="{00000000-0005-0000-0000-00001A0C0000}"/>
    <cellStyle name="Background 3 2 8 2 6" xfId="3107" xr:uid="{00000000-0005-0000-0000-00001B0C0000}"/>
    <cellStyle name="Background 3 2 8 3" xfId="3108" xr:uid="{00000000-0005-0000-0000-00001C0C0000}"/>
    <cellStyle name="Background 3 2 8 4" xfId="3109" xr:uid="{00000000-0005-0000-0000-00001D0C0000}"/>
    <cellStyle name="Background 3 2 8 5" xfId="3110" xr:uid="{00000000-0005-0000-0000-00001E0C0000}"/>
    <cellStyle name="Background 3 2 9" xfId="3111" xr:uid="{00000000-0005-0000-0000-00001F0C0000}"/>
    <cellStyle name="Background 3 2 9 2" xfId="3112" xr:uid="{00000000-0005-0000-0000-0000200C0000}"/>
    <cellStyle name="Background 3 2 9 3" xfId="3113" xr:uid="{00000000-0005-0000-0000-0000210C0000}"/>
    <cellStyle name="Background 3 2 9 4" xfId="3114" xr:uid="{00000000-0005-0000-0000-0000220C0000}"/>
    <cellStyle name="Background 3 2 9 5" xfId="3115" xr:uid="{00000000-0005-0000-0000-0000230C0000}"/>
    <cellStyle name="Background 3 2 9 6" xfId="3116" xr:uid="{00000000-0005-0000-0000-0000240C0000}"/>
    <cellStyle name="Background 3 3" xfId="3117" xr:uid="{00000000-0005-0000-0000-0000250C0000}"/>
    <cellStyle name="Background 3 3 10" xfId="3118" xr:uid="{00000000-0005-0000-0000-0000260C0000}"/>
    <cellStyle name="Background 3 3 10 2" xfId="3119" xr:uid="{00000000-0005-0000-0000-0000270C0000}"/>
    <cellStyle name="Background 3 3 10 3" xfId="3120" xr:uid="{00000000-0005-0000-0000-0000280C0000}"/>
    <cellStyle name="Background 3 3 10 4" xfId="3121" xr:uid="{00000000-0005-0000-0000-0000290C0000}"/>
    <cellStyle name="Background 3 3 10 5" xfId="3122" xr:uid="{00000000-0005-0000-0000-00002A0C0000}"/>
    <cellStyle name="Background 3 3 10 6" xfId="3123" xr:uid="{00000000-0005-0000-0000-00002B0C0000}"/>
    <cellStyle name="Background 3 3 11" xfId="3124" xr:uid="{00000000-0005-0000-0000-00002C0C0000}"/>
    <cellStyle name="Background 3 3 12" xfId="3125" xr:uid="{00000000-0005-0000-0000-00002D0C0000}"/>
    <cellStyle name="Background 3 3 13" xfId="3126" xr:uid="{00000000-0005-0000-0000-00002E0C0000}"/>
    <cellStyle name="Background 3 3 2" xfId="3127" xr:uid="{00000000-0005-0000-0000-00002F0C0000}"/>
    <cellStyle name="Background 3 3 2 10" xfId="3128" xr:uid="{00000000-0005-0000-0000-0000300C0000}"/>
    <cellStyle name="Background 3 3 2 11" xfId="3129" xr:uid="{00000000-0005-0000-0000-0000310C0000}"/>
    <cellStyle name="Background 3 3 2 12" xfId="3130" xr:uid="{00000000-0005-0000-0000-0000320C0000}"/>
    <cellStyle name="Background 3 3 2 2" xfId="3131" xr:uid="{00000000-0005-0000-0000-0000330C0000}"/>
    <cellStyle name="Background 3 3 2 2 2" xfId="3132" xr:uid="{00000000-0005-0000-0000-0000340C0000}"/>
    <cellStyle name="Background 3 3 2 2 2 2" xfId="3133" xr:uid="{00000000-0005-0000-0000-0000350C0000}"/>
    <cellStyle name="Background 3 3 2 2 2 2 2" xfId="3134" xr:uid="{00000000-0005-0000-0000-0000360C0000}"/>
    <cellStyle name="Background 3 3 2 2 2 2 3" xfId="3135" xr:uid="{00000000-0005-0000-0000-0000370C0000}"/>
    <cellStyle name="Background 3 3 2 2 2 2 4" xfId="3136" xr:uid="{00000000-0005-0000-0000-0000380C0000}"/>
    <cellStyle name="Background 3 3 2 2 2 2 5" xfId="3137" xr:uid="{00000000-0005-0000-0000-0000390C0000}"/>
    <cellStyle name="Background 3 3 2 2 2 2 6" xfId="3138" xr:uid="{00000000-0005-0000-0000-00003A0C0000}"/>
    <cellStyle name="Background 3 3 2 2 2 3" xfId="3139" xr:uid="{00000000-0005-0000-0000-00003B0C0000}"/>
    <cellStyle name="Background 3 3 2 2 2 4" xfId="3140" xr:uid="{00000000-0005-0000-0000-00003C0C0000}"/>
    <cellStyle name="Background 3 3 2 2 2 5" xfId="3141" xr:uid="{00000000-0005-0000-0000-00003D0C0000}"/>
    <cellStyle name="Background 3 3 2 2 3" xfId="3142" xr:uid="{00000000-0005-0000-0000-00003E0C0000}"/>
    <cellStyle name="Background 3 3 2 2 3 2" xfId="3143" xr:uid="{00000000-0005-0000-0000-00003F0C0000}"/>
    <cellStyle name="Background 3 3 2 2 3 2 2" xfId="3144" xr:uid="{00000000-0005-0000-0000-0000400C0000}"/>
    <cellStyle name="Background 3 3 2 2 3 2 3" xfId="3145" xr:uid="{00000000-0005-0000-0000-0000410C0000}"/>
    <cellStyle name="Background 3 3 2 2 3 2 4" xfId="3146" xr:uid="{00000000-0005-0000-0000-0000420C0000}"/>
    <cellStyle name="Background 3 3 2 2 3 2 5" xfId="3147" xr:uid="{00000000-0005-0000-0000-0000430C0000}"/>
    <cellStyle name="Background 3 3 2 2 3 2 6" xfId="3148" xr:uid="{00000000-0005-0000-0000-0000440C0000}"/>
    <cellStyle name="Background 3 3 2 2 3 3" xfId="3149" xr:uid="{00000000-0005-0000-0000-0000450C0000}"/>
    <cellStyle name="Background 3 3 2 2 3 4" xfId="3150" xr:uid="{00000000-0005-0000-0000-0000460C0000}"/>
    <cellStyle name="Background 3 3 2 2 3 5" xfId="3151" xr:uid="{00000000-0005-0000-0000-0000470C0000}"/>
    <cellStyle name="Background 3 3 2 2 4" xfId="3152" xr:uid="{00000000-0005-0000-0000-0000480C0000}"/>
    <cellStyle name="Background 3 3 2 2 4 2" xfId="3153" xr:uid="{00000000-0005-0000-0000-0000490C0000}"/>
    <cellStyle name="Background 3 3 2 2 4 3" xfId="3154" xr:uid="{00000000-0005-0000-0000-00004A0C0000}"/>
    <cellStyle name="Background 3 3 2 2 4 4" xfId="3155" xr:uid="{00000000-0005-0000-0000-00004B0C0000}"/>
    <cellStyle name="Background 3 3 2 2 4 5" xfId="3156" xr:uid="{00000000-0005-0000-0000-00004C0C0000}"/>
    <cellStyle name="Background 3 3 2 2 4 6" xfId="3157" xr:uid="{00000000-0005-0000-0000-00004D0C0000}"/>
    <cellStyle name="Background 3 3 2 2 5" xfId="3158" xr:uid="{00000000-0005-0000-0000-00004E0C0000}"/>
    <cellStyle name="Background 3 3 2 2 6" xfId="3159" xr:uid="{00000000-0005-0000-0000-00004F0C0000}"/>
    <cellStyle name="Background 3 3 2 2 7" xfId="3160" xr:uid="{00000000-0005-0000-0000-0000500C0000}"/>
    <cellStyle name="Background 3 3 2 3" xfId="3161" xr:uid="{00000000-0005-0000-0000-0000510C0000}"/>
    <cellStyle name="Background 3 3 2 3 2" xfId="3162" xr:uid="{00000000-0005-0000-0000-0000520C0000}"/>
    <cellStyle name="Background 3 3 2 3 2 2" xfId="3163" xr:uid="{00000000-0005-0000-0000-0000530C0000}"/>
    <cellStyle name="Background 3 3 2 3 2 2 2" xfId="3164" xr:uid="{00000000-0005-0000-0000-0000540C0000}"/>
    <cellStyle name="Background 3 3 2 3 2 2 3" xfId="3165" xr:uid="{00000000-0005-0000-0000-0000550C0000}"/>
    <cellStyle name="Background 3 3 2 3 2 2 4" xfId="3166" xr:uid="{00000000-0005-0000-0000-0000560C0000}"/>
    <cellStyle name="Background 3 3 2 3 2 2 5" xfId="3167" xr:uid="{00000000-0005-0000-0000-0000570C0000}"/>
    <cellStyle name="Background 3 3 2 3 2 2 6" xfId="3168" xr:uid="{00000000-0005-0000-0000-0000580C0000}"/>
    <cellStyle name="Background 3 3 2 3 2 3" xfId="3169" xr:uid="{00000000-0005-0000-0000-0000590C0000}"/>
    <cellStyle name="Background 3 3 2 3 2 4" xfId="3170" xr:uid="{00000000-0005-0000-0000-00005A0C0000}"/>
    <cellStyle name="Background 3 3 2 3 2 5" xfId="3171" xr:uid="{00000000-0005-0000-0000-00005B0C0000}"/>
    <cellStyle name="Background 3 3 2 3 3" xfId="3172" xr:uid="{00000000-0005-0000-0000-00005C0C0000}"/>
    <cellStyle name="Background 3 3 2 3 3 2" xfId="3173" xr:uid="{00000000-0005-0000-0000-00005D0C0000}"/>
    <cellStyle name="Background 3 3 2 3 3 2 2" xfId="3174" xr:uid="{00000000-0005-0000-0000-00005E0C0000}"/>
    <cellStyle name="Background 3 3 2 3 3 2 3" xfId="3175" xr:uid="{00000000-0005-0000-0000-00005F0C0000}"/>
    <cellStyle name="Background 3 3 2 3 3 2 4" xfId="3176" xr:uid="{00000000-0005-0000-0000-0000600C0000}"/>
    <cellStyle name="Background 3 3 2 3 3 2 5" xfId="3177" xr:uid="{00000000-0005-0000-0000-0000610C0000}"/>
    <cellStyle name="Background 3 3 2 3 3 2 6" xfId="3178" xr:uid="{00000000-0005-0000-0000-0000620C0000}"/>
    <cellStyle name="Background 3 3 2 3 3 3" xfId="3179" xr:uid="{00000000-0005-0000-0000-0000630C0000}"/>
    <cellStyle name="Background 3 3 2 3 3 4" xfId="3180" xr:uid="{00000000-0005-0000-0000-0000640C0000}"/>
    <cellStyle name="Background 3 3 2 3 3 5" xfId="3181" xr:uid="{00000000-0005-0000-0000-0000650C0000}"/>
    <cellStyle name="Background 3 3 2 3 4" xfId="3182" xr:uid="{00000000-0005-0000-0000-0000660C0000}"/>
    <cellStyle name="Background 3 3 2 3 4 2" xfId="3183" xr:uid="{00000000-0005-0000-0000-0000670C0000}"/>
    <cellStyle name="Background 3 3 2 3 4 3" xfId="3184" xr:uid="{00000000-0005-0000-0000-0000680C0000}"/>
    <cellStyle name="Background 3 3 2 3 4 4" xfId="3185" xr:uid="{00000000-0005-0000-0000-0000690C0000}"/>
    <cellStyle name="Background 3 3 2 3 4 5" xfId="3186" xr:uid="{00000000-0005-0000-0000-00006A0C0000}"/>
    <cellStyle name="Background 3 3 2 3 4 6" xfId="3187" xr:uid="{00000000-0005-0000-0000-00006B0C0000}"/>
    <cellStyle name="Background 3 3 2 3 5" xfId="3188" xr:uid="{00000000-0005-0000-0000-00006C0C0000}"/>
    <cellStyle name="Background 3 3 2 3 6" xfId="3189" xr:uid="{00000000-0005-0000-0000-00006D0C0000}"/>
    <cellStyle name="Background 3 3 2 3 7" xfId="3190" xr:uid="{00000000-0005-0000-0000-00006E0C0000}"/>
    <cellStyle name="Background 3 3 2 4" xfId="3191" xr:uid="{00000000-0005-0000-0000-00006F0C0000}"/>
    <cellStyle name="Background 3 3 2 4 2" xfId="3192" xr:uid="{00000000-0005-0000-0000-0000700C0000}"/>
    <cellStyle name="Background 3 3 2 4 2 2" xfId="3193" xr:uid="{00000000-0005-0000-0000-0000710C0000}"/>
    <cellStyle name="Background 3 3 2 4 2 2 2" xfId="3194" xr:uid="{00000000-0005-0000-0000-0000720C0000}"/>
    <cellStyle name="Background 3 3 2 4 2 2 3" xfId="3195" xr:uid="{00000000-0005-0000-0000-0000730C0000}"/>
    <cellStyle name="Background 3 3 2 4 2 2 4" xfId="3196" xr:uid="{00000000-0005-0000-0000-0000740C0000}"/>
    <cellStyle name="Background 3 3 2 4 2 2 5" xfId="3197" xr:uid="{00000000-0005-0000-0000-0000750C0000}"/>
    <cellStyle name="Background 3 3 2 4 2 2 6" xfId="3198" xr:uid="{00000000-0005-0000-0000-0000760C0000}"/>
    <cellStyle name="Background 3 3 2 4 2 3" xfId="3199" xr:uid="{00000000-0005-0000-0000-0000770C0000}"/>
    <cellStyle name="Background 3 3 2 4 2 4" xfId="3200" xr:uid="{00000000-0005-0000-0000-0000780C0000}"/>
    <cellStyle name="Background 3 3 2 4 2 5" xfId="3201" xr:uid="{00000000-0005-0000-0000-0000790C0000}"/>
    <cellStyle name="Background 3 3 2 4 3" xfId="3202" xr:uid="{00000000-0005-0000-0000-00007A0C0000}"/>
    <cellStyle name="Background 3 3 2 4 3 2" xfId="3203" xr:uid="{00000000-0005-0000-0000-00007B0C0000}"/>
    <cellStyle name="Background 3 3 2 4 3 2 2" xfId="3204" xr:uid="{00000000-0005-0000-0000-00007C0C0000}"/>
    <cellStyle name="Background 3 3 2 4 3 2 3" xfId="3205" xr:uid="{00000000-0005-0000-0000-00007D0C0000}"/>
    <cellStyle name="Background 3 3 2 4 3 2 4" xfId="3206" xr:uid="{00000000-0005-0000-0000-00007E0C0000}"/>
    <cellStyle name="Background 3 3 2 4 3 2 5" xfId="3207" xr:uid="{00000000-0005-0000-0000-00007F0C0000}"/>
    <cellStyle name="Background 3 3 2 4 3 2 6" xfId="3208" xr:uid="{00000000-0005-0000-0000-0000800C0000}"/>
    <cellStyle name="Background 3 3 2 4 3 3" xfId="3209" xr:uid="{00000000-0005-0000-0000-0000810C0000}"/>
    <cellStyle name="Background 3 3 2 4 3 4" xfId="3210" xr:uid="{00000000-0005-0000-0000-0000820C0000}"/>
    <cellStyle name="Background 3 3 2 4 3 5" xfId="3211" xr:uid="{00000000-0005-0000-0000-0000830C0000}"/>
    <cellStyle name="Background 3 3 2 4 4" xfId="3212" xr:uid="{00000000-0005-0000-0000-0000840C0000}"/>
    <cellStyle name="Background 3 3 2 4 4 2" xfId="3213" xr:uid="{00000000-0005-0000-0000-0000850C0000}"/>
    <cellStyle name="Background 3 3 2 4 4 3" xfId="3214" xr:uid="{00000000-0005-0000-0000-0000860C0000}"/>
    <cellStyle name="Background 3 3 2 4 4 4" xfId="3215" xr:uid="{00000000-0005-0000-0000-0000870C0000}"/>
    <cellStyle name="Background 3 3 2 4 4 5" xfId="3216" xr:uid="{00000000-0005-0000-0000-0000880C0000}"/>
    <cellStyle name="Background 3 3 2 4 4 6" xfId="3217" xr:uid="{00000000-0005-0000-0000-0000890C0000}"/>
    <cellStyle name="Background 3 3 2 4 5" xfId="3218" xr:uid="{00000000-0005-0000-0000-00008A0C0000}"/>
    <cellStyle name="Background 3 3 2 4 6" xfId="3219" xr:uid="{00000000-0005-0000-0000-00008B0C0000}"/>
    <cellStyle name="Background 3 3 2 4 7" xfId="3220" xr:uid="{00000000-0005-0000-0000-00008C0C0000}"/>
    <cellStyle name="Background 3 3 2 5" xfId="3221" xr:uid="{00000000-0005-0000-0000-00008D0C0000}"/>
    <cellStyle name="Background 3 3 2 5 2" xfId="3222" xr:uid="{00000000-0005-0000-0000-00008E0C0000}"/>
    <cellStyle name="Background 3 3 2 5 2 2" xfId="3223" xr:uid="{00000000-0005-0000-0000-00008F0C0000}"/>
    <cellStyle name="Background 3 3 2 5 2 2 2" xfId="3224" xr:uid="{00000000-0005-0000-0000-0000900C0000}"/>
    <cellStyle name="Background 3 3 2 5 2 2 3" xfId="3225" xr:uid="{00000000-0005-0000-0000-0000910C0000}"/>
    <cellStyle name="Background 3 3 2 5 2 2 4" xfId="3226" xr:uid="{00000000-0005-0000-0000-0000920C0000}"/>
    <cellStyle name="Background 3 3 2 5 2 2 5" xfId="3227" xr:uid="{00000000-0005-0000-0000-0000930C0000}"/>
    <cellStyle name="Background 3 3 2 5 2 2 6" xfId="3228" xr:uid="{00000000-0005-0000-0000-0000940C0000}"/>
    <cellStyle name="Background 3 3 2 5 2 3" xfId="3229" xr:uid="{00000000-0005-0000-0000-0000950C0000}"/>
    <cellStyle name="Background 3 3 2 5 2 4" xfId="3230" xr:uid="{00000000-0005-0000-0000-0000960C0000}"/>
    <cellStyle name="Background 3 3 2 5 2 5" xfId="3231" xr:uid="{00000000-0005-0000-0000-0000970C0000}"/>
    <cellStyle name="Background 3 3 2 5 3" xfId="3232" xr:uid="{00000000-0005-0000-0000-0000980C0000}"/>
    <cellStyle name="Background 3 3 2 5 3 2" xfId="3233" xr:uid="{00000000-0005-0000-0000-0000990C0000}"/>
    <cellStyle name="Background 3 3 2 5 3 2 2" xfId="3234" xr:uid="{00000000-0005-0000-0000-00009A0C0000}"/>
    <cellStyle name="Background 3 3 2 5 3 2 3" xfId="3235" xr:uid="{00000000-0005-0000-0000-00009B0C0000}"/>
    <cellStyle name="Background 3 3 2 5 3 2 4" xfId="3236" xr:uid="{00000000-0005-0000-0000-00009C0C0000}"/>
    <cellStyle name="Background 3 3 2 5 3 2 5" xfId="3237" xr:uid="{00000000-0005-0000-0000-00009D0C0000}"/>
    <cellStyle name="Background 3 3 2 5 3 2 6" xfId="3238" xr:uid="{00000000-0005-0000-0000-00009E0C0000}"/>
    <cellStyle name="Background 3 3 2 5 3 3" xfId="3239" xr:uid="{00000000-0005-0000-0000-00009F0C0000}"/>
    <cellStyle name="Background 3 3 2 5 3 4" xfId="3240" xr:uid="{00000000-0005-0000-0000-0000A00C0000}"/>
    <cellStyle name="Background 3 3 2 5 3 5" xfId="3241" xr:uid="{00000000-0005-0000-0000-0000A10C0000}"/>
    <cellStyle name="Background 3 3 2 5 4" xfId="3242" xr:uid="{00000000-0005-0000-0000-0000A20C0000}"/>
    <cellStyle name="Background 3 3 2 5 4 2" xfId="3243" xr:uid="{00000000-0005-0000-0000-0000A30C0000}"/>
    <cellStyle name="Background 3 3 2 5 4 3" xfId="3244" xr:uid="{00000000-0005-0000-0000-0000A40C0000}"/>
    <cellStyle name="Background 3 3 2 5 4 4" xfId="3245" xr:uid="{00000000-0005-0000-0000-0000A50C0000}"/>
    <cellStyle name="Background 3 3 2 5 4 5" xfId="3246" xr:uid="{00000000-0005-0000-0000-0000A60C0000}"/>
    <cellStyle name="Background 3 3 2 5 4 6" xfId="3247" xr:uid="{00000000-0005-0000-0000-0000A70C0000}"/>
    <cellStyle name="Background 3 3 2 5 5" xfId="3248" xr:uid="{00000000-0005-0000-0000-0000A80C0000}"/>
    <cellStyle name="Background 3 3 2 5 6" xfId="3249" xr:uid="{00000000-0005-0000-0000-0000A90C0000}"/>
    <cellStyle name="Background 3 3 2 5 7" xfId="3250" xr:uid="{00000000-0005-0000-0000-0000AA0C0000}"/>
    <cellStyle name="Background 3 3 2 6" xfId="3251" xr:uid="{00000000-0005-0000-0000-0000AB0C0000}"/>
    <cellStyle name="Background 3 3 2 6 2" xfId="3252" xr:uid="{00000000-0005-0000-0000-0000AC0C0000}"/>
    <cellStyle name="Background 3 3 2 6 2 2" xfId="3253" xr:uid="{00000000-0005-0000-0000-0000AD0C0000}"/>
    <cellStyle name="Background 3 3 2 6 2 2 2" xfId="3254" xr:uid="{00000000-0005-0000-0000-0000AE0C0000}"/>
    <cellStyle name="Background 3 3 2 6 2 2 3" xfId="3255" xr:uid="{00000000-0005-0000-0000-0000AF0C0000}"/>
    <cellStyle name="Background 3 3 2 6 2 2 4" xfId="3256" xr:uid="{00000000-0005-0000-0000-0000B00C0000}"/>
    <cellStyle name="Background 3 3 2 6 2 2 5" xfId="3257" xr:uid="{00000000-0005-0000-0000-0000B10C0000}"/>
    <cellStyle name="Background 3 3 2 6 2 2 6" xfId="3258" xr:uid="{00000000-0005-0000-0000-0000B20C0000}"/>
    <cellStyle name="Background 3 3 2 6 2 3" xfId="3259" xr:uid="{00000000-0005-0000-0000-0000B30C0000}"/>
    <cellStyle name="Background 3 3 2 6 2 4" xfId="3260" xr:uid="{00000000-0005-0000-0000-0000B40C0000}"/>
    <cellStyle name="Background 3 3 2 6 2 5" xfId="3261" xr:uid="{00000000-0005-0000-0000-0000B50C0000}"/>
    <cellStyle name="Background 3 3 2 6 3" xfId="3262" xr:uid="{00000000-0005-0000-0000-0000B60C0000}"/>
    <cellStyle name="Background 3 3 2 6 3 2" xfId="3263" xr:uid="{00000000-0005-0000-0000-0000B70C0000}"/>
    <cellStyle name="Background 3 3 2 6 3 2 2" xfId="3264" xr:uid="{00000000-0005-0000-0000-0000B80C0000}"/>
    <cellStyle name="Background 3 3 2 6 3 2 3" xfId="3265" xr:uid="{00000000-0005-0000-0000-0000B90C0000}"/>
    <cellStyle name="Background 3 3 2 6 3 2 4" xfId="3266" xr:uid="{00000000-0005-0000-0000-0000BA0C0000}"/>
    <cellStyle name="Background 3 3 2 6 3 2 5" xfId="3267" xr:uid="{00000000-0005-0000-0000-0000BB0C0000}"/>
    <cellStyle name="Background 3 3 2 6 3 2 6" xfId="3268" xr:uid="{00000000-0005-0000-0000-0000BC0C0000}"/>
    <cellStyle name="Background 3 3 2 6 3 3" xfId="3269" xr:uid="{00000000-0005-0000-0000-0000BD0C0000}"/>
    <cellStyle name="Background 3 3 2 6 3 4" xfId="3270" xr:uid="{00000000-0005-0000-0000-0000BE0C0000}"/>
    <cellStyle name="Background 3 3 2 6 3 5" xfId="3271" xr:uid="{00000000-0005-0000-0000-0000BF0C0000}"/>
    <cellStyle name="Background 3 3 2 6 4" xfId="3272" xr:uid="{00000000-0005-0000-0000-0000C00C0000}"/>
    <cellStyle name="Background 3 3 2 6 4 2" xfId="3273" xr:uid="{00000000-0005-0000-0000-0000C10C0000}"/>
    <cellStyle name="Background 3 3 2 6 4 3" xfId="3274" xr:uid="{00000000-0005-0000-0000-0000C20C0000}"/>
    <cellStyle name="Background 3 3 2 6 4 4" xfId="3275" xr:uid="{00000000-0005-0000-0000-0000C30C0000}"/>
    <cellStyle name="Background 3 3 2 6 4 5" xfId="3276" xr:uid="{00000000-0005-0000-0000-0000C40C0000}"/>
    <cellStyle name="Background 3 3 2 6 4 6" xfId="3277" xr:uid="{00000000-0005-0000-0000-0000C50C0000}"/>
    <cellStyle name="Background 3 3 2 6 5" xfId="3278" xr:uid="{00000000-0005-0000-0000-0000C60C0000}"/>
    <cellStyle name="Background 3 3 2 6 6" xfId="3279" xr:uid="{00000000-0005-0000-0000-0000C70C0000}"/>
    <cellStyle name="Background 3 3 2 6 7" xfId="3280" xr:uid="{00000000-0005-0000-0000-0000C80C0000}"/>
    <cellStyle name="Background 3 3 2 7" xfId="3281" xr:uid="{00000000-0005-0000-0000-0000C90C0000}"/>
    <cellStyle name="Background 3 3 2 7 2" xfId="3282" xr:uid="{00000000-0005-0000-0000-0000CA0C0000}"/>
    <cellStyle name="Background 3 3 2 7 2 2" xfId="3283" xr:uid="{00000000-0005-0000-0000-0000CB0C0000}"/>
    <cellStyle name="Background 3 3 2 7 2 3" xfId="3284" xr:uid="{00000000-0005-0000-0000-0000CC0C0000}"/>
    <cellStyle name="Background 3 3 2 7 2 4" xfId="3285" xr:uid="{00000000-0005-0000-0000-0000CD0C0000}"/>
    <cellStyle name="Background 3 3 2 7 2 5" xfId="3286" xr:uid="{00000000-0005-0000-0000-0000CE0C0000}"/>
    <cellStyle name="Background 3 3 2 7 2 6" xfId="3287" xr:uid="{00000000-0005-0000-0000-0000CF0C0000}"/>
    <cellStyle name="Background 3 3 2 7 3" xfId="3288" xr:uid="{00000000-0005-0000-0000-0000D00C0000}"/>
    <cellStyle name="Background 3 3 2 7 4" xfId="3289" xr:uid="{00000000-0005-0000-0000-0000D10C0000}"/>
    <cellStyle name="Background 3 3 2 7 5" xfId="3290" xr:uid="{00000000-0005-0000-0000-0000D20C0000}"/>
    <cellStyle name="Background 3 3 2 8" xfId="3291" xr:uid="{00000000-0005-0000-0000-0000D30C0000}"/>
    <cellStyle name="Background 3 3 2 8 2" xfId="3292" xr:uid="{00000000-0005-0000-0000-0000D40C0000}"/>
    <cellStyle name="Background 3 3 2 8 2 2" xfId="3293" xr:uid="{00000000-0005-0000-0000-0000D50C0000}"/>
    <cellStyle name="Background 3 3 2 8 2 3" xfId="3294" xr:uid="{00000000-0005-0000-0000-0000D60C0000}"/>
    <cellStyle name="Background 3 3 2 8 2 4" xfId="3295" xr:uid="{00000000-0005-0000-0000-0000D70C0000}"/>
    <cellStyle name="Background 3 3 2 8 2 5" xfId="3296" xr:uid="{00000000-0005-0000-0000-0000D80C0000}"/>
    <cellStyle name="Background 3 3 2 8 2 6" xfId="3297" xr:uid="{00000000-0005-0000-0000-0000D90C0000}"/>
    <cellStyle name="Background 3 3 2 8 3" xfId="3298" xr:uid="{00000000-0005-0000-0000-0000DA0C0000}"/>
    <cellStyle name="Background 3 3 2 8 4" xfId="3299" xr:uid="{00000000-0005-0000-0000-0000DB0C0000}"/>
    <cellStyle name="Background 3 3 2 8 5" xfId="3300" xr:uid="{00000000-0005-0000-0000-0000DC0C0000}"/>
    <cellStyle name="Background 3 3 2 9" xfId="3301" xr:uid="{00000000-0005-0000-0000-0000DD0C0000}"/>
    <cellStyle name="Background 3 3 2 9 2" xfId="3302" xr:uid="{00000000-0005-0000-0000-0000DE0C0000}"/>
    <cellStyle name="Background 3 3 2 9 3" xfId="3303" xr:uid="{00000000-0005-0000-0000-0000DF0C0000}"/>
    <cellStyle name="Background 3 3 2 9 4" xfId="3304" xr:uid="{00000000-0005-0000-0000-0000E00C0000}"/>
    <cellStyle name="Background 3 3 2 9 5" xfId="3305" xr:uid="{00000000-0005-0000-0000-0000E10C0000}"/>
    <cellStyle name="Background 3 3 2 9 6" xfId="3306" xr:uid="{00000000-0005-0000-0000-0000E20C0000}"/>
    <cellStyle name="Background 3 3 3" xfId="3307" xr:uid="{00000000-0005-0000-0000-0000E30C0000}"/>
    <cellStyle name="Background 3 3 3 2" xfId="3308" xr:uid="{00000000-0005-0000-0000-0000E40C0000}"/>
    <cellStyle name="Background 3 3 3 2 2" xfId="3309" xr:uid="{00000000-0005-0000-0000-0000E50C0000}"/>
    <cellStyle name="Background 3 3 3 2 2 2" xfId="3310" xr:uid="{00000000-0005-0000-0000-0000E60C0000}"/>
    <cellStyle name="Background 3 3 3 2 2 3" xfId="3311" xr:uid="{00000000-0005-0000-0000-0000E70C0000}"/>
    <cellStyle name="Background 3 3 3 2 2 4" xfId="3312" xr:uid="{00000000-0005-0000-0000-0000E80C0000}"/>
    <cellStyle name="Background 3 3 3 2 2 5" xfId="3313" xr:uid="{00000000-0005-0000-0000-0000E90C0000}"/>
    <cellStyle name="Background 3 3 3 2 2 6" xfId="3314" xr:uid="{00000000-0005-0000-0000-0000EA0C0000}"/>
    <cellStyle name="Background 3 3 3 2 3" xfId="3315" xr:uid="{00000000-0005-0000-0000-0000EB0C0000}"/>
    <cellStyle name="Background 3 3 3 2 4" xfId="3316" xr:uid="{00000000-0005-0000-0000-0000EC0C0000}"/>
    <cellStyle name="Background 3 3 3 2 5" xfId="3317" xr:uid="{00000000-0005-0000-0000-0000ED0C0000}"/>
    <cellStyle name="Background 3 3 3 3" xfId="3318" xr:uid="{00000000-0005-0000-0000-0000EE0C0000}"/>
    <cellStyle name="Background 3 3 3 3 2" xfId="3319" xr:uid="{00000000-0005-0000-0000-0000EF0C0000}"/>
    <cellStyle name="Background 3 3 3 3 2 2" xfId="3320" xr:uid="{00000000-0005-0000-0000-0000F00C0000}"/>
    <cellStyle name="Background 3 3 3 3 2 3" xfId="3321" xr:uid="{00000000-0005-0000-0000-0000F10C0000}"/>
    <cellStyle name="Background 3 3 3 3 2 4" xfId="3322" xr:uid="{00000000-0005-0000-0000-0000F20C0000}"/>
    <cellStyle name="Background 3 3 3 3 2 5" xfId="3323" xr:uid="{00000000-0005-0000-0000-0000F30C0000}"/>
    <cellStyle name="Background 3 3 3 3 2 6" xfId="3324" xr:uid="{00000000-0005-0000-0000-0000F40C0000}"/>
    <cellStyle name="Background 3 3 3 3 3" xfId="3325" xr:uid="{00000000-0005-0000-0000-0000F50C0000}"/>
    <cellStyle name="Background 3 3 3 3 4" xfId="3326" xr:uid="{00000000-0005-0000-0000-0000F60C0000}"/>
    <cellStyle name="Background 3 3 3 3 5" xfId="3327" xr:uid="{00000000-0005-0000-0000-0000F70C0000}"/>
    <cellStyle name="Background 3 3 3 4" xfId="3328" xr:uid="{00000000-0005-0000-0000-0000F80C0000}"/>
    <cellStyle name="Background 3 3 3 4 2" xfId="3329" xr:uid="{00000000-0005-0000-0000-0000F90C0000}"/>
    <cellStyle name="Background 3 3 3 4 3" xfId="3330" xr:uid="{00000000-0005-0000-0000-0000FA0C0000}"/>
    <cellStyle name="Background 3 3 3 4 4" xfId="3331" xr:uid="{00000000-0005-0000-0000-0000FB0C0000}"/>
    <cellStyle name="Background 3 3 3 4 5" xfId="3332" xr:uid="{00000000-0005-0000-0000-0000FC0C0000}"/>
    <cellStyle name="Background 3 3 3 4 6" xfId="3333" xr:uid="{00000000-0005-0000-0000-0000FD0C0000}"/>
    <cellStyle name="Background 3 3 3 5" xfId="3334" xr:uid="{00000000-0005-0000-0000-0000FE0C0000}"/>
    <cellStyle name="Background 3 3 3 6" xfId="3335" xr:uid="{00000000-0005-0000-0000-0000FF0C0000}"/>
    <cellStyle name="Background 3 3 3 7" xfId="3336" xr:uid="{00000000-0005-0000-0000-0000000D0000}"/>
    <cellStyle name="Background 3 3 4" xfId="3337" xr:uid="{00000000-0005-0000-0000-0000010D0000}"/>
    <cellStyle name="Background 3 3 4 2" xfId="3338" xr:uid="{00000000-0005-0000-0000-0000020D0000}"/>
    <cellStyle name="Background 3 3 4 2 2" xfId="3339" xr:uid="{00000000-0005-0000-0000-0000030D0000}"/>
    <cellStyle name="Background 3 3 4 2 2 2" xfId="3340" xr:uid="{00000000-0005-0000-0000-0000040D0000}"/>
    <cellStyle name="Background 3 3 4 2 2 3" xfId="3341" xr:uid="{00000000-0005-0000-0000-0000050D0000}"/>
    <cellStyle name="Background 3 3 4 2 2 4" xfId="3342" xr:uid="{00000000-0005-0000-0000-0000060D0000}"/>
    <cellStyle name="Background 3 3 4 2 2 5" xfId="3343" xr:uid="{00000000-0005-0000-0000-0000070D0000}"/>
    <cellStyle name="Background 3 3 4 2 2 6" xfId="3344" xr:uid="{00000000-0005-0000-0000-0000080D0000}"/>
    <cellStyle name="Background 3 3 4 2 3" xfId="3345" xr:uid="{00000000-0005-0000-0000-0000090D0000}"/>
    <cellStyle name="Background 3 3 4 2 4" xfId="3346" xr:uid="{00000000-0005-0000-0000-00000A0D0000}"/>
    <cellStyle name="Background 3 3 4 2 5" xfId="3347" xr:uid="{00000000-0005-0000-0000-00000B0D0000}"/>
    <cellStyle name="Background 3 3 4 3" xfId="3348" xr:uid="{00000000-0005-0000-0000-00000C0D0000}"/>
    <cellStyle name="Background 3 3 4 3 2" xfId="3349" xr:uid="{00000000-0005-0000-0000-00000D0D0000}"/>
    <cellStyle name="Background 3 3 4 3 2 2" xfId="3350" xr:uid="{00000000-0005-0000-0000-00000E0D0000}"/>
    <cellStyle name="Background 3 3 4 3 2 3" xfId="3351" xr:uid="{00000000-0005-0000-0000-00000F0D0000}"/>
    <cellStyle name="Background 3 3 4 3 2 4" xfId="3352" xr:uid="{00000000-0005-0000-0000-0000100D0000}"/>
    <cellStyle name="Background 3 3 4 3 2 5" xfId="3353" xr:uid="{00000000-0005-0000-0000-0000110D0000}"/>
    <cellStyle name="Background 3 3 4 3 2 6" xfId="3354" xr:uid="{00000000-0005-0000-0000-0000120D0000}"/>
    <cellStyle name="Background 3 3 4 3 3" xfId="3355" xr:uid="{00000000-0005-0000-0000-0000130D0000}"/>
    <cellStyle name="Background 3 3 4 3 4" xfId="3356" xr:uid="{00000000-0005-0000-0000-0000140D0000}"/>
    <cellStyle name="Background 3 3 4 3 5" xfId="3357" xr:uid="{00000000-0005-0000-0000-0000150D0000}"/>
    <cellStyle name="Background 3 3 4 4" xfId="3358" xr:uid="{00000000-0005-0000-0000-0000160D0000}"/>
    <cellStyle name="Background 3 3 4 4 2" xfId="3359" xr:uid="{00000000-0005-0000-0000-0000170D0000}"/>
    <cellStyle name="Background 3 3 4 4 3" xfId="3360" xr:uid="{00000000-0005-0000-0000-0000180D0000}"/>
    <cellStyle name="Background 3 3 4 4 4" xfId="3361" xr:uid="{00000000-0005-0000-0000-0000190D0000}"/>
    <cellStyle name="Background 3 3 4 4 5" xfId="3362" xr:uid="{00000000-0005-0000-0000-00001A0D0000}"/>
    <cellStyle name="Background 3 3 4 4 6" xfId="3363" xr:uid="{00000000-0005-0000-0000-00001B0D0000}"/>
    <cellStyle name="Background 3 3 4 5" xfId="3364" xr:uid="{00000000-0005-0000-0000-00001C0D0000}"/>
    <cellStyle name="Background 3 3 4 6" xfId="3365" xr:uid="{00000000-0005-0000-0000-00001D0D0000}"/>
    <cellStyle name="Background 3 3 4 7" xfId="3366" xr:uid="{00000000-0005-0000-0000-00001E0D0000}"/>
    <cellStyle name="Background 3 3 5" xfId="3367" xr:uid="{00000000-0005-0000-0000-00001F0D0000}"/>
    <cellStyle name="Background 3 3 5 2" xfId="3368" xr:uid="{00000000-0005-0000-0000-0000200D0000}"/>
    <cellStyle name="Background 3 3 5 2 2" xfId="3369" xr:uid="{00000000-0005-0000-0000-0000210D0000}"/>
    <cellStyle name="Background 3 3 5 2 2 2" xfId="3370" xr:uid="{00000000-0005-0000-0000-0000220D0000}"/>
    <cellStyle name="Background 3 3 5 2 2 3" xfId="3371" xr:uid="{00000000-0005-0000-0000-0000230D0000}"/>
    <cellStyle name="Background 3 3 5 2 2 4" xfId="3372" xr:uid="{00000000-0005-0000-0000-0000240D0000}"/>
    <cellStyle name="Background 3 3 5 2 2 5" xfId="3373" xr:uid="{00000000-0005-0000-0000-0000250D0000}"/>
    <cellStyle name="Background 3 3 5 2 2 6" xfId="3374" xr:uid="{00000000-0005-0000-0000-0000260D0000}"/>
    <cellStyle name="Background 3 3 5 2 3" xfId="3375" xr:uid="{00000000-0005-0000-0000-0000270D0000}"/>
    <cellStyle name="Background 3 3 5 2 4" xfId="3376" xr:uid="{00000000-0005-0000-0000-0000280D0000}"/>
    <cellStyle name="Background 3 3 5 2 5" xfId="3377" xr:uid="{00000000-0005-0000-0000-0000290D0000}"/>
    <cellStyle name="Background 3 3 5 3" xfId="3378" xr:uid="{00000000-0005-0000-0000-00002A0D0000}"/>
    <cellStyle name="Background 3 3 5 3 2" xfId="3379" xr:uid="{00000000-0005-0000-0000-00002B0D0000}"/>
    <cellStyle name="Background 3 3 5 3 2 2" xfId="3380" xr:uid="{00000000-0005-0000-0000-00002C0D0000}"/>
    <cellStyle name="Background 3 3 5 3 2 3" xfId="3381" xr:uid="{00000000-0005-0000-0000-00002D0D0000}"/>
    <cellStyle name="Background 3 3 5 3 2 4" xfId="3382" xr:uid="{00000000-0005-0000-0000-00002E0D0000}"/>
    <cellStyle name="Background 3 3 5 3 2 5" xfId="3383" xr:uid="{00000000-0005-0000-0000-00002F0D0000}"/>
    <cellStyle name="Background 3 3 5 3 2 6" xfId="3384" xr:uid="{00000000-0005-0000-0000-0000300D0000}"/>
    <cellStyle name="Background 3 3 5 3 3" xfId="3385" xr:uid="{00000000-0005-0000-0000-0000310D0000}"/>
    <cellStyle name="Background 3 3 5 3 4" xfId="3386" xr:uid="{00000000-0005-0000-0000-0000320D0000}"/>
    <cellStyle name="Background 3 3 5 3 5" xfId="3387" xr:uid="{00000000-0005-0000-0000-0000330D0000}"/>
    <cellStyle name="Background 3 3 5 4" xfId="3388" xr:uid="{00000000-0005-0000-0000-0000340D0000}"/>
    <cellStyle name="Background 3 3 5 4 2" xfId="3389" xr:uid="{00000000-0005-0000-0000-0000350D0000}"/>
    <cellStyle name="Background 3 3 5 4 3" xfId="3390" xr:uid="{00000000-0005-0000-0000-0000360D0000}"/>
    <cellStyle name="Background 3 3 5 4 4" xfId="3391" xr:uid="{00000000-0005-0000-0000-0000370D0000}"/>
    <cellStyle name="Background 3 3 5 4 5" xfId="3392" xr:uid="{00000000-0005-0000-0000-0000380D0000}"/>
    <cellStyle name="Background 3 3 5 4 6" xfId="3393" xr:uid="{00000000-0005-0000-0000-0000390D0000}"/>
    <cellStyle name="Background 3 3 5 5" xfId="3394" xr:uid="{00000000-0005-0000-0000-00003A0D0000}"/>
    <cellStyle name="Background 3 3 5 6" xfId="3395" xr:uid="{00000000-0005-0000-0000-00003B0D0000}"/>
    <cellStyle name="Background 3 3 5 7" xfId="3396" xr:uid="{00000000-0005-0000-0000-00003C0D0000}"/>
    <cellStyle name="Background 3 3 6" xfId="3397" xr:uid="{00000000-0005-0000-0000-00003D0D0000}"/>
    <cellStyle name="Background 3 3 6 2" xfId="3398" xr:uid="{00000000-0005-0000-0000-00003E0D0000}"/>
    <cellStyle name="Background 3 3 6 2 2" xfId="3399" xr:uid="{00000000-0005-0000-0000-00003F0D0000}"/>
    <cellStyle name="Background 3 3 6 2 2 2" xfId="3400" xr:uid="{00000000-0005-0000-0000-0000400D0000}"/>
    <cellStyle name="Background 3 3 6 2 2 3" xfId="3401" xr:uid="{00000000-0005-0000-0000-0000410D0000}"/>
    <cellStyle name="Background 3 3 6 2 2 4" xfId="3402" xr:uid="{00000000-0005-0000-0000-0000420D0000}"/>
    <cellStyle name="Background 3 3 6 2 2 5" xfId="3403" xr:uid="{00000000-0005-0000-0000-0000430D0000}"/>
    <cellStyle name="Background 3 3 6 2 2 6" xfId="3404" xr:uid="{00000000-0005-0000-0000-0000440D0000}"/>
    <cellStyle name="Background 3 3 6 2 3" xfId="3405" xr:uid="{00000000-0005-0000-0000-0000450D0000}"/>
    <cellStyle name="Background 3 3 6 2 4" xfId="3406" xr:uid="{00000000-0005-0000-0000-0000460D0000}"/>
    <cellStyle name="Background 3 3 6 2 5" xfId="3407" xr:uid="{00000000-0005-0000-0000-0000470D0000}"/>
    <cellStyle name="Background 3 3 6 3" xfId="3408" xr:uid="{00000000-0005-0000-0000-0000480D0000}"/>
    <cellStyle name="Background 3 3 6 3 2" xfId="3409" xr:uid="{00000000-0005-0000-0000-0000490D0000}"/>
    <cellStyle name="Background 3 3 6 3 2 2" xfId="3410" xr:uid="{00000000-0005-0000-0000-00004A0D0000}"/>
    <cellStyle name="Background 3 3 6 3 2 3" xfId="3411" xr:uid="{00000000-0005-0000-0000-00004B0D0000}"/>
    <cellStyle name="Background 3 3 6 3 2 4" xfId="3412" xr:uid="{00000000-0005-0000-0000-00004C0D0000}"/>
    <cellStyle name="Background 3 3 6 3 2 5" xfId="3413" xr:uid="{00000000-0005-0000-0000-00004D0D0000}"/>
    <cellStyle name="Background 3 3 6 3 2 6" xfId="3414" xr:uid="{00000000-0005-0000-0000-00004E0D0000}"/>
    <cellStyle name="Background 3 3 6 3 3" xfId="3415" xr:uid="{00000000-0005-0000-0000-00004F0D0000}"/>
    <cellStyle name="Background 3 3 6 3 4" xfId="3416" xr:uid="{00000000-0005-0000-0000-0000500D0000}"/>
    <cellStyle name="Background 3 3 6 3 5" xfId="3417" xr:uid="{00000000-0005-0000-0000-0000510D0000}"/>
    <cellStyle name="Background 3 3 6 4" xfId="3418" xr:uid="{00000000-0005-0000-0000-0000520D0000}"/>
    <cellStyle name="Background 3 3 6 4 2" xfId="3419" xr:uid="{00000000-0005-0000-0000-0000530D0000}"/>
    <cellStyle name="Background 3 3 6 4 3" xfId="3420" xr:uid="{00000000-0005-0000-0000-0000540D0000}"/>
    <cellStyle name="Background 3 3 6 4 4" xfId="3421" xr:uid="{00000000-0005-0000-0000-0000550D0000}"/>
    <cellStyle name="Background 3 3 6 4 5" xfId="3422" xr:uid="{00000000-0005-0000-0000-0000560D0000}"/>
    <cellStyle name="Background 3 3 6 4 6" xfId="3423" xr:uid="{00000000-0005-0000-0000-0000570D0000}"/>
    <cellStyle name="Background 3 3 6 5" xfId="3424" xr:uid="{00000000-0005-0000-0000-0000580D0000}"/>
    <cellStyle name="Background 3 3 6 6" xfId="3425" xr:uid="{00000000-0005-0000-0000-0000590D0000}"/>
    <cellStyle name="Background 3 3 6 7" xfId="3426" xr:uid="{00000000-0005-0000-0000-00005A0D0000}"/>
    <cellStyle name="Background 3 3 7" xfId="3427" xr:uid="{00000000-0005-0000-0000-00005B0D0000}"/>
    <cellStyle name="Background 3 3 7 2" xfId="3428" xr:uid="{00000000-0005-0000-0000-00005C0D0000}"/>
    <cellStyle name="Background 3 3 7 2 2" xfId="3429" xr:uid="{00000000-0005-0000-0000-00005D0D0000}"/>
    <cellStyle name="Background 3 3 7 2 2 2" xfId="3430" xr:uid="{00000000-0005-0000-0000-00005E0D0000}"/>
    <cellStyle name="Background 3 3 7 2 2 3" xfId="3431" xr:uid="{00000000-0005-0000-0000-00005F0D0000}"/>
    <cellStyle name="Background 3 3 7 2 2 4" xfId="3432" xr:uid="{00000000-0005-0000-0000-0000600D0000}"/>
    <cellStyle name="Background 3 3 7 2 2 5" xfId="3433" xr:uid="{00000000-0005-0000-0000-0000610D0000}"/>
    <cellStyle name="Background 3 3 7 2 2 6" xfId="3434" xr:uid="{00000000-0005-0000-0000-0000620D0000}"/>
    <cellStyle name="Background 3 3 7 2 3" xfId="3435" xr:uid="{00000000-0005-0000-0000-0000630D0000}"/>
    <cellStyle name="Background 3 3 7 2 4" xfId="3436" xr:uid="{00000000-0005-0000-0000-0000640D0000}"/>
    <cellStyle name="Background 3 3 7 2 5" xfId="3437" xr:uid="{00000000-0005-0000-0000-0000650D0000}"/>
    <cellStyle name="Background 3 3 7 3" xfId="3438" xr:uid="{00000000-0005-0000-0000-0000660D0000}"/>
    <cellStyle name="Background 3 3 7 3 2" xfId="3439" xr:uid="{00000000-0005-0000-0000-0000670D0000}"/>
    <cellStyle name="Background 3 3 7 3 2 2" xfId="3440" xr:uid="{00000000-0005-0000-0000-0000680D0000}"/>
    <cellStyle name="Background 3 3 7 3 2 3" xfId="3441" xr:uid="{00000000-0005-0000-0000-0000690D0000}"/>
    <cellStyle name="Background 3 3 7 3 2 4" xfId="3442" xr:uid="{00000000-0005-0000-0000-00006A0D0000}"/>
    <cellStyle name="Background 3 3 7 3 2 5" xfId="3443" xr:uid="{00000000-0005-0000-0000-00006B0D0000}"/>
    <cellStyle name="Background 3 3 7 3 2 6" xfId="3444" xr:uid="{00000000-0005-0000-0000-00006C0D0000}"/>
    <cellStyle name="Background 3 3 7 3 3" xfId="3445" xr:uid="{00000000-0005-0000-0000-00006D0D0000}"/>
    <cellStyle name="Background 3 3 7 3 4" xfId="3446" xr:uid="{00000000-0005-0000-0000-00006E0D0000}"/>
    <cellStyle name="Background 3 3 7 3 5" xfId="3447" xr:uid="{00000000-0005-0000-0000-00006F0D0000}"/>
    <cellStyle name="Background 3 3 7 4" xfId="3448" xr:uid="{00000000-0005-0000-0000-0000700D0000}"/>
    <cellStyle name="Background 3 3 7 4 2" xfId="3449" xr:uid="{00000000-0005-0000-0000-0000710D0000}"/>
    <cellStyle name="Background 3 3 7 4 3" xfId="3450" xr:uid="{00000000-0005-0000-0000-0000720D0000}"/>
    <cellStyle name="Background 3 3 7 4 4" xfId="3451" xr:uid="{00000000-0005-0000-0000-0000730D0000}"/>
    <cellStyle name="Background 3 3 7 4 5" xfId="3452" xr:uid="{00000000-0005-0000-0000-0000740D0000}"/>
    <cellStyle name="Background 3 3 7 4 6" xfId="3453" xr:uid="{00000000-0005-0000-0000-0000750D0000}"/>
    <cellStyle name="Background 3 3 7 5" xfId="3454" xr:uid="{00000000-0005-0000-0000-0000760D0000}"/>
    <cellStyle name="Background 3 3 7 6" xfId="3455" xr:uid="{00000000-0005-0000-0000-0000770D0000}"/>
    <cellStyle name="Background 3 3 7 7" xfId="3456" xr:uid="{00000000-0005-0000-0000-0000780D0000}"/>
    <cellStyle name="Background 3 3 8" xfId="3457" xr:uid="{00000000-0005-0000-0000-0000790D0000}"/>
    <cellStyle name="Background 3 3 8 2" xfId="3458" xr:uid="{00000000-0005-0000-0000-00007A0D0000}"/>
    <cellStyle name="Background 3 3 8 2 2" xfId="3459" xr:uid="{00000000-0005-0000-0000-00007B0D0000}"/>
    <cellStyle name="Background 3 3 8 2 3" xfId="3460" xr:uid="{00000000-0005-0000-0000-00007C0D0000}"/>
    <cellStyle name="Background 3 3 8 2 4" xfId="3461" xr:uid="{00000000-0005-0000-0000-00007D0D0000}"/>
    <cellStyle name="Background 3 3 8 2 5" xfId="3462" xr:uid="{00000000-0005-0000-0000-00007E0D0000}"/>
    <cellStyle name="Background 3 3 8 2 6" xfId="3463" xr:uid="{00000000-0005-0000-0000-00007F0D0000}"/>
    <cellStyle name="Background 3 3 8 3" xfId="3464" xr:uid="{00000000-0005-0000-0000-0000800D0000}"/>
    <cellStyle name="Background 3 3 8 4" xfId="3465" xr:uid="{00000000-0005-0000-0000-0000810D0000}"/>
    <cellStyle name="Background 3 3 8 5" xfId="3466" xr:uid="{00000000-0005-0000-0000-0000820D0000}"/>
    <cellStyle name="Background 3 3 9" xfId="3467" xr:uid="{00000000-0005-0000-0000-0000830D0000}"/>
    <cellStyle name="Background 3 3 9 2" xfId="3468" xr:uid="{00000000-0005-0000-0000-0000840D0000}"/>
    <cellStyle name="Background 3 3 9 2 2" xfId="3469" xr:uid="{00000000-0005-0000-0000-0000850D0000}"/>
    <cellStyle name="Background 3 3 9 2 3" xfId="3470" xr:uid="{00000000-0005-0000-0000-0000860D0000}"/>
    <cellStyle name="Background 3 3 9 2 4" xfId="3471" xr:uid="{00000000-0005-0000-0000-0000870D0000}"/>
    <cellStyle name="Background 3 3 9 2 5" xfId="3472" xr:uid="{00000000-0005-0000-0000-0000880D0000}"/>
    <cellStyle name="Background 3 3 9 2 6" xfId="3473" xr:uid="{00000000-0005-0000-0000-0000890D0000}"/>
    <cellStyle name="Background 3 3 9 3" xfId="3474" xr:uid="{00000000-0005-0000-0000-00008A0D0000}"/>
    <cellStyle name="Background 3 3 9 4" xfId="3475" xr:uid="{00000000-0005-0000-0000-00008B0D0000}"/>
    <cellStyle name="Background 3 3 9 5" xfId="3476" xr:uid="{00000000-0005-0000-0000-00008C0D0000}"/>
    <cellStyle name="Background 3 4" xfId="3477" xr:uid="{00000000-0005-0000-0000-00008D0D0000}"/>
    <cellStyle name="Background 3 4 10" xfId="3478" xr:uid="{00000000-0005-0000-0000-00008E0D0000}"/>
    <cellStyle name="Background 3 4 11" xfId="3479" xr:uid="{00000000-0005-0000-0000-00008F0D0000}"/>
    <cellStyle name="Background 3 4 12" xfId="3480" xr:uid="{00000000-0005-0000-0000-0000900D0000}"/>
    <cellStyle name="Background 3 4 2" xfId="3481" xr:uid="{00000000-0005-0000-0000-0000910D0000}"/>
    <cellStyle name="Background 3 4 2 2" xfId="3482" xr:uid="{00000000-0005-0000-0000-0000920D0000}"/>
    <cellStyle name="Background 3 4 2 2 2" xfId="3483" xr:uid="{00000000-0005-0000-0000-0000930D0000}"/>
    <cellStyle name="Background 3 4 2 2 2 2" xfId="3484" xr:uid="{00000000-0005-0000-0000-0000940D0000}"/>
    <cellStyle name="Background 3 4 2 2 2 3" xfId="3485" xr:uid="{00000000-0005-0000-0000-0000950D0000}"/>
    <cellStyle name="Background 3 4 2 2 2 4" xfId="3486" xr:uid="{00000000-0005-0000-0000-0000960D0000}"/>
    <cellStyle name="Background 3 4 2 2 2 5" xfId="3487" xr:uid="{00000000-0005-0000-0000-0000970D0000}"/>
    <cellStyle name="Background 3 4 2 2 2 6" xfId="3488" xr:uid="{00000000-0005-0000-0000-0000980D0000}"/>
    <cellStyle name="Background 3 4 2 2 3" xfId="3489" xr:uid="{00000000-0005-0000-0000-0000990D0000}"/>
    <cellStyle name="Background 3 4 2 2 4" xfId="3490" xr:uid="{00000000-0005-0000-0000-00009A0D0000}"/>
    <cellStyle name="Background 3 4 2 2 5" xfId="3491" xr:uid="{00000000-0005-0000-0000-00009B0D0000}"/>
    <cellStyle name="Background 3 4 2 3" xfId="3492" xr:uid="{00000000-0005-0000-0000-00009C0D0000}"/>
    <cellStyle name="Background 3 4 2 3 2" xfId="3493" xr:uid="{00000000-0005-0000-0000-00009D0D0000}"/>
    <cellStyle name="Background 3 4 2 3 2 2" xfId="3494" xr:uid="{00000000-0005-0000-0000-00009E0D0000}"/>
    <cellStyle name="Background 3 4 2 3 2 3" xfId="3495" xr:uid="{00000000-0005-0000-0000-00009F0D0000}"/>
    <cellStyle name="Background 3 4 2 3 2 4" xfId="3496" xr:uid="{00000000-0005-0000-0000-0000A00D0000}"/>
    <cellStyle name="Background 3 4 2 3 2 5" xfId="3497" xr:uid="{00000000-0005-0000-0000-0000A10D0000}"/>
    <cellStyle name="Background 3 4 2 3 2 6" xfId="3498" xr:uid="{00000000-0005-0000-0000-0000A20D0000}"/>
    <cellStyle name="Background 3 4 2 3 3" xfId="3499" xr:uid="{00000000-0005-0000-0000-0000A30D0000}"/>
    <cellStyle name="Background 3 4 2 3 4" xfId="3500" xr:uid="{00000000-0005-0000-0000-0000A40D0000}"/>
    <cellStyle name="Background 3 4 2 3 5" xfId="3501" xr:uid="{00000000-0005-0000-0000-0000A50D0000}"/>
    <cellStyle name="Background 3 4 2 4" xfId="3502" xr:uid="{00000000-0005-0000-0000-0000A60D0000}"/>
    <cellStyle name="Background 3 4 2 4 2" xfId="3503" xr:uid="{00000000-0005-0000-0000-0000A70D0000}"/>
    <cellStyle name="Background 3 4 2 4 3" xfId="3504" xr:uid="{00000000-0005-0000-0000-0000A80D0000}"/>
    <cellStyle name="Background 3 4 2 4 4" xfId="3505" xr:uid="{00000000-0005-0000-0000-0000A90D0000}"/>
    <cellStyle name="Background 3 4 2 4 5" xfId="3506" xr:uid="{00000000-0005-0000-0000-0000AA0D0000}"/>
    <cellStyle name="Background 3 4 2 4 6" xfId="3507" xr:uid="{00000000-0005-0000-0000-0000AB0D0000}"/>
    <cellStyle name="Background 3 4 2 5" xfId="3508" xr:uid="{00000000-0005-0000-0000-0000AC0D0000}"/>
    <cellStyle name="Background 3 4 2 6" xfId="3509" xr:uid="{00000000-0005-0000-0000-0000AD0D0000}"/>
    <cellStyle name="Background 3 4 2 7" xfId="3510" xr:uid="{00000000-0005-0000-0000-0000AE0D0000}"/>
    <cellStyle name="Background 3 4 3" xfId="3511" xr:uid="{00000000-0005-0000-0000-0000AF0D0000}"/>
    <cellStyle name="Background 3 4 3 2" xfId="3512" xr:uid="{00000000-0005-0000-0000-0000B00D0000}"/>
    <cellStyle name="Background 3 4 3 2 2" xfId="3513" xr:uid="{00000000-0005-0000-0000-0000B10D0000}"/>
    <cellStyle name="Background 3 4 3 2 2 2" xfId="3514" xr:uid="{00000000-0005-0000-0000-0000B20D0000}"/>
    <cellStyle name="Background 3 4 3 2 2 3" xfId="3515" xr:uid="{00000000-0005-0000-0000-0000B30D0000}"/>
    <cellStyle name="Background 3 4 3 2 2 4" xfId="3516" xr:uid="{00000000-0005-0000-0000-0000B40D0000}"/>
    <cellStyle name="Background 3 4 3 2 2 5" xfId="3517" xr:uid="{00000000-0005-0000-0000-0000B50D0000}"/>
    <cellStyle name="Background 3 4 3 2 2 6" xfId="3518" xr:uid="{00000000-0005-0000-0000-0000B60D0000}"/>
    <cellStyle name="Background 3 4 3 2 3" xfId="3519" xr:uid="{00000000-0005-0000-0000-0000B70D0000}"/>
    <cellStyle name="Background 3 4 3 2 4" xfId="3520" xr:uid="{00000000-0005-0000-0000-0000B80D0000}"/>
    <cellStyle name="Background 3 4 3 2 5" xfId="3521" xr:uid="{00000000-0005-0000-0000-0000B90D0000}"/>
    <cellStyle name="Background 3 4 3 3" xfId="3522" xr:uid="{00000000-0005-0000-0000-0000BA0D0000}"/>
    <cellStyle name="Background 3 4 3 3 2" xfId="3523" xr:uid="{00000000-0005-0000-0000-0000BB0D0000}"/>
    <cellStyle name="Background 3 4 3 3 2 2" xfId="3524" xr:uid="{00000000-0005-0000-0000-0000BC0D0000}"/>
    <cellStyle name="Background 3 4 3 3 2 3" xfId="3525" xr:uid="{00000000-0005-0000-0000-0000BD0D0000}"/>
    <cellStyle name="Background 3 4 3 3 2 4" xfId="3526" xr:uid="{00000000-0005-0000-0000-0000BE0D0000}"/>
    <cellStyle name="Background 3 4 3 3 2 5" xfId="3527" xr:uid="{00000000-0005-0000-0000-0000BF0D0000}"/>
    <cellStyle name="Background 3 4 3 3 2 6" xfId="3528" xr:uid="{00000000-0005-0000-0000-0000C00D0000}"/>
    <cellStyle name="Background 3 4 3 3 3" xfId="3529" xr:uid="{00000000-0005-0000-0000-0000C10D0000}"/>
    <cellStyle name="Background 3 4 3 3 4" xfId="3530" xr:uid="{00000000-0005-0000-0000-0000C20D0000}"/>
    <cellStyle name="Background 3 4 3 3 5" xfId="3531" xr:uid="{00000000-0005-0000-0000-0000C30D0000}"/>
    <cellStyle name="Background 3 4 3 4" xfId="3532" xr:uid="{00000000-0005-0000-0000-0000C40D0000}"/>
    <cellStyle name="Background 3 4 3 4 2" xfId="3533" xr:uid="{00000000-0005-0000-0000-0000C50D0000}"/>
    <cellStyle name="Background 3 4 3 4 3" xfId="3534" xr:uid="{00000000-0005-0000-0000-0000C60D0000}"/>
    <cellStyle name="Background 3 4 3 4 4" xfId="3535" xr:uid="{00000000-0005-0000-0000-0000C70D0000}"/>
    <cellStyle name="Background 3 4 3 4 5" xfId="3536" xr:uid="{00000000-0005-0000-0000-0000C80D0000}"/>
    <cellStyle name="Background 3 4 3 4 6" xfId="3537" xr:uid="{00000000-0005-0000-0000-0000C90D0000}"/>
    <cellStyle name="Background 3 4 3 5" xfId="3538" xr:uid="{00000000-0005-0000-0000-0000CA0D0000}"/>
    <cellStyle name="Background 3 4 3 6" xfId="3539" xr:uid="{00000000-0005-0000-0000-0000CB0D0000}"/>
    <cellStyle name="Background 3 4 3 7" xfId="3540" xr:uid="{00000000-0005-0000-0000-0000CC0D0000}"/>
    <cellStyle name="Background 3 4 4" xfId="3541" xr:uid="{00000000-0005-0000-0000-0000CD0D0000}"/>
    <cellStyle name="Background 3 4 4 2" xfId="3542" xr:uid="{00000000-0005-0000-0000-0000CE0D0000}"/>
    <cellStyle name="Background 3 4 4 2 2" xfId="3543" xr:uid="{00000000-0005-0000-0000-0000CF0D0000}"/>
    <cellStyle name="Background 3 4 4 2 2 2" xfId="3544" xr:uid="{00000000-0005-0000-0000-0000D00D0000}"/>
    <cellStyle name="Background 3 4 4 2 2 3" xfId="3545" xr:uid="{00000000-0005-0000-0000-0000D10D0000}"/>
    <cellStyle name="Background 3 4 4 2 2 4" xfId="3546" xr:uid="{00000000-0005-0000-0000-0000D20D0000}"/>
    <cellStyle name="Background 3 4 4 2 2 5" xfId="3547" xr:uid="{00000000-0005-0000-0000-0000D30D0000}"/>
    <cellStyle name="Background 3 4 4 2 2 6" xfId="3548" xr:uid="{00000000-0005-0000-0000-0000D40D0000}"/>
    <cellStyle name="Background 3 4 4 2 3" xfId="3549" xr:uid="{00000000-0005-0000-0000-0000D50D0000}"/>
    <cellStyle name="Background 3 4 4 2 4" xfId="3550" xr:uid="{00000000-0005-0000-0000-0000D60D0000}"/>
    <cellStyle name="Background 3 4 4 2 5" xfId="3551" xr:uid="{00000000-0005-0000-0000-0000D70D0000}"/>
    <cellStyle name="Background 3 4 4 3" xfId="3552" xr:uid="{00000000-0005-0000-0000-0000D80D0000}"/>
    <cellStyle name="Background 3 4 4 3 2" xfId="3553" xr:uid="{00000000-0005-0000-0000-0000D90D0000}"/>
    <cellStyle name="Background 3 4 4 3 2 2" xfId="3554" xr:uid="{00000000-0005-0000-0000-0000DA0D0000}"/>
    <cellStyle name="Background 3 4 4 3 2 3" xfId="3555" xr:uid="{00000000-0005-0000-0000-0000DB0D0000}"/>
    <cellStyle name="Background 3 4 4 3 2 4" xfId="3556" xr:uid="{00000000-0005-0000-0000-0000DC0D0000}"/>
    <cellStyle name="Background 3 4 4 3 2 5" xfId="3557" xr:uid="{00000000-0005-0000-0000-0000DD0D0000}"/>
    <cellStyle name="Background 3 4 4 3 2 6" xfId="3558" xr:uid="{00000000-0005-0000-0000-0000DE0D0000}"/>
    <cellStyle name="Background 3 4 4 3 3" xfId="3559" xr:uid="{00000000-0005-0000-0000-0000DF0D0000}"/>
    <cellStyle name="Background 3 4 4 3 4" xfId="3560" xr:uid="{00000000-0005-0000-0000-0000E00D0000}"/>
    <cellStyle name="Background 3 4 4 3 5" xfId="3561" xr:uid="{00000000-0005-0000-0000-0000E10D0000}"/>
    <cellStyle name="Background 3 4 4 4" xfId="3562" xr:uid="{00000000-0005-0000-0000-0000E20D0000}"/>
    <cellStyle name="Background 3 4 4 4 2" xfId="3563" xr:uid="{00000000-0005-0000-0000-0000E30D0000}"/>
    <cellStyle name="Background 3 4 4 4 3" xfId="3564" xr:uid="{00000000-0005-0000-0000-0000E40D0000}"/>
    <cellStyle name="Background 3 4 4 4 4" xfId="3565" xr:uid="{00000000-0005-0000-0000-0000E50D0000}"/>
    <cellStyle name="Background 3 4 4 4 5" xfId="3566" xr:uid="{00000000-0005-0000-0000-0000E60D0000}"/>
    <cellStyle name="Background 3 4 4 4 6" xfId="3567" xr:uid="{00000000-0005-0000-0000-0000E70D0000}"/>
    <cellStyle name="Background 3 4 4 5" xfId="3568" xr:uid="{00000000-0005-0000-0000-0000E80D0000}"/>
    <cellStyle name="Background 3 4 4 6" xfId="3569" xr:uid="{00000000-0005-0000-0000-0000E90D0000}"/>
    <cellStyle name="Background 3 4 4 7" xfId="3570" xr:uid="{00000000-0005-0000-0000-0000EA0D0000}"/>
    <cellStyle name="Background 3 4 5" xfId="3571" xr:uid="{00000000-0005-0000-0000-0000EB0D0000}"/>
    <cellStyle name="Background 3 4 5 2" xfId="3572" xr:uid="{00000000-0005-0000-0000-0000EC0D0000}"/>
    <cellStyle name="Background 3 4 5 2 2" xfId="3573" xr:uid="{00000000-0005-0000-0000-0000ED0D0000}"/>
    <cellStyle name="Background 3 4 5 2 2 2" xfId="3574" xr:uid="{00000000-0005-0000-0000-0000EE0D0000}"/>
    <cellStyle name="Background 3 4 5 2 2 3" xfId="3575" xr:uid="{00000000-0005-0000-0000-0000EF0D0000}"/>
    <cellStyle name="Background 3 4 5 2 2 4" xfId="3576" xr:uid="{00000000-0005-0000-0000-0000F00D0000}"/>
    <cellStyle name="Background 3 4 5 2 2 5" xfId="3577" xr:uid="{00000000-0005-0000-0000-0000F10D0000}"/>
    <cellStyle name="Background 3 4 5 2 2 6" xfId="3578" xr:uid="{00000000-0005-0000-0000-0000F20D0000}"/>
    <cellStyle name="Background 3 4 5 2 3" xfId="3579" xr:uid="{00000000-0005-0000-0000-0000F30D0000}"/>
    <cellStyle name="Background 3 4 5 2 4" xfId="3580" xr:uid="{00000000-0005-0000-0000-0000F40D0000}"/>
    <cellStyle name="Background 3 4 5 2 5" xfId="3581" xr:uid="{00000000-0005-0000-0000-0000F50D0000}"/>
    <cellStyle name="Background 3 4 5 3" xfId="3582" xr:uid="{00000000-0005-0000-0000-0000F60D0000}"/>
    <cellStyle name="Background 3 4 5 3 2" xfId="3583" xr:uid="{00000000-0005-0000-0000-0000F70D0000}"/>
    <cellStyle name="Background 3 4 5 3 2 2" xfId="3584" xr:uid="{00000000-0005-0000-0000-0000F80D0000}"/>
    <cellStyle name="Background 3 4 5 3 2 3" xfId="3585" xr:uid="{00000000-0005-0000-0000-0000F90D0000}"/>
    <cellStyle name="Background 3 4 5 3 2 4" xfId="3586" xr:uid="{00000000-0005-0000-0000-0000FA0D0000}"/>
    <cellStyle name="Background 3 4 5 3 2 5" xfId="3587" xr:uid="{00000000-0005-0000-0000-0000FB0D0000}"/>
    <cellStyle name="Background 3 4 5 3 2 6" xfId="3588" xr:uid="{00000000-0005-0000-0000-0000FC0D0000}"/>
    <cellStyle name="Background 3 4 5 3 3" xfId="3589" xr:uid="{00000000-0005-0000-0000-0000FD0D0000}"/>
    <cellStyle name="Background 3 4 5 3 4" xfId="3590" xr:uid="{00000000-0005-0000-0000-0000FE0D0000}"/>
    <cellStyle name="Background 3 4 5 3 5" xfId="3591" xr:uid="{00000000-0005-0000-0000-0000FF0D0000}"/>
    <cellStyle name="Background 3 4 5 4" xfId="3592" xr:uid="{00000000-0005-0000-0000-0000000E0000}"/>
    <cellStyle name="Background 3 4 5 4 2" xfId="3593" xr:uid="{00000000-0005-0000-0000-0000010E0000}"/>
    <cellStyle name="Background 3 4 5 4 3" xfId="3594" xr:uid="{00000000-0005-0000-0000-0000020E0000}"/>
    <cellStyle name="Background 3 4 5 4 4" xfId="3595" xr:uid="{00000000-0005-0000-0000-0000030E0000}"/>
    <cellStyle name="Background 3 4 5 4 5" xfId="3596" xr:uid="{00000000-0005-0000-0000-0000040E0000}"/>
    <cellStyle name="Background 3 4 5 4 6" xfId="3597" xr:uid="{00000000-0005-0000-0000-0000050E0000}"/>
    <cellStyle name="Background 3 4 5 5" xfId="3598" xr:uid="{00000000-0005-0000-0000-0000060E0000}"/>
    <cellStyle name="Background 3 4 5 6" xfId="3599" xr:uid="{00000000-0005-0000-0000-0000070E0000}"/>
    <cellStyle name="Background 3 4 5 7" xfId="3600" xr:uid="{00000000-0005-0000-0000-0000080E0000}"/>
    <cellStyle name="Background 3 4 6" xfId="3601" xr:uid="{00000000-0005-0000-0000-0000090E0000}"/>
    <cellStyle name="Background 3 4 6 2" xfId="3602" xr:uid="{00000000-0005-0000-0000-00000A0E0000}"/>
    <cellStyle name="Background 3 4 6 2 2" xfId="3603" xr:uid="{00000000-0005-0000-0000-00000B0E0000}"/>
    <cellStyle name="Background 3 4 6 2 2 2" xfId="3604" xr:uid="{00000000-0005-0000-0000-00000C0E0000}"/>
    <cellStyle name="Background 3 4 6 2 2 3" xfId="3605" xr:uid="{00000000-0005-0000-0000-00000D0E0000}"/>
    <cellStyle name="Background 3 4 6 2 2 4" xfId="3606" xr:uid="{00000000-0005-0000-0000-00000E0E0000}"/>
    <cellStyle name="Background 3 4 6 2 2 5" xfId="3607" xr:uid="{00000000-0005-0000-0000-00000F0E0000}"/>
    <cellStyle name="Background 3 4 6 2 2 6" xfId="3608" xr:uid="{00000000-0005-0000-0000-0000100E0000}"/>
    <cellStyle name="Background 3 4 6 2 3" xfId="3609" xr:uid="{00000000-0005-0000-0000-0000110E0000}"/>
    <cellStyle name="Background 3 4 6 2 4" xfId="3610" xr:uid="{00000000-0005-0000-0000-0000120E0000}"/>
    <cellStyle name="Background 3 4 6 2 5" xfId="3611" xr:uid="{00000000-0005-0000-0000-0000130E0000}"/>
    <cellStyle name="Background 3 4 6 3" xfId="3612" xr:uid="{00000000-0005-0000-0000-0000140E0000}"/>
    <cellStyle name="Background 3 4 6 3 2" xfId="3613" xr:uid="{00000000-0005-0000-0000-0000150E0000}"/>
    <cellStyle name="Background 3 4 6 3 2 2" xfId="3614" xr:uid="{00000000-0005-0000-0000-0000160E0000}"/>
    <cellStyle name="Background 3 4 6 3 2 3" xfId="3615" xr:uid="{00000000-0005-0000-0000-0000170E0000}"/>
    <cellStyle name="Background 3 4 6 3 2 4" xfId="3616" xr:uid="{00000000-0005-0000-0000-0000180E0000}"/>
    <cellStyle name="Background 3 4 6 3 2 5" xfId="3617" xr:uid="{00000000-0005-0000-0000-0000190E0000}"/>
    <cellStyle name="Background 3 4 6 3 2 6" xfId="3618" xr:uid="{00000000-0005-0000-0000-00001A0E0000}"/>
    <cellStyle name="Background 3 4 6 3 3" xfId="3619" xr:uid="{00000000-0005-0000-0000-00001B0E0000}"/>
    <cellStyle name="Background 3 4 6 3 4" xfId="3620" xr:uid="{00000000-0005-0000-0000-00001C0E0000}"/>
    <cellStyle name="Background 3 4 6 3 5" xfId="3621" xr:uid="{00000000-0005-0000-0000-00001D0E0000}"/>
    <cellStyle name="Background 3 4 6 4" xfId="3622" xr:uid="{00000000-0005-0000-0000-00001E0E0000}"/>
    <cellStyle name="Background 3 4 6 4 2" xfId="3623" xr:uid="{00000000-0005-0000-0000-00001F0E0000}"/>
    <cellStyle name="Background 3 4 6 4 3" xfId="3624" xr:uid="{00000000-0005-0000-0000-0000200E0000}"/>
    <cellStyle name="Background 3 4 6 4 4" xfId="3625" xr:uid="{00000000-0005-0000-0000-0000210E0000}"/>
    <cellStyle name="Background 3 4 6 4 5" xfId="3626" xr:uid="{00000000-0005-0000-0000-0000220E0000}"/>
    <cellStyle name="Background 3 4 6 4 6" xfId="3627" xr:uid="{00000000-0005-0000-0000-0000230E0000}"/>
    <cellStyle name="Background 3 4 6 5" xfId="3628" xr:uid="{00000000-0005-0000-0000-0000240E0000}"/>
    <cellStyle name="Background 3 4 6 6" xfId="3629" xr:uid="{00000000-0005-0000-0000-0000250E0000}"/>
    <cellStyle name="Background 3 4 6 7" xfId="3630" xr:uid="{00000000-0005-0000-0000-0000260E0000}"/>
    <cellStyle name="Background 3 4 7" xfId="3631" xr:uid="{00000000-0005-0000-0000-0000270E0000}"/>
    <cellStyle name="Background 3 4 7 2" xfId="3632" xr:uid="{00000000-0005-0000-0000-0000280E0000}"/>
    <cellStyle name="Background 3 4 7 2 2" xfId="3633" xr:uid="{00000000-0005-0000-0000-0000290E0000}"/>
    <cellStyle name="Background 3 4 7 2 3" xfId="3634" xr:uid="{00000000-0005-0000-0000-00002A0E0000}"/>
    <cellStyle name="Background 3 4 7 2 4" xfId="3635" xr:uid="{00000000-0005-0000-0000-00002B0E0000}"/>
    <cellStyle name="Background 3 4 7 2 5" xfId="3636" xr:uid="{00000000-0005-0000-0000-00002C0E0000}"/>
    <cellStyle name="Background 3 4 7 2 6" xfId="3637" xr:uid="{00000000-0005-0000-0000-00002D0E0000}"/>
    <cellStyle name="Background 3 4 7 3" xfId="3638" xr:uid="{00000000-0005-0000-0000-00002E0E0000}"/>
    <cellStyle name="Background 3 4 7 4" xfId="3639" xr:uid="{00000000-0005-0000-0000-00002F0E0000}"/>
    <cellStyle name="Background 3 4 7 5" xfId="3640" xr:uid="{00000000-0005-0000-0000-0000300E0000}"/>
    <cellStyle name="Background 3 4 8" xfId="3641" xr:uid="{00000000-0005-0000-0000-0000310E0000}"/>
    <cellStyle name="Background 3 4 8 2" xfId="3642" xr:uid="{00000000-0005-0000-0000-0000320E0000}"/>
    <cellStyle name="Background 3 4 8 2 2" xfId="3643" xr:uid="{00000000-0005-0000-0000-0000330E0000}"/>
    <cellStyle name="Background 3 4 8 2 3" xfId="3644" xr:uid="{00000000-0005-0000-0000-0000340E0000}"/>
    <cellStyle name="Background 3 4 8 2 4" xfId="3645" xr:uid="{00000000-0005-0000-0000-0000350E0000}"/>
    <cellStyle name="Background 3 4 8 2 5" xfId="3646" xr:uid="{00000000-0005-0000-0000-0000360E0000}"/>
    <cellStyle name="Background 3 4 8 2 6" xfId="3647" xr:uid="{00000000-0005-0000-0000-0000370E0000}"/>
    <cellStyle name="Background 3 4 8 3" xfId="3648" xr:uid="{00000000-0005-0000-0000-0000380E0000}"/>
    <cellStyle name="Background 3 4 8 4" xfId="3649" xr:uid="{00000000-0005-0000-0000-0000390E0000}"/>
    <cellStyle name="Background 3 4 8 5" xfId="3650" xr:uid="{00000000-0005-0000-0000-00003A0E0000}"/>
    <cellStyle name="Background 3 4 9" xfId="3651" xr:uid="{00000000-0005-0000-0000-00003B0E0000}"/>
    <cellStyle name="Background 3 4 9 2" xfId="3652" xr:uid="{00000000-0005-0000-0000-00003C0E0000}"/>
    <cellStyle name="Background 3 4 9 3" xfId="3653" xr:uid="{00000000-0005-0000-0000-00003D0E0000}"/>
    <cellStyle name="Background 3 4 9 4" xfId="3654" xr:uid="{00000000-0005-0000-0000-00003E0E0000}"/>
    <cellStyle name="Background 3 4 9 5" xfId="3655" xr:uid="{00000000-0005-0000-0000-00003F0E0000}"/>
    <cellStyle name="Background 3 4 9 6" xfId="3656" xr:uid="{00000000-0005-0000-0000-0000400E0000}"/>
    <cellStyle name="Background 3 5" xfId="3657" xr:uid="{00000000-0005-0000-0000-0000410E0000}"/>
    <cellStyle name="Background 3 5 2" xfId="3658" xr:uid="{00000000-0005-0000-0000-0000420E0000}"/>
    <cellStyle name="Background 3 5 2 2" xfId="3659" xr:uid="{00000000-0005-0000-0000-0000430E0000}"/>
    <cellStyle name="Background 3 5 2 2 2" xfId="3660" xr:uid="{00000000-0005-0000-0000-0000440E0000}"/>
    <cellStyle name="Background 3 5 2 2 3" xfId="3661" xr:uid="{00000000-0005-0000-0000-0000450E0000}"/>
    <cellStyle name="Background 3 5 2 2 4" xfId="3662" xr:uid="{00000000-0005-0000-0000-0000460E0000}"/>
    <cellStyle name="Background 3 5 2 2 5" xfId="3663" xr:uid="{00000000-0005-0000-0000-0000470E0000}"/>
    <cellStyle name="Background 3 5 2 2 6" xfId="3664" xr:uid="{00000000-0005-0000-0000-0000480E0000}"/>
    <cellStyle name="Background 3 5 2 3" xfId="3665" xr:uid="{00000000-0005-0000-0000-0000490E0000}"/>
    <cellStyle name="Background 3 5 2 4" xfId="3666" xr:uid="{00000000-0005-0000-0000-00004A0E0000}"/>
    <cellStyle name="Background 3 5 2 5" xfId="3667" xr:uid="{00000000-0005-0000-0000-00004B0E0000}"/>
    <cellStyle name="Background 3 5 3" xfId="3668" xr:uid="{00000000-0005-0000-0000-00004C0E0000}"/>
    <cellStyle name="Background 3 5 3 2" xfId="3669" xr:uid="{00000000-0005-0000-0000-00004D0E0000}"/>
    <cellStyle name="Background 3 5 3 2 2" xfId="3670" xr:uid="{00000000-0005-0000-0000-00004E0E0000}"/>
    <cellStyle name="Background 3 5 3 2 3" xfId="3671" xr:uid="{00000000-0005-0000-0000-00004F0E0000}"/>
    <cellStyle name="Background 3 5 3 2 4" xfId="3672" xr:uid="{00000000-0005-0000-0000-0000500E0000}"/>
    <cellStyle name="Background 3 5 3 2 5" xfId="3673" xr:uid="{00000000-0005-0000-0000-0000510E0000}"/>
    <cellStyle name="Background 3 5 3 2 6" xfId="3674" xr:uid="{00000000-0005-0000-0000-0000520E0000}"/>
    <cellStyle name="Background 3 5 3 3" xfId="3675" xr:uid="{00000000-0005-0000-0000-0000530E0000}"/>
    <cellStyle name="Background 3 5 3 4" xfId="3676" xr:uid="{00000000-0005-0000-0000-0000540E0000}"/>
    <cellStyle name="Background 3 5 3 5" xfId="3677" xr:uid="{00000000-0005-0000-0000-0000550E0000}"/>
    <cellStyle name="Background 3 5 4" xfId="3678" xr:uid="{00000000-0005-0000-0000-0000560E0000}"/>
    <cellStyle name="Background 3 5 4 2" xfId="3679" xr:uid="{00000000-0005-0000-0000-0000570E0000}"/>
    <cellStyle name="Background 3 5 4 3" xfId="3680" xr:uid="{00000000-0005-0000-0000-0000580E0000}"/>
    <cellStyle name="Background 3 5 4 4" xfId="3681" xr:uid="{00000000-0005-0000-0000-0000590E0000}"/>
    <cellStyle name="Background 3 5 4 5" xfId="3682" xr:uid="{00000000-0005-0000-0000-00005A0E0000}"/>
    <cellStyle name="Background 3 5 4 6" xfId="3683" xr:uid="{00000000-0005-0000-0000-00005B0E0000}"/>
    <cellStyle name="Background 3 5 5" xfId="3684" xr:uid="{00000000-0005-0000-0000-00005C0E0000}"/>
    <cellStyle name="Background 3 5 6" xfId="3685" xr:uid="{00000000-0005-0000-0000-00005D0E0000}"/>
    <cellStyle name="Background 3 5 7" xfId="3686" xr:uid="{00000000-0005-0000-0000-00005E0E0000}"/>
    <cellStyle name="Background 3 6" xfId="3687" xr:uid="{00000000-0005-0000-0000-00005F0E0000}"/>
    <cellStyle name="Background 3 6 2" xfId="3688" xr:uid="{00000000-0005-0000-0000-0000600E0000}"/>
    <cellStyle name="Background 3 6 2 2" xfId="3689" xr:uid="{00000000-0005-0000-0000-0000610E0000}"/>
    <cellStyle name="Background 3 6 2 2 2" xfId="3690" xr:uid="{00000000-0005-0000-0000-0000620E0000}"/>
    <cellStyle name="Background 3 6 2 2 3" xfId="3691" xr:uid="{00000000-0005-0000-0000-0000630E0000}"/>
    <cellStyle name="Background 3 6 2 2 4" xfId="3692" xr:uid="{00000000-0005-0000-0000-0000640E0000}"/>
    <cellStyle name="Background 3 6 2 2 5" xfId="3693" xr:uid="{00000000-0005-0000-0000-0000650E0000}"/>
    <cellStyle name="Background 3 6 2 2 6" xfId="3694" xr:uid="{00000000-0005-0000-0000-0000660E0000}"/>
    <cellStyle name="Background 3 6 2 3" xfId="3695" xr:uid="{00000000-0005-0000-0000-0000670E0000}"/>
    <cellStyle name="Background 3 6 2 4" xfId="3696" xr:uid="{00000000-0005-0000-0000-0000680E0000}"/>
    <cellStyle name="Background 3 6 2 5" xfId="3697" xr:uid="{00000000-0005-0000-0000-0000690E0000}"/>
    <cellStyle name="Background 3 6 3" xfId="3698" xr:uid="{00000000-0005-0000-0000-00006A0E0000}"/>
    <cellStyle name="Background 3 6 3 2" xfId="3699" xr:uid="{00000000-0005-0000-0000-00006B0E0000}"/>
    <cellStyle name="Background 3 6 3 2 2" xfId="3700" xr:uid="{00000000-0005-0000-0000-00006C0E0000}"/>
    <cellStyle name="Background 3 6 3 2 3" xfId="3701" xr:uid="{00000000-0005-0000-0000-00006D0E0000}"/>
    <cellStyle name="Background 3 6 3 2 4" xfId="3702" xr:uid="{00000000-0005-0000-0000-00006E0E0000}"/>
    <cellStyle name="Background 3 6 3 2 5" xfId="3703" xr:uid="{00000000-0005-0000-0000-00006F0E0000}"/>
    <cellStyle name="Background 3 6 3 2 6" xfId="3704" xr:uid="{00000000-0005-0000-0000-0000700E0000}"/>
    <cellStyle name="Background 3 6 3 3" xfId="3705" xr:uid="{00000000-0005-0000-0000-0000710E0000}"/>
    <cellStyle name="Background 3 6 3 4" xfId="3706" xr:uid="{00000000-0005-0000-0000-0000720E0000}"/>
    <cellStyle name="Background 3 6 3 5" xfId="3707" xr:uid="{00000000-0005-0000-0000-0000730E0000}"/>
    <cellStyle name="Background 3 6 4" xfId="3708" xr:uid="{00000000-0005-0000-0000-0000740E0000}"/>
    <cellStyle name="Background 3 6 4 2" xfId="3709" xr:uid="{00000000-0005-0000-0000-0000750E0000}"/>
    <cellStyle name="Background 3 6 4 3" xfId="3710" xr:uid="{00000000-0005-0000-0000-0000760E0000}"/>
    <cellStyle name="Background 3 6 4 4" xfId="3711" xr:uid="{00000000-0005-0000-0000-0000770E0000}"/>
    <cellStyle name="Background 3 6 4 5" xfId="3712" xr:uid="{00000000-0005-0000-0000-0000780E0000}"/>
    <cellStyle name="Background 3 6 4 6" xfId="3713" xr:uid="{00000000-0005-0000-0000-0000790E0000}"/>
    <cellStyle name="Background 3 6 5" xfId="3714" xr:uid="{00000000-0005-0000-0000-00007A0E0000}"/>
    <cellStyle name="Background 3 6 6" xfId="3715" xr:uid="{00000000-0005-0000-0000-00007B0E0000}"/>
    <cellStyle name="Background 3 6 7" xfId="3716" xr:uid="{00000000-0005-0000-0000-00007C0E0000}"/>
    <cellStyle name="Background 3 7" xfId="3717" xr:uid="{00000000-0005-0000-0000-00007D0E0000}"/>
    <cellStyle name="Background 3 7 2" xfId="3718" xr:uid="{00000000-0005-0000-0000-00007E0E0000}"/>
    <cellStyle name="Background 3 7 2 2" xfId="3719" xr:uid="{00000000-0005-0000-0000-00007F0E0000}"/>
    <cellStyle name="Background 3 7 2 2 2" xfId="3720" xr:uid="{00000000-0005-0000-0000-0000800E0000}"/>
    <cellStyle name="Background 3 7 2 2 3" xfId="3721" xr:uid="{00000000-0005-0000-0000-0000810E0000}"/>
    <cellStyle name="Background 3 7 2 2 4" xfId="3722" xr:uid="{00000000-0005-0000-0000-0000820E0000}"/>
    <cellStyle name="Background 3 7 2 2 5" xfId="3723" xr:uid="{00000000-0005-0000-0000-0000830E0000}"/>
    <cellStyle name="Background 3 7 2 2 6" xfId="3724" xr:uid="{00000000-0005-0000-0000-0000840E0000}"/>
    <cellStyle name="Background 3 7 2 3" xfId="3725" xr:uid="{00000000-0005-0000-0000-0000850E0000}"/>
    <cellStyle name="Background 3 7 2 4" xfId="3726" xr:uid="{00000000-0005-0000-0000-0000860E0000}"/>
    <cellStyle name="Background 3 7 2 5" xfId="3727" xr:uid="{00000000-0005-0000-0000-0000870E0000}"/>
    <cellStyle name="Background 3 7 3" xfId="3728" xr:uid="{00000000-0005-0000-0000-0000880E0000}"/>
    <cellStyle name="Background 3 7 3 2" xfId="3729" xr:uid="{00000000-0005-0000-0000-0000890E0000}"/>
    <cellStyle name="Background 3 7 3 2 2" xfId="3730" xr:uid="{00000000-0005-0000-0000-00008A0E0000}"/>
    <cellStyle name="Background 3 7 3 2 3" xfId="3731" xr:uid="{00000000-0005-0000-0000-00008B0E0000}"/>
    <cellStyle name="Background 3 7 3 2 4" xfId="3732" xr:uid="{00000000-0005-0000-0000-00008C0E0000}"/>
    <cellStyle name="Background 3 7 3 2 5" xfId="3733" xr:uid="{00000000-0005-0000-0000-00008D0E0000}"/>
    <cellStyle name="Background 3 7 3 2 6" xfId="3734" xr:uid="{00000000-0005-0000-0000-00008E0E0000}"/>
    <cellStyle name="Background 3 7 3 3" xfId="3735" xr:uid="{00000000-0005-0000-0000-00008F0E0000}"/>
    <cellStyle name="Background 3 7 3 4" xfId="3736" xr:uid="{00000000-0005-0000-0000-0000900E0000}"/>
    <cellStyle name="Background 3 7 3 5" xfId="3737" xr:uid="{00000000-0005-0000-0000-0000910E0000}"/>
    <cellStyle name="Background 3 7 4" xfId="3738" xr:uid="{00000000-0005-0000-0000-0000920E0000}"/>
    <cellStyle name="Background 3 7 4 2" xfId="3739" xr:uid="{00000000-0005-0000-0000-0000930E0000}"/>
    <cellStyle name="Background 3 7 4 3" xfId="3740" xr:uid="{00000000-0005-0000-0000-0000940E0000}"/>
    <cellStyle name="Background 3 7 4 4" xfId="3741" xr:uid="{00000000-0005-0000-0000-0000950E0000}"/>
    <cellStyle name="Background 3 7 4 5" xfId="3742" xr:uid="{00000000-0005-0000-0000-0000960E0000}"/>
    <cellStyle name="Background 3 7 4 6" xfId="3743" xr:uid="{00000000-0005-0000-0000-0000970E0000}"/>
    <cellStyle name="Background 3 7 5" xfId="3744" xr:uid="{00000000-0005-0000-0000-0000980E0000}"/>
    <cellStyle name="Background 3 7 6" xfId="3745" xr:uid="{00000000-0005-0000-0000-0000990E0000}"/>
    <cellStyle name="Background 3 7 7" xfId="3746" xr:uid="{00000000-0005-0000-0000-00009A0E0000}"/>
    <cellStyle name="Background 3 8" xfId="3747" xr:uid="{00000000-0005-0000-0000-00009B0E0000}"/>
    <cellStyle name="Background 3 8 2" xfId="3748" xr:uid="{00000000-0005-0000-0000-00009C0E0000}"/>
    <cellStyle name="Background 3 8 2 2" xfId="3749" xr:uid="{00000000-0005-0000-0000-00009D0E0000}"/>
    <cellStyle name="Background 3 8 2 3" xfId="3750" xr:uid="{00000000-0005-0000-0000-00009E0E0000}"/>
    <cellStyle name="Background 3 8 2 4" xfId="3751" xr:uid="{00000000-0005-0000-0000-00009F0E0000}"/>
    <cellStyle name="Background 3 8 2 5" xfId="3752" xr:uid="{00000000-0005-0000-0000-0000A00E0000}"/>
    <cellStyle name="Background 3 8 2 6" xfId="3753" xr:uid="{00000000-0005-0000-0000-0000A10E0000}"/>
    <cellStyle name="Background 3 8 3" xfId="3754" xr:uid="{00000000-0005-0000-0000-0000A20E0000}"/>
    <cellStyle name="Background 3 8 4" xfId="3755" xr:uid="{00000000-0005-0000-0000-0000A30E0000}"/>
    <cellStyle name="Background 3 8 5" xfId="3756" xr:uid="{00000000-0005-0000-0000-0000A40E0000}"/>
    <cellStyle name="Background 3 9" xfId="3757" xr:uid="{00000000-0005-0000-0000-0000A50E0000}"/>
    <cellStyle name="Background 3 9 2" xfId="3758" xr:uid="{00000000-0005-0000-0000-0000A60E0000}"/>
    <cellStyle name="Background 3 9 2 2" xfId="3759" xr:uid="{00000000-0005-0000-0000-0000A70E0000}"/>
    <cellStyle name="Background 3 9 2 3" xfId="3760" xr:uid="{00000000-0005-0000-0000-0000A80E0000}"/>
    <cellStyle name="Background 3 9 2 4" xfId="3761" xr:uid="{00000000-0005-0000-0000-0000A90E0000}"/>
    <cellStyle name="Background 3 9 2 5" xfId="3762" xr:uid="{00000000-0005-0000-0000-0000AA0E0000}"/>
    <cellStyle name="Background 3 9 2 6" xfId="3763" xr:uid="{00000000-0005-0000-0000-0000AB0E0000}"/>
    <cellStyle name="Background 3 9 3" xfId="3764" xr:uid="{00000000-0005-0000-0000-0000AC0E0000}"/>
    <cellStyle name="Background 3 9 4" xfId="3765" xr:uid="{00000000-0005-0000-0000-0000AD0E0000}"/>
    <cellStyle name="Background 3 9 5" xfId="3766" xr:uid="{00000000-0005-0000-0000-0000AE0E0000}"/>
    <cellStyle name="Background 4" xfId="3767" xr:uid="{00000000-0005-0000-0000-0000AF0E0000}"/>
    <cellStyle name="Background 4 10" xfId="3768" xr:uid="{00000000-0005-0000-0000-0000B00E0000}"/>
    <cellStyle name="Background 4 10 2" xfId="3769" xr:uid="{00000000-0005-0000-0000-0000B10E0000}"/>
    <cellStyle name="Background 4 10 3" xfId="3770" xr:uid="{00000000-0005-0000-0000-0000B20E0000}"/>
    <cellStyle name="Background 4 10 4" xfId="3771" xr:uid="{00000000-0005-0000-0000-0000B30E0000}"/>
    <cellStyle name="Background 4 10 5" xfId="3772" xr:uid="{00000000-0005-0000-0000-0000B40E0000}"/>
    <cellStyle name="Background 4 10 6" xfId="3773" xr:uid="{00000000-0005-0000-0000-0000B50E0000}"/>
    <cellStyle name="Background 4 11" xfId="3774" xr:uid="{00000000-0005-0000-0000-0000B60E0000}"/>
    <cellStyle name="Background 4 12" xfId="3775" xr:uid="{00000000-0005-0000-0000-0000B70E0000}"/>
    <cellStyle name="Background 4 13" xfId="3776" xr:uid="{00000000-0005-0000-0000-0000B80E0000}"/>
    <cellStyle name="Background 4 2" xfId="3777" xr:uid="{00000000-0005-0000-0000-0000B90E0000}"/>
    <cellStyle name="Background 4 2 10" xfId="3778" xr:uid="{00000000-0005-0000-0000-0000BA0E0000}"/>
    <cellStyle name="Background 4 2 11" xfId="3779" xr:uid="{00000000-0005-0000-0000-0000BB0E0000}"/>
    <cellStyle name="Background 4 2 12" xfId="3780" xr:uid="{00000000-0005-0000-0000-0000BC0E0000}"/>
    <cellStyle name="Background 4 2 2" xfId="3781" xr:uid="{00000000-0005-0000-0000-0000BD0E0000}"/>
    <cellStyle name="Background 4 2 2 2" xfId="3782" xr:uid="{00000000-0005-0000-0000-0000BE0E0000}"/>
    <cellStyle name="Background 4 2 2 2 2" xfId="3783" xr:uid="{00000000-0005-0000-0000-0000BF0E0000}"/>
    <cellStyle name="Background 4 2 2 2 2 2" xfId="3784" xr:uid="{00000000-0005-0000-0000-0000C00E0000}"/>
    <cellStyle name="Background 4 2 2 2 2 3" xfId="3785" xr:uid="{00000000-0005-0000-0000-0000C10E0000}"/>
    <cellStyle name="Background 4 2 2 2 2 4" xfId="3786" xr:uid="{00000000-0005-0000-0000-0000C20E0000}"/>
    <cellStyle name="Background 4 2 2 2 2 5" xfId="3787" xr:uid="{00000000-0005-0000-0000-0000C30E0000}"/>
    <cellStyle name="Background 4 2 2 2 2 6" xfId="3788" xr:uid="{00000000-0005-0000-0000-0000C40E0000}"/>
    <cellStyle name="Background 4 2 2 2 3" xfId="3789" xr:uid="{00000000-0005-0000-0000-0000C50E0000}"/>
    <cellStyle name="Background 4 2 2 2 4" xfId="3790" xr:uid="{00000000-0005-0000-0000-0000C60E0000}"/>
    <cellStyle name="Background 4 2 2 2 5" xfId="3791" xr:uid="{00000000-0005-0000-0000-0000C70E0000}"/>
    <cellStyle name="Background 4 2 2 3" xfId="3792" xr:uid="{00000000-0005-0000-0000-0000C80E0000}"/>
    <cellStyle name="Background 4 2 2 3 2" xfId="3793" xr:uid="{00000000-0005-0000-0000-0000C90E0000}"/>
    <cellStyle name="Background 4 2 2 3 2 2" xfId="3794" xr:uid="{00000000-0005-0000-0000-0000CA0E0000}"/>
    <cellStyle name="Background 4 2 2 3 2 3" xfId="3795" xr:uid="{00000000-0005-0000-0000-0000CB0E0000}"/>
    <cellStyle name="Background 4 2 2 3 2 4" xfId="3796" xr:uid="{00000000-0005-0000-0000-0000CC0E0000}"/>
    <cellStyle name="Background 4 2 2 3 2 5" xfId="3797" xr:uid="{00000000-0005-0000-0000-0000CD0E0000}"/>
    <cellStyle name="Background 4 2 2 3 2 6" xfId="3798" xr:uid="{00000000-0005-0000-0000-0000CE0E0000}"/>
    <cellStyle name="Background 4 2 2 3 3" xfId="3799" xr:uid="{00000000-0005-0000-0000-0000CF0E0000}"/>
    <cellStyle name="Background 4 2 2 3 4" xfId="3800" xr:uid="{00000000-0005-0000-0000-0000D00E0000}"/>
    <cellStyle name="Background 4 2 2 3 5" xfId="3801" xr:uid="{00000000-0005-0000-0000-0000D10E0000}"/>
    <cellStyle name="Background 4 2 2 4" xfId="3802" xr:uid="{00000000-0005-0000-0000-0000D20E0000}"/>
    <cellStyle name="Background 4 2 2 4 2" xfId="3803" xr:uid="{00000000-0005-0000-0000-0000D30E0000}"/>
    <cellStyle name="Background 4 2 2 4 3" xfId="3804" xr:uid="{00000000-0005-0000-0000-0000D40E0000}"/>
    <cellStyle name="Background 4 2 2 4 4" xfId="3805" xr:uid="{00000000-0005-0000-0000-0000D50E0000}"/>
    <cellStyle name="Background 4 2 2 4 5" xfId="3806" xr:uid="{00000000-0005-0000-0000-0000D60E0000}"/>
    <cellStyle name="Background 4 2 2 4 6" xfId="3807" xr:uid="{00000000-0005-0000-0000-0000D70E0000}"/>
    <cellStyle name="Background 4 2 2 5" xfId="3808" xr:uid="{00000000-0005-0000-0000-0000D80E0000}"/>
    <cellStyle name="Background 4 2 2 6" xfId="3809" xr:uid="{00000000-0005-0000-0000-0000D90E0000}"/>
    <cellStyle name="Background 4 2 2 7" xfId="3810" xr:uid="{00000000-0005-0000-0000-0000DA0E0000}"/>
    <cellStyle name="Background 4 2 3" xfId="3811" xr:uid="{00000000-0005-0000-0000-0000DB0E0000}"/>
    <cellStyle name="Background 4 2 3 2" xfId="3812" xr:uid="{00000000-0005-0000-0000-0000DC0E0000}"/>
    <cellStyle name="Background 4 2 3 2 2" xfId="3813" xr:uid="{00000000-0005-0000-0000-0000DD0E0000}"/>
    <cellStyle name="Background 4 2 3 2 2 2" xfId="3814" xr:uid="{00000000-0005-0000-0000-0000DE0E0000}"/>
    <cellStyle name="Background 4 2 3 2 2 3" xfId="3815" xr:uid="{00000000-0005-0000-0000-0000DF0E0000}"/>
    <cellStyle name="Background 4 2 3 2 2 4" xfId="3816" xr:uid="{00000000-0005-0000-0000-0000E00E0000}"/>
    <cellStyle name="Background 4 2 3 2 2 5" xfId="3817" xr:uid="{00000000-0005-0000-0000-0000E10E0000}"/>
    <cellStyle name="Background 4 2 3 2 2 6" xfId="3818" xr:uid="{00000000-0005-0000-0000-0000E20E0000}"/>
    <cellStyle name="Background 4 2 3 2 3" xfId="3819" xr:uid="{00000000-0005-0000-0000-0000E30E0000}"/>
    <cellStyle name="Background 4 2 3 2 4" xfId="3820" xr:uid="{00000000-0005-0000-0000-0000E40E0000}"/>
    <cellStyle name="Background 4 2 3 2 5" xfId="3821" xr:uid="{00000000-0005-0000-0000-0000E50E0000}"/>
    <cellStyle name="Background 4 2 3 3" xfId="3822" xr:uid="{00000000-0005-0000-0000-0000E60E0000}"/>
    <cellStyle name="Background 4 2 3 3 2" xfId="3823" xr:uid="{00000000-0005-0000-0000-0000E70E0000}"/>
    <cellStyle name="Background 4 2 3 3 2 2" xfId="3824" xr:uid="{00000000-0005-0000-0000-0000E80E0000}"/>
    <cellStyle name="Background 4 2 3 3 2 3" xfId="3825" xr:uid="{00000000-0005-0000-0000-0000E90E0000}"/>
    <cellStyle name="Background 4 2 3 3 2 4" xfId="3826" xr:uid="{00000000-0005-0000-0000-0000EA0E0000}"/>
    <cellStyle name="Background 4 2 3 3 2 5" xfId="3827" xr:uid="{00000000-0005-0000-0000-0000EB0E0000}"/>
    <cellStyle name="Background 4 2 3 3 2 6" xfId="3828" xr:uid="{00000000-0005-0000-0000-0000EC0E0000}"/>
    <cellStyle name="Background 4 2 3 3 3" xfId="3829" xr:uid="{00000000-0005-0000-0000-0000ED0E0000}"/>
    <cellStyle name="Background 4 2 3 3 4" xfId="3830" xr:uid="{00000000-0005-0000-0000-0000EE0E0000}"/>
    <cellStyle name="Background 4 2 3 3 5" xfId="3831" xr:uid="{00000000-0005-0000-0000-0000EF0E0000}"/>
    <cellStyle name="Background 4 2 3 4" xfId="3832" xr:uid="{00000000-0005-0000-0000-0000F00E0000}"/>
    <cellStyle name="Background 4 2 3 4 2" xfId="3833" xr:uid="{00000000-0005-0000-0000-0000F10E0000}"/>
    <cellStyle name="Background 4 2 3 4 3" xfId="3834" xr:uid="{00000000-0005-0000-0000-0000F20E0000}"/>
    <cellStyle name="Background 4 2 3 4 4" xfId="3835" xr:uid="{00000000-0005-0000-0000-0000F30E0000}"/>
    <cellStyle name="Background 4 2 3 4 5" xfId="3836" xr:uid="{00000000-0005-0000-0000-0000F40E0000}"/>
    <cellStyle name="Background 4 2 3 4 6" xfId="3837" xr:uid="{00000000-0005-0000-0000-0000F50E0000}"/>
    <cellStyle name="Background 4 2 3 5" xfId="3838" xr:uid="{00000000-0005-0000-0000-0000F60E0000}"/>
    <cellStyle name="Background 4 2 3 6" xfId="3839" xr:uid="{00000000-0005-0000-0000-0000F70E0000}"/>
    <cellStyle name="Background 4 2 3 7" xfId="3840" xr:uid="{00000000-0005-0000-0000-0000F80E0000}"/>
    <cellStyle name="Background 4 2 4" xfId="3841" xr:uid="{00000000-0005-0000-0000-0000F90E0000}"/>
    <cellStyle name="Background 4 2 4 2" xfId="3842" xr:uid="{00000000-0005-0000-0000-0000FA0E0000}"/>
    <cellStyle name="Background 4 2 4 2 2" xfId="3843" xr:uid="{00000000-0005-0000-0000-0000FB0E0000}"/>
    <cellStyle name="Background 4 2 4 2 2 2" xfId="3844" xr:uid="{00000000-0005-0000-0000-0000FC0E0000}"/>
    <cellStyle name="Background 4 2 4 2 2 3" xfId="3845" xr:uid="{00000000-0005-0000-0000-0000FD0E0000}"/>
    <cellStyle name="Background 4 2 4 2 2 4" xfId="3846" xr:uid="{00000000-0005-0000-0000-0000FE0E0000}"/>
    <cellStyle name="Background 4 2 4 2 2 5" xfId="3847" xr:uid="{00000000-0005-0000-0000-0000FF0E0000}"/>
    <cellStyle name="Background 4 2 4 2 2 6" xfId="3848" xr:uid="{00000000-0005-0000-0000-0000000F0000}"/>
    <cellStyle name="Background 4 2 4 2 3" xfId="3849" xr:uid="{00000000-0005-0000-0000-0000010F0000}"/>
    <cellStyle name="Background 4 2 4 2 4" xfId="3850" xr:uid="{00000000-0005-0000-0000-0000020F0000}"/>
    <cellStyle name="Background 4 2 4 2 5" xfId="3851" xr:uid="{00000000-0005-0000-0000-0000030F0000}"/>
    <cellStyle name="Background 4 2 4 3" xfId="3852" xr:uid="{00000000-0005-0000-0000-0000040F0000}"/>
    <cellStyle name="Background 4 2 4 3 2" xfId="3853" xr:uid="{00000000-0005-0000-0000-0000050F0000}"/>
    <cellStyle name="Background 4 2 4 3 2 2" xfId="3854" xr:uid="{00000000-0005-0000-0000-0000060F0000}"/>
    <cellStyle name="Background 4 2 4 3 2 3" xfId="3855" xr:uid="{00000000-0005-0000-0000-0000070F0000}"/>
    <cellStyle name="Background 4 2 4 3 2 4" xfId="3856" xr:uid="{00000000-0005-0000-0000-0000080F0000}"/>
    <cellStyle name="Background 4 2 4 3 2 5" xfId="3857" xr:uid="{00000000-0005-0000-0000-0000090F0000}"/>
    <cellStyle name="Background 4 2 4 3 2 6" xfId="3858" xr:uid="{00000000-0005-0000-0000-00000A0F0000}"/>
    <cellStyle name="Background 4 2 4 3 3" xfId="3859" xr:uid="{00000000-0005-0000-0000-00000B0F0000}"/>
    <cellStyle name="Background 4 2 4 3 4" xfId="3860" xr:uid="{00000000-0005-0000-0000-00000C0F0000}"/>
    <cellStyle name="Background 4 2 4 3 5" xfId="3861" xr:uid="{00000000-0005-0000-0000-00000D0F0000}"/>
    <cellStyle name="Background 4 2 4 4" xfId="3862" xr:uid="{00000000-0005-0000-0000-00000E0F0000}"/>
    <cellStyle name="Background 4 2 4 4 2" xfId="3863" xr:uid="{00000000-0005-0000-0000-00000F0F0000}"/>
    <cellStyle name="Background 4 2 4 4 3" xfId="3864" xr:uid="{00000000-0005-0000-0000-0000100F0000}"/>
    <cellStyle name="Background 4 2 4 4 4" xfId="3865" xr:uid="{00000000-0005-0000-0000-0000110F0000}"/>
    <cellStyle name="Background 4 2 4 4 5" xfId="3866" xr:uid="{00000000-0005-0000-0000-0000120F0000}"/>
    <cellStyle name="Background 4 2 4 4 6" xfId="3867" xr:uid="{00000000-0005-0000-0000-0000130F0000}"/>
    <cellStyle name="Background 4 2 4 5" xfId="3868" xr:uid="{00000000-0005-0000-0000-0000140F0000}"/>
    <cellStyle name="Background 4 2 4 6" xfId="3869" xr:uid="{00000000-0005-0000-0000-0000150F0000}"/>
    <cellStyle name="Background 4 2 4 7" xfId="3870" xr:uid="{00000000-0005-0000-0000-0000160F0000}"/>
    <cellStyle name="Background 4 2 5" xfId="3871" xr:uid="{00000000-0005-0000-0000-0000170F0000}"/>
    <cellStyle name="Background 4 2 5 2" xfId="3872" xr:uid="{00000000-0005-0000-0000-0000180F0000}"/>
    <cellStyle name="Background 4 2 5 2 2" xfId="3873" xr:uid="{00000000-0005-0000-0000-0000190F0000}"/>
    <cellStyle name="Background 4 2 5 2 2 2" xfId="3874" xr:uid="{00000000-0005-0000-0000-00001A0F0000}"/>
    <cellStyle name="Background 4 2 5 2 2 3" xfId="3875" xr:uid="{00000000-0005-0000-0000-00001B0F0000}"/>
    <cellStyle name="Background 4 2 5 2 2 4" xfId="3876" xr:uid="{00000000-0005-0000-0000-00001C0F0000}"/>
    <cellStyle name="Background 4 2 5 2 2 5" xfId="3877" xr:uid="{00000000-0005-0000-0000-00001D0F0000}"/>
    <cellStyle name="Background 4 2 5 2 2 6" xfId="3878" xr:uid="{00000000-0005-0000-0000-00001E0F0000}"/>
    <cellStyle name="Background 4 2 5 2 3" xfId="3879" xr:uid="{00000000-0005-0000-0000-00001F0F0000}"/>
    <cellStyle name="Background 4 2 5 2 4" xfId="3880" xr:uid="{00000000-0005-0000-0000-0000200F0000}"/>
    <cellStyle name="Background 4 2 5 2 5" xfId="3881" xr:uid="{00000000-0005-0000-0000-0000210F0000}"/>
    <cellStyle name="Background 4 2 5 3" xfId="3882" xr:uid="{00000000-0005-0000-0000-0000220F0000}"/>
    <cellStyle name="Background 4 2 5 3 2" xfId="3883" xr:uid="{00000000-0005-0000-0000-0000230F0000}"/>
    <cellStyle name="Background 4 2 5 3 2 2" xfId="3884" xr:uid="{00000000-0005-0000-0000-0000240F0000}"/>
    <cellStyle name="Background 4 2 5 3 2 3" xfId="3885" xr:uid="{00000000-0005-0000-0000-0000250F0000}"/>
    <cellStyle name="Background 4 2 5 3 2 4" xfId="3886" xr:uid="{00000000-0005-0000-0000-0000260F0000}"/>
    <cellStyle name="Background 4 2 5 3 2 5" xfId="3887" xr:uid="{00000000-0005-0000-0000-0000270F0000}"/>
    <cellStyle name="Background 4 2 5 3 2 6" xfId="3888" xr:uid="{00000000-0005-0000-0000-0000280F0000}"/>
    <cellStyle name="Background 4 2 5 3 3" xfId="3889" xr:uid="{00000000-0005-0000-0000-0000290F0000}"/>
    <cellStyle name="Background 4 2 5 3 4" xfId="3890" xr:uid="{00000000-0005-0000-0000-00002A0F0000}"/>
    <cellStyle name="Background 4 2 5 3 5" xfId="3891" xr:uid="{00000000-0005-0000-0000-00002B0F0000}"/>
    <cellStyle name="Background 4 2 5 4" xfId="3892" xr:uid="{00000000-0005-0000-0000-00002C0F0000}"/>
    <cellStyle name="Background 4 2 5 4 2" xfId="3893" xr:uid="{00000000-0005-0000-0000-00002D0F0000}"/>
    <cellStyle name="Background 4 2 5 4 3" xfId="3894" xr:uid="{00000000-0005-0000-0000-00002E0F0000}"/>
    <cellStyle name="Background 4 2 5 4 4" xfId="3895" xr:uid="{00000000-0005-0000-0000-00002F0F0000}"/>
    <cellStyle name="Background 4 2 5 4 5" xfId="3896" xr:uid="{00000000-0005-0000-0000-0000300F0000}"/>
    <cellStyle name="Background 4 2 5 4 6" xfId="3897" xr:uid="{00000000-0005-0000-0000-0000310F0000}"/>
    <cellStyle name="Background 4 2 5 5" xfId="3898" xr:uid="{00000000-0005-0000-0000-0000320F0000}"/>
    <cellStyle name="Background 4 2 5 6" xfId="3899" xr:uid="{00000000-0005-0000-0000-0000330F0000}"/>
    <cellStyle name="Background 4 2 5 7" xfId="3900" xr:uid="{00000000-0005-0000-0000-0000340F0000}"/>
    <cellStyle name="Background 4 2 6" xfId="3901" xr:uid="{00000000-0005-0000-0000-0000350F0000}"/>
    <cellStyle name="Background 4 2 6 2" xfId="3902" xr:uid="{00000000-0005-0000-0000-0000360F0000}"/>
    <cellStyle name="Background 4 2 6 2 2" xfId="3903" xr:uid="{00000000-0005-0000-0000-0000370F0000}"/>
    <cellStyle name="Background 4 2 6 2 2 2" xfId="3904" xr:uid="{00000000-0005-0000-0000-0000380F0000}"/>
    <cellStyle name="Background 4 2 6 2 2 3" xfId="3905" xr:uid="{00000000-0005-0000-0000-0000390F0000}"/>
    <cellStyle name="Background 4 2 6 2 2 4" xfId="3906" xr:uid="{00000000-0005-0000-0000-00003A0F0000}"/>
    <cellStyle name="Background 4 2 6 2 2 5" xfId="3907" xr:uid="{00000000-0005-0000-0000-00003B0F0000}"/>
    <cellStyle name="Background 4 2 6 2 2 6" xfId="3908" xr:uid="{00000000-0005-0000-0000-00003C0F0000}"/>
    <cellStyle name="Background 4 2 6 2 3" xfId="3909" xr:uid="{00000000-0005-0000-0000-00003D0F0000}"/>
    <cellStyle name="Background 4 2 6 2 4" xfId="3910" xr:uid="{00000000-0005-0000-0000-00003E0F0000}"/>
    <cellStyle name="Background 4 2 6 2 5" xfId="3911" xr:uid="{00000000-0005-0000-0000-00003F0F0000}"/>
    <cellStyle name="Background 4 2 6 3" xfId="3912" xr:uid="{00000000-0005-0000-0000-0000400F0000}"/>
    <cellStyle name="Background 4 2 6 3 2" xfId="3913" xr:uid="{00000000-0005-0000-0000-0000410F0000}"/>
    <cellStyle name="Background 4 2 6 3 2 2" xfId="3914" xr:uid="{00000000-0005-0000-0000-0000420F0000}"/>
    <cellStyle name="Background 4 2 6 3 2 3" xfId="3915" xr:uid="{00000000-0005-0000-0000-0000430F0000}"/>
    <cellStyle name="Background 4 2 6 3 2 4" xfId="3916" xr:uid="{00000000-0005-0000-0000-0000440F0000}"/>
    <cellStyle name="Background 4 2 6 3 2 5" xfId="3917" xr:uid="{00000000-0005-0000-0000-0000450F0000}"/>
    <cellStyle name="Background 4 2 6 3 2 6" xfId="3918" xr:uid="{00000000-0005-0000-0000-0000460F0000}"/>
    <cellStyle name="Background 4 2 6 3 3" xfId="3919" xr:uid="{00000000-0005-0000-0000-0000470F0000}"/>
    <cellStyle name="Background 4 2 6 3 4" xfId="3920" xr:uid="{00000000-0005-0000-0000-0000480F0000}"/>
    <cellStyle name="Background 4 2 6 3 5" xfId="3921" xr:uid="{00000000-0005-0000-0000-0000490F0000}"/>
    <cellStyle name="Background 4 2 6 4" xfId="3922" xr:uid="{00000000-0005-0000-0000-00004A0F0000}"/>
    <cellStyle name="Background 4 2 6 4 2" xfId="3923" xr:uid="{00000000-0005-0000-0000-00004B0F0000}"/>
    <cellStyle name="Background 4 2 6 4 3" xfId="3924" xr:uid="{00000000-0005-0000-0000-00004C0F0000}"/>
    <cellStyle name="Background 4 2 6 4 4" xfId="3925" xr:uid="{00000000-0005-0000-0000-00004D0F0000}"/>
    <cellStyle name="Background 4 2 6 4 5" xfId="3926" xr:uid="{00000000-0005-0000-0000-00004E0F0000}"/>
    <cellStyle name="Background 4 2 6 4 6" xfId="3927" xr:uid="{00000000-0005-0000-0000-00004F0F0000}"/>
    <cellStyle name="Background 4 2 6 5" xfId="3928" xr:uid="{00000000-0005-0000-0000-0000500F0000}"/>
    <cellStyle name="Background 4 2 6 6" xfId="3929" xr:uid="{00000000-0005-0000-0000-0000510F0000}"/>
    <cellStyle name="Background 4 2 6 7" xfId="3930" xr:uid="{00000000-0005-0000-0000-0000520F0000}"/>
    <cellStyle name="Background 4 2 7" xfId="3931" xr:uid="{00000000-0005-0000-0000-0000530F0000}"/>
    <cellStyle name="Background 4 2 7 2" xfId="3932" xr:uid="{00000000-0005-0000-0000-0000540F0000}"/>
    <cellStyle name="Background 4 2 7 2 2" xfId="3933" xr:uid="{00000000-0005-0000-0000-0000550F0000}"/>
    <cellStyle name="Background 4 2 7 2 3" xfId="3934" xr:uid="{00000000-0005-0000-0000-0000560F0000}"/>
    <cellStyle name="Background 4 2 7 2 4" xfId="3935" xr:uid="{00000000-0005-0000-0000-0000570F0000}"/>
    <cellStyle name="Background 4 2 7 2 5" xfId="3936" xr:uid="{00000000-0005-0000-0000-0000580F0000}"/>
    <cellStyle name="Background 4 2 7 2 6" xfId="3937" xr:uid="{00000000-0005-0000-0000-0000590F0000}"/>
    <cellStyle name="Background 4 2 7 3" xfId="3938" xr:uid="{00000000-0005-0000-0000-00005A0F0000}"/>
    <cellStyle name="Background 4 2 7 4" xfId="3939" xr:uid="{00000000-0005-0000-0000-00005B0F0000}"/>
    <cellStyle name="Background 4 2 7 5" xfId="3940" xr:uid="{00000000-0005-0000-0000-00005C0F0000}"/>
    <cellStyle name="Background 4 2 8" xfId="3941" xr:uid="{00000000-0005-0000-0000-00005D0F0000}"/>
    <cellStyle name="Background 4 2 8 2" xfId="3942" xr:uid="{00000000-0005-0000-0000-00005E0F0000}"/>
    <cellStyle name="Background 4 2 8 2 2" xfId="3943" xr:uid="{00000000-0005-0000-0000-00005F0F0000}"/>
    <cellStyle name="Background 4 2 8 2 3" xfId="3944" xr:uid="{00000000-0005-0000-0000-0000600F0000}"/>
    <cellStyle name="Background 4 2 8 2 4" xfId="3945" xr:uid="{00000000-0005-0000-0000-0000610F0000}"/>
    <cellStyle name="Background 4 2 8 2 5" xfId="3946" xr:uid="{00000000-0005-0000-0000-0000620F0000}"/>
    <cellStyle name="Background 4 2 8 2 6" xfId="3947" xr:uid="{00000000-0005-0000-0000-0000630F0000}"/>
    <cellStyle name="Background 4 2 8 3" xfId="3948" xr:uid="{00000000-0005-0000-0000-0000640F0000}"/>
    <cellStyle name="Background 4 2 8 4" xfId="3949" xr:uid="{00000000-0005-0000-0000-0000650F0000}"/>
    <cellStyle name="Background 4 2 8 5" xfId="3950" xr:uid="{00000000-0005-0000-0000-0000660F0000}"/>
    <cellStyle name="Background 4 2 9" xfId="3951" xr:uid="{00000000-0005-0000-0000-0000670F0000}"/>
    <cellStyle name="Background 4 2 9 2" xfId="3952" xr:uid="{00000000-0005-0000-0000-0000680F0000}"/>
    <cellStyle name="Background 4 2 9 3" xfId="3953" xr:uid="{00000000-0005-0000-0000-0000690F0000}"/>
    <cellStyle name="Background 4 2 9 4" xfId="3954" xr:uid="{00000000-0005-0000-0000-00006A0F0000}"/>
    <cellStyle name="Background 4 2 9 5" xfId="3955" xr:uid="{00000000-0005-0000-0000-00006B0F0000}"/>
    <cellStyle name="Background 4 2 9 6" xfId="3956" xr:uid="{00000000-0005-0000-0000-00006C0F0000}"/>
    <cellStyle name="Background 4 3" xfId="3957" xr:uid="{00000000-0005-0000-0000-00006D0F0000}"/>
    <cellStyle name="Background 4 3 2" xfId="3958" xr:uid="{00000000-0005-0000-0000-00006E0F0000}"/>
    <cellStyle name="Background 4 3 2 2" xfId="3959" xr:uid="{00000000-0005-0000-0000-00006F0F0000}"/>
    <cellStyle name="Background 4 3 2 2 2" xfId="3960" xr:uid="{00000000-0005-0000-0000-0000700F0000}"/>
    <cellStyle name="Background 4 3 2 2 3" xfId="3961" xr:uid="{00000000-0005-0000-0000-0000710F0000}"/>
    <cellStyle name="Background 4 3 2 2 4" xfId="3962" xr:uid="{00000000-0005-0000-0000-0000720F0000}"/>
    <cellStyle name="Background 4 3 2 2 5" xfId="3963" xr:uid="{00000000-0005-0000-0000-0000730F0000}"/>
    <cellStyle name="Background 4 3 2 2 6" xfId="3964" xr:uid="{00000000-0005-0000-0000-0000740F0000}"/>
    <cellStyle name="Background 4 3 2 3" xfId="3965" xr:uid="{00000000-0005-0000-0000-0000750F0000}"/>
    <cellStyle name="Background 4 3 2 4" xfId="3966" xr:uid="{00000000-0005-0000-0000-0000760F0000}"/>
    <cellStyle name="Background 4 3 2 5" xfId="3967" xr:uid="{00000000-0005-0000-0000-0000770F0000}"/>
    <cellStyle name="Background 4 3 3" xfId="3968" xr:uid="{00000000-0005-0000-0000-0000780F0000}"/>
    <cellStyle name="Background 4 3 3 2" xfId="3969" xr:uid="{00000000-0005-0000-0000-0000790F0000}"/>
    <cellStyle name="Background 4 3 3 2 2" xfId="3970" xr:uid="{00000000-0005-0000-0000-00007A0F0000}"/>
    <cellStyle name="Background 4 3 3 2 3" xfId="3971" xr:uid="{00000000-0005-0000-0000-00007B0F0000}"/>
    <cellStyle name="Background 4 3 3 2 4" xfId="3972" xr:uid="{00000000-0005-0000-0000-00007C0F0000}"/>
    <cellStyle name="Background 4 3 3 2 5" xfId="3973" xr:uid="{00000000-0005-0000-0000-00007D0F0000}"/>
    <cellStyle name="Background 4 3 3 2 6" xfId="3974" xr:uid="{00000000-0005-0000-0000-00007E0F0000}"/>
    <cellStyle name="Background 4 3 3 3" xfId="3975" xr:uid="{00000000-0005-0000-0000-00007F0F0000}"/>
    <cellStyle name="Background 4 3 3 4" xfId="3976" xr:uid="{00000000-0005-0000-0000-0000800F0000}"/>
    <cellStyle name="Background 4 3 3 5" xfId="3977" xr:uid="{00000000-0005-0000-0000-0000810F0000}"/>
    <cellStyle name="Background 4 3 4" xfId="3978" xr:uid="{00000000-0005-0000-0000-0000820F0000}"/>
    <cellStyle name="Background 4 3 4 2" xfId="3979" xr:uid="{00000000-0005-0000-0000-0000830F0000}"/>
    <cellStyle name="Background 4 3 4 3" xfId="3980" xr:uid="{00000000-0005-0000-0000-0000840F0000}"/>
    <cellStyle name="Background 4 3 4 4" xfId="3981" xr:uid="{00000000-0005-0000-0000-0000850F0000}"/>
    <cellStyle name="Background 4 3 4 5" xfId="3982" xr:uid="{00000000-0005-0000-0000-0000860F0000}"/>
    <cellStyle name="Background 4 3 4 6" xfId="3983" xr:uid="{00000000-0005-0000-0000-0000870F0000}"/>
    <cellStyle name="Background 4 3 5" xfId="3984" xr:uid="{00000000-0005-0000-0000-0000880F0000}"/>
    <cellStyle name="Background 4 3 6" xfId="3985" xr:uid="{00000000-0005-0000-0000-0000890F0000}"/>
    <cellStyle name="Background 4 3 7" xfId="3986" xr:uid="{00000000-0005-0000-0000-00008A0F0000}"/>
    <cellStyle name="Background 4 4" xfId="3987" xr:uid="{00000000-0005-0000-0000-00008B0F0000}"/>
    <cellStyle name="Background 4 4 2" xfId="3988" xr:uid="{00000000-0005-0000-0000-00008C0F0000}"/>
    <cellStyle name="Background 4 4 2 2" xfId="3989" xr:uid="{00000000-0005-0000-0000-00008D0F0000}"/>
    <cellStyle name="Background 4 4 2 2 2" xfId="3990" xr:uid="{00000000-0005-0000-0000-00008E0F0000}"/>
    <cellStyle name="Background 4 4 2 2 3" xfId="3991" xr:uid="{00000000-0005-0000-0000-00008F0F0000}"/>
    <cellStyle name="Background 4 4 2 2 4" xfId="3992" xr:uid="{00000000-0005-0000-0000-0000900F0000}"/>
    <cellStyle name="Background 4 4 2 2 5" xfId="3993" xr:uid="{00000000-0005-0000-0000-0000910F0000}"/>
    <cellStyle name="Background 4 4 2 2 6" xfId="3994" xr:uid="{00000000-0005-0000-0000-0000920F0000}"/>
    <cellStyle name="Background 4 4 2 3" xfId="3995" xr:uid="{00000000-0005-0000-0000-0000930F0000}"/>
    <cellStyle name="Background 4 4 2 4" xfId="3996" xr:uid="{00000000-0005-0000-0000-0000940F0000}"/>
    <cellStyle name="Background 4 4 2 5" xfId="3997" xr:uid="{00000000-0005-0000-0000-0000950F0000}"/>
    <cellStyle name="Background 4 4 3" xfId="3998" xr:uid="{00000000-0005-0000-0000-0000960F0000}"/>
    <cellStyle name="Background 4 4 3 2" xfId="3999" xr:uid="{00000000-0005-0000-0000-0000970F0000}"/>
    <cellStyle name="Background 4 4 3 2 2" xfId="4000" xr:uid="{00000000-0005-0000-0000-0000980F0000}"/>
    <cellStyle name="Background 4 4 3 2 3" xfId="4001" xr:uid="{00000000-0005-0000-0000-0000990F0000}"/>
    <cellStyle name="Background 4 4 3 2 4" xfId="4002" xr:uid="{00000000-0005-0000-0000-00009A0F0000}"/>
    <cellStyle name="Background 4 4 3 2 5" xfId="4003" xr:uid="{00000000-0005-0000-0000-00009B0F0000}"/>
    <cellStyle name="Background 4 4 3 2 6" xfId="4004" xr:uid="{00000000-0005-0000-0000-00009C0F0000}"/>
    <cellStyle name="Background 4 4 3 3" xfId="4005" xr:uid="{00000000-0005-0000-0000-00009D0F0000}"/>
    <cellStyle name="Background 4 4 3 4" xfId="4006" xr:uid="{00000000-0005-0000-0000-00009E0F0000}"/>
    <cellStyle name="Background 4 4 3 5" xfId="4007" xr:uid="{00000000-0005-0000-0000-00009F0F0000}"/>
    <cellStyle name="Background 4 4 4" xfId="4008" xr:uid="{00000000-0005-0000-0000-0000A00F0000}"/>
    <cellStyle name="Background 4 4 4 2" xfId="4009" xr:uid="{00000000-0005-0000-0000-0000A10F0000}"/>
    <cellStyle name="Background 4 4 4 3" xfId="4010" xr:uid="{00000000-0005-0000-0000-0000A20F0000}"/>
    <cellStyle name="Background 4 4 4 4" xfId="4011" xr:uid="{00000000-0005-0000-0000-0000A30F0000}"/>
    <cellStyle name="Background 4 4 4 5" xfId="4012" xr:uid="{00000000-0005-0000-0000-0000A40F0000}"/>
    <cellStyle name="Background 4 4 4 6" xfId="4013" xr:uid="{00000000-0005-0000-0000-0000A50F0000}"/>
    <cellStyle name="Background 4 4 5" xfId="4014" xr:uid="{00000000-0005-0000-0000-0000A60F0000}"/>
    <cellStyle name="Background 4 4 6" xfId="4015" xr:uid="{00000000-0005-0000-0000-0000A70F0000}"/>
    <cellStyle name="Background 4 4 7" xfId="4016" xr:uid="{00000000-0005-0000-0000-0000A80F0000}"/>
    <cellStyle name="Background 4 5" xfId="4017" xr:uid="{00000000-0005-0000-0000-0000A90F0000}"/>
    <cellStyle name="Background 4 5 2" xfId="4018" xr:uid="{00000000-0005-0000-0000-0000AA0F0000}"/>
    <cellStyle name="Background 4 5 2 2" xfId="4019" xr:uid="{00000000-0005-0000-0000-0000AB0F0000}"/>
    <cellStyle name="Background 4 5 2 2 2" xfId="4020" xr:uid="{00000000-0005-0000-0000-0000AC0F0000}"/>
    <cellStyle name="Background 4 5 2 2 3" xfId="4021" xr:uid="{00000000-0005-0000-0000-0000AD0F0000}"/>
    <cellStyle name="Background 4 5 2 2 4" xfId="4022" xr:uid="{00000000-0005-0000-0000-0000AE0F0000}"/>
    <cellStyle name="Background 4 5 2 2 5" xfId="4023" xr:uid="{00000000-0005-0000-0000-0000AF0F0000}"/>
    <cellStyle name="Background 4 5 2 2 6" xfId="4024" xr:uid="{00000000-0005-0000-0000-0000B00F0000}"/>
    <cellStyle name="Background 4 5 2 3" xfId="4025" xr:uid="{00000000-0005-0000-0000-0000B10F0000}"/>
    <cellStyle name="Background 4 5 2 4" xfId="4026" xr:uid="{00000000-0005-0000-0000-0000B20F0000}"/>
    <cellStyle name="Background 4 5 2 5" xfId="4027" xr:uid="{00000000-0005-0000-0000-0000B30F0000}"/>
    <cellStyle name="Background 4 5 3" xfId="4028" xr:uid="{00000000-0005-0000-0000-0000B40F0000}"/>
    <cellStyle name="Background 4 5 3 2" xfId="4029" xr:uid="{00000000-0005-0000-0000-0000B50F0000}"/>
    <cellStyle name="Background 4 5 3 2 2" xfId="4030" xr:uid="{00000000-0005-0000-0000-0000B60F0000}"/>
    <cellStyle name="Background 4 5 3 2 3" xfId="4031" xr:uid="{00000000-0005-0000-0000-0000B70F0000}"/>
    <cellStyle name="Background 4 5 3 2 4" xfId="4032" xr:uid="{00000000-0005-0000-0000-0000B80F0000}"/>
    <cellStyle name="Background 4 5 3 2 5" xfId="4033" xr:uid="{00000000-0005-0000-0000-0000B90F0000}"/>
    <cellStyle name="Background 4 5 3 2 6" xfId="4034" xr:uid="{00000000-0005-0000-0000-0000BA0F0000}"/>
    <cellStyle name="Background 4 5 3 3" xfId="4035" xr:uid="{00000000-0005-0000-0000-0000BB0F0000}"/>
    <cellStyle name="Background 4 5 3 4" xfId="4036" xr:uid="{00000000-0005-0000-0000-0000BC0F0000}"/>
    <cellStyle name="Background 4 5 3 5" xfId="4037" xr:uid="{00000000-0005-0000-0000-0000BD0F0000}"/>
    <cellStyle name="Background 4 5 4" xfId="4038" xr:uid="{00000000-0005-0000-0000-0000BE0F0000}"/>
    <cellStyle name="Background 4 5 4 2" xfId="4039" xr:uid="{00000000-0005-0000-0000-0000BF0F0000}"/>
    <cellStyle name="Background 4 5 4 3" xfId="4040" xr:uid="{00000000-0005-0000-0000-0000C00F0000}"/>
    <cellStyle name="Background 4 5 4 4" xfId="4041" xr:uid="{00000000-0005-0000-0000-0000C10F0000}"/>
    <cellStyle name="Background 4 5 4 5" xfId="4042" xr:uid="{00000000-0005-0000-0000-0000C20F0000}"/>
    <cellStyle name="Background 4 5 4 6" xfId="4043" xr:uid="{00000000-0005-0000-0000-0000C30F0000}"/>
    <cellStyle name="Background 4 5 5" xfId="4044" xr:uid="{00000000-0005-0000-0000-0000C40F0000}"/>
    <cellStyle name="Background 4 5 6" xfId="4045" xr:uid="{00000000-0005-0000-0000-0000C50F0000}"/>
    <cellStyle name="Background 4 5 7" xfId="4046" xr:uid="{00000000-0005-0000-0000-0000C60F0000}"/>
    <cellStyle name="Background 4 6" xfId="4047" xr:uid="{00000000-0005-0000-0000-0000C70F0000}"/>
    <cellStyle name="Background 4 6 2" xfId="4048" xr:uid="{00000000-0005-0000-0000-0000C80F0000}"/>
    <cellStyle name="Background 4 6 2 2" xfId="4049" xr:uid="{00000000-0005-0000-0000-0000C90F0000}"/>
    <cellStyle name="Background 4 6 2 2 2" xfId="4050" xr:uid="{00000000-0005-0000-0000-0000CA0F0000}"/>
    <cellStyle name="Background 4 6 2 2 3" xfId="4051" xr:uid="{00000000-0005-0000-0000-0000CB0F0000}"/>
    <cellStyle name="Background 4 6 2 2 4" xfId="4052" xr:uid="{00000000-0005-0000-0000-0000CC0F0000}"/>
    <cellStyle name="Background 4 6 2 2 5" xfId="4053" xr:uid="{00000000-0005-0000-0000-0000CD0F0000}"/>
    <cellStyle name="Background 4 6 2 2 6" xfId="4054" xr:uid="{00000000-0005-0000-0000-0000CE0F0000}"/>
    <cellStyle name="Background 4 6 2 3" xfId="4055" xr:uid="{00000000-0005-0000-0000-0000CF0F0000}"/>
    <cellStyle name="Background 4 6 2 4" xfId="4056" xr:uid="{00000000-0005-0000-0000-0000D00F0000}"/>
    <cellStyle name="Background 4 6 2 5" xfId="4057" xr:uid="{00000000-0005-0000-0000-0000D10F0000}"/>
    <cellStyle name="Background 4 6 3" xfId="4058" xr:uid="{00000000-0005-0000-0000-0000D20F0000}"/>
    <cellStyle name="Background 4 6 3 2" xfId="4059" xr:uid="{00000000-0005-0000-0000-0000D30F0000}"/>
    <cellStyle name="Background 4 6 3 2 2" xfId="4060" xr:uid="{00000000-0005-0000-0000-0000D40F0000}"/>
    <cellStyle name="Background 4 6 3 2 3" xfId="4061" xr:uid="{00000000-0005-0000-0000-0000D50F0000}"/>
    <cellStyle name="Background 4 6 3 2 4" xfId="4062" xr:uid="{00000000-0005-0000-0000-0000D60F0000}"/>
    <cellStyle name="Background 4 6 3 2 5" xfId="4063" xr:uid="{00000000-0005-0000-0000-0000D70F0000}"/>
    <cellStyle name="Background 4 6 3 2 6" xfId="4064" xr:uid="{00000000-0005-0000-0000-0000D80F0000}"/>
    <cellStyle name="Background 4 6 3 3" xfId="4065" xr:uid="{00000000-0005-0000-0000-0000D90F0000}"/>
    <cellStyle name="Background 4 6 3 4" xfId="4066" xr:uid="{00000000-0005-0000-0000-0000DA0F0000}"/>
    <cellStyle name="Background 4 6 3 5" xfId="4067" xr:uid="{00000000-0005-0000-0000-0000DB0F0000}"/>
    <cellStyle name="Background 4 6 4" xfId="4068" xr:uid="{00000000-0005-0000-0000-0000DC0F0000}"/>
    <cellStyle name="Background 4 6 4 2" xfId="4069" xr:uid="{00000000-0005-0000-0000-0000DD0F0000}"/>
    <cellStyle name="Background 4 6 4 3" xfId="4070" xr:uid="{00000000-0005-0000-0000-0000DE0F0000}"/>
    <cellStyle name="Background 4 6 4 4" xfId="4071" xr:uid="{00000000-0005-0000-0000-0000DF0F0000}"/>
    <cellStyle name="Background 4 6 4 5" xfId="4072" xr:uid="{00000000-0005-0000-0000-0000E00F0000}"/>
    <cellStyle name="Background 4 6 4 6" xfId="4073" xr:uid="{00000000-0005-0000-0000-0000E10F0000}"/>
    <cellStyle name="Background 4 6 5" xfId="4074" xr:uid="{00000000-0005-0000-0000-0000E20F0000}"/>
    <cellStyle name="Background 4 6 6" xfId="4075" xr:uid="{00000000-0005-0000-0000-0000E30F0000}"/>
    <cellStyle name="Background 4 6 7" xfId="4076" xr:uid="{00000000-0005-0000-0000-0000E40F0000}"/>
    <cellStyle name="Background 4 7" xfId="4077" xr:uid="{00000000-0005-0000-0000-0000E50F0000}"/>
    <cellStyle name="Background 4 7 2" xfId="4078" xr:uid="{00000000-0005-0000-0000-0000E60F0000}"/>
    <cellStyle name="Background 4 7 2 2" xfId="4079" xr:uid="{00000000-0005-0000-0000-0000E70F0000}"/>
    <cellStyle name="Background 4 7 2 2 2" xfId="4080" xr:uid="{00000000-0005-0000-0000-0000E80F0000}"/>
    <cellStyle name="Background 4 7 2 2 3" xfId="4081" xr:uid="{00000000-0005-0000-0000-0000E90F0000}"/>
    <cellStyle name="Background 4 7 2 2 4" xfId="4082" xr:uid="{00000000-0005-0000-0000-0000EA0F0000}"/>
    <cellStyle name="Background 4 7 2 2 5" xfId="4083" xr:uid="{00000000-0005-0000-0000-0000EB0F0000}"/>
    <cellStyle name="Background 4 7 2 2 6" xfId="4084" xr:uid="{00000000-0005-0000-0000-0000EC0F0000}"/>
    <cellStyle name="Background 4 7 2 3" xfId="4085" xr:uid="{00000000-0005-0000-0000-0000ED0F0000}"/>
    <cellStyle name="Background 4 7 2 4" xfId="4086" xr:uid="{00000000-0005-0000-0000-0000EE0F0000}"/>
    <cellStyle name="Background 4 7 2 5" xfId="4087" xr:uid="{00000000-0005-0000-0000-0000EF0F0000}"/>
    <cellStyle name="Background 4 7 3" xfId="4088" xr:uid="{00000000-0005-0000-0000-0000F00F0000}"/>
    <cellStyle name="Background 4 7 3 2" xfId="4089" xr:uid="{00000000-0005-0000-0000-0000F10F0000}"/>
    <cellStyle name="Background 4 7 3 2 2" xfId="4090" xr:uid="{00000000-0005-0000-0000-0000F20F0000}"/>
    <cellStyle name="Background 4 7 3 2 3" xfId="4091" xr:uid="{00000000-0005-0000-0000-0000F30F0000}"/>
    <cellStyle name="Background 4 7 3 2 4" xfId="4092" xr:uid="{00000000-0005-0000-0000-0000F40F0000}"/>
    <cellStyle name="Background 4 7 3 2 5" xfId="4093" xr:uid="{00000000-0005-0000-0000-0000F50F0000}"/>
    <cellStyle name="Background 4 7 3 2 6" xfId="4094" xr:uid="{00000000-0005-0000-0000-0000F60F0000}"/>
    <cellStyle name="Background 4 7 3 3" xfId="4095" xr:uid="{00000000-0005-0000-0000-0000F70F0000}"/>
    <cellStyle name="Background 4 7 3 4" xfId="4096" xr:uid="{00000000-0005-0000-0000-0000F80F0000}"/>
    <cellStyle name="Background 4 7 3 5" xfId="4097" xr:uid="{00000000-0005-0000-0000-0000F90F0000}"/>
    <cellStyle name="Background 4 7 4" xfId="4098" xr:uid="{00000000-0005-0000-0000-0000FA0F0000}"/>
    <cellStyle name="Background 4 7 4 2" xfId="4099" xr:uid="{00000000-0005-0000-0000-0000FB0F0000}"/>
    <cellStyle name="Background 4 7 4 3" xfId="4100" xr:uid="{00000000-0005-0000-0000-0000FC0F0000}"/>
    <cellStyle name="Background 4 7 4 4" xfId="4101" xr:uid="{00000000-0005-0000-0000-0000FD0F0000}"/>
    <cellStyle name="Background 4 7 4 5" xfId="4102" xr:uid="{00000000-0005-0000-0000-0000FE0F0000}"/>
    <cellStyle name="Background 4 7 4 6" xfId="4103" xr:uid="{00000000-0005-0000-0000-0000FF0F0000}"/>
    <cellStyle name="Background 4 7 5" xfId="4104" xr:uid="{00000000-0005-0000-0000-000000100000}"/>
    <cellStyle name="Background 4 7 6" xfId="4105" xr:uid="{00000000-0005-0000-0000-000001100000}"/>
    <cellStyle name="Background 4 7 7" xfId="4106" xr:uid="{00000000-0005-0000-0000-000002100000}"/>
    <cellStyle name="Background 4 8" xfId="4107" xr:uid="{00000000-0005-0000-0000-000003100000}"/>
    <cellStyle name="Background 4 8 2" xfId="4108" xr:uid="{00000000-0005-0000-0000-000004100000}"/>
    <cellStyle name="Background 4 8 2 2" xfId="4109" xr:uid="{00000000-0005-0000-0000-000005100000}"/>
    <cellStyle name="Background 4 8 2 3" xfId="4110" xr:uid="{00000000-0005-0000-0000-000006100000}"/>
    <cellStyle name="Background 4 8 2 4" xfId="4111" xr:uid="{00000000-0005-0000-0000-000007100000}"/>
    <cellStyle name="Background 4 8 2 5" xfId="4112" xr:uid="{00000000-0005-0000-0000-000008100000}"/>
    <cellStyle name="Background 4 8 2 6" xfId="4113" xr:uid="{00000000-0005-0000-0000-000009100000}"/>
    <cellStyle name="Background 4 8 3" xfId="4114" xr:uid="{00000000-0005-0000-0000-00000A100000}"/>
    <cellStyle name="Background 4 8 4" xfId="4115" xr:uid="{00000000-0005-0000-0000-00000B100000}"/>
    <cellStyle name="Background 4 8 5" xfId="4116" xr:uid="{00000000-0005-0000-0000-00000C100000}"/>
    <cellStyle name="Background 4 9" xfId="4117" xr:uid="{00000000-0005-0000-0000-00000D100000}"/>
    <cellStyle name="Background 4 9 2" xfId="4118" xr:uid="{00000000-0005-0000-0000-00000E100000}"/>
    <cellStyle name="Background 4 9 2 2" xfId="4119" xr:uid="{00000000-0005-0000-0000-00000F100000}"/>
    <cellStyle name="Background 4 9 2 3" xfId="4120" xr:uid="{00000000-0005-0000-0000-000010100000}"/>
    <cellStyle name="Background 4 9 2 4" xfId="4121" xr:uid="{00000000-0005-0000-0000-000011100000}"/>
    <cellStyle name="Background 4 9 2 5" xfId="4122" xr:uid="{00000000-0005-0000-0000-000012100000}"/>
    <cellStyle name="Background 4 9 2 6" xfId="4123" xr:uid="{00000000-0005-0000-0000-000013100000}"/>
    <cellStyle name="Background 4 9 3" xfId="4124" xr:uid="{00000000-0005-0000-0000-000014100000}"/>
    <cellStyle name="Background 4 9 4" xfId="4125" xr:uid="{00000000-0005-0000-0000-000015100000}"/>
    <cellStyle name="Background 4 9 5" xfId="4126" xr:uid="{00000000-0005-0000-0000-000016100000}"/>
    <cellStyle name="Background 5" xfId="4127" xr:uid="{00000000-0005-0000-0000-000017100000}"/>
    <cellStyle name="Background 5 10" xfId="4128" xr:uid="{00000000-0005-0000-0000-000018100000}"/>
    <cellStyle name="Background 5 11" xfId="4129" xr:uid="{00000000-0005-0000-0000-000019100000}"/>
    <cellStyle name="Background 5 12" xfId="4130" xr:uid="{00000000-0005-0000-0000-00001A100000}"/>
    <cellStyle name="Background 5 2" xfId="4131" xr:uid="{00000000-0005-0000-0000-00001B100000}"/>
    <cellStyle name="Background 5 2 2" xfId="4132" xr:uid="{00000000-0005-0000-0000-00001C100000}"/>
    <cellStyle name="Background 5 2 2 2" xfId="4133" xr:uid="{00000000-0005-0000-0000-00001D100000}"/>
    <cellStyle name="Background 5 2 2 2 2" xfId="4134" xr:uid="{00000000-0005-0000-0000-00001E100000}"/>
    <cellStyle name="Background 5 2 2 2 3" xfId="4135" xr:uid="{00000000-0005-0000-0000-00001F100000}"/>
    <cellStyle name="Background 5 2 2 2 4" xfId="4136" xr:uid="{00000000-0005-0000-0000-000020100000}"/>
    <cellStyle name="Background 5 2 2 2 5" xfId="4137" xr:uid="{00000000-0005-0000-0000-000021100000}"/>
    <cellStyle name="Background 5 2 2 2 6" xfId="4138" xr:uid="{00000000-0005-0000-0000-000022100000}"/>
    <cellStyle name="Background 5 2 2 3" xfId="4139" xr:uid="{00000000-0005-0000-0000-000023100000}"/>
    <cellStyle name="Background 5 2 2 4" xfId="4140" xr:uid="{00000000-0005-0000-0000-000024100000}"/>
    <cellStyle name="Background 5 2 2 5" xfId="4141" xr:uid="{00000000-0005-0000-0000-000025100000}"/>
    <cellStyle name="Background 5 2 3" xfId="4142" xr:uid="{00000000-0005-0000-0000-000026100000}"/>
    <cellStyle name="Background 5 2 3 2" xfId="4143" xr:uid="{00000000-0005-0000-0000-000027100000}"/>
    <cellStyle name="Background 5 2 3 2 2" xfId="4144" xr:uid="{00000000-0005-0000-0000-000028100000}"/>
    <cellStyle name="Background 5 2 3 2 3" xfId="4145" xr:uid="{00000000-0005-0000-0000-000029100000}"/>
    <cellStyle name="Background 5 2 3 2 4" xfId="4146" xr:uid="{00000000-0005-0000-0000-00002A100000}"/>
    <cellStyle name="Background 5 2 3 2 5" xfId="4147" xr:uid="{00000000-0005-0000-0000-00002B100000}"/>
    <cellStyle name="Background 5 2 3 2 6" xfId="4148" xr:uid="{00000000-0005-0000-0000-00002C100000}"/>
    <cellStyle name="Background 5 2 3 3" xfId="4149" xr:uid="{00000000-0005-0000-0000-00002D100000}"/>
    <cellStyle name="Background 5 2 3 4" xfId="4150" xr:uid="{00000000-0005-0000-0000-00002E100000}"/>
    <cellStyle name="Background 5 2 3 5" xfId="4151" xr:uid="{00000000-0005-0000-0000-00002F100000}"/>
    <cellStyle name="Background 5 2 4" xfId="4152" xr:uid="{00000000-0005-0000-0000-000030100000}"/>
    <cellStyle name="Background 5 2 4 2" xfId="4153" xr:uid="{00000000-0005-0000-0000-000031100000}"/>
    <cellStyle name="Background 5 2 4 3" xfId="4154" xr:uid="{00000000-0005-0000-0000-000032100000}"/>
    <cellStyle name="Background 5 2 4 4" xfId="4155" xr:uid="{00000000-0005-0000-0000-000033100000}"/>
    <cellStyle name="Background 5 2 4 5" xfId="4156" xr:uid="{00000000-0005-0000-0000-000034100000}"/>
    <cellStyle name="Background 5 2 4 6" xfId="4157" xr:uid="{00000000-0005-0000-0000-000035100000}"/>
    <cellStyle name="Background 5 2 5" xfId="4158" xr:uid="{00000000-0005-0000-0000-000036100000}"/>
    <cellStyle name="Background 5 2 6" xfId="4159" xr:uid="{00000000-0005-0000-0000-000037100000}"/>
    <cellStyle name="Background 5 2 7" xfId="4160" xr:uid="{00000000-0005-0000-0000-000038100000}"/>
    <cellStyle name="Background 5 3" xfId="4161" xr:uid="{00000000-0005-0000-0000-000039100000}"/>
    <cellStyle name="Background 5 3 2" xfId="4162" xr:uid="{00000000-0005-0000-0000-00003A100000}"/>
    <cellStyle name="Background 5 3 2 2" xfId="4163" xr:uid="{00000000-0005-0000-0000-00003B100000}"/>
    <cellStyle name="Background 5 3 2 2 2" xfId="4164" xr:uid="{00000000-0005-0000-0000-00003C100000}"/>
    <cellStyle name="Background 5 3 2 2 3" xfId="4165" xr:uid="{00000000-0005-0000-0000-00003D100000}"/>
    <cellStyle name="Background 5 3 2 2 4" xfId="4166" xr:uid="{00000000-0005-0000-0000-00003E100000}"/>
    <cellStyle name="Background 5 3 2 2 5" xfId="4167" xr:uid="{00000000-0005-0000-0000-00003F100000}"/>
    <cellStyle name="Background 5 3 2 2 6" xfId="4168" xr:uid="{00000000-0005-0000-0000-000040100000}"/>
    <cellStyle name="Background 5 3 2 3" xfId="4169" xr:uid="{00000000-0005-0000-0000-000041100000}"/>
    <cellStyle name="Background 5 3 2 4" xfId="4170" xr:uid="{00000000-0005-0000-0000-000042100000}"/>
    <cellStyle name="Background 5 3 2 5" xfId="4171" xr:uid="{00000000-0005-0000-0000-000043100000}"/>
    <cellStyle name="Background 5 3 3" xfId="4172" xr:uid="{00000000-0005-0000-0000-000044100000}"/>
    <cellStyle name="Background 5 3 3 2" xfId="4173" xr:uid="{00000000-0005-0000-0000-000045100000}"/>
    <cellStyle name="Background 5 3 3 2 2" xfId="4174" xr:uid="{00000000-0005-0000-0000-000046100000}"/>
    <cellStyle name="Background 5 3 3 2 3" xfId="4175" xr:uid="{00000000-0005-0000-0000-000047100000}"/>
    <cellStyle name="Background 5 3 3 2 4" xfId="4176" xr:uid="{00000000-0005-0000-0000-000048100000}"/>
    <cellStyle name="Background 5 3 3 2 5" xfId="4177" xr:uid="{00000000-0005-0000-0000-000049100000}"/>
    <cellStyle name="Background 5 3 3 2 6" xfId="4178" xr:uid="{00000000-0005-0000-0000-00004A100000}"/>
    <cellStyle name="Background 5 3 3 3" xfId="4179" xr:uid="{00000000-0005-0000-0000-00004B100000}"/>
    <cellStyle name="Background 5 3 3 4" xfId="4180" xr:uid="{00000000-0005-0000-0000-00004C100000}"/>
    <cellStyle name="Background 5 3 3 5" xfId="4181" xr:uid="{00000000-0005-0000-0000-00004D100000}"/>
    <cellStyle name="Background 5 3 4" xfId="4182" xr:uid="{00000000-0005-0000-0000-00004E100000}"/>
    <cellStyle name="Background 5 3 4 2" xfId="4183" xr:uid="{00000000-0005-0000-0000-00004F100000}"/>
    <cellStyle name="Background 5 3 4 3" xfId="4184" xr:uid="{00000000-0005-0000-0000-000050100000}"/>
    <cellStyle name="Background 5 3 4 4" xfId="4185" xr:uid="{00000000-0005-0000-0000-000051100000}"/>
    <cellStyle name="Background 5 3 4 5" xfId="4186" xr:uid="{00000000-0005-0000-0000-000052100000}"/>
    <cellStyle name="Background 5 3 4 6" xfId="4187" xr:uid="{00000000-0005-0000-0000-000053100000}"/>
    <cellStyle name="Background 5 3 5" xfId="4188" xr:uid="{00000000-0005-0000-0000-000054100000}"/>
    <cellStyle name="Background 5 3 6" xfId="4189" xr:uid="{00000000-0005-0000-0000-000055100000}"/>
    <cellStyle name="Background 5 3 7" xfId="4190" xr:uid="{00000000-0005-0000-0000-000056100000}"/>
    <cellStyle name="Background 5 4" xfId="4191" xr:uid="{00000000-0005-0000-0000-000057100000}"/>
    <cellStyle name="Background 5 4 2" xfId="4192" xr:uid="{00000000-0005-0000-0000-000058100000}"/>
    <cellStyle name="Background 5 4 2 2" xfId="4193" xr:uid="{00000000-0005-0000-0000-000059100000}"/>
    <cellStyle name="Background 5 4 2 2 2" xfId="4194" xr:uid="{00000000-0005-0000-0000-00005A100000}"/>
    <cellStyle name="Background 5 4 2 2 3" xfId="4195" xr:uid="{00000000-0005-0000-0000-00005B100000}"/>
    <cellStyle name="Background 5 4 2 2 4" xfId="4196" xr:uid="{00000000-0005-0000-0000-00005C100000}"/>
    <cellStyle name="Background 5 4 2 2 5" xfId="4197" xr:uid="{00000000-0005-0000-0000-00005D100000}"/>
    <cellStyle name="Background 5 4 2 2 6" xfId="4198" xr:uid="{00000000-0005-0000-0000-00005E100000}"/>
    <cellStyle name="Background 5 4 2 3" xfId="4199" xr:uid="{00000000-0005-0000-0000-00005F100000}"/>
    <cellStyle name="Background 5 4 2 4" xfId="4200" xr:uid="{00000000-0005-0000-0000-000060100000}"/>
    <cellStyle name="Background 5 4 2 5" xfId="4201" xr:uid="{00000000-0005-0000-0000-000061100000}"/>
    <cellStyle name="Background 5 4 3" xfId="4202" xr:uid="{00000000-0005-0000-0000-000062100000}"/>
    <cellStyle name="Background 5 4 3 2" xfId="4203" xr:uid="{00000000-0005-0000-0000-000063100000}"/>
    <cellStyle name="Background 5 4 3 2 2" xfId="4204" xr:uid="{00000000-0005-0000-0000-000064100000}"/>
    <cellStyle name="Background 5 4 3 2 3" xfId="4205" xr:uid="{00000000-0005-0000-0000-000065100000}"/>
    <cellStyle name="Background 5 4 3 2 4" xfId="4206" xr:uid="{00000000-0005-0000-0000-000066100000}"/>
    <cellStyle name="Background 5 4 3 2 5" xfId="4207" xr:uid="{00000000-0005-0000-0000-000067100000}"/>
    <cellStyle name="Background 5 4 3 2 6" xfId="4208" xr:uid="{00000000-0005-0000-0000-000068100000}"/>
    <cellStyle name="Background 5 4 3 3" xfId="4209" xr:uid="{00000000-0005-0000-0000-000069100000}"/>
    <cellStyle name="Background 5 4 3 4" xfId="4210" xr:uid="{00000000-0005-0000-0000-00006A100000}"/>
    <cellStyle name="Background 5 4 3 5" xfId="4211" xr:uid="{00000000-0005-0000-0000-00006B100000}"/>
    <cellStyle name="Background 5 4 4" xfId="4212" xr:uid="{00000000-0005-0000-0000-00006C100000}"/>
    <cellStyle name="Background 5 4 4 2" xfId="4213" xr:uid="{00000000-0005-0000-0000-00006D100000}"/>
    <cellStyle name="Background 5 4 4 3" xfId="4214" xr:uid="{00000000-0005-0000-0000-00006E100000}"/>
    <cellStyle name="Background 5 4 4 4" xfId="4215" xr:uid="{00000000-0005-0000-0000-00006F100000}"/>
    <cellStyle name="Background 5 4 4 5" xfId="4216" xr:uid="{00000000-0005-0000-0000-000070100000}"/>
    <cellStyle name="Background 5 4 4 6" xfId="4217" xr:uid="{00000000-0005-0000-0000-000071100000}"/>
    <cellStyle name="Background 5 4 5" xfId="4218" xr:uid="{00000000-0005-0000-0000-000072100000}"/>
    <cellStyle name="Background 5 4 6" xfId="4219" xr:uid="{00000000-0005-0000-0000-000073100000}"/>
    <cellStyle name="Background 5 4 7" xfId="4220" xr:uid="{00000000-0005-0000-0000-000074100000}"/>
    <cellStyle name="Background 5 5" xfId="4221" xr:uid="{00000000-0005-0000-0000-000075100000}"/>
    <cellStyle name="Background 5 5 2" xfId="4222" xr:uid="{00000000-0005-0000-0000-000076100000}"/>
    <cellStyle name="Background 5 5 2 2" xfId="4223" xr:uid="{00000000-0005-0000-0000-000077100000}"/>
    <cellStyle name="Background 5 5 2 2 2" xfId="4224" xr:uid="{00000000-0005-0000-0000-000078100000}"/>
    <cellStyle name="Background 5 5 2 2 3" xfId="4225" xr:uid="{00000000-0005-0000-0000-000079100000}"/>
    <cellStyle name="Background 5 5 2 2 4" xfId="4226" xr:uid="{00000000-0005-0000-0000-00007A100000}"/>
    <cellStyle name="Background 5 5 2 2 5" xfId="4227" xr:uid="{00000000-0005-0000-0000-00007B100000}"/>
    <cellStyle name="Background 5 5 2 2 6" xfId="4228" xr:uid="{00000000-0005-0000-0000-00007C100000}"/>
    <cellStyle name="Background 5 5 2 3" xfId="4229" xr:uid="{00000000-0005-0000-0000-00007D100000}"/>
    <cellStyle name="Background 5 5 2 4" xfId="4230" xr:uid="{00000000-0005-0000-0000-00007E100000}"/>
    <cellStyle name="Background 5 5 2 5" xfId="4231" xr:uid="{00000000-0005-0000-0000-00007F100000}"/>
    <cellStyle name="Background 5 5 3" xfId="4232" xr:uid="{00000000-0005-0000-0000-000080100000}"/>
    <cellStyle name="Background 5 5 3 2" xfId="4233" xr:uid="{00000000-0005-0000-0000-000081100000}"/>
    <cellStyle name="Background 5 5 3 2 2" xfId="4234" xr:uid="{00000000-0005-0000-0000-000082100000}"/>
    <cellStyle name="Background 5 5 3 2 3" xfId="4235" xr:uid="{00000000-0005-0000-0000-000083100000}"/>
    <cellStyle name="Background 5 5 3 2 4" xfId="4236" xr:uid="{00000000-0005-0000-0000-000084100000}"/>
    <cellStyle name="Background 5 5 3 2 5" xfId="4237" xr:uid="{00000000-0005-0000-0000-000085100000}"/>
    <cellStyle name="Background 5 5 3 2 6" xfId="4238" xr:uid="{00000000-0005-0000-0000-000086100000}"/>
    <cellStyle name="Background 5 5 3 3" xfId="4239" xr:uid="{00000000-0005-0000-0000-000087100000}"/>
    <cellStyle name="Background 5 5 3 4" xfId="4240" xr:uid="{00000000-0005-0000-0000-000088100000}"/>
    <cellStyle name="Background 5 5 3 5" xfId="4241" xr:uid="{00000000-0005-0000-0000-000089100000}"/>
    <cellStyle name="Background 5 5 4" xfId="4242" xr:uid="{00000000-0005-0000-0000-00008A100000}"/>
    <cellStyle name="Background 5 5 4 2" xfId="4243" xr:uid="{00000000-0005-0000-0000-00008B100000}"/>
    <cellStyle name="Background 5 5 4 3" xfId="4244" xr:uid="{00000000-0005-0000-0000-00008C100000}"/>
    <cellStyle name="Background 5 5 4 4" xfId="4245" xr:uid="{00000000-0005-0000-0000-00008D100000}"/>
    <cellStyle name="Background 5 5 4 5" xfId="4246" xr:uid="{00000000-0005-0000-0000-00008E100000}"/>
    <cellStyle name="Background 5 5 4 6" xfId="4247" xr:uid="{00000000-0005-0000-0000-00008F100000}"/>
    <cellStyle name="Background 5 5 5" xfId="4248" xr:uid="{00000000-0005-0000-0000-000090100000}"/>
    <cellStyle name="Background 5 5 6" xfId="4249" xr:uid="{00000000-0005-0000-0000-000091100000}"/>
    <cellStyle name="Background 5 5 7" xfId="4250" xr:uid="{00000000-0005-0000-0000-000092100000}"/>
    <cellStyle name="Background 5 6" xfId="4251" xr:uid="{00000000-0005-0000-0000-000093100000}"/>
    <cellStyle name="Background 5 6 2" xfId="4252" xr:uid="{00000000-0005-0000-0000-000094100000}"/>
    <cellStyle name="Background 5 6 2 2" xfId="4253" xr:uid="{00000000-0005-0000-0000-000095100000}"/>
    <cellStyle name="Background 5 6 2 2 2" xfId="4254" xr:uid="{00000000-0005-0000-0000-000096100000}"/>
    <cellStyle name="Background 5 6 2 2 3" xfId="4255" xr:uid="{00000000-0005-0000-0000-000097100000}"/>
    <cellStyle name="Background 5 6 2 2 4" xfId="4256" xr:uid="{00000000-0005-0000-0000-000098100000}"/>
    <cellStyle name="Background 5 6 2 2 5" xfId="4257" xr:uid="{00000000-0005-0000-0000-000099100000}"/>
    <cellStyle name="Background 5 6 2 2 6" xfId="4258" xr:uid="{00000000-0005-0000-0000-00009A100000}"/>
    <cellStyle name="Background 5 6 2 3" xfId="4259" xr:uid="{00000000-0005-0000-0000-00009B100000}"/>
    <cellStyle name="Background 5 6 2 4" xfId="4260" xr:uid="{00000000-0005-0000-0000-00009C100000}"/>
    <cellStyle name="Background 5 6 2 5" xfId="4261" xr:uid="{00000000-0005-0000-0000-00009D100000}"/>
    <cellStyle name="Background 5 6 3" xfId="4262" xr:uid="{00000000-0005-0000-0000-00009E100000}"/>
    <cellStyle name="Background 5 6 3 2" xfId="4263" xr:uid="{00000000-0005-0000-0000-00009F100000}"/>
    <cellStyle name="Background 5 6 3 2 2" xfId="4264" xr:uid="{00000000-0005-0000-0000-0000A0100000}"/>
    <cellStyle name="Background 5 6 3 2 3" xfId="4265" xr:uid="{00000000-0005-0000-0000-0000A1100000}"/>
    <cellStyle name="Background 5 6 3 2 4" xfId="4266" xr:uid="{00000000-0005-0000-0000-0000A2100000}"/>
    <cellStyle name="Background 5 6 3 2 5" xfId="4267" xr:uid="{00000000-0005-0000-0000-0000A3100000}"/>
    <cellStyle name="Background 5 6 3 2 6" xfId="4268" xr:uid="{00000000-0005-0000-0000-0000A4100000}"/>
    <cellStyle name="Background 5 6 3 3" xfId="4269" xr:uid="{00000000-0005-0000-0000-0000A5100000}"/>
    <cellStyle name="Background 5 6 3 4" xfId="4270" xr:uid="{00000000-0005-0000-0000-0000A6100000}"/>
    <cellStyle name="Background 5 6 3 5" xfId="4271" xr:uid="{00000000-0005-0000-0000-0000A7100000}"/>
    <cellStyle name="Background 5 6 4" xfId="4272" xr:uid="{00000000-0005-0000-0000-0000A8100000}"/>
    <cellStyle name="Background 5 6 4 2" xfId="4273" xr:uid="{00000000-0005-0000-0000-0000A9100000}"/>
    <cellStyle name="Background 5 6 4 3" xfId="4274" xr:uid="{00000000-0005-0000-0000-0000AA100000}"/>
    <cellStyle name="Background 5 6 4 4" xfId="4275" xr:uid="{00000000-0005-0000-0000-0000AB100000}"/>
    <cellStyle name="Background 5 6 4 5" xfId="4276" xr:uid="{00000000-0005-0000-0000-0000AC100000}"/>
    <cellStyle name="Background 5 6 4 6" xfId="4277" xr:uid="{00000000-0005-0000-0000-0000AD100000}"/>
    <cellStyle name="Background 5 6 5" xfId="4278" xr:uid="{00000000-0005-0000-0000-0000AE100000}"/>
    <cellStyle name="Background 5 6 6" xfId="4279" xr:uid="{00000000-0005-0000-0000-0000AF100000}"/>
    <cellStyle name="Background 5 6 7" xfId="4280" xr:uid="{00000000-0005-0000-0000-0000B0100000}"/>
    <cellStyle name="Background 5 7" xfId="4281" xr:uid="{00000000-0005-0000-0000-0000B1100000}"/>
    <cellStyle name="Background 5 7 2" xfId="4282" xr:uid="{00000000-0005-0000-0000-0000B2100000}"/>
    <cellStyle name="Background 5 7 2 2" xfId="4283" xr:uid="{00000000-0005-0000-0000-0000B3100000}"/>
    <cellStyle name="Background 5 7 2 3" xfId="4284" xr:uid="{00000000-0005-0000-0000-0000B4100000}"/>
    <cellStyle name="Background 5 7 2 4" xfId="4285" xr:uid="{00000000-0005-0000-0000-0000B5100000}"/>
    <cellStyle name="Background 5 7 2 5" xfId="4286" xr:uid="{00000000-0005-0000-0000-0000B6100000}"/>
    <cellStyle name="Background 5 7 2 6" xfId="4287" xr:uid="{00000000-0005-0000-0000-0000B7100000}"/>
    <cellStyle name="Background 5 7 3" xfId="4288" xr:uid="{00000000-0005-0000-0000-0000B8100000}"/>
    <cellStyle name="Background 5 7 4" xfId="4289" xr:uid="{00000000-0005-0000-0000-0000B9100000}"/>
    <cellStyle name="Background 5 7 5" xfId="4290" xr:uid="{00000000-0005-0000-0000-0000BA100000}"/>
    <cellStyle name="Background 5 8" xfId="4291" xr:uid="{00000000-0005-0000-0000-0000BB100000}"/>
    <cellStyle name="Background 5 8 2" xfId="4292" xr:uid="{00000000-0005-0000-0000-0000BC100000}"/>
    <cellStyle name="Background 5 8 2 2" xfId="4293" xr:uid="{00000000-0005-0000-0000-0000BD100000}"/>
    <cellStyle name="Background 5 8 2 3" xfId="4294" xr:uid="{00000000-0005-0000-0000-0000BE100000}"/>
    <cellStyle name="Background 5 8 2 4" xfId="4295" xr:uid="{00000000-0005-0000-0000-0000BF100000}"/>
    <cellStyle name="Background 5 8 2 5" xfId="4296" xr:uid="{00000000-0005-0000-0000-0000C0100000}"/>
    <cellStyle name="Background 5 8 2 6" xfId="4297" xr:uid="{00000000-0005-0000-0000-0000C1100000}"/>
    <cellStyle name="Background 5 8 3" xfId="4298" xr:uid="{00000000-0005-0000-0000-0000C2100000}"/>
    <cellStyle name="Background 5 8 4" xfId="4299" xr:uid="{00000000-0005-0000-0000-0000C3100000}"/>
    <cellStyle name="Background 5 8 5" xfId="4300" xr:uid="{00000000-0005-0000-0000-0000C4100000}"/>
    <cellStyle name="Background 5 9" xfId="4301" xr:uid="{00000000-0005-0000-0000-0000C5100000}"/>
    <cellStyle name="Background 5 9 2" xfId="4302" xr:uid="{00000000-0005-0000-0000-0000C6100000}"/>
    <cellStyle name="Background 5 9 3" xfId="4303" xr:uid="{00000000-0005-0000-0000-0000C7100000}"/>
    <cellStyle name="Background 5 9 4" xfId="4304" xr:uid="{00000000-0005-0000-0000-0000C8100000}"/>
    <cellStyle name="Background 5 9 5" xfId="4305" xr:uid="{00000000-0005-0000-0000-0000C9100000}"/>
    <cellStyle name="Background 5 9 6" xfId="4306" xr:uid="{00000000-0005-0000-0000-0000CA100000}"/>
    <cellStyle name="Background 6" xfId="4307" xr:uid="{00000000-0005-0000-0000-0000CB100000}"/>
    <cellStyle name="Background 6 2" xfId="4308" xr:uid="{00000000-0005-0000-0000-0000CC100000}"/>
    <cellStyle name="Background 6 2 2" xfId="4309" xr:uid="{00000000-0005-0000-0000-0000CD100000}"/>
    <cellStyle name="Background 6 2 2 2" xfId="4310" xr:uid="{00000000-0005-0000-0000-0000CE100000}"/>
    <cellStyle name="Background 6 2 2 3" xfId="4311" xr:uid="{00000000-0005-0000-0000-0000CF100000}"/>
    <cellStyle name="Background 6 2 2 4" xfId="4312" xr:uid="{00000000-0005-0000-0000-0000D0100000}"/>
    <cellStyle name="Background 6 2 2 5" xfId="4313" xr:uid="{00000000-0005-0000-0000-0000D1100000}"/>
    <cellStyle name="Background 6 2 2 6" xfId="4314" xr:uid="{00000000-0005-0000-0000-0000D2100000}"/>
    <cellStyle name="Background 6 2 3" xfId="4315" xr:uid="{00000000-0005-0000-0000-0000D3100000}"/>
    <cellStyle name="Background 6 2 4" xfId="4316" xr:uid="{00000000-0005-0000-0000-0000D4100000}"/>
    <cellStyle name="Background 6 2 5" xfId="4317" xr:uid="{00000000-0005-0000-0000-0000D5100000}"/>
    <cellStyle name="Background 6 3" xfId="4318" xr:uid="{00000000-0005-0000-0000-0000D6100000}"/>
    <cellStyle name="Background 6 3 2" xfId="4319" xr:uid="{00000000-0005-0000-0000-0000D7100000}"/>
    <cellStyle name="Background 6 3 2 2" xfId="4320" xr:uid="{00000000-0005-0000-0000-0000D8100000}"/>
    <cellStyle name="Background 6 3 2 3" xfId="4321" xr:uid="{00000000-0005-0000-0000-0000D9100000}"/>
    <cellStyle name="Background 6 3 2 4" xfId="4322" xr:uid="{00000000-0005-0000-0000-0000DA100000}"/>
    <cellStyle name="Background 6 3 2 5" xfId="4323" xr:uid="{00000000-0005-0000-0000-0000DB100000}"/>
    <cellStyle name="Background 6 3 2 6" xfId="4324" xr:uid="{00000000-0005-0000-0000-0000DC100000}"/>
    <cellStyle name="Background 6 3 3" xfId="4325" xr:uid="{00000000-0005-0000-0000-0000DD100000}"/>
    <cellStyle name="Background 6 3 4" xfId="4326" xr:uid="{00000000-0005-0000-0000-0000DE100000}"/>
    <cellStyle name="Background 6 3 5" xfId="4327" xr:uid="{00000000-0005-0000-0000-0000DF100000}"/>
    <cellStyle name="Background 6 4" xfId="4328" xr:uid="{00000000-0005-0000-0000-0000E0100000}"/>
    <cellStyle name="Background 6 4 2" xfId="4329" xr:uid="{00000000-0005-0000-0000-0000E1100000}"/>
    <cellStyle name="Background 6 4 3" xfId="4330" xr:uid="{00000000-0005-0000-0000-0000E2100000}"/>
    <cellStyle name="Background 6 4 4" xfId="4331" xr:uid="{00000000-0005-0000-0000-0000E3100000}"/>
    <cellStyle name="Background 6 4 5" xfId="4332" xr:uid="{00000000-0005-0000-0000-0000E4100000}"/>
    <cellStyle name="Background 6 4 6" xfId="4333" xr:uid="{00000000-0005-0000-0000-0000E5100000}"/>
    <cellStyle name="Background 6 5" xfId="4334" xr:uid="{00000000-0005-0000-0000-0000E6100000}"/>
    <cellStyle name="Background 6 6" xfId="4335" xr:uid="{00000000-0005-0000-0000-0000E7100000}"/>
    <cellStyle name="Background 6 7" xfId="4336" xr:uid="{00000000-0005-0000-0000-0000E8100000}"/>
    <cellStyle name="Background 7" xfId="4337" xr:uid="{00000000-0005-0000-0000-0000E9100000}"/>
    <cellStyle name="Background 7 2" xfId="4338" xr:uid="{00000000-0005-0000-0000-0000EA100000}"/>
    <cellStyle name="Background 7 2 2" xfId="4339" xr:uid="{00000000-0005-0000-0000-0000EB100000}"/>
    <cellStyle name="Background 7 2 2 2" xfId="4340" xr:uid="{00000000-0005-0000-0000-0000EC100000}"/>
    <cellStyle name="Background 7 2 2 3" xfId="4341" xr:uid="{00000000-0005-0000-0000-0000ED100000}"/>
    <cellStyle name="Background 7 2 2 4" xfId="4342" xr:uid="{00000000-0005-0000-0000-0000EE100000}"/>
    <cellStyle name="Background 7 2 2 5" xfId="4343" xr:uid="{00000000-0005-0000-0000-0000EF100000}"/>
    <cellStyle name="Background 7 2 2 6" xfId="4344" xr:uid="{00000000-0005-0000-0000-0000F0100000}"/>
    <cellStyle name="Background 7 2 3" xfId="4345" xr:uid="{00000000-0005-0000-0000-0000F1100000}"/>
    <cellStyle name="Background 7 2 4" xfId="4346" xr:uid="{00000000-0005-0000-0000-0000F2100000}"/>
    <cellStyle name="Background 7 2 5" xfId="4347" xr:uid="{00000000-0005-0000-0000-0000F3100000}"/>
    <cellStyle name="Background 7 3" xfId="4348" xr:uid="{00000000-0005-0000-0000-0000F4100000}"/>
    <cellStyle name="Background 7 3 2" xfId="4349" xr:uid="{00000000-0005-0000-0000-0000F5100000}"/>
    <cellStyle name="Background 7 3 2 2" xfId="4350" xr:uid="{00000000-0005-0000-0000-0000F6100000}"/>
    <cellStyle name="Background 7 3 2 3" xfId="4351" xr:uid="{00000000-0005-0000-0000-0000F7100000}"/>
    <cellStyle name="Background 7 3 2 4" xfId="4352" xr:uid="{00000000-0005-0000-0000-0000F8100000}"/>
    <cellStyle name="Background 7 3 2 5" xfId="4353" xr:uid="{00000000-0005-0000-0000-0000F9100000}"/>
    <cellStyle name="Background 7 3 2 6" xfId="4354" xr:uid="{00000000-0005-0000-0000-0000FA100000}"/>
    <cellStyle name="Background 7 3 3" xfId="4355" xr:uid="{00000000-0005-0000-0000-0000FB100000}"/>
    <cellStyle name="Background 7 3 4" xfId="4356" xr:uid="{00000000-0005-0000-0000-0000FC100000}"/>
    <cellStyle name="Background 7 3 5" xfId="4357" xr:uid="{00000000-0005-0000-0000-0000FD100000}"/>
    <cellStyle name="Background 7 4" xfId="4358" xr:uid="{00000000-0005-0000-0000-0000FE100000}"/>
    <cellStyle name="Background 7 4 2" xfId="4359" xr:uid="{00000000-0005-0000-0000-0000FF100000}"/>
    <cellStyle name="Background 7 4 3" xfId="4360" xr:uid="{00000000-0005-0000-0000-000000110000}"/>
    <cellStyle name="Background 7 4 4" xfId="4361" xr:uid="{00000000-0005-0000-0000-000001110000}"/>
    <cellStyle name="Background 7 4 5" xfId="4362" xr:uid="{00000000-0005-0000-0000-000002110000}"/>
    <cellStyle name="Background 7 4 6" xfId="4363" xr:uid="{00000000-0005-0000-0000-000003110000}"/>
    <cellStyle name="Background 7 5" xfId="4364" xr:uid="{00000000-0005-0000-0000-000004110000}"/>
    <cellStyle name="Background 7 6" xfId="4365" xr:uid="{00000000-0005-0000-0000-000005110000}"/>
    <cellStyle name="Background 7 7" xfId="4366" xr:uid="{00000000-0005-0000-0000-000006110000}"/>
    <cellStyle name="Background 8" xfId="4367" xr:uid="{00000000-0005-0000-0000-000007110000}"/>
    <cellStyle name="Background 8 2" xfId="4368" xr:uid="{00000000-0005-0000-0000-000008110000}"/>
    <cellStyle name="Background 8 2 2" xfId="4369" xr:uid="{00000000-0005-0000-0000-000009110000}"/>
    <cellStyle name="Background 8 2 2 2" xfId="4370" xr:uid="{00000000-0005-0000-0000-00000A110000}"/>
    <cellStyle name="Background 8 2 2 3" xfId="4371" xr:uid="{00000000-0005-0000-0000-00000B110000}"/>
    <cellStyle name="Background 8 2 2 4" xfId="4372" xr:uid="{00000000-0005-0000-0000-00000C110000}"/>
    <cellStyle name="Background 8 2 2 5" xfId="4373" xr:uid="{00000000-0005-0000-0000-00000D110000}"/>
    <cellStyle name="Background 8 2 2 6" xfId="4374" xr:uid="{00000000-0005-0000-0000-00000E110000}"/>
    <cellStyle name="Background 8 2 3" xfId="4375" xr:uid="{00000000-0005-0000-0000-00000F110000}"/>
    <cellStyle name="Background 8 2 4" xfId="4376" xr:uid="{00000000-0005-0000-0000-000010110000}"/>
    <cellStyle name="Background 8 2 5" xfId="4377" xr:uid="{00000000-0005-0000-0000-000011110000}"/>
    <cellStyle name="Background 8 3" xfId="4378" xr:uid="{00000000-0005-0000-0000-000012110000}"/>
    <cellStyle name="Background 8 3 2" xfId="4379" xr:uid="{00000000-0005-0000-0000-000013110000}"/>
    <cellStyle name="Background 8 3 2 2" xfId="4380" xr:uid="{00000000-0005-0000-0000-000014110000}"/>
    <cellStyle name="Background 8 3 2 3" xfId="4381" xr:uid="{00000000-0005-0000-0000-000015110000}"/>
    <cellStyle name="Background 8 3 2 4" xfId="4382" xr:uid="{00000000-0005-0000-0000-000016110000}"/>
    <cellStyle name="Background 8 3 2 5" xfId="4383" xr:uid="{00000000-0005-0000-0000-000017110000}"/>
    <cellStyle name="Background 8 3 2 6" xfId="4384" xr:uid="{00000000-0005-0000-0000-000018110000}"/>
    <cellStyle name="Background 8 3 3" xfId="4385" xr:uid="{00000000-0005-0000-0000-000019110000}"/>
    <cellStyle name="Background 8 3 4" xfId="4386" xr:uid="{00000000-0005-0000-0000-00001A110000}"/>
    <cellStyle name="Background 8 3 5" xfId="4387" xr:uid="{00000000-0005-0000-0000-00001B110000}"/>
    <cellStyle name="Background 8 4" xfId="4388" xr:uid="{00000000-0005-0000-0000-00001C110000}"/>
    <cellStyle name="Background 8 4 2" xfId="4389" xr:uid="{00000000-0005-0000-0000-00001D110000}"/>
    <cellStyle name="Background 8 4 3" xfId="4390" xr:uid="{00000000-0005-0000-0000-00001E110000}"/>
    <cellStyle name="Background 8 4 4" xfId="4391" xr:uid="{00000000-0005-0000-0000-00001F110000}"/>
    <cellStyle name="Background 8 4 5" xfId="4392" xr:uid="{00000000-0005-0000-0000-000020110000}"/>
    <cellStyle name="Background 8 4 6" xfId="4393" xr:uid="{00000000-0005-0000-0000-000021110000}"/>
    <cellStyle name="Background 8 5" xfId="4394" xr:uid="{00000000-0005-0000-0000-000022110000}"/>
    <cellStyle name="Background 8 6" xfId="4395" xr:uid="{00000000-0005-0000-0000-000023110000}"/>
    <cellStyle name="Background 8 7" xfId="4396" xr:uid="{00000000-0005-0000-0000-000024110000}"/>
    <cellStyle name="Background 9" xfId="4397" xr:uid="{00000000-0005-0000-0000-000025110000}"/>
    <cellStyle name="Background 9 2" xfId="4398" xr:uid="{00000000-0005-0000-0000-000026110000}"/>
    <cellStyle name="Background 9 2 2" xfId="4399" xr:uid="{00000000-0005-0000-0000-000027110000}"/>
    <cellStyle name="Background 9 2 3" xfId="4400" xr:uid="{00000000-0005-0000-0000-000028110000}"/>
    <cellStyle name="Background 9 2 4" xfId="4401" xr:uid="{00000000-0005-0000-0000-000029110000}"/>
    <cellStyle name="Background 9 2 5" xfId="4402" xr:uid="{00000000-0005-0000-0000-00002A110000}"/>
    <cellStyle name="Background 9 2 6" xfId="4403" xr:uid="{00000000-0005-0000-0000-00002B110000}"/>
    <cellStyle name="Background 9 3" xfId="4404" xr:uid="{00000000-0005-0000-0000-00002C110000}"/>
    <cellStyle name="Background 9 4" xfId="4405" xr:uid="{00000000-0005-0000-0000-00002D110000}"/>
    <cellStyle name="Background 9 5" xfId="4406" xr:uid="{00000000-0005-0000-0000-00002E110000}"/>
    <cellStyle name="Bad 2" xfId="4407" xr:uid="{00000000-0005-0000-0000-00002F110000}"/>
    <cellStyle name="Bad 2 2" xfId="4408" xr:uid="{00000000-0005-0000-0000-000030110000}"/>
    <cellStyle name="Bad 3" xfId="4409" xr:uid="{00000000-0005-0000-0000-000031110000}"/>
    <cellStyle name="Bad 4" xfId="4410" xr:uid="{00000000-0005-0000-0000-000032110000}"/>
    <cellStyle name="bigred" xfId="4411" xr:uid="{00000000-0005-0000-0000-000033110000}"/>
    <cellStyle name="Border Heavy" xfId="4412" xr:uid="{00000000-0005-0000-0000-000034110000}"/>
    <cellStyle name="Border Thin" xfId="4413" xr:uid="{00000000-0005-0000-0000-000035110000}"/>
    <cellStyle name="BorderAreas" xfId="4414" xr:uid="{00000000-0005-0000-0000-000036110000}"/>
    <cellStyle name="Calc Currency (0)" xfId="4415" xr:uid="{00000000-0005-0000-0000-000037110000}"/>
    <cellStyle name="Calc Currency (2)" xfId="4416" xr:uid="{00000000-0005-0000-0000-000038110000}"/>
    <cellStyle name="Calc Percent (0)" xfId="4417" xr:uid="{00000000-0005-0000-0000-000039110000}"/>
    <cellStyle name="Calc Percent (1)" xfId="4418" xr:uid="{00000000-0005-0000-0000-00003A110000}"/>
    <cellStyle name="Calc Percent (2)" xfId="4419" xr:uid="{00000000-0005-0000-0000-00003B110000}"/>
    <cellStyle name="Calc Units (0)" xfId="4420" xr:uid="{00000000-0005-0000-0000-00003C110000}"/>
    <cellStyle name="Calc Units (1)" xfId="4421" xr:uid="{00000000-0005-0000-0000-00003D110000}"/>
    <cellStyle name="Calc Units (2)" xfId="4422" xr:uid="{00000000-0005-0000-0000-00003E110000}"/>
    <cellStyle name="calculate" xfId="4423" xr:uid="{00000000-0005-0000-0000-00003F110000}"/>
    <cellStyle name="calculate 2" xfId="4424" xr:uid="{00000000-0005-0000-0000-000040110000}"/>
    <cellStyle name="Calculation 2" xfId="4425" xr:uid="{00000000-0005-0000-0000-000041110000}"/>
    <cellStyle name="Calculation 2 10" xfId="4426" xr:uid="{00000000-0005-0000-0000-000042110000}"/>
    <cellStyle name="Calculation 2 10 2" xfId="4427" xr:uid="{00000000-0005-0000-0000-000043110000}"/>
    <cellStyle name="Calculation 2 10 2 2" xfId="4428" xr:uid="{00000000-0005-0000-0000-000044110000}"/>
    <cellStyle name="Calculation 2 10 2 2 2" xfId="4429" xr:uid="{00000000-0005-0000-0000-000045110000}"/>
    <cellStyle name="Calculation 2 10 2 2 3" xfId="4430" xr:uid="{00000000-0005-0000-0000-000046110000}"/>
    <cellStyle name="Calculation 2 10 2 2 4" xfId="4431" xr:uid="{00000000-0005-0000-0000-000047110000}"/>
    <cellStyle name="Calculation 2 10 2 2 5" xfId="4432" xr:uid="{00000000-0005-0000-0000-000048110000}"/>
    <cellStyle name="Calculation 2 10 2 3" xfId="4433" xr:uid="{00000000-0005-0000-0000-000049110000}"/>
    <cellStyle name="Calculation 2 10 2 4" xfId="4434" xr:uid="{00000000-0005-0000-0000-00004A110000}"/>
    <cellStyle name="Calculation 2 10 2 5" xfId="4435" xr:uid="{00000000-0005-0000-0000-00004B110000}"/>
    <cellStyle name="Calculation 2 10 2 6" xfId="4436" xr:uid="{00000000-0005-0000-0000-00004C110000}"/>
    <cellStyle name="Calculation 2 10 2 7" xfId="4437" xr:uid="{00000000-0005-0000-0000-00004D110000}"/>
    <cellStyle name="Calculation 2 10 3" xfId="4438" xr:uid="{00000000-0005-0000-0000-00004E110000}"/>
    <cellStyle name="Calculation 2 10 3 2" xfId="4439" xr:uid="{00000000-0005-0000-0000-00004F110000}"/>
    <cellStyle name="Calculation 2 10 3 3" xfId="4440" xr:uid="{00000000-0005-0000-0000-000050110000}"/>
    <cellStyle name="Calculation 2 10 3 4" xfId="4441" xr:uid="{00000000-0005-0000-0000-000051110000}"/>
    <cellStyle name="Calculation 2 10 3 5" xfId="4442" xr:uid="{00000000-0005-0000-0000-000052110000}"/>
    <cellStyle name="Calculation 2 10 4" xfId="4443" xr:uid="{00000000-0005-0000-0000-000053110000}"/>
    <cellStyle name="Calculation 2 10 5" xfId="4444" xr:uid="{00000000-0005-0000-0000-000054110000}"/>
    <cellStyle name="Calculation 2 10 6" xfId="4445" xr:uid="{00000000-0005-0000-0000-000055110000}"/>
    <cellStyle name="Calculation 2 10 7" xfId="4446" xr:uid="{00000000-0005-0000-0000-000056110000}"/>
    <cellStyle name="Calculation 2 11" xfId="4447" xr:uid="{00000000-0005-0000-0000-000057110000}"/>
    <cellStyle name="Calculation 2 11 2" xfId="4448" xr:uid="{00000000-0005-0000-0000-000058110000}"/>
    <cellStyle name="Calculation 2 11 2 2" xfId="4449" xr:uid="{00000000-0005-0000-0000-000059110000}"/>
    <cellStyle name="Calculation 2 11 2 3" xfId="4450" xr:uid="{00000000-0005-0000-0000-00005A110000}"/>
    <cellStyle name="Calculation 2 11 2 4" xfId="4451" xr:uid="{00000000-0005-0000-0000-00005B110000}"/>
    <cellStyle name="Calculation 2 11 2 5" xfId="4452" xr:uid="{00000000-0005-0000-0000-00005C110000}"/>
    <cellStyle name="Calculation 2 11 3" xfId="4453" xr:uid="{00000000-0005-0000-0000-00005D110000}"/>
    <cellStyle name="Calculation 2 11 3 2" xfId="4454" xr:uid="{00000000-0005-0000-0000-00005E110000}"/>
    <cellStyle name="Calculation 2 11 3 3" xfId="4455" xr:uid="{00000000-0005-0000-0000-00005F110000}"/>
    <cellStyle name="Calculation 2 11 3 4" xfId="4456" xr:uid="{00000000-0005-0000-0000-000060110000}"/>
    <cellStyle name="Calculation 2 11 3 5" xfId="4457" xr:uid="{00000000-0005-0000-0000-000061110000}"/>
    <cellStyle name="Calculation 2 11 4" xfId="4458" xr:uid="{00000000-0005-0000-0000-000062110000}"/>
    <cellStyle name="Calculation 2 11 5" xfId="4459" xr:uid="{00000000-0005-0000-0000-000063110000}"/>
    <cellStyle name="Calculation 2 11 6" xfId="4460" xr:uid="{00000000-0005-0000-0000-000064110000}"/>
    <cellStyle name="Calculation 2 11 7" xfId="4461" xr:uid="{00000000-0005-0000-0000-000065110000}"/>
    <cellStyle name="Calculation 2 11 8" xfId="4462" xr:uid="{00000000-0005-0000-0000-000066110000}"/>
    <cellStyle name="Calculation 2 12" xfId="4463" xr:uid="{00000000-0005-0000-0000-000067110000}"/>
    <cellStyle name="Calculation 2 12 2" xfId="4464" xr:uid="{00000000-0005-0000-0000-000068110000}"/>
    <cellStyle name="Calculation 2 12 2 2" xfId="4465" xr:uid="{00000000-0005-0000-0000-000069110000}"/>
    <cellStyle name="Calculation 2 12 2 3" xfId="4466" xr:uid="{00000000-0005-0000-0000-00006A110000}"/>
    <cellStyle name="Calculation 2 12 2 4" xfId="4467" xr:uid="{00000000-0005-0000-0000-00006B110000}"/>
    <cellStyle name="Calculation 2 12 2 5" xfId="4468" xr:uid="{00000000-0005-0000-0000-00006C110000}"/>
    <cellStyle name="Calculation 2 12 3" xfId="4469" xr:uid="{00000000-0005-0000-0000-00006D110000}"/>
    <cellStyle name="Calculation 2 12 4" xfId="4470" xr:uid="{00000000-0005-0000-0000-00006E110000}"/>
    <cellStyle name="Calculation 2 12 5" xfId="4471" xr:uid="{00000000-0005-0000-0000-00006F110000}"/>
    <cellStyle name="Calculation 2 12 6" xfId="4472" xr:uid="{00000000-0005-0000-0000-000070110000}"/>
    <cellStyle name="Calculation 2 13" xfId="4473" xr:uid="{00000000-0005-0000-0000-000071110000}"/>
    <cellStyle name="Calculation 2 13 2" xfId="4474" xr:uid="{00000000-0005-0000-0000-000072110000}"/>
    <cellStyle name="Calculation 2 13 2 2" xfId="4475" xr:uid="{00000000-0005-0000-0000-000073110000}"/>
    <cellStyle name="Calculation 2 13 2 3" xfId="4476" xr:uid="{00000000-0005-0000-0000-000074110000}"/>
    <cellStyle name="Calculation 2 13 2 4" xfId="4477" xr:uid="{00000000-0005-0000-0000-000075110000}"/>
    <cellStyle name="Calculation 2 13 2 5" xfId="4478" xr:uid="{00000000-0005-0000-0000-000076110000}"/>
    <cellStyle name="Calculation 2 13 3" xfId="4479" xr:uid="{00000000-0005-0000-0000-000077110000}"/>
    <cellStyle name="Calculation 2 13 4" xfId="4480" xr:uid="{00000000-0005-0000-0000-000078110000}"/>
    <cellStyle name="Calculation 2 13 5" xfId="4481" xr:uid="{00000000-0005-0000-0000-000079110000}"/>
    <cellStyle name="Calculation 2 13 6" xfId="4482" xr:uid="{00000000-0005-0000-0000-00007A110000}"/>
    <cellStyle name="Calculation 2 14" xfId="4483" xr:uid="{00000000-0005-0000-0000-00007B110000}"/>
    <cellStyle name="Calculation 2 14 2" xfId="4484" xr:uid="{00000000-0005-0000-0000-00007C110000}"/>
    <cellStyle name="Calculation 2 14 2 2" xfId="4485" xr:uid="{00000000-0005-0000-0000-00007D110000}"/>
    <cellStyle name="Calculation 2 14 2 3" xfId="4486" xr:uid="{00000000-0005-0000-0000-00007E110000}"/>
    <cellStyle name="Calculation 2 14 2 4" xfId="4487" xr:uid="{00000000-0005-0000-0000-00007F110000}"/>
    <cellStyle name="Calculation 2 14 2 5" xfId="4488" xr:uid="{00000000-0005-0000-0000-000080110000}"/>
    <cellStyle name="Calculation 2 14 3" xfId="4489" xr:uid="{00000000-0005-0000-0000-000081110000}"/>
    <cellStyle name="Calculation 2 14 4" xfId="4490" xr:uid="{00000000-0005-0000-0000-000082110000}"/>
    <cellStyle name="Calculation 2 14 5" xfId="4491" xr:uid="{00000000-0005-0000-0000-000083110000}"/>
    <cellStyle name="Calculation 2 14 6" xfId="4492" xr:uid="{00000000-0005-0000-0000-000084110000}"/>
    <cellStyle name="Calculation 2 15" xfId="4493" xr:uid="{00000000-0005-0000-0000-000085110000}"/>
    <cellStyle name="Calculation 2 15 2" xfId="4494" xr:uid="{00000000-0005-0000-0000-000086110000}"/>
    <cellStyle name="Calculation 2 15 2 2" xfId="4495" xr:uid="{00000000-0005-0000-0000-000087110000}"/>
    <cellStyle name="Calculation 2 15 2 3" xfId="4496" xr:uid="{00000000-0005-0000-0000-000088110000}"/>
    <cellStyle name="Calculation 2 15 2 4" xfId="4497" xr:uid="{00000000-0005-0000-0000-000089110000}"/>
    <cellStyle name="Calculation 2 15 2 5" xfId="4498" xr:uid="{00000000-0005-0000-0000-00008A110000}"/>
    <cellStyle name="Calculation 2 15 3" xfId="4499" xr:uid="{00000000-0005-0000-0000-00008B110000}"/>
    <cellStyle name="Calculation 2 15 4" xfId="4500" xr:uid="{00000000-0005-0000-0000-00008C110000}"/>
    <cellStyle name="Calculation 2 15 5" xfId="4501" xr:uid="{00000000-0005-0000-0000-00008D110000}"/>
    <cellStyle name="Calculation 2 15 6" xfId="4502" xr:uid="{00000000-0005-0000-0000-00008E110000}"/>
    <cellStyle name="Calculation 2 16" xfId="4503" xr:uid="{00000000-0005-0000-0000-00008F110000}"/>
    <cellStyle name="Calculation 2 16 2" xfId="4504" xr:uid="{00000000-0005-0000-0000-000090110000}"/>
    <cellStyle name="Calculation 2 16 2 2" xfId="4505" xr:uid="{00000000-0005-0000-0000-000091110000}"/>
    <cellStyle name="Calculation 2 16 2 3" xfId="4506" xr:uid="{00000000-0005-0000-0000-000092110000}"/>
    <cellStyle name="Calculation 2 16 2 4" xfId="4507" xr:uid="{00000000-0005-0000-0000-000093110000}"/>
    <cellStyle name="Calculation 2 16 2 5" xfId="4508" xr:uid="{00000000-0005-0000-0000-000094110000}"/>
    <cellStyle name="Calculation 2 16 3" xfId="4509" xr:uid="{00000000-0005-0000-0000-000095110000}"/>
    <cellStyle name="Calculation 2 16 4" xfId="4510" xr:uid="{00000000-0005-0000-0000-000096110000}"/>
    <cellStyle name="Calculation 2 16 5" xfId="4511" xr:uid="{00000000-0005-0000-0000-000097110000}"/>
    <cellStyle name="Calculation 2 16 6" xfId="4512" xr:uid="{00000000-0005-0000-0000-000098110000}"/>
    <cellStyle name="Calculation 2 17" xfId="4513" xr:uid="{00000000-0005-0000-0000-000099110000}"/>
    <cellStyle name="Calculation 2 17 2" xfId="4514" xr:uid="{00000000-0005-0000-0000-00009A110000}"/>
    <cellStyle name="Calculation 2 17 2 2" xfId="4515" xr:uid="{00000000-0005-0000-0000-00009B110000}"/>
    <cellStyle name="Calculation 2 17 2 3" xfId="4516" xr:uid="{00000000-0005-0000-0000-00009C110000}"/>
    <cellStyle name="Calculation 2 17 2 4" xfId="4517" xr:uid="{00000000-0005-0000-0000-00009D110000}"/>
    <cellStyle name="Calculation 2 17 2 5" xfId="4518" xr:uid="{00000000-0005-0000-0000-00009E110000}"/>
    <cellStyle name="Calculation 2 17 3" xfId="4519" xr:uid="{00000000-0005-0000-0000-00009F110000}"/>
    <cellStyle name="Calculation 2 17 4" xfId="4520" xr:uid="{00000000-0005-0000-0000-0000A0110000}"/>
    <cellStyle name="Calculation 2 17 5" xfId="4521" xr:uid="{00000000-0005-0000-0000-0000A1110000}"/>
    <cellStyle name="Calculation 2 17 6" xfId="4522" xr:uid="{00000000-0005-0000-0000-0000A2110000}"/>
    <cellStyle name="Calculation 2 18" xfId="4523" xr:uid="{00000000-0005-0000-0000-0000A3110000}"/>
    <cellStyle name="Calculation 2 18 2" xfId="4524" xr:uid="{00000000-0005-0000-0000-0000A4110000}"/>
    <cellStyle name="Calculation 2 18 2 2" xfId="4525" xr:uid="{00000000-0005-0000-0000-0000A5110000}"/>
    <cellStyle name="Calculation 2 18 2 3" xfId="4526" xr:uid="{00000000-0005-0000-0000-0000A6110000}"/>
    <cellStyle name="Calculation 2 18 2 4" xfId="4527" xr:uid="{00000000-0005-0000-0000-0000A7110000}"/>
    <cellStyle name="Calculation 2 18 2 5" xfId="4528" xr:uid="{00000000-0005-0000-0000-0000A8110000}"/>
    <cellStyle name="Calculation 2 18 3" xfId="4529" xr:uid="{00000000-0005-0000-0000-0000A9110000}"/>
    <cellStyle name="Calculation 2 18 4" xfId="4530" xr:uid="{00000000-0005-0000-0000-0000AA110000}"/>
    <cellStyle name="Calculation 2 18 5" xfId="4531" xr:uid="{00000000-0005-0000-0000-0000AB110000}"/>
    <cellStyle name="Calculation 2 18 6" xfId="4532" xr:uid="{00000000-0005-0000-0000-0000AC110000}"/>
    <cellStyle name="Calculation 2 19" xfId="4533" xr:uid="{00000000-0005-0000-0000-0000AD110000}"/>
    <cellStyle name="Calculation 2 19 2" xfId="4534" xr:uid="{00000000-0005-0000-0000-0000AE110000}"/>
    <cellStyle name="Calculation 2 19 2 2" xfId="4535" xr:uid="{00000000-0005-0000-0000-0000AF110000}"/>
    <cellStyle name="Calculation 2 19 2 3" xfId="4536" xr:uid="{00000000-0005-0000-0000-0000B0110000}"/>
    <cellStyle name="Calculation 2 19 2 4" xfId="4537" xr:uid="{00000000-0005-0000-0000-0000B1110000}"/>
    <cellStyle name="Calculation 2 19 2 5" xfId="4538" xr:uid="{00000000-0005-0000-0000-0000B2110000}"/>
    <cellStyle name="Calculation 2 19 3" xfId="4539" xr:uid="{00000000-0005-0000-0000-0000B3110000}"/>
    <cellStyle name="Calculation 2 19 4" xfId="4540" xr:uid="{00000000-0005-0000-0000-0000B4110000}"/>
    <cellStyle name="Calculation 2 19 5" xfId="4541" xr:uid="{00000000-0005-0000-0000-0000B5110000}"/>
    <cellStyle name="Calculation 2 19 6" xfId="4542" xr:uid="{00000000-0005-0000-0000-0000B6110000}"/>
    <cellStyle name="Calculation 2 2" xfId="4543" xr:uid="{00000000-0005-0000-0000-0000B7110000}"/>
    <cellStyle name="Calculation 2 2 10" xfId="4544" xr:uid="{00000000-0005-0000-0000-0000B8110000}"/>
    <cellStyle name="Calculation 2 2 10 2" xfId="4545" xr:uid="{00000000-0005-0000-0000-0000B9110000}"/>
    <cellStyle name="Calculation 2 2 10 2 2" xfId="4546" xr:uid="{00000000-0005-0000-0000-0000BA110000}"/>
    <cellStyle name="Calculation 2 2 10 2 3" xfId="4547" xr:uid="{00000000-0005-0000-0000-0000BB110000}"/>
    <cellStyle name="Calculation 2 2 10 2 4" xfId="4548" xr:uid="{00000000-0005-0000-0000-0000BC110000}"/>
    <cellStyle name="Calculation 2 2 10 2 5" xfId="4549" xr:uid="{00000000-0005-0000-0000-0000BD110000}"/>
    <cellStyle name="Calculation 2 2 10 3" xfId="4550" xr:uid="{00000000-0005-0000-0000-0000BE110000}"/>
    <cellStyle name="Calculation 2 2 10 3 2" xfId="4551" xr:uid="{00000000-0005-0000-0000-0000BF110000}"/>
    <cellStyle name="Calculation 2 2 10 3 3" xfId="4552" xr:uid="{00000000-0005-0000-0000-0000C0110000}"/>
    <cellStyle name="Calculation 2 2 10 3 4" xfId="4553" xr:uid="{00000000-0005-0000-0000-0000C1110000}"/>
    <cellStyle name="Calculation 2 2 10 3 5" xfId="4554" xr:uid="{00000000-0005-0000-0000-0000C2110000}"/>
    <cellStyle name="Calculation 2 2 10 4" xfId="4555" xr:uid="{00000000-0005-0000-0000-0000C3110000}"/>
    <cellStyle name="Calculation 2 2 10 5" xfId="4556" xr:uid="{00000000-0005-0000-0000-0000C4110000}"/>
    <cellStyle name="Calculation 2 2 10 6" xfId="4557" xr:uid="{00000000-0005-0000-0000-0000C5110000}"/>
    <cellStyle name="Calculation 2 2 10 7" xfId="4558" xr:uid="{00000000-0005-0000-0000-0000C6110000}"/>
    <cellStyle name="Calculation 2 2 10 8" xfId="4559" xr:uid="{00000000-0005-0000-0000-0000C7110000}"/>
    <cellStyle name="Calculation 2 2 11" xfId="4560" xr:uid="{00000000-0005-0000-0000-0000C8110000}"/>
    <cellStyle name="Calculation 2 2 11 2" xfId="4561" xr:uid="{00000000-0005-0000-0000-0000C9110000}"/>
    <cellStyle name="Calculation 2 2 11 2 2" xfId="4562" xr:uid="{00000000-0005-0000-0000-0000CA110000}"/>
    <cellStyle name="Calculation 2 2 11 2 3" xfId="4563" xr:uid="{00000000-0005-0000-0000-0000CB110000}"/>
    <cellStyle name="Calculation 2 2 11 2 4" xfId="4564" xr:uid="{00000000-0005-0000-0000-0000CC110000}"/>
    <cellStyle name="Calculation 2 2 11 2 5" xfId="4565" xr:uid="{00000000-0005-0000-0000-0000CD110000}"/>
    <cellStyle name="Calculation 2 2 11 3" xfId="4566" xr:uid="{00000000-0005-0000-0000-0000CE110000}"/>
    <cellStyle name="Calculation 2 2 11 4" xfId="4567" xr:uid="{00000000-0005-0000-0000-0000CF110000}"/>
    <cellStyle name="Calculation 2 2 11 5" xfId="4568" xr:uid="{00000000-0005-0000-0000-0000D0110000}"/>
    <cellStyle name="Calculation 2 2 11 6" xfId="4569" xr:uid="{00000000-0005-0000-0000-0000D1110000}"/>
    <cellStyle name="Calculation 2 2 12" xfId="4570" xr:uid="{00000000-0005-0000-0000-0000D2110000}"/>
    <cellStyle name="Calculation 2 2 12 2" xfId="4571" xr:uid="{00000000-0005-0000-0000-0000D3110000}"/>
    <cellStyle name="Calculation 2 2 12 2 2" xfId="4572" xr:uid="{00000000-0005-0000-0000-0000D4110000}"/>
    <cellStyle name="Calculation 2 2 12 2 3" xfId="4573" xr:uid="{00000000-0005-0000-0000-0000D5110000}"/>
    <cellStyle name="Calculation 2 2 12 2 4" xfId="4574" xr:uid="{00000000-0005-0000-0000-0000D6110000}"/>
    <cellStyle name="Calculation 2 2 12 2 5" xfId="4575" xr:uid="{00000000-0005-0000-0000-0000D7110000}"/>
    <cellStyle name="Calculation 2 2 12 3" xfId="4576" xr:uid="{00000000-0005-0000-0000-0000D8110000}"/>
    <cellStyle name="Calculation 2 2 12 4" xfId="4577" xr:uid="{00000000-0005-0000-0000-0000D9110000}"/>
    <cellStyle name="Calculation 2 2 12 5" xfId="4578" xr:uid="{00000000-0005-0000-0000-0000DA110000}"/>
    <cellStyle name="Calculation 2 2 12 6" xfId="4579" xr:uid="{00000000-0005-0000-0000-0000DB110000}"/>
    <cellStyle name="Calculation 2 2 13" xfId="4580" xr:uid="{00000000-0005-0000-0000-0000DC110000}"/>
    <cellStyle name="Calculation 2 2 13 2" xfId="4581" xr:uid="{00000000-0005-0000-0000-0000DD110000}"/>
    <cellStyle name="Calculation 2 2 13 2 2" xfId="4582" xr:uid="{00000000-0005-0000-0000-0000DE110000}"/>
    <cellStyle name="Calculation 2 2 13 2 3" xfId="4583" xr:uid="{00000000-0005-0000-0000-0000DF110000}"/>
    <cellStyle name="Calculation 2 2 13 2 4" xfId="4584" xr:uid="{00000000-0005-0000-0000-0000E0110000}"/>
    <cellStyle name="Calculation 2 2 13 2 5" xfId="4585" xr:uid="{00000000-0005-0000-0000-0000E1110000}"/>
    <cellStyle name="Calculation 2 2 13 3" xfId="4586" xr:uid="{00000000-0005-0000-0000-0000E2110000}"/>
    <cellStyle name="Calculation 2 2 13 4" xfId="4587" xr:uid="{00000000-0005-0000-0000-0000E3110000}"/>
    <cellStyle name="Calculation 2 2 13 5" xfId="4588" xr:uid="{00000000-0005-0000-0000-0000E4110000}"/>
    <cellStyle name="Calculation 2 2 13 6" xfId="4589" xr:uid="{00000000-0005-0000-0000-0000E5110000}"/>
    <cellStyle name="Calculation 2 2 14" xfId="4590" xr:uid="{00000000-0005-0000-0000-0000E6110000}"/>
    <cellStyle name="Calculation 2 2 14 2" xfId="4591" xr:uid="{00000000-0005-0000-0000-0000E7110000}"/>
    <cellStyle name="Calculation 2 2 14 2 2" xfId="4592" xr:uid="{00000000-0005-0000-0000-0000E8110000}"/>
    <cellStyle name="Calculation 2 2 14 2 3" xfId="4593" xr:uid="{00000000-0005-0000-0000-0000E9110000}"/>
    <cellStyle name="Calculation 2 2 14 2 4" xfId="4594" xr:uid="{00000000-0005-0000-0000-0000EA110000}"/>
    <cellStyle name="Calculation 2 2 14 2 5" xfId="4595" xr:uid="{00000000-0005-0000-0000-0000EB110000}"/>
    <cellStyle name="Calculation 2 2 14 3" xfId="4596" xr:uid="{00000000-0005-0000-0000-0000EC110000}"/>
    <cellStyle name="Calculation 2 2 14 4" xfId="4597" xr:uid="{00000000-0005-0000-0000-0000ED110000}"/>
    <cellStyle name="Calculation 2 2 14 5" xfId="4598" xr:uid="{00000000-0005-0000-0000-0000EE110000}"/>
    <cellStyle name="Calculation 2 2 14 6" xfId="4599" xr:uid="{00000000-0005-0000-0000-0000EF110000}"/>
    <cellStyle name="Calculation 2 2 15" xfId="4600" xr:uid="{00000000-0005-0000-0000-0000F0110000}"/>
    <cellStyle name="Calculation 2 2 15 2" xfId="4601" xr:uid="{00000000-0005-0000-0000-0000F1110000}"/>
    <cellStyle name="Calculation 2 2 15 2 2" xfId="4602" xr:uid="{00000000-0005-0000-0000-0000F2110000}"/>
    <cellStyle name="Calculation 2 2 15 2 3" xfId="4603" xr:uid="{00000000-0005-0000-0000-0000F3110000}"/>
    <cellStyle name="Calculation 2 2 15 2 4" xfId="4604" xr:uid="{00000000-0005-0000-0000-0000F4110000}"/>
    <cellStyle name="Calculation 2 2 15 2 5" xfId="4605" xr:uid="{00000000-0005-0000-0000-0000F5110000}"/>
    <cellStyle name="Calculation 2 2 15 3" xfId="4606" xr:uid="{00000000-0005-0000-0000-0000F6110000}"/>
    <cellStyle name="Calculation 2 2 15 4" xfId="4607" xr:uid="{00000000-0005-0000-0000-0000F7110000}"/>
    <cellStyle name="Calculation 2 2 15 5" xfId="4608" xr:uid="{00000000-0005-0000-0000-0000F8110000}"/>
    <cellStyle name="Calculation 2 2 15 6" xfId="4609" xr:uid="{00000000-0005-0000-0000-0000F9110000}"/>
    <cellStyle name="Calculation 2 2 16" xfId="4610" xr:uid="{00000000-0005-0000-0000-0000FA110000}"/>
    <cellStyle name="Calculation 2 2 16 2" xfId="4611" xr:uid="{00000000-0005-0000-0000-0000FB110000}"/>
    <cellStyle name="Calculation 2 2 16 2 2" xfId="4612" xr:uid="{00000000-0005-0000-0000-0000FC110000}"/>
    <cellStyle name="Calculation 2 2 16 2 3" xfId="4613" xr:uid="{00000000-0005-0000-0000-0000FD110000}"/>
    <cellStyle name="Calculation 2 2 16 2 4" xfId="4614" xr:uid="{00000000-0005-0000-0000-0000FE110000}"/>
    <cellStyle name="Calculation 2 2 16 2 5" xfId="4615" xr:uid="{00000000-0005-0000-0000-0000FF110000}"/>
    <cellStyle name="Calculation 2 2 16 3" xfId="4616" xr:uid="{00000000-0005-0000-0000-000000120000}"/>
    <cellStyle name="Calculation 2 2 16 4" xfId="4617" xr:uid="{00000000-0005-0000-0000-000001120000}"/>
    <cellStyle name="Calculation 2 2 16 5" xfId="4618" xr:uid="{00000000-0005-0000-0000-000002120000}"/>
    <cellStyle name="Calculation 2 2 16 6" xfId="4619" xr:uid="{00000000-0005-0000-0000-000003120000}"/>
    <cellStyle name="Calculation 2 2 17" xfId="4620" xr:uid="{00000000-0005-0000-0000-000004120000}"/>
    <cellStyle name="Calculation 2 2 17 2" xfId="4621" xr:uid="{00000000-0005-0000-0000-000005120000}"/>
    <cellStyle name="Calculation 2 2 17 2 2" xfId="4622" xr:uid="{00000000-0005-0000-0000-000006120000}"/>
    <cellStyle name="Calculation 2 2 17 2 3" xfId="4623" xr:uid="{00000000-0005-0000-0000-000007120000}"/>
    <cellStyle name="Calculation 2 2 17 2 4" xfId="4624" xr:uid="{00000000-0005-0000-0000-000008120000}"/>
    <cellStyle name="Calculation 2 2 17 2 5" xfId="4625" xr:uid="{00000000-0005-0000-0000-000009120000}"/>
    <cellStyle name="Calculation 2 2 17 3" xfId="4626" xr:uid="{00000000-0005-0000-0000-00000A120000}"/>
    <cellStyle name="Calculation 2 2 17 4" xfId="4627" xr:uid="{00000000-0005-0000-0000-00000B120000}"/>
    <cellStyle name="Calculation 2 2 17 5" xfId="4628" xr:uid="{00000000-0005-0000-0000-00000C120000}"/>
    <cellStyle name="Calculation 2 2 17 6" xfId="4629" xr:uid="{00000000-0005-0000-0000-00000D120000}"/>
    <cellStyle name="Calculation 2 2 18" xfId="4630" xr:uid="{00000000-0005-0000-0000-00000E120000}"/>
    <cellStyle name="Calculation 2 2 18 2" xfId="4631" xr:uid="{00000000-0005-0000-0000-00000F120000}"/>
    <cellStyle name="Calculation 2 2 18 2 2" xfId="4632" xr:uid="{00000000-0005-0000-0000-000010120000}"/>
    <cellStyle name="Calculation 2 2 18 2 3" xfId="4633" xr:uid="{00000000-0005-0000-0000-000011120000}"/>
    <cellStyle name="Calculation 2 2 18 2 4" xfId="4634" xr:uid="{00000000-0005-0000-0000-000012120000}"/>
    <cellStyle name="Calculation 2 2 18 2 5" xfId="4635" xr:uid="{00000000-0005-0000-0000-000013120000}"/>
    <cellStyle name="Calculation 2 2 18 3" xfId="4636" xr:uid="{00000000-0005-0000-0000-000014120000}"/>
    <cellStyle name="Calculation 2 2 18 4" xfId="4637" xr:uid="{00000000-0005-0000-0000-000015120000}"/>
    <cellStyle name="Calculation 2 2 18 5" xfId="4638" xr:uid="{00000000-0005-0000-0000-000016120000}"/>
    <cellStyle name="Calculation 2 2 18 6" xfId="4639" xr:uid="{00000000-0005-0000-0000-000017120000}"/>
    <cellStyle name="Calculation 2 2 19" xfId="4640" xr:uid="{00000000-0005-0000-0000-000018120000}"/>
    <cellStyle name="Calculation 2 2 19 2" xfId="4641" xr:uid="{00000000-0005-0000-0000-000019120000}"/>
    <cellStyle name="Calculation 2 2 19 2 2" xfId="4642" xr:uid="{00000000-0005-0000-0000-00001A120000}"/>
    <cellStyle name="Calculation 2 2 19 2 3" xfId="4643" xr:uid="{00000000-0005-0000-0000-00001B120000}"/>
    <cellStyle name="Calculation 2 2 19 2 4" xfId="4644" xr:uid="{00000000-0005-0000-0000-00001C120000}"/>
    <cellStyle name="Calculation 2 2 19 2 5" xfId="4645" xr:uid="{00000000-0005-0000-0000-00001D120000}"/>
    <cellStyle name="Calculation 2 2 19 3" xfId="4646" xr:uid="{00000000-0005-0000-0000-00001E120000}"/>
    <cellStyle name="Calculation 2 2 19 4" xfId="4647" xr:uid="{00000000-0005-0000-0000-00001F120000}"/>
    <cellStyle name="Calculation 2 2 19 5" xfId="4648" xr:uid="{00000000-0005-0000-0000-000020120000}"/>
    <cellStyle name="Calculation 2 2 19 6" xfId="4649" xr:uid="{00000000-0005-0000-0000-000021120000}"/>
    <cellStyle name="Calculation 2 2 2" xfId="4650" xr:uid="{00000000-0005-0000-0000-000022120000}"/>
    <cellStyle name="Calculation 2 2 2 10" xfId="4651" xr:uid="{00000000-0005-0000-0000-000023120000}"/>
    <cellStyle name="Calculation 2 2 2 10 2" xfId="4652" xr:uid="{00000000-0005-0000-0000-000024120000}"/>
    <cellStyle name="Calculation 2 2 2 10 3" xfId="4653" xr:uid="{00000000-0005-0000-0000-000025120000}"/>
    <cellStyle name="Calculation 2 2 2 10 4" xfId="4654" xr:uid="{00000000-0005-0000-0000-000026120000}"/>
    <cellStyle name="Calculation 2 2 2 10 5" xfId="4655" xr:uid="{00000000-0005-0000-0000-000027120000}"/>
    <cellStyle name="Calculation 2 2 2 11" xfId="4656" xr:uid="{00000000-0005-0000-0000-000028120000}"/>
    <cellStyle name="Calculation 2 2 2 12" xfId="4657" xr:uid="{00000000-0005-0000-0000-000029120000}"/>
    <cellStyle name="Calculation 2 2 2 13" xfId="4658" xr:uid="{00000000-0005-0000-0000-00002A120000}"/>
    <cellStyle name="Calculation 2 2 2 14" xfId="4659" xr:uid="{00000000-0005-0000-0000-00002B120000}"/>
    <cellStyle name="Calculation 2 2 2 2" xfId="4660" xr:uid="{00000000-0005-0000-0000-00002C120000}"/>
    <cellStyle name="Calculation 2 2 2 2 10" xfId="4661" xr:uid="{00000000-0005-0000-0000-00002D120000}"/>
    <cellStyle name="Calculation 2 2 2 2 10 2" xfId="4662" xr:uid="{00000000-0005-0000-0000-00002E120000}"/>
    <cellStyle name="Calculation 2 2 2 2 10 3" xfId="4663" xr:uid="{00000000-0005-0000-0000-00002F120000}"/>
    <cellStyle name="Calculation 2 2 2 2 10 4" xfId="4664" xr:uid="{00000000-0005-0000-0000-000030120000}"/>
    <cellStyle name="Calculation 2 2 2 2 10 5" xfId="4665" xr:uid="{00000000-0005-0000-0000-000031120000}"/>
    <cellStyle name="Calculation 2 2 2 2 10 6" xfId="4666" xr:uid="{00000000-0005-0000-0000-000032120000}"/>
    <cellStyle name="Calculation 2 2 2 2 11" xfId="4667" xr:uid="{00000000-0005-0000-0000-000033120000}"/>
    <cellStyle name="Calculation 2 2 2 2 11 2" xfId="4668" xr:uid="{00000000-0005-0000-0000-000034120000}"/>
    <cellStyle name="Calculation 2 2 2 2 11 3" xfId="4669" xr:uid="{00000000-0005-0000-0000-000035120000}"/>
    <cellStyle name="Calculation 2 2 2 2 11 4" xfId="4670" xr:uid="{00000000-0005-0000-0000-000036120000}"/>
    <cellStyle name="Calculation 2 2 2 2 11 5" xfId="4671" xr:uid="{00000000-0005-0000-0000-000037120000}"/>
    <cellStyle name="Calculation 2 2 2 2 12" xfId="4672" xr:uid="{00000000-0005-0000-0000-000038120000}"/>
    <cellStyle name="Calculation 2 2 2 2 13" xfId="4673" xr:uid="{00000000-0005-0000-0000-000039120000}"/>
    <cellStyle name="Calculation 2 2 2 2 14" xfId="4674" xr:uid="{00000000-0005-0000-0000-00003A120000}"/>
    <cellStyle name="Calculation 2 2 2 2 15" xfId="4675" xr:uid="{00000000-0005-0000-0000-00003B120000}"/>
    <cellStyle name="Calculation 2 2 2 2 2" xfId="4676" xr:uid="{00000000-0005-0000-0000-00003C120000}"/>
    <cellStyle name="Calculation 2 2 2 2 2 10" xfId="4677" xr:uid="{00000000-0005-0000-0000-00003D120000}"/>
    <cellStyle name="Calculation 2 2 2 2 2 11" xfId="4678" xr:uid="{00000000-0005-0000-0000-00003E120000}"/>
    <cellStyle name="Calculation 2 2 2 2 2 12" xfId="4679" xr:uid="{00000000-0005-0000-0000-00003F120000}"/>
    <cellStyle name="Calculation 2 2 2 2 2 13" xfId="4680" xr:uid="{00000000-0005-0000-0000-000040120000}"/>
    <cellStyle name="Calculation 2 2 2 2 2 2" xfId="4681" xr:uid="{00000000-0005-0000-0000-000041120000}"/>
    <cellStyle name="Calculation 2 2 2 2 2 2 2" xfId="4682" xr:uid="{00000000-0005-0000-0000-000042120000}"/>
    <cellStyle name="Calculation 2 2 2 2 2 2 2 2" xfId="4683" xr:uid="{00000000-0005-0000-0000-000043120000}"/>
    <cellStyle name="Calculation 2 2 2 2 2 2 2 2 2" xfId="4684" xr:uid="{00000000-0005-0000-0000-000044120000}"/>
    <cellStyle name="Calculation 2 2 2 2 2 2 2 2 3" xfId="4685" xr:uid="{00000000-0005-0000-0000-000045120000}"/>
    <cellStyle name="Calculation 2 2 2 2 2 2 2 2 4" xfId="4686" xr:uid="{00000000-0005-0000-0000-000046120000}"/>
    <cellStyle name="Calculation 2 2 2 2 2 2 2 2 5" xfId="4687" xr:uid="{00000000-0005-0000-0000-000047120000}"/>
    <cellStyle name="Calculation 2 2 2 2 2 2 2 2 6" xfId="4688" xr:uid="{00000000-0005-0000-0000-000048120000}"/>
    <cellStyle name="Calculation 2 2 2 2 2 2 2 3" xfId="4689" xr:uid="{00000000-0005-0000-0000-000049120000}"/>
    <cellStyle name="Calculation 2 2 2 2 2 2 2 4" xfId="4690" xr:uid="{00000000-0005-0000-0000-00004A120000}"/>
    <cellStyle name="Calculation 2 2 2 2 2 2 2 5" xfId="4691" xr:uid="{00000000-0005-0000-0000-00004B120000}"/>
    <cellStyle name="Calculation 2 2 2 2 2 2 2 6" xfId="4692" xr:uid="{00000000-0005-0000-0000-00004C120000}"/>
    <cellStyle name="Calculation 2 2 2 2 2 2 3" xfId="4693" xr:uid="{00000000-0005-0000-0000-00004D120000}"/>
    <cellStyle name="Calculation 2 2 2 2 2 2 3 2" xfId="4694" xr:uid="{00000000-0005-0000-0000-00004E120000}"/>
    <cellStyle name="Calculation 2 2 2 2 2 2 3 2 2" xfId="4695" xr:uid="{00000000-0005-0000-0000-00004F120000}"/>
    <cellStyle name="Calculation 2 2 2 2 2 2 3 2 3" xfId="4696" xr:uid="{00000000-0005-0000-0000-000050120000}"/>
    <cellStyle name="Calculation 2 2 2 2 2 2 3 2 4" xfId="4697" xr:uid="{00000000-0005-0000-0000-000051120000}"/>
    <cellStyle name="Calculation 2 2 2 2 2 2 3 2 5" xfId="4698" xr:uid="{00000000-0005-0000-0000-000052120000}"/>
    <cellStyle name="Calculation 2 2 2 2 2 2 3 2 6" xfId="4699" xr:uid="{00000000-0005-0000-0000-000053120000}"/>
    <cellStyle name="Calculation 2 2 2 2 2 2 3 3" xfId="4700" xr:uid="{00000000-0005-0000-0000-000054120000}"/>
    <cellStyle name="Calculation 2 2 2 2 2 2 3 4" xfId="4701" xr:uid="{00000000-0005-0000-0000-000055120000}"/>
    <cellStyle name="Calculation 2 2 2 2 2 2 3 5" xfId="4702" xr:uid="{00000000-0005-0000-0000-000056120000}"/>
    <cellStyle name="Calculation 2 2 2 2 2 2 3 6" xfId="4703" xr:uid="{00000000-0005-0000-0000-000057120000}"/>
    <cellStyle name="Calculation 2 2 2 2 2 2 4" xfId="4704" xr:uid="{00000000-0005-0000-0000-000058120000}"/>
    <cellStyle name="Calculation 2 2 2 2 2 2 4 2" xfId="4705" xr:uid="{00000000-0005-0000-0000-000059120000}"/>
    <cellStyle name="Calculation 2 2 2 2 2 2 4 3" xfId="4706" xr:uid="{00000000-0005-0000-0000-00005A120000}"/>
    <cellStyle name="Calculation 2 2 2 2 2 2 4 4" xfId="4707" xr:uid="{00000000-0005-0000-0000-00005B120000}"/>
    <cellStyle name="Calculation 2 2 2 2 2 2 4 5" xfId="4708" xr:uid="{00000000-0005-0000-0000-00005C120000}"/>
    <cellStyle name="Calculation 2 2 2 2 2 2 4 6" xfId="4709" xr:uid="{00000000-0005-0000-0000-00005D120000}"/>
    <cellStyle name="Calculation 2 2 2 2 2 2 5" xfId="4710" xr:uid="{00000000-0005-0000-0000-00005E120000}"/>
    <cellStyle name="Calculation 2 2 2 2 2 2 6" xfId="4711" xr:uid="{00000000-0005-0000-0000-00005F120000}"/>
    <cellStyle name="Calculation 2 2 2 2 2 2 7" xfId="4712" xr:uid="{00000000-0005-0000-0000-000060120000}"/>
    <cellStyle name="Calculation 2 2 2 2 2 2 8" xfId="4713" xr:uid="{00000000-0005-0000-0000-000061120000}"/>
    <cellStyle name="Calculation 2 2 2 2 2 3" xfId="4714" xr:uid="{00000000-0005-0000-0000-000062120000}"/>
    <cellStyle name="Calculation 2 2 2 2 2 3 2" xfId="4715" xr:uid="{00000000-0005-0000-0000-000063120000}"/>
    <cellStyle name="Calculation 2 2 2 2 2 3 2 2" xfId="4716" xr:uid="{00000000-0005-0000-0000-000064120000}"/>
    <cellStyle name="Calculation 2 2 2 2 2 3 2 2 2" xfId="4717" xr:uid="{00000000-0005-0000-0000-000065120000}"/>
    <cellStyle name="Calculation 2 2 2 2 2 3 2 2 3" xfId="4718" xr:uid="{00000000-0005-0000-0000-000066120000}"/>
    <cellStyle name="Calculation 2 2 2 2 2 3 2 2 4" xfId="4719" xr:uid="{00000000-0005-0000-0000-000067120000}"/>
    <cellStyle name="Calculation 2 2 2 2 2 3 2 2 5" xfId="4720" xr:uid="{00000000-0005-0000-0000-000068120000}"/>
    <cellStyle name="Calculation 2 2 2 2 2 3 2 2 6" xfId="4721" xr:uid="{00000000-0005-0000-0000-000069120000}"/>
    <cellStyle name="Calculation 2 2 2 2 2 3 2 3" xfId="4722" xr:uid="{00000000-0005-0000-0000-00006A120000}"/>
    <cellStyle name="Calculation 2 2 2 2 2 3 2 4" xfId="4723" xr:uid="{00000000-0005-0000-0000-00006B120000}"/>
    <cellStyle name="Calculation 2 2 2 2 2 3 2 5" xfId="4724" xr:uid="{00000000-0005-0000-0000-00006C120000}"/>
    <cellStyle name="Calculation 2 2 2 2 2 3 2 6" xfId="4725" xr:uid="{00000000-0005-0000-0000-00006D120000}"/>
    <cellStyle name="Calculation 2 2 2 2 2 3 3" xfId="4726" xr:uid="{00000000-0005-0000-0000-00006E120000}"/>
    <cellStyle name="Calculation 2 2 2 2 2 3 3 2" xfId="4727" xr:uid="{00000000-0005-0000-0000-00006F120000}"/>
    <cellStyle name="Calculation 2 2 2 2 2 3 3 2 2" xfId="4728" xr:uid="{00000000-0005-0000-0000-000070120000}"/>
    <cellStyle name="Calculation 2 2 2 2 2 3 3 2 3" xfId="4729" xr:uid="{00000000-0005-0000-0000-000071120000}"/>
    <cellStyle name="Calculation 2 2 2 2 2 3 3 2 4" xfId="4730" xr:uid="{00000000-0005-0000-0000-000072120000}"/>
    <cellStyle name="Calculation 2 2 2 2 2 3 3 2 5" xfId="4731" xr:uid="{00000000-0005-0000-0000-000073120000}"/>
    <cellStyle name="Calculation 2 2 2 2 2 3 3 2 6" xfId="4732" xr:uid="{00000000-0005-0000-0000-000074120000}"/>
    <cellStyle name="Calculation 2 2 2 2 2 3 3 3" xfId="4733" xr:uid="{00000000-0005-0000-0000-000075120000}"/>
    <cellStyle name="Calculation 2 2 2 2 2 3 3 4" xfId="4734" xr:uid="{00000000-0005-0000-0000-000076120000}"/>
    <cellStyle name="Calculation 2 2 2 2 2 3 3 5" xfId="4735" xr:uid="{00000000-0005-0000-0000-000077120000}"/>
    <cellStyle name="Calculation 2 2 2 2 2 3 3 6" xfId="4736" xr:uid="{00000000-0005-0000-0000-000078120000}"/>
    <cellStyle name="Calculation 2 2 2 2 2 3 4" xfId="4737" xr:uid="{00000000-0005-0000-0000-000079120000}"/>
    <cellStyle name="Calculation 2 2 2 2 2 3 4 2" xfId="4738" xr:uid="{00000000-0005-0000-0000-00007A120000}"/>
    <cellStyle name="Calculation 2 2 2 2 2 3 4 3" xfId="4739" xr:uid="{00000000-0005-0000-0000-00007B120000}"/>
    <cellStyle name="Calculation 2 2 2 2 2 3 4 4" xfId="4740" xr:uid="{00000000-0005-0000-0000-00007C120000}"/>
    <cellStyle name="Calculation 2 2 2 2 2 3 4 5" xfId="4741" xr:uid="{00000000-0005-0000-0000-00007D120000}"/>
    <cellStyle name="Calculation 2 2 2 2 2 3 4 6" xfId="4742" xr:uid="{00000000-0005-0000-0000-00007E120000}"/>
    <cellStyle name="Calculation 2 2 2 2 2 3 5" xfId="4743" xr:uid="{00000000-0005-0000-0000-00007F120000}"/>
    <cellStyle name="Calculation 2 2 2 2 2 3 6" xfId="4744" xr:uid="{00000000-0005-0000-0000-000080120000}"/>
    <cellStyle name="Calculation 2 2 2 2 2 3 7" xfId="4745" xr:uid="{00000000-0005-0000-0000-000081120000}"/>
    <cellStyle name="Calculation 2 2 2 2 2 3 8" xfId="4746" xr:uid="{00000000-0005-0000-0000-000082120000}"/>
    <cellStyle name="Calculation 2 2 2 2 2 4" xfId="4747" xr:uid="{00000000-0005-0000-0000-000083120000}"/>
    <cellStyle name="Calculation 2 2 2 2 2 4 2" xfId="4748" xr:uid="{00000000-0005-0000-0000-000084120000}"/>
    <cellStyle name="Calculation 2 2 2 2 2 4 2 2" xfId="4749" xr:uid="{00000000-0005-0000-0000-000085120000}"/>
    <cellStyle name="Calculation 2 2 2 2 2 4 2 2 2" xfId="4750" xr:uid="{00000000-0005-0000-0000-000086120000}"/>
    <cellStyle name="Calculation 2 2 2 2 2 4 2 2 3" xfId="4751" xr:uid="{00000000-0005-0000-0000-000087120000}"/>
    <cellStyle name="Calculation 2 2 2 2 2 4 2 2 4" xfId="4752" xr:uid="{00000000-0005-0000-0000-000088120000}"/>
    <cellStyle name="Calculation 2 2 2 2 2 4 2 2 5" xfId="4753" xr:uid="{00000000-0005-0000-0000-000089120000}"/>
    <cellStyle name="Calculation 2 2 2 2 2 4 2 2 6" xfId="4754" xr:uid="{00000000-0005-0000-0000-00008A120000}"/>
    <cellStyle name="Calculation 2 2 2 2 2 4 2 3" xfId="4755" xr:uid="{00000000-0005-0000-0000-00008B120000}"/>
    <cellStyle name="Calculation 2 2 2 2 2 4 2 4" xfId="4756" xr:uid="{00000000-0005-0000-0000-00008C120000}"/>
    <cellStyle name="Calculation 2 2 2 2 2 4 2 5" xfId="4757" xr:uid="{00000000-0005-0000-0000-00008D120000}"/>
    <cellStyle name="Calculation 2 2 2 2 2 4 2 6" xfId="4758" xr:uid="{00000000-0005-0000-0000-00008E120000}"/>
    <cellStyle name="Calculation 2 2 2 2 2 4 3" xfId="4759" xr:uid="{00000000-0005-0000-0000-00008F120000}"/>
    <cellStyle name="Calculation 2 2 2 2 2 4 3 2" xfId="4760" xr:uid="{00000000-0005-0000-0000-000090120000}"/>
    <cellStyle name="Calculation 2 2 2 2 2 4 3 2 2" xfId="4761" xr:uid="{00000000-0005-0000-0000-000091120000}"/>
    <cellStyle name="Calculation 2 2 2 2 2 4 3 2 3" xfId="4762" xr:uid="{00000000-0005-0000-0000-000092120000}"/>
    <cellStyle name="Calculation 2 2 2 2 2 4 3 2 4" xfId="4763" xr:uid="{00000000-0005-0000-0000-000093120000}"/>
    <cellStyle name="Calculation 2 2 2 2 2 4 3 2 5" xfId="4764" xr:uid="{00000000-0005-0000-0000-000094120000}"/>
    <cellStyle name="Calculation 2 2 2 2 2 4 3 2 6" xfId="4765" xr:uid="{00000000-0005-0000-0000-000095120000}"/>
    <cellStyle name="Calculation 2 2 2 2 2 4 3 3" xfId="4766" xr:uid="{00000000-0005-0000-0000-000096120000}"/>
    <cellStyle name="Calculation 2 2 2 2 2 4 3 4" xfId="4767" xr:uid="{00000000-0005-0000-0000-000097120000}"/>
    <cellStyle name="Calculation 2 2 2 2 2 4 3 5" xfId="4768" xr:uid="{00000000-0005-0000-0000-000098120000}"/>
    <cellStyle name="Calculation 2 2 2 2 2 4 3 6" xfId="4769" xr:uid="{00000000-0005-0000-0000-000099120000}"/>
    <cellStyle name="Calculation 2 2 2 2 2 4 4" xfId="4770" xr:uid="{00000000-0005-0000-0000-00009A120000}"/>
    <cellStyle name="Calculation 2 2 2 2 2 4 4 2" xfId="4771" xr:uid="{00000000-0005-0000-0000-00009B120000}"/>
    <cellStyle name="Calculation 2 2 2 2 2 4 4 3" xfId="4772" xr:uid="{00000000-0005-0000-0000-00009C120000}"/>
    <cellStyle name="Calculation 2 2 2 2 2 4 4 4" xfId="4773" xr:uid="{00000000-0005-0000-0000-00009D120000}"/>
    <cellStyle name="Calculation 2 2 2 2 2 4 4 5" xfId="4774" xr:uid="{00000000-0005-0000-0000-00009E120000}"/>
    <cellStyle name="Calculation 2 2 2 2 2 4 4 6" xfId="4775" xr:uid="{00000000-0005-0000-0000-00009F120000}"/>
    <cellStyle name="Calculation 2 2 2 2 2 4 5" xfId="4776" xr:uid="{00000000-0005-0000-0000-0000A0120000}"/>
    <cellStyle name="Calculation 2 2 2 2 2 4 6" xfId="4777" xr:uid="{00000000-0005-0000-0000-0000A1120000}"/>
    <cellStyle name="Calculation 2 2 2 2 2 4 7" xfId="4778" xr:uid="{00000000-0005-0000-0000-0000A2120000}"/>
    <cellStyle name="Calculation 2 2 2 2 2 4 8" xfId="4779" xr:uid="{00000000-0005-0000-0000-0000A3120000}"/>
    <cellStyle name="Calculation 2 2 2 2 2 5" xfId="4780" xr:uid="{00000000-0005-0000-0000-0000A4120000}"/>
    <cellStyle name="Calculation 2 2 2 2 2 5 2" xfId="4781" xr:uid="{00000000-0005-0000-0000-0000A5120000}"/>
    <cellStyle name="Calculation 2 2 2 2 2 5 2 2" xfId="4782" xr:uid="{00000000-0005-0000-0000-0000A6120000}"/>
    <cellStyle name="Calculation 2 2 2 2 2 5 2 2 2" xfId="4783" xr:uid="{00000000-0005-0000-0000-0000A7120000}"/>
    <cellStyle name="Calculation 2 2 2 2 2 5 2 2 3" xfId="4784" xr:uid="{00000000-0005-0000-0000-0000A8120000}"/>
    <cellStyle name="Calculation 2 2 2 2 2 5 2 2 4" xfId="4785" xr:uid="{00000000-0005-0000-0000-0000A9120000}"/>
    <cellStyle name="Calculation 2 2 2 2 2 5 2 2 5" xfId="4786" xr:uid="{00000000-0005-0000-0000-0000AA120000}"/>
    <cellStyle name="Calculation 2 2 2 2 2 5 2 2 6" xfId="4787" xr:uid="{00000000-0005-0000-0000-0000AB120000}"/>
    <cellStyle name="Calculation 2 2 2 2 2 5 2 3" xfId="4788" xr:uid="{00000000-0005-0000-0000-0000AC120000}"/>
    <cellStyle name="Calculation 2 2 2 2 2 5 2 4" xfId="4789" xr:uid="{00000000-0005-0000-0000-0000AD120000}"/>
    <cellStyle name="Calculation 2 2 2 2 2 5 2 5" xfId="4790" xr:uid="{00000000-0005-0000-0000-0000AE120000}"/>
    <cellStyle name="Calculation 2 2 2 2 2 5 2 6" xfId="4791" xr:uid="{00000000-0005-0000-0000-0000AF120000}"/>
    <cellStyle name="Calculation 2 2 2 2 2 5 3" xfId="4792" xr:uid="{00000000-0005-0000-0000-0000B0120000}"/>
    <cellStyle name="Calculation 2 2 2 2 2 5 3 2" xfId="4793" xr:uid="{00000000-0005-0000-0000-0000B1120000}"/>
    <cellStyle name="Calculation 2 2 2 2 2 5 3 2 2" xfId="4794" xr:uid="{00000000-0005-0000-0000-0000B2120000}"/>
    <cellStyle name="Calculation 2 2 2 2 2 5 3 2 3" xfId="4795" xr:uid="{00000000-0005-0000-0000-0000B3120000}"/>
    <cellStyle name="Calculation 2 2 2 2 2 5 3 2 4" xfId="4796" xr:uid="{00000000-0005-0000-0000-0000B4120000}"/>
    <cellStyle name="Calculation 2 2 2 2 2 5 3 2 5" xfId="4797" xr:uid="{00000000-0005-0000-0000-0000B5120000}"/>
    <cellStyle name="Calculation 2 2 2 2 2 5 3 2 6" xfId="4798" xr:uid="{00000000-0005-0000-0000-0000B6120000}"/>
    <cellStyle name="Calculation 2 2 2 2 2 5 3 3" xfId="4799" xr:uid="{00000000-0005-0000-0000-0000B7120000}"/>
    <cellStyle name="Calculation 2 2 2 2 2 5 3 4" xfId="4800" xr:uid="{00000000-0005-0000-0000-0000B8120000}"/>
    <cellStyle name="Calculation 2 2 2 2 2 5 3 5" xfId="4801" xr:uid="{00000000-0005-0000-0000-0000B9120000}"/>
    <cellStyle name="Calculation 2 2 2 2 2 5 3 6" xfId="4802" xr:uid="{00000000-0005-0000-0000-0000BA120000}"/>
    <cellStyle name="Calculation 2 2 2 2 2 5 4" xfId="4803" xr:uid="{00000000-0005-0000-0000-0000BB120000}"/>
    <cellStyle name="Calculation 2 2 2 2 2 5 4 2" xfId="4804" xr:uid="{00000000-0005-0000-0000-0000BC120000}"/>
    <cellStyle name="Calculation 2 2 2 2 2 5 4 3" xfId="4805" xr:uid="{00000000-0005-0000-0000-0000BD120000}"/>
    <cellStyle name="Calculation 2 2 2 2 2 5 4 4" xfId="4806" xr:uid="{00000000-0005-0000-0000-0000BE120000}"/>
    <cellStyle name="Calculation 2 2 2 2 2 5 4 5" xfId="4807" xr:uid="{00000000-0005-0000-0000-0000BF120000}"/>
    <cellStyle name="Calculation 2 2 2 2 2 5 4 6" xfId="4808" xr:uid="{00000000-0005-0000-0000-0000C0120000}"/>
    <cellStyle name="Calculation 2 2 2 2 2 5 5" xfId="4809" xr:uid="{00000000-0005-0000-0000-0000C1120000}"/>
    <cellStyle name="Calculation 2 2 2 2 2 5 6" xfId="4810" xr:uid="{00000000-0005-0000-0000-0000C2120000}"/>
    <cellStyle name="Calculation 2 2 2 2 2 5 7" xfId="4811" xr:uid="{00000000-0005-0000-0000-0000C3120000}"/>
    <cellStyle name="Calculation 2 2 2 2 2 5 8" xfId="4812" xr:uid="{00000000-0005-0000-0000-0000C4120000}"/>
    <cellStyle name="Calculation 2 2 2 2 2 6" xfId="4813" xr:uid="{00000000-0005-0000-0000-0000C5120000}"/>
    <cellStyle name="Calculation 2 2 2 2 2 6 2" xfId="4814" xr:uid="{00000000-0005-0000-0000-0000C6120000}"/>
    <cellStyle name="Calculation 2 2 2 2 2 6 2 2" xfId="4815" xr:uid="{00000000-0005-0000-0000-0000C7120000}"/>
    <cellStyle name="Calculation 2 2 2 2 2 6 2 2 2" xfId="4816" xr:uid="{00000000-0005-0000-0000-0000C8120000}"/>
    <cellStyle name="Calculation 2 2 2 2 2 6 2 2 3" xfId="4817" xr:uid="{00000000-0005-0000-0000-0000C9120000}"/>
    <cellStyle name="Calculation 2 2 2 2 2 6 2 2 4" xfId="4818" xr:uid="{00000000-0005-0000-0000-0000CA120000}"/>
    <cellStyle name="Calculation 2 2 2 2 2 6 2 2 5" xfId="4819" xr:uid="{00000000-0005-0000-0000-0000CB120000}"/>
    <cellStyle name="Calculation 2 2 2 2 2 6 2 2 6" xfId="4820" xr:uid="{00000000-0005-0000-0000-0000CC120000}"/>
    <cellStyle name="Calculation 2 2 2 2 2 6 2 3" xfId="4821" xr:uid="{00000000-0005-0000-0000-0000CD120000}"/>
    <cellStyle name="Calculation 2 2 2 2 2 6 2 4" xfId="4822" xr:uid="{00000000-0005-0000-0000-0000CE120000}"/>
    <cellStyle name="Calculation 2 2 2 2 2 6 2 5" xfId="4823" xr:uid="{00000000-0005-0000-0000-0000CF120000}"/>
    <cellStyle name="Calculation 2 2 2 2 2 6 2 6" xfId="4824" xr:uid="{00000000-0005-0000-0000-0000D0120000}"/>
    <cellStyle name="Calculation 2 2 2 2 2 6 3" xfId="4825" xr:uid="{00000000-0005-0000-0000-0000D1120000}"/>
    <cellStyle name="Calculation 2 2 2 2 2 6 3 2" xfId="4826" xr:uid="{00000000-0005-0000-0000-0000D2120000}"/>
    <cellStyle name="Calculation 2 2 2 2 2 6 3 2 2" xfId="4827" xr:uid="{00000000-0005-0000-0000-0000D3120000}"/>
    <cellStyle name="Calculation 2 2 2 2 2 6 3 2 3" xfId="4828" xr:uid="{00000000-0005-0000-0000-0000D4120000}"/>
    <cellStyle name="Calculation 2 2 2 2 2 6 3 2 4" xfId="4829" xr:uid="{00000000-0005-0000-0000-0000D5120000}"/>
    <cellStyle name="Calculation 2 2 2 2 2 6 3 2 5" xfId="4830" xr:uid="{00000000-0005-0000-0000-0000D6120000}"/>
    <cellStyle name="Calculation 2 2 2 2 2 6 3 2 6" xfId="4831" xr:uid="{00000000-0005-0000-0000-0000D7120000}"/>
    <cellStyle name="Calculation 2 2 2 2 2 6 3 3" xfId="4832" xr:uid="{00000000-0005-0000-0000-0000D8120000}"/>
    <cellStyle name="Calculation 2 2 2 2 2 6 3 4" xfId="4833" xr:uid="{00000000-0005-0000-0000-0000D9120000}"/>
    <cellStyle name="Calculation 2 2 2 2 2 6 3 5" xfId="4834" xr:uid="{00000000-0005-0000-0000-0000DA120000}"/>
    <cellStyle name="Calculation 2 2 2 2 2 6 3 6" xfId="4835" xr:uid="{00000000-0005-0000-0000-0000DB120000}"/>
    <cellStyle name="Calculation 2 2 2 2 2 6 4" xfId="4836" xr:uid="{00000000-0005-0000-0000-0000DC120000}"/>
    <cellStyle name="Calculation 2 2 2 2 2 6 4 2" xfId="4837" xr:uid="{00000000-0005-0000-0000-0000DD120000}"/>
    <cellStyle name="Calculation 2 2 2 2 2 6 4 3" xfId="4838" xr:uid="{00000000-0005-0000-0000-0000DE120000}"/>
    <cellStyle name="Calculation 2 2 2 2 2 6 4 4" xfId="4839" xr:uid="{00000000-0005-0000-0000-0000DF120000}"/>
    <cellStyle name="Calculation 2 2 2 2 2 6 4 5" xfId="4840" xr:uid="{00000000-0005-0000-0000-0000E0120000}"/>
    <cellStyle name="Calculation 2 2 2 2 2 6 4 6" xfId="4841" xr:uid="{00000000-0005-0000-0000-0000E1120000}"/>
    <cellStyle name="Calculation 2 2 2 2 2 6 5" xfId="4842" xr:uid="{00000000-0005-0000-0000-0000E2120000}"/>
    <cellStyle name="Calculation 2 2 2 2 2 6 6" xfId="4843" xr:uid="{00000000-0005-0000-0000-0000E3120000}"/>
    <cellStyle name="Calculation 2 2 2 2 2 6 7" xfId="4844" xr:uid="{00000000-0005-0000-0000-0000E4120000}"/>
    <cellStyle name="Calculation 2 2 2 2 2 6 8" xfId="4845" xr:uid="{00000000-0005-0000-0000-0000E5120000}"/>
    <cellStyle name="Calculation 2 2 2 2 2 7" xfId="4846" xr:uid="{00000000-0005-0000-0000-0000E6120000}"/>
    <cellStyle name="Calculation 2 2 2 2 2 7 2" xfId="4847" xr:uid="{00000000-0005-0000-0000-0000E7120000}"/>
    <cellStyle name="Calculation 2 2 2 2 2 7 2 2" xfId="4848" xr:uid="{00000000-0005-0000-0000-0000E8120000}"/>
    <cellStyle name="Calculation 2 2 2 2 2 7 2 3" xfId="4849" xr:uid="{00000000-0005-0000-0000-0000E9120000}"/>
    <cellStyle name="Calculation 2 2 2 2 2 7 2 4" xfId="4850" xr:uid="{00000000-0005-0000-0000-0000EA120000}"/>
    <cellStyle name="Calculation 2 2 2 2 2 7 2 5" xfId="4851" xr:uid="{00000000-0005-0000-0000-0000EB120000}"/>
    <cellStyle name="Calculation 2 2 2 2 2 7 2 6" xfId="4852" xr:uid="{00000000-0005-0000-0000-0000EC120000}"/>
    <cellStyle name="Calculation 2 2 2 2 2 7 3" xfId="4853" xr:uid="{00000000-0005-0000-0000-0000ED120000}"/>
    <cellStyle name="Calculation 2 2 2 2 2 7 4" xfId="4854" xr:uid="{00000000-0005-0000-0000-0000EE120000}"/>
    <cellStyle name="Calculation 2 2 2 2 2 7 5" xfId="4855" xr:uid="{00000000-0005-0000-0000-0000EF120000}"/>
    <cellStyle name="Calculation 2 2 2 2 2 7 6" xfId="4856" xr:uid="{00000000-0005-0000-0000-0000F0120000}"/>
    <cellStyle name="Calculation 2 2 2 2 2 8" xfId="4857" xr:uid="{00000000-0005-0000-0000-0000F1120000}"/>
    <cellStyle name="Calculation 2 2 2 2 2 8 2" xfId="4858" xr:uid="{00000000-0005-0000-0000-0000F2120000}"/>
    <cellStyle name="Calculation 2 2 2 2 2 8 2 2" xfId="4859" xr:uid="{00000000-0005-0000-0000-0000F3120000}"/>
    <cellStyle name="Calculation 2 2 2 2 2 8 2 3" xfId="4860" xr:uid="{00000000-0005-0000-0000-0000F4120000}"/>
    <cellStyle name="Calculation 2 2 2 2 2 8 2 4" xfId="4861" xr:uid="{00000000-0005-0000-0000-0000F5120000}"/>
    <cellStyle name="Calculation 2 2 2 2 2 8 2 5" xfId="4862" xr:uid="{00000000-0005-0000-0000-0000F6120000}"/>
    <cellStyle name="Calculation 2 2 2 2 2 8 2 6" xfId="4863" xr:uid="{00000000-0005-0000-0000-0000F7120000}"/>
    <cellStyle name="Calculation 2 2 2 2 2 8 3" xfId="4864" xr:uid="{00000000-0005-0000-0000-0000F8120000}"/>
    <cellStyle name="Calculation 2 2 2 2 2 8 4" xfId="4865" xr:uid="{00000000-0005-0000-0000-0000F9120000}"/>
    <cellStyle name="Calculation 2 2 2 2 2 8 5" xfId="4866" xr:uid="{00000000-0005-0000-0000-0000FA120000}"/>
    <cellStyle name="Calculation 2 2 2 2 2 8 6" xfId="4867" xr:uid="{00000000-0005-0000-0000-0000FB120000}"/>
    <cellStyle name="Calculation 2 2 2 2 2 9" xfId="4868" xr:uid="{00000000-0005-0000-0000-0000FC120000}"/>
    <cellStyle name="Calculation 2 2 2 2 2 9 2" xfId="4869" xr:uid="{00000000-0005-0000-0000-0000FD120000}"/>
    <cellStyle name="Calculation 2 2 2 2 2 9 3" xfId="4870" xr:uid="{00000000-0005-0000-0000-0000FE120000}"/>
    <cellStyle name="Calculation 2 2 2 2 2 9 4" xfId="4871" xr:uid="{00000000-0005-0000-0000-0000FF120000}"/>
    <cellStyle name="Calculation 2 2 2 2 2 9 5" xfId="4872" xr:uid="{00000000-0005-0000-0000-000000130000}"/>
    <cellStyle name="Calculation 2 2 2 2 2 9 6" xfId="4873" xr:uid="{00000000-0005-0000-0000-000001130000}"/>
    <cellStyle name="Calculation 2 2 2 2 3" xfId="4874" xr:uid="{00000000-0005-0000-0000-000002130000}"/>
    <cellStyle name="Calculation 2 2 2 2 3 2" xfId="4875" xr:uid="{00000000-0005-0000-0000-000003130000}"/>
    <cellStyle name="Calculation 2 2 2 2 3 2 2" xfId="4876" xr:uid="{00000000-0005-0000-0000-000004130000}"/>
    <cellStyle name="Calculation 2 2 2 2 3 2 2 2" xfId="4877" xr:uid="{00000000-0005-0000-0000-000005130000}"/>
    <cellStyle name="Calculation 2 2 2 2 3 2 2 3" xfId="4878" xr:uid="{00000000-0005-0000-0000-000006130000}"/>
    <cellStyle name="Calculation 2 2 2 2 3 2 2 4" xfId="4879" xr:uid="{00000000-0005-0000-0000-000007130000}"/>
    <cellStyle name="Calculation 2 2 2 2 3 2 2 5" xfId="4880" xr:uid="{00000000-0005-0000-0000-000008130000}"/>
    <cellStyle name="Calculation 2 2 2 2 3 2 2 6" xfId="4881" xr:uid="{00000000-0005-0000-0000-000009130000}"/>
    <cellStyle name="Calculation 2 2 2 2 3 2 3" xfId="4882" xr:uid="{00000000-0005-0000-0000-00000A130000}"/>
    <cellStyle name="Calculation 2 2 2 2 3 2 4" xfId="4883" xr:uid="{00000000-0005-0000-0000-00000B130000}"/>
    <cellStyle name="Calculation 2 2 2 2 3 2 5" xfId="4884" xr:uid="{00000000-0005-0000-0000-00000C130000}"/>
    <cellStyle name="Calculation 2 2 2 2 3 2 6" xfId="4885" xr:uid="{00000000-0005-0000-0000-00000D130000}"/>
    <cellStyle name="Calculation 2 2 2 2 3 3" xfId="4886" xr:uid="{00000000-0005-0000-0000-00000E130000}"/>
    <cellStyle name="Calculation 2 2 2 2 3 3 2" xfId="4887" xr:uid="{00000000-0005-0000-0000-00000F130000}"/>
    <cellStyle name="Calculation 2 2 2 2 3 3 2 2" xfId="4888" xr:uid="{00000000-0005-0000-0000-000010130000}"/>
    <cellStyle name="Calculation 2 2 2 2 3 3 2 3" xfId="4889" xr:uid="{00000000-0005-0000-0000-000011130000}"/>
    <cellStyle name="Calculation 2 2 2 2 3 3 2 4" xfId="4890" xr:uid="{00000000-0005-0000-0000-000012130000}"/>
    <cellStyle name="Calculation 2 2 2 2 3 3 2 5" xfId="4891" xr:uid="{00000000-0005-0000-0000-000013130000}"/>
    <cellStyle name="Calculation 2 2 2 2 3 3 2 6" xfId="4892" xr:uid="{00000000-0005-0000-0000-000014130000}"/>
    <cellStyle name="Calculation 2 2 2 2 3 3 3" xfId="4893" xr:uid="{00000000-0005-0000-0000-000015130000}"/>
    <cellStyle name="Calculation 2 2 2 2 3 3 4" xfId="4894" xr:uid="{00000000-0005-0000-0000-000016130000}"/>
    <cellStyle name="Calculation 2 2 2 2 3 3 5" xfId="4895" xr:uid="{00000000-0005-0000-0000-000017130000}"/>
    <cellStyle name="Calculation 2 2 2 2 3 3 6" xfId="4896" xr:uid="{00000000-0005-0000-0000-000018130000}"/>
    <cellStyle name="Calculation 2 2 2 2 3 4" xfId="4897" xr:uid="{00000000-0005-0000-0000-000019130000}"/>
    <cellStyle name="Calculation 2 2 2 2 3 4 2" xfId="4898" xr:uid="{00000000-0005-0000-0000-00001A130000}"/>
    <cellStyle name="Calculation 2 2 2 2 3 4 3" xfId="4899" xr:uid="{00000000-0005-0000-0000-00001B130000}"/>
    <cellStyle name="Calculation 2 2 2 2 3 4 4" xfId="4900" xr:uid="{00000000-0005-0000-0000-00001C130000}"/>
    <cellStyle name="Calculation 2 2 2 2 3 4 5" xfId="4901" xr:uid="{00000000-0005-0000-0000-00001D130000}"/>
    <cellStyle name="Calculation 2 2 2 2 3 4 6" xfId="4902" xr:uid="{00000000-0005-0000-0000-00001E130000}"/>
    <cellStyle name="Calculation 2 2 2 2 3 5" xfId="4903" xr:uid="{00000000-0005-0000-0000-00001F130000}"/>
    <cellStyle name="Calculation 2 2 2 2 3 6" xfId="4904" xr:uid="{00000000-0005-0000-0000-000020130000}"/>
    <cellStyle name="Calculation 2 2 2 2 3 7" xfId="4905" xr:uid="{00000000-0005-0000-0000-000021130000}"/>
    <cellStyle name="Calculation 2 2 2 2 3 8" xfId="4906" xr:uid="{00000000-0005-0000-0000-000022130000}"/>
    <cellStyle name="Calculation 2 2 2 2 4" xfId="4907" xr:uid="{00000000-0005-0000-0000-000023130000}"/>
    <cellStyle name="Calculation 2 2 2 2 4 2" xfId="4908" xr:uid="{00000000-0005-0000-0000-000024130000}"/>
    <cellStyle name="Calculation 2 2 2 2 4 2 2" xfId="4909" xr:uid="{00000000-0005-0000-0000-000025130000}"/>
    <cellStyle name="Calculation 2 2 2 2 4 2 2 2" xfId="4910" xr:uid="{00000000-0005-0000-0000-000026130000}"/>
    <cellStyle name="Calculation 2 2 2 2 4 2 2 3" xfId="4911" xr:uid="{00000000-0005-0000-0000-000027130000}"/>
    <cellStyle name="Calculation 2 2 2 2 4 2 2 4" xfId="4912" xr:uid="{00000000-0005-0000-0000-000028130000}"/>
    <cellStyle name="Calculation 2 2 2 2 4 2 2 5" xfId="4913" xr:uid="{00000000-0005-0000-0000-000029130000}"/>
    <cellStyle name="Calculation 2 2 2 2 4 2 2 6" xfId="4914" xr:uid="{00000000-0005-0000-0000-00002A130000}"/>
    <cellStyle name="Calculation 2 2 2 2 4 2 3" xfId="4915" xr:uid="{00000000-0005-0000-0000-00002B130000}"/>
    <cellStyle name="Calculation 2 2 2 2 4 2 4" xfId="4916" xr:uid="{00000000-0005-0000-0000-00002C130000}"/>
    <cellStyle name="Calculation 2 2 2 2 4 2 5" xfId="4917" xr:uid="{00000000-0005-0000-0000-00002D130000}"/>
    <cellStyle name="Calculation 2 2 2 2 4 2 6" xfId="4918" xr:uid="{00000000-0005-0000-0000-00002E130000}"/>
    <cellStyle name="Calculation 2 2 2 2 4 3" xfId="4919" xr:uid="{00000000-0005-0000-0000-00002F130000}"/>
    <cellStyle name="Calculation 2 2 2 2 4 3 2" xfId="4920" xr:uid="{00000000-0005-0000-0000-000030130000}"/>
    <cellStyle name="Calculation 2 2 2 2 4 3 2 2" xfId="4921" xr:uid="{00000000-0005-0000-0000-000031130000}"/>
    <cellStyle name="Calculation 2 2 2 2 4 3 2 3" xfId="4922" xr:uid="{00000000-0005-0000-0000-000032130000}"/>
    <cellStyle name="Calculation 2 2 2 2 4 3 2 4" xfId="4923" xr:uid="{00000000-0005-0000-0000-000033130000}"/>
    <cellStyle name="Calculation 2 2 2 2 4 3 2 5" xfId="4924" xr:uid="{00000000-0005-0000-0000-000034130000}"/>
    <cellStyle name="Calculation 2 2 2 2 4 3 2 6" xfId="4925" xr:uid="{00000000-0005-0000-0000-000035130000}"/>
    <cellStyle name="Calculation 2 2 2 2 4 3 3" xfId="4926" xr:uid="{00000000-0005-0000-0000-000036130000}"/>
    <cellStyle name="Calculation 2 2 2 2 4 3 4" xfId="4927" xr:uid="{00000000-0005-0000-0000-000037130000}"/>
    <cellStyle name="Calculation 2 2 2 2 4 3 5" xfId="4928" xr:uid="{00000000-0005-0000-0000-000038130000}"/>
    <cellStyle name="Calculation 2 2 2 2 4 3 6" xfId="4929" xr:uid="{00000000-0005-0000-0000-000039130000}"/>
    <cellStyle name="Calculation 2 2 2 2 4 4" xfId="4930" xr:uid="{00000000-0005-0000-0000-00003A130000}"/>
    <cellStyle name="Calculation 2 2 2 2 4 4 2" xfId="4931" xr:uid="{00000000-0005-0000-0000-00003B130000}"/>
    <cellStyle name="Calculation 2 2 2 2 4 4 3" xfId="4932" xr:uid="{00000000-0005-0000-0000-00003C130000}"/>
    <cellStyle name="Calculation 2 2 2 2 4 4 4" xfId="4933" xr:uid="{00000000-0005-0000-0000-00003D130000}"/>
    <cellStyle name="Calculation 2 2 2 2 4 4 5" xfId="4934" xr:uid="{00000000-0005-0000-0000-00003E130000}"/>
    <cellStyle name="Calculation 2 2 2 2 4 4 6" xfId="4935" xr:uid="{00000000-0005-0000-0000-00003F130000}"/>
    <cellStyle name="Calculation 2 2 2 2 4 5" xfId="4936" xr:uid="{00000000-0005-0000-0000-000040130000}"/>
    <cellStyle name="Calculation 2 2 2 2 4 6" xfId="4937" xr:uid="{00000000-0005-0000-0000-000041130000}"/>
    <cellStyle name="Calculation 2 2 2 2 4 7" xfId="4938" xr:uid="{00000000-0005-0000-0000-000042130000}"/>
    <cellStyle name="Calculation 2 2 2 2 4 8" xfId="4939" xr:uid="{00000000-0005-0000-0000-000043130000}"/>
    <cellStyle name="Calculation 2 2 2 2 5" xfId="4940" xr:uid="{00000000-0005-0000-0000-000044130000}"/>
    <cellStyle name="Calculation 2 2 2 2 5 2" xfId="4941" xr:uid="{00000000-0005-0000-0000-000045130000}"/>
    <cellStyle name="Calculation 2 2 2 2 5 2 2" xfId="4942" xr:uid="{00000000-0005-0000-0000-000046130000}"/>
    <cellStyle name="Calculation 2 2 2 2 5 2 2 2" xfId="4943" xr:uid="{00000000-0005-0000-0000-000047130000}"/>
    <cellStyle name="Calculation 2 2 2 2 5 2 2 3" xfId="4944" xr:uid="{00000000-0005-0000-0000-000048130000}"/>
    <cellStyle name="Calculation 2 2 2 2 5 2 2 4" xfId="4945" xr:uid="{00000000-0005-0000-0000-000049130000}"/>
    <cellStyle name="Calculation 2 2 2 2 5 2 2 5" xfId="4946" xr:uid="{00000000-0005-0000-0000-00004A130000}"/>
    <cellStyle name="Calculation 2 2 2 2 5 2 2 6" xfId="4947" xr:uid="{00000000-0005-0000-0000-00004B130000}"/>
    <cellStyle name="Calculation 2 2 2 2 5 2 3" xfId="4948" xr:uid="{00000000-0005-0000-0000-00004C130000}"/>
    <cellStyle name="Calculation 2 2 2 2 5 2 4" xfId="4949" xr:uid="{00000000-0005-0000-0000-00004D130000}"/>
    <cellStyle name="Calculation 2 2 2 2 5 2 5" xfId="4950" xr:uid="{00000000-0005-0000-0000-00004E130000}"/>
    <cellStyle name="Calculation 2 2 2 2 5 2 6" xfId="4951" xr:uid="{00000000-0005-0000-0000-00004F130000}"/>
    <cellStyle name="Calculation 2 2 2 2 5 3" xfId="4952" xr:uid="{00000000-0005-0000-0000-000050130000}"/>
    <cellStyle name="Calculation 2 2 2 2 5 3 2" xfId="4953" xr:uid="{00000000-0005-0000-0000-000051130000}"/>
    <cellStyle name="Calculation 2 2 2 2 5 3 2 2" xfId="4954" xr:uid="{00000000-0005-0000-0000-000052130000}"/>
    <cellStyle name="Calculation 2 2 2 2 5 3 2 3" xfId="4955" xr:uid="{00000000-0005-0000-0000-000053130000}"/>
    <cellStyle name="Calculation 2 2 2 2 5 3 2 4" xfId="4956" xr:uid="{00000000-0005-0000-0000-000054130000}"/>
    <cellStyle name="Calculation 2 2 2 2 5 3 2 5" xfId="4957" xr:uid="{00000000-0005-0000-0000-000055130000}"/>
    <cellStyle name="Calculation 2 2 2 2 5 3 2 6" xfId="4958" xr:uid="{00000000-0005-0000-0000-000056130000}"/>
    <cellStyle name="Calculation 2 2 2 2 5 3 3" xfId="4959" xr:uid="{00000000-0005-0000-0000-000057130000}"/>
    <cellStyle name="Calculation 2 2 2 2 5 3 4" xfId="4960" xr:uid="{00000000-0005-0000-0000-000058130000}"/>
    <cellStyle name="Calculation 2 2 2 2 5 3 5" xfId="4961" xr:uid="{00000000-0005-0000-0000-000059130000}"/>
    <cellStyle name="Calculation 2 2 2 2 5 3 6" xfId="4962" xr:uid="{00000000-0005-0000-0000-00005A130000}"/>
    <cellStyle name="Calculation 2 2 2 2 5 4" xfId="4963" xr:uid="{00000000-0005-0000-0000-00005B130000}"/>
    <cellStyle name="Calculation 2 2 2 2 5 4 2" xfId="4964" xr:uid="{00000000-0005-0000-0000-00005C130000}"/>
    <cellStyle name="Calculation 2 2 2 2 5 4 3" xfId="4965" xr:uid="{00000000-0005-0000-0000-00005D130000}"/>
    <cellStyle name="Calculation 2 2 2 2 5 4 4" xfId="4966" xr:uid="{00000000-0005-0000-0000-00005E130000}"/>
    <cellStyle name="Calculation 2 2 2 2 5 4 5" xfId="4967" xr:uid="{00000000-0005-0000-0000-00005F130000}"/>
    <cellStyle name="Calculation 2 2 2 2 5 4 6" xfId="4968" xr:uid="{00000000-0005-0000-0000-000060130000}"/>
    <cellStyle name="Calculation 2 2 2 2 5 5" xfId="4969" xr:uid="{00000000-0005-0000-0000-000061130000}"/>
    <cellStyle name="Calculation 2 2 2 2 5 6" xfId="4970" xr:uid="{00000000-0005-0000-0000-000062130000}"/>
    <cellStyle name="Calculation 2 2 2 2 5 7" xfId="4971" xr:uid="{00000000-0005-0000-0000-000063130000}"/>
    <cellStyle name="Calculation 2 2 2 2 5 8" xfId="4972" xr:uid="{00000000-0005-0000-0000-000064130000}"/>
    <cellStyle name="Calculation 2 2 2 2 6" xfId="4973" xr:uid="{00000000-0005-0000-0000-000065130000}"/>
    <cellStyle name="Calculation 2 2 2 2 6 2" xfId="4974" xr:uid="{00000000-0005-0000-0000-000066130000}"/>
    <cellStyle name="Calculation 2 2 2 2 6 2 2" xfId="4975" xr:uid="{00000000-0005-0000-0000-000067130000}"/>
    <cellStyle name="Calculation 2 2 2 2 6 2 2 2" xfId="4976" xr:uid="{00000000-0005-0000-0000-000068130000}"/>
    <cellStyle name="Calculation 2 2 2 2 6 2 2 3" xfId="4977" xr:uid="{00000000-0005-0000-0000-000069130000}"/>
    <cellStyle name="Calculation 2 2 2 2 6 2 2 4" xfId="4978" xr:uid="{00000000-0005-0000-0000-00006A130000}"/>
    <cellStyle name="Calculation 2 2 2 2 6 2 2 5" xfId="4979" xr:uid="{00000000-0005-0000-0000-00006B130000}"/>
    <cellStyle name="Calculation 2 2 2 2 6 2 2 6" xfId="4980" xr:uid="{00000000-0005-0000-0000-00006C130000}"/>
    <cellStyle name="Calculation 2 2 2 2 6 2 3" xfId="4981" xr:uid="{00000000-0005-0000-0000-00006D130000}"/>
    <cellStyle name="Calculation 2 2 2 2 6 2 4" xfId="4982" xr:uid="{00000000-0005-0000-0000-00006E130000}"/>
    <cellStyle name="Calculation 2 2 2 2 6 2 5" xfId="4983" xr:uid="{00000000-0005-0000-0000-00006F130000}"/>
    <cellStyle name="Calculation 2 2 2 2 6 2 6" xfId="4984" xr:uid="{00000000-0005-0000-0000-000070130000}"/>
    <cellStyle name="Calculation 2 2 2 2 6 3" xfId="4985" xr:uid="{00000000-0005-0000-0000-000071130000}"/>
    <cellStyle name="Calculation 2 2 2 2 6 3 2" xfId="4986" xr:uid="{00000000-0005-0000-0000-000072130000}"/>
    <cellStyle name="Calculation 2 2 2 2 6 3 2 2" xfId="4987" xr:uid="{00000000-0005-0000-0000-000073130000}"/>
    <cellStyle name="Calculation 2 2 2 2 6 3 2 3" xfId="4988" xr:uid="{00000000-0005-0000-0000-000074130000}"/>
    <cellStyle name="Calculation 2 2 2 2 6 3 2 4" xfId="4989" xr:uid="{00000000-0005-0000-0000-000075130000}"/>
    <cellStyle name="Calculation 2 2 2 2 6 3 2 5" xfId="4990" xr:uid="{00000000-0005-0000-0000-000076130000}"/>
    <cellStyle name="Calculation 2 2 2 2 6 3 2 6" xfId="4991" xr:uid="{00000000-0005-0000-0000-000077130000}"/>
    <cellStyle name="Calculation 2 2 2 2 6 3 3" xfId="4992" xr:uid="{00000000-0005-0000-0000-000078130000}"/>
    <cellStyle name="Calculation 2 2 2 2 6 3 4" xfId="4993" xr:uid="{00000000-0005-0000-0000-000079130000}"/>
    <cellStyle name="Calculation 2 2 2 2 6 3 5" xfId="4994" xr:uid="{00000000-0005-0000-0000-00007A130000}"/>
    <cellStyle name="Calculation 2 2 2 2 6 3 6" xfId="4995" xr:uid="{00000000-0005-0000-0000-00007B130000}"/>
    <cellStyle name="Calculation 2 2 2 2 6 4" xfId="4996" xr:uid="{00000000-0005-0000-0000-00007C130000}"/>
    <cellStyle name="Calculation 2 2 2 2 6 4 2" xfId="4997" xr:uid="{00000000-0005-0000-0000-00007D130000}"/>
    <cellStyle name="Calculation 2 2 2 2 6 4 3" xfId="4998" xr:uid="{00000000-0005-0000-0000-00007E130000}"/>
    <cellStyle name="Calculation 2 2 2 2 6 4 4" xfId="4999" xr:uid="{00000000-0005-0000-0000-00007F130000}"/>
    <cellStyle name="Calculation 2 2 2 2 6 4 5" xfId="5000" xr:uid="{00000000-0005-0000-0000-000080130000}"/>
    <cellStyle name="Calculation 2 2 2 2 6 4 6" xfId="5001" xr:uid="{00000000-0005-0000-0000-000081130000}"/>
    <cellStyle name="Calculation 2 2 2 2 6 5" xfId="5002" xr:uid="{00000000-0005-0000-0000-000082130000}"/>
    <cellStyle name="Calculation 2 2 2 2 6 6" xfId="5003" xr:uid="{00000000-0005-0000-0000-000083130000}"/>
    <cellStyle name="Calculation 2 2 2 2 6 7" xfId="5004" xr:uid="{00000000-0005-0000-0000-000084130000}"/>
    <cellStyle name="Calculation 2 2 2 2 6 8" xfId="5005" xr:uid="{00000000-0005-0000-0000-000085130000}"/>
    <cellStyle name="Calculation 2 2 2 2 7" xfId="5006" xr:uid="{00000000-0005-0000-0000-000086130000}"/>
    <cellStyle name="Calculation 2 2 2 2 7 2" xfId="5007" xr:uid="{00000000-0005-0000-0000-000087130000}"/>
    <cellStyle name="Calculation 2 2 2 2 7 2 2" xfId="5008" xr:uid="{00000000-0005-0000-0000-000088130000}"/>
    <cellStyle name="Calculation 2 2 2 2 7 2 2 2" xfId="5009" xr:uid="{00000000-0005-0000-0000-000089130000}"/>
    <cellStyle name="Calculation 2 2 2 2 7 2 2 3" xfId="5010" xr:uid="{00000000-0005-0000-0000-00008A130000}"/>
    <cellStyle name="Calculation 2 2 2 2 7 2 2 4" xfId="5011" xr:uid="{00000000-0005-0000-0000-00008B130000}"/>
    <cellStyle name="Calculation 2 2 2 2 7 2 2 5" xfId="5012" xr:uid="{00000000-0005-0000-0000-00008C130000}"/>
    <cellStyle name="Calculation 2 2 2 2 7 2 2 6" xfId="5013" xr:uid="{00000000-0005-0000-0000-00008D130000}"/>
    <cellStyle name="Calculation 2 2 2 2 7 2 3" xfId="5014" xr:uid="{00000000-0005-0000-0000-00008E130000}"/>
    <cellStyle name="Calculation 2 2 2 2 7 2 4" xfId="5015" xr:uid="{00000000-0005-0000-0000-00008F130000}"/>
    <cellStyle name="Calculation 2 2 2 2 7 2 5" xfId="5016" xr:uid="{00000000-0005-0000-0000-000090130000}"/>
    <cellStyle name="Calculation 2 2 2 2 7 2 6" xfId="5017" xr:uid="{00000000-0005-0000-0000-000091130000}"/>
    <cellStyle name="Calculation 2 2 2 2 7 3" xfId="5018" xr:uid="{00000000-0005-0000-0000-000092130000}"/>
    <cellStyle name="Calculation 2 2 2 2 7 3 2" xfId="5019" xr:uid="{00000000-0005-0000-0000-000093130000}"/>
    <cellStyle name="Calculation 2 2 2 2 7 3 2 2" xfId="5020" xr:uid="{00000000-0005-0000-0000-000094130000}"/>
    <cellStyle name="Calculation 2 2 2 2 7 3 2 3" xfId="5021" xr:uid="{00000000-0005-0000-0000-000095130000}"/>
    <cellStyle name="Calculation 2 2 2 2 7 3 2 4" xfId="5022" xr:uid="{00000000-0005-0000-0000-000096130000}"/>
    <cellStyle name="Calculation 2 2 2 2 7 3 2 5" xfId="5023" xr:uid="{00000000-0005-0000-0000-000097130000}"/>
    <cellStyle name="Calculation 2 2 2 2 7 3 2 6" xfId="5024" xr:uid="{00000000-0005-0000-0000-000098130000}"/>
    <cellStyle name="Calculation 2 2 2 2 7 3 3" xfId="5025" xr:uid="{00000000-0005-0000-0000-000099130000}"/>
    <cellStyle name="Calculation 2 2 2 2 7 3 4" xfId="5026" xr:uid="{00000000-0005-0000-0000-00009A130000}"/>
    <cellStyle name="Calculation 2 2 2 2 7 3 5" xfId="5027" xr:uid="{00000000-0005-0000-0000-00009B130000}"/>
    <cellStyle name="Calculation 2 2 2 2 7 3 6" xfId="5028" xr:uid="{00000000-0005-0000-0000-00009C130000}"/>
    <cellStyle name="Calculation 2 2 2 2 7 4" xfId="5029" xr:uid="{00000000-0005-0000-0000-00009D130000}"/>
    <cellStyle name="Calculation 2 2 2 2 7 4 2" xfId="5030" xr:uid="{00000000-0005-0000-0000-00009E130000}"/>
    <cellStyle name="Calculation 2 2 2 2 7 4 3" xfId="5031" xr:uid="{00000000-0005-0000-0000-00009F130000}"/>
    <cellStyle name="Calculation 2 2 2 2 7 4 4" xfId="5032" xr:uid="{00000000-0005-0000-0000-0000A0130000}"/>
    <cellStyle name="Calculation 2 2 2 2 7 4 5" xfId="5033" xr:uid="{00000000-0005-0000-0000-0000A1130000}"/>
    <cellStyle name="Calculation 2 2 2 2 7 4 6" xfId="5034" xr:uid="{00000000-0005-0000-0000-0000A2130000}"/>
    <cellStyle name="Calculation 2 2 2 2 7 5" xfId="5035" xr:uid="{00000000-0005-0000-0000-0000A3130000}"/>
    <cellStyle name="Calculation 2 2 2 2 7 6" xfId="5036" xr:uid="{00000000-0005-0000-0000-0000A4130000}"/>
    <cellStyle name="Calculation 2 2 2 2 7 7" xfId="5037" xr:uid="{00000000-0005-0000-0000-0000A5130000}"/>
    <cellStyle name="Calculation 2 2 2 2 7 8" xfId="5038" xr:uid="{00000000-0005-0000-0000-0000A6130000}"/>
    <cellStyle name="Calculation 2 2 2 2 8" xfId="5039" xr:uid="{00000000-0005-0000-0000-0000A7130000}"/>
    <cellStyle name="Calculation 2 2 2 2 8 2" xfId="5040" xr:uid="{00000000-0005-0000-0000-0000A8130000}"/>
    <cellStyle name="Calculation 2 2 2 2 8 2 2" xfId="5041" xr:uid="{00000000-0005-0000-0000-0000A9130000}"/>
    <cellStyle name="Calculation 2 2 2 2 8 2 3" xfId="5042" xr:uid="{00000000-0005-0000-0000-0000AA130000}"/>
    <cellStyle name="Calculation 2 2 2 2 8 2 4" xfId="5043" xr:uid="{00000000-0005-0000-0000-0000AB130000}"/>
    <cellStyle name="Calculation 2 2 2 2 8 2 5" xfId="5044" xr:uid="{00000000-0005-0000-0000-0000AC130000}"/>
    <cellStyle name="Calculation 2 2 2 2 8 2 6" xfId="5045" xr:uid="{00000000-0005-0000-0000-0000AD130000}"/>
    <cellStyle name="Calculation 2 2 2 2 8 3" xfId="5046" xr:uid="{00000000-0005-0000-0000-0000AE130000}"/>
    <cellStyle name="Calculation 2 2 2 2 8 4" xfId="5047" xr:uid="{00000000-0005-0000-0000-0000AF130000}"/>
    <cellStyle name="Calculation 2 2 2 2 8 5" xfId="5048" xr:uid="{00000000-0005-0000-0000-0000B0130000}"/>
    <cellStyle name="Calculation 2 2 2 2 8 6" xfId="5049" xr:uid="{00000000-0005-0000-0000-0000B1130000}"/>
    <cellStyle name="Calculation 2 2 2 2 9" xfId="5050" xr:uid="{00000000-0005-0000-0000-0000B2130000}"/>
    <cellStyle name="Calculation 2 2 2 2 9 2" xfId="5051" xr:uid="{00000000-0005-0000-0000-0000B3130000}"/>
    <cellStyle name="Calculation 2 2 2 2 9 2 2" xfId="5052" xr:uid="{00000000-0005-0000-0000-0000B4130000}"/>
    <cellStyle name="Calculation 2 2 2 2 9 2 3" xfId="5053" xr:uid="{00000000-0005-0000-0000-0000B5130000}"/>
    <cellStyle name="Calculation 2 2 2 2 9 2 4" xfId="5054" xr:uid="{00000000-0005-0000-0000-0000B6130000}"/>
    <cellStyle name="Calculation 2 2 2 2 9 2 5" xfId="5055" xr:uid="{00000000-0005-0000-0000-0000B7130000}"/>
    <cellStyle name="Calculation 2 2 2 2 9 2 6" xfId="5056" xr:uid="{00000000-0005-0000-0000-0000B8130000}"/>
    <cellStyle name="Calculation 2 2 2 2 9 3" xfId="5057" xr:uid="{00000000-0005-0000-0000-0000B9130000}"/>
    <cellStyle name="Calculation 2 2 2 2 9 4" xfId="5058" xr:uid="{00000000-0005-0000-0000-0000BA130000}"/>
    <cellStyle name="Calculation 2 2 2 2 9 5" xfId="5059" xr:uid="{00000000-0005-0000-0000-0000BB130000}"/>
    <cellStyle name="Calculation 2 2 2 2 9 6" xfId="5060" xr:uid="{00000000-0005-0000-0000-0000BC130000}"/>
    <cellStyle name="Calculation 2 2 2 3" xfId="5061" xr:uid="{00000000-0005-0000-0000-0000BD130000}"/>
    <cellStyle name="Calculation 2 2 2 3 10" xfId="5062" xr:uid="{00000000-0005-0000-0000-0000BE130000}"/>
    <cellStyle name="Calculation 2 2 2 3 11" xfId="5063" xr:uid="{00000000-0005-0000-0000-0000BF130000}"/>
    <cellStyle name="Calculation 2 2 2 3 12" xfId="5064" xr:uid="{00000000-0005-0000-0000-0000C0130000}"/>
    <cellStyle name="Calculation 2 2 2 3 13" xfId="5065" xr:uid="{00000000-0005-0000-0000-0000C1130000}"/>
    <cellStyle name="Calculation 2 2 2 3 2" xfId="5066" xr:uid="{00000000-0005-0000-0000-0000C2130000}"/>
    <cellStyle name="Calculation 2 2 2 3 2 2" xfId="5067" xr:uid="{00000000-0005-0000-0000-0000C3130000}"/>
    <cellStyle name="Calculation 2 2 2 3 2 2 2" xfId="5068" xr:uid="{00000000-0005-0000-0000-0000C4130000}"/>
    <cellStyle name="Calculation 2 2 2 3 2 2 2 2" xfId="5069" xr:uid="{00000000-0005-0000-0000-0000C5130000}"/>
    <cellStyle name="Calculation 2 2 2 3 2 2 2 3" xfId="5070" xr:uid="{00000000-0005-0000-0000-0000C6130000}"/>
    <cellStyle name="Calculation 2 2 2 3 2 2 2 4" xfId="5071" xr:uid="{00000000-0005-0000-0000-0000C7130000}"/>
    <cellStyle name="Calculation 2 2 2 3 2 2 2 5" xfId="5072" xr:uid="{00000000-0005-0000-0000-0000C8130000}"/>
    <cellStyle name="Calculation 2 2 2 3 2 2 2 6" xfId="5073" xr:uid="{00000000-0005-0000-0000-0000C9130000}"/>
    <cellStyle name="Calculation 2 2 2 3 2 2 3" xfId="5074" xr:uid="{00000000-0005-0000-0000-0000CA130000}"/>
    <cellStyle name="Calculation 2 2 2 3 2 2 4" xfId="5075" xr:uid="{00000000-0005-0000-0000-0000CB130000}"/>
    <cellStyle name="Calculation 2 2 2 3 2 2 5" xfId="5076" xr:uid="{00000000-0005-0000-0000-0000CC130000}"/>
    <cellStyle name="Calculation 2 2 2 3 2 2 6" xfId="5077" xr:uid="{00000000-0005-0000-0000-0000CD130000}"/>
    <cellStyle name="Calculation 2 2 2 3 2 3" xfId="5078" xr:uid="{00000000-0005-0000-0000-0000CE130000}"/>
    <cellStyle name="Calculation 2 2 2 3 2 3 2" xfId="5079" xr:uid="{00000000-0005-0000-0000-0000CF130000}"/>
    <cellStyle name="Calculation 2 2 2 3 2 3 2 2" xfId="5080" xr:uid="{00000000-0005-0000-0000-0000D0130000}"/>
    <cellStyle name="Calculation 2 2 2 3 2 3 2 3" xfId="5081" xr:uid="{00000000-0005-0000-0000-0000D1130000}"/>
    <cellStyle name="Calculation 2 2 2 3 2 3 2 4" xfId="5082" xr:uid="{00000000-0005-0000-0000-0000D2130000}"/>
    <cellStyle name="Calculation 2 2 2 3 2 3 2 5" xfId="5083" xr:uid="{00000000-0005-0000-0000-0000D3130000}"/>
    <cellStyle name="Calculation 2 2 2 3 2 3 2 6" xfId="5084" xr:uid="{00000000-0005-0000-0000-0000D4130000}"/>
    <cellStyle name="Calculation 2 2 2 3 2 3 3" xfId="5085" xr:uid="{00000000-0005-0000-0000-0000D5130000}"/>
    <cellStyle name="Calculation 2 2 2 3 2 3 4" xfId="5086" xr:uid="{00000000-0005-0000-0000-0000D6130000}"/>
    <cellStyle name="Calculation 2 2 2 3 2 3 5" xfId="5087" xr:uid="{00000000-0005-0000-0000-0000D7130000}"/>
    <cellStyle name="Calculation 2 2 2 3 2 3 6" xfId="5088" xr:uid="{00000000-0005-0000-0000-0000D8130000}"/>
    <cellStyle name="Calculation 2 2 2 3 2 4" xfId="5089" xr:uid="{00000000-0005-0000-0000-0000D9130000}"/>
    <cellStyle name="Calculation 2 2 2 3 2 4 2" xfId="5090" xr:uid="{00000000-0005-0000-0000-0000DA130000}"/>
    <cellStyle name="Calculation 2 2 2 3 2 4 3" xfId="5091" xr:uid="{00000000-0005-0000-0000-0000DB130000}"/>
    <cellStyle name="Calculation 2 2 2 3 2 4 4" xfId="5092" xr:uid="{00000000-0005-0000-0000-0000DC130000}"/>
    <cellStyle name="Calculation 2 2 2 3 2 4 5" xfId="5093" xr:uid="{00000000-0005-0000-0000-0000DD130000}"/>
    <cellStyle name="Calculation 2 2 2 3 2 4 6" xfId="5094" xr:uid="{00000000-0005-0000-0000-0000DE130000}"/>
    <cellStyle name="Calculation 2 2 2 3 2 5" xfId="5095" xr:uid="{00000000-0005-0000-0000-0000DF130000}"/>
    <cellStyle name="Calculation 2 2 2 3 2 6" xfId="5096" xr:uid="{00000000-0005-0000-0000-0000E0130000}"/>
    <cellStyle name="Calculation 2 2 2 3 2 7" xfId="5097" xr:uid="{00000000-0005-0000-0000-0000E1130000}"/>
    <cellStyle name="Calculation 2 2 2 3 2 8" xfId="5098" xr:uid="{00000000-0005-0000-0000-0000E2130000}"/>
    <cellStyle name="Calculation 2 2 2 3 3" xfId="5099" xr:uid="{00000000-0005-0000-0000-0000E3130000}"/>
    <cellStyle name="Calculation 2 2 2 3 3 2" xfId="5100" xr:uid="{00000000-0005-0000-0000-0000E4130000}"/>
    <cellStyle name="Calculation 2 2 2 3 3 2 2" xfId="5101" xr:uid="{00000000-0005-0000-0000-0000E5130000}"/>
    <cellStyle name="Calculation 2 2 2 3 3 2 2 2" xfId="5102" xr:uid="{00000000-0005-0000-0000-0000E6130000}"/>
    <cellStyle name="Calculation 2 2 2 3 3 2 2 3" xfId="5103" xr:uid="{00000000-0005-0000-0000-0000E7130000}"/>
    <cellStyle name="Calculation 2 2 2 3 3 2 2 4" xfId="5104" xr:uid="{00000000-0005-0000-0000-0000E8130000}"/>
    <cellStyle name="Calculation 2 2 2 3 3 2 2 5" xfId="5105" xr:uid="{00000000-0005-0000-0000-0000E9130000}"/>
    <cellStyle name="Calculation 2 2 2 3 3 2 2 6" xfId="5106" xr:uid="{00000000-0005-0000-0000-0000EA130000}"/>
    <cellStyle name="Calculation 2 2 2 3 3 2 3" xfId="5107" xr:uid="{00000000-0005-0000-0000-0000EB130000}"/>
    <cellStyle name="Calculation 2 2 2 3 3 2 4" xfId="5108" xr:uid="{00000000-0005-0000-0000-0000EC130000}"/>
    <cellStyle name="Calculation 2 2 2 3 3 2 5" xfId="5109" xr:uid="{00000000-0005-0000-0000-0000ED130000}"/>
    <cellStyle name="Calculation 2 2 2 3 3 2 6" xfId="5110" xr:uid="{00000000-0005-0000-0000-0000EE130000}"/>
    <cellStyle name="Calculation 2 2 2 3 3 3" xfId="5111" xr:uid="{00000000-0005-0000-0000-0000EF130000}"/>
    <cellStyle name="Calculation 2 2 2 3 3 3 2" xfId="5112" xr:uid="{00000000-0005-0000-0000-0000F0130000}"/>
    <cellStyle name="Calculation 2 2 2 3 3 3 2 2" xfId="5113" xr:uid="{00000000-0005-0000-0000-0000F1130000}"/>
    <cellStyle name="Calculation 2 2 2 3 3 3 2 3" xfId="5114" xr:uid="{00000000-0005-0000-0000-0000F2130000}"/>
    <cellStyle name="Calculation 2 2 2 3 3 3 2 4" xfId="5115" xr:uid="{00000000-0005-0000-0000-0000F3130000}"/>
    <cellStyle name="Calculation 2 2 2 3 3 3 2 5" xfId="5116" xr:uid="{00000000-0005-0000-0000-0000F4130000}"/>
    <cellStyle name="Calculation 2 2 2 3 3 3 2 6" xfId="5117" xr:uid="{00000000-0005-0000-0000-0000F5130000}"/>
    <cellStyle name="Calculation 2 2 2 3 3 3 3" xfId="5118" xr:uid="{00000000-0005-0000-0000-0000F6130000}"/>
    <cellStyle name="Calculation 2 2 2 3 3 3 4" xfId="5119" xr:uid="{00000000-0005-0000-0000-0000F7130000}"/>
    <cellStyle name="Calculation 2 2 2 3 3 3 5" xfId="5120" xr:uid="{00000000-0005-0000-0000-0000F8130000}"/>
    <cellStyle name="Calculation 2 2 2 3 3 3 6" xfId="5121" xr:uid="{00000000-0005-0000-0000-0000F9130000}"/>
    <cellStyle name="Calculation 2 2 2 3 3 4" xfId="5122" xr:uid="{00000000-0005-0000-0000-0000FA130000}"/>
    <cellStyle name="Calculation 2 2 2 3 3 4 2" xfId="5123" xr:uid="{00000000-0005-0000-0000-0000FB130000}"/>
    <cellStyle name="Calculation 2 2 2 3 3 4 3" xfId="5124" xr:uid="{00000000-0005-0000-0000-0000FC130000}"/>
    <cellStyle name="Calculation 2 2 2 3 3 4 4" xfId="5125" xr:uid="{00000000-0005-0000-0000-0000FD130000}"/>
    <cellStyle name="Calculation 2 2 2 3 3 4 5" xfId="5126" xr:uid="{00000000-0005-0000-0000-0000FE130000}"/>
    <cellStyle name="Calculation 2 2 2 3 3 4 6" xfId="5127" xr:uid="{00000000-0005-0000-0000-0000FF130000}"/>
    <cellStyle name="Calculation 2 2 2 3 3 5" xfId="5128" xr:uid="{00000000-0005-0000-0000-000000140000}"/>
    <cellStyle name="Calculation 2 2 2 3 3 6" xfId="5129" xr:uid="{00000000-0005-0000-0000-000001140000}"/>
    <cellStyle name="Calculation 2 2 2 3 3 7" xfId="5130" xr:uid="{00000000-0005-0000-0000-000002140000}"/>
    <cellStyle name="Calculation 2 2 2 3 3 8" xfId="5131" xr:uid="{00000000-0005-0000-0000-000003140000}"/>
    <cellStyle name="Calculation 2 2 2 3 4" xfId="5132" xr:uid="{00000000-0005-0000-0000-000004140000}"/>
    <cellStyle name="Calculation 2 2 2 3 4 2" xfId="5133" xr:uid="{00000000-0005-0000-0000-000005140000}"/>
    <cellStyle name="Calculation 2 2 2 3 4 2 2" xfId="5134" xr:uid="{00000000-0005-0000-0000-000006140000}"/>
    <cellStyle name="Calculation 2 2 2 3 4 2 2 2" xfId="5135" xr:uid="{00000000-0005-0000-0000-000007140000}"/>
    <cellStyle name="Calculation 2 2 2 3 4 2 2 3" xfId="5136" xr:uid="{00000000-0005-0000-0000-000008140000}"/>
    <cellStyle name="Calculation 2 2 2 3 4 2 2 4" xfId="5137" xr:uid="{00000000-0005-0000-0000-000009140000}"/>
    <cellStyle name="Calculation 2 2 2 3 4 2 2 5" xfId="5138" xr:uid="{00000000-0005-0000-0000-00000A140000}"/>
    <cellStyle name="Calculation 2 2 2 3 4 2 2 6" xfId="5139" xr:uid="{00000000-0005-0000-0000-00000B140000}"/>
    <cellStyle name="Calculation 2 2 2 3 4 2 3" xfId="5140" xr:uid="{00000000-0005-0000-0000-00000C140000}"/>
    <cellStyle name="Calculation 2 2 2 3 4 2 4" xfId="5141" xr:uid="{00000000-0005-0000-0000-00000D140000}"/>
    <cellStyle name="Calculation 2 2 2 3 4 2 5" xfId="5142" xr:uid="{00000000-0005-0000-0000-00000E140000}"/>
    <cellStyle name="Calculation 2 2 2 3 4 2 6" xfId="5143" xr:uid="{00000000-0005-0000-0000-00000F140000}"/>
    <cellStyle name="Calculation 2 2 2 3 4 3" xfId="5144" xr:uid="{00000000-0005-0000-0000-000010140000}"/>
    <cellStyle name="Calculation 2 2 2 3 4 3 2" xfId="5145" xr:uid="{00000000-0005-0000-0000-000011140000}"/>
    <cellStyle name="Calculation 2 2 2 3 4 3 2 2" xfId="5146" xr:uid="{00000000-0005-0000-0000-000012140000}"/>
    <cellStyle name="Calculation 2 2 2 3 4 3 2 3" xfId="5147" xr:uid="{00000000-0005-0000-0000-000013140000}"/>
    <cellStyle name="Calculation 2 2 2 3 4 3 2 4" xfId="5148" xr:uid="{00000000-0005-0000-0000-000014140000}"/>
    <cellStyle name="Calculation 2 2 2 3 4 3 2 5" xfId="5149" xr:uid="{00000000-0005-0000-0000-000015140000}"/>
    <cellStyle name="Calculation 2 2 2 3 4 3 2 6" xfId="5150" xr:uid="{00000000-0005-0000-0000-000016140000}"/>
    <cellStyle name="Calculation 2 2 2 3 4 3 3" xfId="5151" xr:uid="{00000000-0005-0000-0000-000017140000}"/>
    <cellStyle name="Calculation 2 2 2 3 4 3 4" xfId="5152" xr:uid="{00000000-0005-0000-0000-000018140000}"/>
    <cellStyle name="Calculation 2 2 2 3 4 3 5" xfId="5153" xr:uid="{00000000-0005-0000-0000-000019140000}"/>
    <cellStyle name="Calculation 2 2 2 3 4 3 6" xfId="5154" xr:uid="{00000000-0005-0000-0000-00001A140000}"/>
    <cellStyle name="Calculation 2 2 2 3 4 4" xfId="5155" xr:uid="{00000000-0005-0000-0000-00001B140000}"/>
    <cellStyle name="Calculation 2 2 2 3 4 4 2" xfId="5156" xr:uid="{00000000-0005-0000-0000-00001C140000}"/>
    <cellStyle name="Calculation 2 2 2 3 4 4 3" xfId="5157" xr:uid="{00000000-0005-0000-0000-00001D140000}"/>
    <cellStyle name="Calculation 2 2 2 3 4 4 4" xfId="5158" xr:uid="{00000000-0005-0000-0000-00001E140000}"/>
    <cellStyle name="Calculation 2 2 2 3 4 4 5" xfId="5159" xr:uid="{00000000-0005-0000-0000-00001F140000}"/>
    <cellStyle name="Calculation 2 2 2 3 4 4 6" xfId="5160" xr:uid="{00000000-0005-0000-0000-000020140000}"/>
    <cellStyle name="Calculation 2 2 2 3 4 5" xfId="5161" xr:uid="{00000000-0005-0000-0000-000021140000}"/>
    <cellStyle name="Calculation 2 2 2 3 4 6" xfId="5162" xr:uid="{00000000-0005-0000-0000-000022140000}"/>
    <cellStyle name="Calculation 2 2 2 3 4 7" xfId="5163" xr:uid="{00000000-0005-0000-0000-000023140000}"/>
    <cellStyle name="Calculation 2 2 2 3 4 8" xfId="5164" xr:uid="{00000000-0005-0000-0000-000024140000}"/>
    <cellStyle name="Calculation 2 2 2 3 5" xfId="5165" xr:uid="{00000000-0005-0000-0000-000025140000}"/>
    <cellStyle name="Calculation 2 2 2 3 5 2" xfId="5166" xr:uid="{00000000-0005-0000-0000-000026140000}"/>
    <cellStyle name="Calculation 2 2 2 3 5 2 2" xfId="5167" xr:uid="{00000000-0005-0000-0000-000027140000}"/>
    <cellStyle name="Calculation 2 2 2 3 5 2 2 2" xfId="5168" xr:uid="{00000000-0005-0000-0000-000028140000}"/>
    <cellStyle name="Calculation 2 2 2 3 5 2 2 3" xfId="5169" xr:uid="{00000000-0005-0000-0000-000029140000}"/>
    <cellStyle name="Calculation 2 2 2 3 5 2 2 4" xfId="5170" xr:uid="{00000000-0005-0000-0000-00002A140000}"/>
    <cellStyle name="Calculation 2 2 2 3 5 2 2 5" xfId="5171" xr:uid="{00000000-0005-0000-0000-00002B140000}"/>
    <cellStyle name="Calculation 2 2 2 3 5 2 2 6" xfId="5172" xr:uid="{00000000-0005-0000-0000-00002C140000}"/>
    <cellStyle name="Calculation 2 2 2 3 5 2 3" xfId="5173" xr:uid="{00000000-0005-0000-0000-00002D140000}"/>
    <cellStyle name="Calculation 2 2 2 3 5 2 4" xfId="5174" xr:uid="{00000000-0005-0000-0000-00002E140000}"/>
    <cellStyle name="Calculation 2 2 2 3 5 2 5" xfId="5175" xr:uid="{00000000-0005-0000-0000-00002F140000}"/>
    <cellStyle name="Calculation 2 2 2 3 5 2 6" xfId="5176" xr:uid="{00000000-0005-0000-0000-000030140000}"/>
    <cellStyle name="Calculation 2 2 2 3 5 3" xfId="5177" xr:uid="{00000000-0005-0000-0000-000031140000}"/>
    <cellStyle name="Calculation 2 2 2 3 5 3 2" xfId="5178" xr:uid="{00000000-0005-0000-0000-000032140000}"/>
    <cellStyle name="Calculation 2 2 2 3 5 3 2 2" xfId="5179" xr:uid="{00000000-0005-0000-0000-000033140000}"/>
    <cellStyle name="Calculation 2 2 2 3 5 3 2 3" xfId="5180" xr:uid="{00000000-0005-0000-0000-000034140000}"/>
    <cellStyle name="Calculation 2 2 2 3 5 3 2 4" xfId="5181" xr:uid="{00000000-0005-0000-0000-000035140000}"/>
    <cellStyle name="Calculation 2 2 2 3 5 3 2 5" xfId="5182" xr:uid="{00000000-0005-0000-0000-000036140000}"/>
    <cellStyle name="Calculation 2 2 2 3 5 3 2 6" xfId="5183" xr:uid="{00000000-0005-0000-0000-000037140000}"/>
    <cellStyle name="Calculation 2 2 2 3 5 3 3" xfId="5184" xr:uid="{00000000-0005-0000-0000-000038140000}"/>
    <cellStyle name="Calculation 2 2 2 3 5 3 4" xfId="5185" xr:uid="{00000000-0005-0000-0000-000039140000}"/>
    <cellStyle name="Calculation 2 2 2 3 5 3 5" xfId="5186" xr:uid="{00000000-0005-0000-0000-00003A140000}"/>
    <cellStyle name="Calculation 2 2 2 3 5 3 6" xfId="5187" xr:uid="{00000000-0005-0000-0000-00003B140000}"/>
    <cellStyle name="Calculation 2 2 2 3 5 4" xfId="5188" xr:uid="{00000000-0005-0000-0000-00003C140000}"/>
    <cellStyle name="Calculation 2 2 2 3 5 4 2" xfId="5189" xr:uid="{00000000-0005-0000-0000-00003D140000}"/>
    <cellStyle name="Calculation 2 2 2 3 5 4 3" xfId="5190" xr:uid="{00000000-0005-0000-0000-00003E140000}"/>
    <cellStyle name="Calculation 2 2 2 3 5 4 4" xfId="5191" xr:uid="{00000000-0005-0000-0000-00003F140000}"/>
    <cellStyle name="Calculation 2 2 2 3 5 4 5" xfId="5192" xr:uid="{00000000-0005-0000-0000-000040140000}"/>
    <cellStyle name="Calculation 2 2 2 3 5 4 6" xfId="5193" xr:uid="{00000000-0005-0000-0000-000041140000}"/>
    <cellStyle name="Calculation 2 2 2 3 5 5" xfId="5194" xr:uid="{00000000-0005-0000-0000-000042140000}"/>
    <cellStyle name="Calculation 2 2 2 3 5 6" xfId="5195" xr:uid="{00000000-0005-0000-0000-000043140000}"/>
    <cellStyle name="Calculation 2 2 2 3 5 7" xfId="5196" xr:uid="{00000000-0005-0000-0000-000044140000}"/>
    <cellStyle name="Calculation 2 2 2 3 5 8" xfId="5197" xr:uid="{00000000-0005-0000-0000-000045140000}"/>
    <cellStyle name="Calculation 2 2 2 3 6" xfId="5198" xr:uid="{00000000-0005-0000-0000-000046140000}"/>
    <cellStyle name="Calculation 2 2 2 3 6 2" xfId="5199" xr:uid="{00000000-0005-0000-0000-000047140000}"/>
    <cellStyle name="Calculation 2 2 2 3 6 2 2" xfId="5200" xr:uid="{00000000-0005-0000-0000-000048140000}"/>
    <cellStyle name="Calculation 2 2 2 3 6 2 2 2" xfId="5201" xr:uid="{00000000-0005-0000-0000-000049140000}"/>
    <cellStyle name="Calculation 2 2 2 3 6 2 2 3" xfId="5202" xr:uid="{00000000-0005-0000-0000-00004A140000}"/>
    <cellStyle name="Calculation 2 2 2 3 6 2 2 4" xfId="5203" xr:uid="{00000000-0005-0000-0000-00004B140000}"/>
    <cellStyle name="Calculation 2 2 2 3 6 2 2 5" xfId="5204" xr:uid="{00000000-0005-0000-0000-00004C140000}"/>
    <cellStyle name="Calculation 2 2 2 3 6 2 2 6" xfId="5205" xr:uid="{00000000-0005-0000-0000-00004D140000}"/>
    <cellStyle name="Calculation 2 2 2 3 6 2 3" xfId="5206" xr:uid="{00000000-0005-0000-0000-00004E140000}"/>
    <cellStyle name="Calculation 2 2 2 3 6 2 4" xfId="5207" xr:uid="{00000000-0005-0000-0000-00004F140000}"/>
    <cellStyle name="Calculation 2 2 2 3 6 2 5" xfId="5208" xr:uid="{00000000-0005-0000-0000-000050140000}"/>
    <cellStyle name="Calculation 2 2 2 3 6 2 6" xfId="5209" xr:uid="{00000000-0005-0000-0000-000051140000}"/>
    <cellStyle name="Calculation 2 2 2 3 6 3" xfId="5210" xr:uid="{00000000-0005-0000-0000-000052140000}"/>
    <cellStyle name="Calculation 2 2 2 3 6 3 2" xfId="5211" xr:uid="{00000000-0005-0000-0000-000053140000}"/>
    <cellStyle name="Calculation 2 2 2 3 6 3 2 2" xfId="5212" xr:uid="{00000000-0005-0000-0000-000054140000}"/>
    <cellStyle name="Calculation 2 2 2 3 6 3 2 3" xfId="5213" xr:uid="{00000000-0005-0000-0000-000055140000}"/>
    <cellStyle name="Calculation 2 2 2 3 6 3 2 4" xfId="5214" xr:uid="{00000000-0005-0000-0000-000056140000}"/>
    <cellStyle name="Calculation 2 2 2 3 6 3 2 5" xfId="5215" xr:uid="{00000000-0005-0000-0000-000057140000}"/>
    <cellStyle name="Calculation 2 2 2 3 6 3 2 6" xfId="5216" xr:uid="{00000000-0005-0000-0000-000058140000}"/>
    <cellStyle name="Calculation 2 2 2 3 6 3 3" xfId="5217" xr:uid="{00000000-0005-0000-0000-000059140000}"/>
    <cellStyle name="Calculation 2 2 2 3 6 3 4" xfId="5218" xr:uid="{00000000-0005-0000-0000-00005A140000}"/>
    <cellStyle name="Calculation 2 2 2 3 6 3 5" xfId="5219" xr:uid="{00000000-0005-0000-0000-00005B140000}"/>
    <cellStyle name="Calculation 2 2 2 3 6 3 6" xfId="5220" xr:uid="{00000000-0005-0000-0000-00005C140000}"/>
    <cellStyle name="Calculation 2 2 2 3 6 4" xfId="5221" xr:uid="{00000000-0005-0000-0000-00005D140000}"/>
    <cellStyle name="Calculation 2 2 2 3 6 4 2" xfId="5222" xr:uid="{00000000-0005-0000-0000-00005E140000}"/>
    <cellStyle name="Calculation 2 2 2 3 6 4 3" xfId="5223" xr:uid="{00000000-0005-0000-0000-00005F140000}"/>
    <cellStyle name="Calculation 2 2 2 3 6 4 4" xfId="5224" xr:uid="{00000000-0005-0000-0000-000060140000}"/>
    <cellStyle name="Calculation 2 2 2 3 6 4 5" xfId="5225" xr:uid="{00000000-0005-0000-0000-000061140000}"/>
    <cellStyle name="Calculation 2 2 2 3 6 4 6" xfId="5226" xr:uid="{00000000-0005-0000-0000-000062140000}"/>
    <cellStyle name="Calculation 2 2 2 3 6 5" xfId="5227" xr:uid="{00000000-0005-0000-0000-000063140000}"/>
    <cellStyle name="Calculation 2 2 2 3 6 6" xfId="5228" xr:uid="{00000000-0005-0000-0000-000064140000}"/>
    <cellStyle name="Calculation 2 2 2 3 6 7" xfId="5229" xr:uid="{00000000-0005-0000-0000-000065140000}"/>
    <cellStyle name="Calculation 2 2 2 3 6 8" xfId="5230" xr:uid="{00000000-0005-0000-0000-000066140000}"/>
    <cellStyle name="Calculation 2 2 2 3 7" xfId="5231" xr:uid="{00000000-0005-0000-0000-000067140000}"/>
    <cellStyle name="Calculation 2 2 2 3 7 2" xfId="5232" xr:uid="{00000000-0005-0000-0000-000068140000}"/>
    <cellStyle name="Calculation 2 2 2 3 7 2 2" xfId="5233" xr:uid="{00000000-0005-0000-0000-000069140000}"/>
    <cellStyle name="Calculation 2 2 2 3 7 2 3" xfId="5234" xr:uid="{00000000-0005-0000-0000-00006A140000}"/>
    <cellStyle name="Calculation 2 2 2 3 7 2 4" xfId="5235" xr:uid="{00000000-0005-0000-0000-00006B140000}"/>
    <cellStyle name="Calculation 2 2 2 3 7 2 5" xfId="5236" xr:uid="{00000000-0005-0000-0000-00006C140000}"/>
    <cellStyle name="Calculation 2 2 2 3 7 2 6" xfId="5237" xr:uid="{00000000-0005-0000-0000-00006D140000}"/>
    <cellStyle name="Calculation 2 2 2 3 7 3" xfId="5238" xr:uid="{00000000-0005-0000-0000-00006E140000}"/>
    <cellStyle name="Calculation 2 2 2 3 7 4" xfId="5239" xr:uid="{00000000-0005-0000-0000-00006F140000}"/>
    <cellStyle name="Calculation 2 2 2 3 7 5" xfId="5240" xr:uid="{00000000-0005-0000-0000-000070140000}"/>
    <cellStyle name="Calculation 2 2 2 3 7 6" xfId="5241" xr:uid="{00000000-0005-0000-0000-000071140000}"/>
    <cellStyle name="Calculation 2 2 2 3 8" xfId="5242" xr:uid="{00000000-0005-0000-0000-000072140000}"/>
    <cellStyle name="Calculation 2 2 2 3 8 2" xfId="5243" xr:uid="{00000000-0005-0000-0000-000073140000}"/>
    <cellStyle name="Calculation 2 2 2 3 8 2 2" xfId="5244" xr:uid="{00000000-0005-0000-0000-000074140000}"/>
    <cellStyle name="Calculation 2 2 2 3 8 2 3" xfId="5245" xr:uid="{00000000-0005-0000-0000-000075140000}"/>
    <cellStyle name="Calculation 2 2 2 3 8 2 4" xfId="5246" xr:uid="{00000000-0005-0000-0000-000076140000}"/>
    <cellStyle name="Calculation 2 2 2 3 8 2 5" xfId="5247" xr:uid="{00000000-0005-0000-0000-000077140000}"/>
    <cellStyle name="Calculation 2 2 2 3 8 2 6" xfId="5248" xr:uid="{00000000-0005-0000-0000-000078140000}"/>
    <cellStyle name="Calculation 2 2 2 3 8 3" xfId="5249" xr:uid="{00000000-0005-0000-0000-000079140000}"/>
    <cellStyle name="Calculation 2 2 2 3 8 4" xfId="5250" xr:uid="{00000000-0005-0000-0000-00007A140000}"/>
    <cellStyle name="Calculation 2 2 2 3 8 5" xfId="5251" xr:uid="{00000000-0005-0000-0000-00007B140000}"/>
    <cellStyle name="Calculation 2 2 2 3 8 6" xfId="5252" xr:uid="{00000000-0005-0000-0000-00007C140000}"/>
    <cellStyle name="Calculation 2 2 2 3 9" xfId="5253" xr:uid="{00000000-0005-0000-0000-00007D140000}"/>
    <cellStyle name="Calculation 2 2 2 3 9 2" xfId="5254" xr:uid="{00000000-0005-0000-0000-00007E140000}"/>
    <cellStyle name="Calculation 2 2 2 3 9 3" xfId="5255" xr:uid="{00000000-0005-0000-0000-00007F140000}"/>
    <cellStyle name="Calculation 2 2 2 3 9 4" xfId="5256" xr:uid="{00000000-0005-0000-0000-000080140000}"/>
    <cellStyle name="Calculation 2 2 2 3 9 5" xfId="5257" xr:uid="{00000000-0005-0000-0000-000081140000}"/>
    <cellStyle name="Calculation 2 2 2 3 9 6" xfId="5258" xr:uid="{00000000-0005-0000-0000-000082140000}"/>
    <cellStyle name="Calculation 2 2 2 4" xfId="5259" xr:uid="{00000000-0005-0000-0000-000083140000}"/>
    <cellStyle name="Calculation 2 2 2 4 2" xfId="5260" xr:uid="{00000000-0005-0000-0000-000084140000}"/>
    <cellStyle name="Calculation 2 2 2 4 2 2" xfId="5261" xr:uid="{00000000-0005-0000-0000-000085140000}"/>
    <cellStyle name="Calculation 2 2 2 4 2 2 2" xfId="5262" xr:uid="{00000000-0005-0000-0000-000086140000}"/>
    <cellStyle name="Calculation 2 2 2 4 2 2 3" xfId="5263" xr:uid="{00000000-0005-0000-0000-000087140000}"/>
    <cellStyle name="Calculation 2 2 2 4 2 2 4" xfId="5264" xr:uid="{00000000-0005-0000-0000-000088140000}"/>
    <cellStyle name="Calculation 2 2 2 4 2 2 5" xfId="5265" xr:uid="{00000000-0005-0000-0000-000089140000}"/>
    <cellStyle name="Calculation 2 2 2 4 2 2 6" xfId="5266" xr:uid="{00000000-0005-0000-0000-00008A140000}"/>
    <cellStyle name="Calculation 2 2 2 4 2 3" xfId="5267" xr:uid="{00000000-0005-0000-0000-00008B140000}"/>
    <cellStyle name="Calculation 2 2 2 4 2 4" xfId="5268" xr:uid="{00000000-0005-0000-0000-00008C140000}"/>
    <cellStyle name="Calculation 2 2 2 4 2 5" xfId="5269" xr:uid="{00000000-0005-0000-0000-00008D140000}"/>
    <cellStyle name="Calculation 2 2 2 4 2 6" xfId="5270" xr:uid="{00000000-0005-0000-0000-00008E140000}"/>
    <cellStyle name="Calculation 2 2 2 4 3" xfId="5271" xr:uid="{00000000-0005-0000-0000-00008F140000}"/>
    <cellStyle name="Calculation 2 2 2 4 3 2" xfId="5272" xr:uid="{00000000-0005-0000-0000-000090140000}"/>
    <cellStyle name="Calculation 2 2 2 4 3 2 2" xfId="5273" xr:uid="{00000000-0005-0000-0000-000091140000}"/>
    <cellStyle name="Calculation 2 2 2 4 3 2 3" xfId="5274" xr:uid="{00000000-0005-0000-0000-000092140000}"/>
    <cellStyle name="Calculation 2 2 2 4 3 2 4" xfId="5275" xr:uid="{00000000-0005-0000-0000-000093140000}"/>
    <cellStyle name="Calculation 2 2 2 4 3 2 5" xfId="5276" xr:uid="{00000000-0005-0000-0000-000094140000}"/>
    <cellStyle name="Calculation 2 2 2 4 3 2 6" xfId="5277" xr:uid="{00000000-0005-0000-0000-000095140000}"/>
    <cellStyle name="Calculation 2 2 2 4 3 3" xfId="5278" xr:uid="{00000000-0005-0000-0000-000096140000}"/>
    <cellStyle name="Calculation 2 2 2 4 3 4" xfId="5279" xr:uid="{00000000-0005-0000-0000-000097140000}"/>
    <cellStyle name="Calculation 2 2 2 4 3 5" xfId="5280" xr:uid="{00000000-0005-0000-0000-000098140000}"/>
    <cellStyle name="Calculation 2 2 2 4 3 6" xfId="5281" xr:uid="{00000000-0005-0000-0000-000099140000}"/>
    <cellStyle name="Calculation 2 2 2 4 4" xfId="5282" xr:uid="{00000000-0005-0000-0000-00009A140000}"/>
    <cellStyle name="Calculation 2 2 2 4 4 2" xfId="5283" xr:uid="{00000000-0005-0000-0000-00009B140000}"/>
    <cellStyle name="Calculation 2 2 2 4 4 3" xfId="5284" xr:uid="{00000000-0005-0000-0000-00009C140000}"/>
    <cellStyle name="Calculation 2 2 2 4 4 4" xfId="5285" xr:uid="{00000000-0005-0000-0000-00009D140000}"/>
    <cellStyle name="Calculation 2 2 2 4 4 5" xfId="5286" xr:uid="{00000000-0005-0000-0000-00009E140000}"/>
    <cellStyle name="Calculation 2 2 2 4 4 6" xfId="5287" xr:uid="{00000000-0005-0000-0000-00009F140000}"/>
    <cellStyle name="Calculation 2 2 2 4 5" xfId="5288" xr:uid="{00000000-0005-0000-0000-0000A0140000}"/>
    <cellStyle name="Calculation 2 2 2 4 6" xfId="5289" xr:uid="{00000000-0005-0000-0000-0000A1140000}"/>
    <cellStyle name="Calculation 2 2 2 4 7" xfId="5290" xr:uid="{00000000-0005-0000-0000-0000A2140000}"/>
    <cellStyle name="Calculation 2 2 2 4 8" xfId="5291" xr:uid="{00000000-0005-0000-0000-0000A3140000}"/>
    <cellStyle name="Calculation 2 2 2 5" xfId="5292" xr:uid="{00000000-0005-0000-0000-0000A4140000}"/>
    <cellStyle name="Calculation 2 2 2 5 2" xfId="5293" xr:uid="{00000000-0005-0000-0000-0000A5140000}"/>
    <cellStyle name="Calculation 2 2 2 5 2 2" xfId="5294" xr:uid="{00000000-0005-0000-0000-0000A6140000}"/>
    <cellStyle name="Calculation 2 2 2 5 2 2 2" xfId="5295" xr:uid="{00000000-0005-0000-0000-0000A7140000}"/>
    <cellStyle name="Calculation 2 2 2 5 2 2 3" xfId="5296" xr:uid="{00000000-0005-0000-0000-0000A8140000}"/>
    <cellStyle name="Calculation 2 2 2 5 2 2 4" xfId="5297" xr:uid="{00000000-0005-0000-0000-0000A9140000}"/>
    <cellStyle name="Calculation 2 2 2 5 2 2 5" xfId="5298" xr:uid="{00000000-0005-0000-0000-0000AA140000}"/>
    <cellStyle name="Calculation 2 2 2 5 2 2 6" xfId="5299" xr:uid="{00000000-0005-0000-0000-0000AB140000}"/>
    <cellStyle name="Calculation 2 2 2 5 2 3" xfId="5300" xr:uid="{00000000-0005-0000-0000-0000AC140000}"/>
    <cellStyle name="Calculation 2 2 2 5 2 4" xfId="5301" xr:uid="{00000000-0005-0000-0000-0000AD140000}"/>
    <cellStyle name="Calculation 2 2 2 5 2 5" xfId="5302" xr:uid="{00000000-0005-0000-0000-0000AE140000}"/>
    <cellStyle name="Calculation 2 2 2 5 2 6" xfId="5303" xr:uid="{00000000-0005-0000-0000-0000AF140000}"/>
    <cellStyle name="Calculation 2 2 2 5 3" xfId="5304" xr:uid="{00000000-0005-0000-0000-0000B0140000}"/>
    <cellStyle name="Calculation 2 2 2 5 3 2" xfId="5305" xr:uid="{00000000-0005-0000-0000-0000B1140000}"/>
    <cellStyle name="Calculation 2 2 2 5 3 2 2" xfId="5306" xr:uid="{00000000-0005-0000-0000-0000B2140000}"/>
    <cellStyle name="Calculation 2 2 2 5 3 2 3" xfId="5307" xr:uid="{00000000-0005-0000-0000-0000B3140000}"/>
    <cellStyle name="Calculation 2 2 2 5 3 2 4" xfId="5308" xr:uid="{00000000-0005-0000-0000-0000B4140000}"/>
    <cellStyle name="Calculation 2 2 2 5 3 2 5" xfId="5309" xr:uid="{00000000-0005-0000-0000-0000B5140000}"/>
    <cellStyle name="Calculation 2 2 2 5 3 2 6" xfId="5310" xr:uid="{00000000-0005-0000-0000-0000B6140000}"/>
    <cellStyle name="Calculation 2 2 2 5 3 3" xfId="5311" xr:uid="{00000000-0005-0000-0000-0000B7140000}"/>
    <cellStyle name="Calculation 2 2 2 5 3 4" xfId="5312" xr:uid="{00000000-0005-0000-0000-0000B8140000}"/>
    <cellStyle name="Calculation 2 2 2 5 3 5" xfId="5313" xr:uid="{00000000-0005-0000-0000-0000B9140000}"/>
    <cellStyle name="Calculation 2 2 2 5 3 6" xfId="5314" xr:uid="{00000000-0005-0000-0000-0000BA140000}"/>
    <cellStyle name="Calculation 2 2 2 5 4" xfId="5315" xr:uid="{00000000-0005-0000-0000-0000BB140000}"/>
    <cellStyle name="Calculation 2 2 2 5 4 2" xfId="5316" xr:uid="{00000000-0005-0000-0000-0000BC140000}"/>
    <cellStyle name="Calculation 2 2 2 5 4 3" xfId="5317" xr:uid="{00000000-0005-0000-0000-0000BD140000}"/>
    <cellStyle name="Calculation 2 2 2 5 4 4" xfId="5318" xr:uid="{00000000-0005-0000-0000-0000BE140000}"/>
    <cellStyle name="Calculation 2 2 2 5 4 5" xfId="5319" xr:uid="{00000000-0005-0000-0000-0000BF140000}"/>
    <cellStyle name="Calculation 2 2 2 5 4 6" xfId="5320" xr:uid="{00000000-0005-0000-0000-0000C0140000}"/>
    <cellStyle name="Calculation 2 2 2 5 5" xfId="5321" xr:uid="{00000000-0005-0000-0000-0000C1140000}"/>
    <cellStyle name="Calculation 2 2 2 5 6" xfId="5322" xr:uid="{00000000-0005-0000-0000-0000C2140000}"/>
    <cellStyle name="Calculation 2 2 2 5 7" xfId="5323" xr:uid="{00000000-0005-0000-0000-0000C3140000}"/>
    <cellStyle name="Calculation 2 2 2 5 8" xfId="5324" xr:uid="{00000000-0005-0000-0000-0000C4140000}"/>
    <cellStyle name="Calculation 2 2 2 6" xfId="5325" xr:uid="{00000000-0005-0000-0000-0000C5140000}"/>
    <cellStyle name="Calculation 2 2 2 6 2" xfId="5326" xr:uid="{00000000-0005-0000-0000-0000C6140000}"/>
    <cellStyle name="Calculation 2 2 2 6 2 2" xfId="5327" xr:uid="{00000000-0005-0000-0000-0000C7140000}"/>
    <cellStyle name="Calculation 2 2 2 6 2 2 2" xfId="5328" xr:uid="{00000000-0005-0000-0000-0000C8140000}"/>
    <cellStyle name="Calculation 2 2 2 6 2 2 3" xfId="5329" xr:uid="{00000000-0005-0000-0000-0000C9140000}"/>
    <cellStyle name="Calculation 2 2 2 6 2 2 4" xfId="5330" xr:uid="{00000000-0005-0000-0000-0000CA140000}"/>
    <cellStyle name="Calculation 2 2 2 6 2 2 5" xfId="5331" xr:uid="{00000000-0005-0000-0000-0000CB140000}"/>
    <cellStyle name="Calculation 2 2 2 6 2 2 6" xfId="5332" xr:uid="{00000000-0005-0000-0000-0000CC140000}"/>
    <cellStyle name="Calculation 2 2 2 6 2 3" xfId="5333" xr:uid="{00000000-0005-0000-0000-0000CD140000}"/>
    <cellStyle name="Calculation 2 2 2 6 2 4" xfId="5334" xr:uid="{00000000-0005-0000-0000-0000CE140000}"/>
    <cellStyle name="Calculation 2 2 2 6 2 5" xfId="5335" xr:uid="{00000000-0005-0000-0000-0000CF140000}"/>
    <cellStyle name="Calculation 2 2 2 6 2 6" xfId="5336" xr:uid="{00000000-0005-0000-0000-0000D0140000}"/>
    <cellStyle name="Calculation 2 2 2 6 3" xfId="5337" xr:uid="{00000000-0005-0000-0000-0000D1140000}"/>
    <cellStyle name="Calculation 2 2 2 6 3 2" xfId="5338" xr:uid="{00000000-0005-0000-0000-0000D2140000}"/>
    <cellStyle name="Calculation 2 2 2 6 3 2 2" xfId="5339" xr:uid="{00000000-0005-0000-0000-0000D3140000}"/>
    <cellStyle name="Calculation 2 2 2 6 3 2 3" xfId="5340" xr:uid="{00000000-0005-0000-0000-0000D4140000}"/>
    <cellStyle name="Calculation 2 2 2 6 3 2 4" xfId="5341" xr:uid="{00000000-0005-0000-0000-0000D5140000}"/>
    <cellStyle name="Calculation 2 2 2 6 3 2 5" xfId="5342" xr:uid="{00000000-0005-0000-0000-0000D6140000}"/>
    <cellStyle name="Calculation 2 2 2 6 3 2 6" xfId="5343" xr:uid="{00000000-0005-0000-0000-0000D7140000}"/>
    <cellStyle name="Calculation 2 2 2 6 3 3" xfId="5344" xr:uid="{00000000-0005-0000-0000-0000D8140000}"/>
    <cellStyle name="Calculation 2 2 2 6 3 4" xfId="5345" xr:uid="{00000000-0005-0000-0000-0000D9140000}"/>
    <cellStyle name="Calculation 2 2 2 6 3 5" xfId="5346" xr:uid="{00000000-0005-0000-0000-0000DA140000}"/>
    <cellStyle name="Calculation 2 2 2 6 3 6" xfId="5347" xr:uid="{00000000-0005-0000-0000-0000DB140000}"/>
    <cellStyle name="Calculation 2 2 2 6 4" xfId="5348" xr:uid="{00000000-0005-0000-0000-0000DC140000}"/>
    <cellStyle name="Calculation 2 2 2 6 4 2" xfId="5349" xr:uid="{00000000-0005-0000-0000-0000DD140000}"/>
    <cellStyle name="Calculation 2 2 2 6 4 3" xfId="5350" xr:uid="{00000000-0005-0000-0000-0000DE140000}"/>
    <cellStyle name="Calculation 2 2 2 6 4 4" xfId="5351" xr:uid="{00000000-0005-0000-0000-0000DF140000}"/>
    <cellStyle name="Calculation 2 2 2 6 4 5" xfId="5352" xr:uid="{00000000-0005-0000-0000-0000E0140000}"/>
    <cellStyle name="Calculation 2 2 2 6 4 6" xfId="5353" xr:uid="{00000000-0005-0000-0000-0000E1140000}"/>
    <cellStyle name="Calculation 2 2 2 6 5" xfId="5354" xr:uid="{00000000-0005-0000-0000-0000E2140000}"/>
    <cellStyle name="Calculation 2 2 2 6 6" xfId="5355" xr:uid="{00000000-0005-0000-0000-0000E3140000}"/>
    <cellStyle name="Calculation 2 2 2 6 7" xfId="5356" xr:uid="{00000000-0005-0000-0000-0000E4140000}"/>
    <cellStyle name="Calculation 2 2 2 6 8" xfId="5357" xr:uid="{00000000-0005-0000-0000-0000E5140000}"/>
    <cellStyle name="Calculation 2 2 2 7" xfId="5358" xr:uid="{00000000-0005-0000-0000-0000E6140000}"/>
    <cellStyle name="Calculation 2 2 2 7 2" xfId="5359" xr:uid="{00000000-0005-0000-0000-0000E7140000}"/>
    <cellStyle name="Calculation 2 2 2 7 2 2" xfId="5360" xr:uid="{00000000-0005-0000-0000-0000E8140000}"/>
    <cellStyle name="Calculation 2 2 2 7 2 3" xfId="5361" xr:uid="{00000000-0005-0000-0000-0000E9140000}"/>
    <cellStyle name="Calculation 2 2 2 7 2 4" xfId="5362" xr:uid="{00000000-0005-0000-0000-0000EA140000}"/>
    <cellStyle name="Calculation 2 2 2 7 2 5" xfId="5363" xr:uid="{00000000-0005-0000-0000-0000EB140000}"/>
    <cellStyle name="Calculation 2 2 2 7 2 6" xfId="5364" xr:uid="{00000000-0005-0000-0000-0000EC140000}"/>
    <cellStyle name="Calculation 2 2 2 7 3" xfId="5365" xr:uid="{00000000-0005-0000-0000-0000ED140000}"/>
    <cellStyle name="Calculation 2 2 2 7 4" xfId="5366" xr:uid="{00000000-0005-0000-0000-0000EE140000}"/>
    <cellStyle name="Calculation 2 2 2 7 5" xfId="5367" xr:uid="{00000000-0005-0000-0000-0000EF140000}"/>
    <cellStyle name="Calculation 2 2 2 7 6" xfId="5368" xr:uid="{00000000-0005-0000-0000-0000F0140000}"/>
    <cellStyle name="Calculation 2 2 2 8" xfId="5369" xr:uid="{00000000-0005-0000-0000-0000F1140000}"/>
    <cellStyle name="Calculation 2 2 2 8 2" xfId="5370" xr:uid="{00000000-0005-0000-0000-0000F2140000}"/>
    <cellStyle name="Calculation 2 2 2 8 2 2" xfId="5371" xr:uid="{00000000-0005-0000-0000-0000F3140000}"/>
    <cellStyle name="Calculation 2 2 2 8 2 3" xfId="5372" xr:uid="{00000000-0005-0000-0000-0000F4140000}"/>
    <cellStyle name="Calculation 2 2 2 8 2 4" xfId="5373" xr:uid="{00000000-0005-0000-0000-0000F5140000}"/>
    <cellStyle name="Calculation 2 2 2 8 2 5" xfId="5374" xr:uid="{00000000-0005-0000-0000-0000F6140000}"/>
    <cellStyle name="Calculation 2 2 2 8 2 6" xfId="5375" xr:uid="{00000000-0005-0000-0000-0000F7140000}"/>
    <cellStyle name="Calculation 2 2 2 8 3" xfId="5376" xr:uid="{00000000-0005-0000-0000-0000F8140000}"/>
    <cellStyle name="Calculation 2 2 2 8 4" xfId="5377" xr:uid="{00000000-0005-0000-0000-0000F9140000}"/>
    <cellStyle name="Calculation 2 2 2 8 5" xfId="5378" xr:uid="{00000000-0005-0000-0000-0000FA140000}"/>
    <cellStyle name="Calculation 2 2 2 8 6" xfId="5379" xr:uid="{00000000-0005-0000-0000-0000FB140000}"/>
    <cellStyle name="Calculation 2 2 2 9" xfId="5380" xr:uid="{00000000-0005-0000-0000-0000FC140000}"/>
    <cellStyle name="Calculation 2 2 2 9 2" xfId="5381" xr:uid="{00000000-0005-0000-0000-0000FD140000}"/>
    <cellStyle name="Calculation 2 2 2 9 3" xfId="5382" xr:uid="{00000000-0005-0000-0000-0000FE140000}"/>
    <cellStyle name="Calculation 2 2 2 9 4" xfId="5383" xr:uid="{00000000-0005-0000-0000-0000FF140000}"/>
    <cellStyle name="Calculation 2 2 2 9 5" xfId="5384" xr:uid="{00000000-0005-0000-0000-000000150000}"/>
    <cellStyle name="Calculation 2 2 2 9 6" xfId="5385" xr:uid="{00000000-0005-0000-0000-000001150000}"/>
    <cellStyle name="Calculation 2 2 20" xfId="5386" xr:uid="{00000000-0005-0000-0000-000002150000}"/>
    <cellStyle name="Calculation 2 2 20 2" xfId="5387" xr:uid="{00000000-0005-0000-0000-000003150000}"/>
    <cellStyle name="Calculation 2 2 20 2 2" xfId="5388" xr:uid="{00000000-0005-0000-0000-000004150000}"/>
    <cellStyle name="Calculation 2 2 20 2 3" xfId="5389" xr:uid="{00000000-0005-0000-0000-000005150000}"/>
    <cellStyle name="Calculation 2 2 20 2 4" xfId="5390" xr:uid="{00000000-0005-0000-0000-000006150000}"/>
    <cellStyle name="Calculation 2 2 20 2 5" xfId="5391" xr:uid="{00000000-0005-0000-0000-000007150000}"/>
    <cellStyle name="Calculation 2 2 20 3" xfId="5392" xr:uid="{00000000-0005-0000-0000-000008150000}"/>
    <cellStyle name="Calculation 2 2 20 4" xfId="5393" xr:uid="{00000000-0005-0000-0000-000009150000}"/>
    <cellStyle name="Calculation 2 2 20 5" xfId="5394" xr:uid="{00000000-0005-0000-0000-00000A150000}"/>
    <cellStyle name="Calculation 2 2 20 6" xfId="5395" xr:uid="{00000000-0005-0000-0000-00000B150000}"/>
    <cellStyle name="Calculation 2 2 21" xfId="5396" xr:uid="{00000000-0005-0000-0000-00000C150000}"/>
    <cellStyle name="Calculation 2 2 21 2" xfId="5397" xr:uid="{00000000-0005-0000-0000-00000D150000}"/>
    <cellStyle name="Calculation 2 2 21 2 2" xfId="5398" xr:uid="{00000000-0005-0000-0000-00000E150000}"/>
    <cellStyle name="Calculation 2 2 21 2 3" xfId="5399" xr:uid="{00000000-0005-0000-0000-00000F150000}"/>
    <cellStyle name="Calculation 2 2 21 2 4" xfId="5400" xr:uid="{00000000-0005-0000-0000-000010150000}"/>
    <cellStyle name="Calculation 2 2 21 2 5" xfId="5401" xr:uid="{00000000-0005-0000-0000-000011150000}"/>
    <cellStyle name="Calculation 2 2 21 3" xfId="5402" xr:uid="{00000000-0005-0000-0000-000012150000}"/>
    <cellStyle name="Calculation 2 2 21 4" xfId="5403" xr:uid="{00000000-0005-0000-0000-000013150000}"/>
    <cellStyle name="Calculation 2 2 21 5" xfId="5404" xr:uid="{00000000-0005-0000-0000-000014150000}"/>
    <cellStyle name="Calculation 2 2 21 6" xfId="5405" xr:uid="{00000000-0005-0000-0000-000015150000}"/>
    <cellStyle name="Calculation 2 2 22" xfId="5406" xr:uid="{00000000-0005-0000-0000-000016150000}"/>
    <cellStyle name="Calculation 2 2 22 2" xfId="5407" xr:uid="{00000000-0005-0000-0000-000017150000}"/>
    <cellStyle name="Calculation 2 2 22 2 2" xfId="5408" xr:uid="{00000000-0005-0000-0000-000018150000}"/>
    <cellStyle name="Calculation 2 2 22 2 3" xfId="5409" xr:uid="{00000000-0005-0000-0000-000019150000}"/>
    <cellStyle name="Calculation 2 2 22 2 4" xfId="5410" xr:uid="{00000000-0005-0000-0000-00001A150000}"/>
    <cellStyle name="Calculation 2 2 22 2 5" xfId="5411" xr:uid="{00000000-0005-0000-0000-00001B150000}"/>
    <cellStyle name="Calculation 2 2 22 3" xfId="5412" xr:uid="{00000000-0005-0000-0000-00001C150000}"/>
    <cellStyle name="Calculation 2 2 22 4" xfId="5413" xr:uid="{00000000-0005-0000-0000-00001D150000}"/>
    <cellStyle name="Calculation 2 2 22 5" xfId="5414" xr:uid="{00000000-0005-0000-0000-00001E150000}"/>
    <cellStyle name="Calculation 2 2 22 6" xfId="5415" xr:uid="{00000000-0005-0000-0000-00001F150000}"/>
    <cellStyle name="Calculation 2 2 23" xfId="5416" xr:uid="{00000000-0005-0000-0000-000020150000}"/>
    <cellStyle name="Calculation 2 2 23 2" xfId="5417" xr:uid="{00000000-0005-0000-0000-000021150000}"/>
    <cellStyle name="Calculation 2 2 23 2 2" xfId="5418" xr:uid="{00000000-0005-0000-0000-000022150000}"/>
    <cellStyle name="Calculation 2 2 23 2 3" xfId="5419" xr:uid="{00000000-0005-0000-0000-000023150000}"/>
    <cellStyle name="Calculation 2 2 23 2 4" xfId="5420" xr:uid="{00000000-0005-0000-0000-000024150000}"/>
    <cellStyle name="Calculation 2 2 23 2 5" xfId="5421" xr:uid="{00000000-0005-0000-0000-000025150000}"/>
    <cellStyle name="Calculation 2 2 23 3" xfId="5422" xr:uid="{00000000-0005-0000-0000-000026150000}"/>
    <cellStyle name="Calculation 2 2 23 4" xfId="5423" xr:uid="{00000000-0005-0000-0000-000027150000}"/>
    <cellStyle name="Calculation 2 2 23 5" xfId="5424" xr:uid="{00000000-0005-0000-0000-000028150000}"/>
    <cellStyle name="Calculation 2 2 23 6" xfId="5425" xr:uid="{00000000-0005-0000-0000-000029150000}"/>
    <cellStyle name="Calculation 2 2 24" xfId="5426" xr:uid="{00000000-0005-0000-0000-00002A150000}"/>
    <cellStyle name="Calculation 2 2 24 2" xfId="5427" xr:uid="{00000000-0005-0000-0000-00002B150000}"/>
    <cellStyle name="Calculation 2 2 24 2 2" xfId="5428" xr:uid="{00000000-0005-0000-0000-00002C150000}"/>
    <cellStyle name="Calculation 2 2 24 2 3" xfId="5429" xr:uid="{00000000-0005-0000-0000-00002D150000}"/>
    <cellStyle name="Calculation 2 2 24 2 4" xfId="5430" xr:uid="{00000000-0005-0000-0000-00002E150000}"/>
    <cellStyle name="Calculation 2 2 24 2 5" xfId="5431" xr:uid="{00000000-0005-0000-0000-00002F150000}"/>
    <cellStyle name="Calculation 2 2 24 3" xfId="5432" xr:uid="{00000000-0005-0000-0000-000030150000}"/>
    <cellStyle name="Calculation 2 2 24 4" xfId="5433" xr:uid="{00000000-0005-0000-0000-000031150000}"/>
    <cellStyle name="Calculation 2 2 24 5" xfId="5434" xr:uid="{00000000-0005-0000-0000-000032150000}"/>
    <cellStyle name="Calculation 2 2 24 6" xfId="5435" xr:uid="{00000000-0005-0000-0000-000033150000}"/>
    <cellStyle name="Calculation 2 2 25" xfId="5436" xr:uid="{00000000-0005-0000-0000-000034150000}"/>
    <cellStyle name="Calculation 2 2 25 2" xfId="5437" xr:uid="{00000000-0005-0000-0000-000035150000}"/>
    <cellStyle name="Calculation 2 2 25 2 2" xfId="5438" xr:uid="{00000000-0005-0000-0000-000036150000}"/>
    <cellStyle name="Calculation 2 2 25 2 3" xfId="5439" xr:uid="{00000000-0005-0000-0000-000037150000}"/>
    <cellStyle name="Calculation 2 2 25 2 4" xfId="5440" xr:uid="{00000000-0005-0000-0000-000038150000}"/>
    <cellStyle name="Calculation 2 2 25 2 5" xfId="5441" xr:uid="{00000000-0005-0000-0000-000039150000}"/>
    <cellStyle name="Calculation 2 2 25 3" xfId="5442" xr:uid="{00000000-0005-0000-0000-00003A150000}"/>
    <cellStyle name="Calculation 2 2 25 4" xfId="5443" xr:uid="{00000000-0005-0000-0000-00003B150000}"/>
    <cellStyle name="Calculation 2 2 25 5" xfId="5444" xr:uid="{00000000-0005-0000-0000-00003C150000}"/>
    <cellStyle name="Calculation 2 2 25 6" xfId="5445" xr:uid="{00000000-0005-0000-0000-00003D150000}"/>
    <cellStyle name="Calculation 2 2 26" xfId="5446" xr:uid="{00000000-0005-0000-0000-00003E150000}"/>
    <cellStyle name="Calculation 2 2 26 2" xfId="5447" xr:uid="{00000000-0005-0000-0000-00003F150000}"/>
    <cellStyle name="Calculation 2 2 26 2 2" xfId="5448" xr:uid="{00000000-0005-0000-0000-000040150000}"/>
    <cellStyle name="Calculation 2 2 26 2 3" xfId="5449" xr:uid="{00000000-0005-0000-0000-000041150000}"/>
    <cellStyle name="Calculation 2 2 26 2 4" xfId="5450" xr:uid="{00000000-0005-0000-0000-000042150000}"/>
    <cellStyle name="Calculation 2 2 26 2 5" xfId="5451" xr:uid="{00000000-0005-0000-0000-000043150000}"/>
    <cellStyle name="Calculation 2 2 26 3" xfId="5452" xr:uid="{00000000-0005-0000-0000-000044150000}"/>
    <cellStyle name="Calculation 2 2 26 4" xfId="5453" xr:uid="{00000000-0005-0000-0000-000045150000}"/>
    <cellStyle name="Calculation 2 2 26 5" xfId="5454" xr:uid="{00000000-0005-0000-0000-000046150000}"/>
    <cellStyle name="Calculation 2 2 26 6" xfId="5455" xr:uid="{00000000-0005-0000-0000-000047150000}"/>
    <cellStyle name="Calculation 2 2 27" xfId="5456" xr:uid="{00000000-0005-0000-0000-000048150000}"/>
    <cellStyle name="Calculation 2 2 27 2" xfId="5457" xr:uid="{00000000-0005-0000-0000-000049150000}"/>
    <cellStyle name="Calculation 2 2 27 2 2" xfId="5458" xr:uid="{00000000-0005-0000-0000-00004A150000}"/>
    <cellStyle name="Calculation 2 2 27 2 3" xfId="5459" xr:uid="{00000000-0005-0000-0000-00004B150000}"/>
    <cellStyle name="Calculation 2 2 27 2 4" xfId="5460" xr:uid="{00000000-0005-0000-0000-00004C150000}"/>
    <cellStyle name="Calculation 2 2 27 2 5" xfId="5461" xr:uid="{00000000-0005-0000-0000-00004D150000}"/>
    <cellStyle name="Calculation 2 2 27 3" xfId="5462" xr:uid="{00000000-0005-0000-0000-00004E150000}"/>
    <cellStyle name="Calculation 2 2 27 4" xfId="5463" xr:uid="{00000000-0005-0000-0000-00004F150000}"/>
    <cellStyle name="Calculation 2 2 27 5" xfId="5464" xr:uid="{00000000-0005-0000-0000-000050150000}"/>
    <cellStyle name="Calculation 2 2 27 6" xfId="5465" xr:uid="{00000000-0005-0000-0000-000051150000}"/>
    <cellStyle name="Calculation 2 2 28" xfId="5466" xr:uid="{00000000-0005-0000-0000-000052150000}"/>
    <cellStyle name="Calculation 2 2 28 2" xfId="5467" xr:uid="{00000000-0005-0000-0000-000053150000}"/>
    <cellStyle name="Calculation 2 2 28 2 2" xfId="5468" xr:uid="{00000000-0005-0000-0000-000054150000}"/>
    <cellStyle name="Calculation 2 2 28 2 3" xfId="5469" xr:uid="{00000000-0005-0000-0000-000055150000}"/>
    <cellStyle name="Calculation 2 2 28 2 4" xfId="5470" xr:uid="{00000000-0005-0000-0000-000056150000}"/>
    <cellStyle name="Calculation 2 2 28 2 5" xfId="5471" xr:uid="{00000000-0005-0000-0000-000057150000}"/>
    <cellStyle name="Calculation 2 2 28 3" xfId="5472" xr:uid="{00000000-0005-0000-0000-000058150000}"/>
    <cellStyle name="Calculation 2 2 28 4" xfId="5473" xr:uid="{00000000-0005-0000-0000-000059150000}"/>
    <cellStyle name="Calculation 2 2 28 5" xfId="5474" xr:uid="{00000000-0005-0000-0000-00005A150000}"/>
    <cellStyle name="Calculation 2 2 28 6" xfId="5475" xr:uid="{00000000-0005-0000-0000-00005B150000}"/>
    <cellStyle name="Calculation 2 2 29" xfId="5476" xr:uid="{00000000-0005-0000-0000-00005C150000}"/>
    <cellStyle name="Calculation 2 2 29 2" xfId="5477" xr:uid="{00000000-0005-0000-0000-00005D150000}"/>
    <cellStyle name="Calculation 2 2 29 2 2" xfId="5478" xr:uid="{00000000-0005-0000-0000-00005E150000}"/>
    <cellStyle name="Calculation 2 2 29 2 3" xfId="5479" xr:uid="{00000000-0005-0000-0000-00005F150000}"/>
    <cellStyle name="Calculation 2 2 29 2 4" xfId="5480" xr:uid="{00000000-0005-0000-0000-000060150000}"/>
    <cellStyle name="Calculation 2 2 29 2 5" xfId="5481" xr:uid="{00000000-0005-0000-0000-000061150000}"/>
    <cellStyle name="Calculation 2 2 29 3" xfId="5482" xr:uid="{00000000-0005-0000-0000-000062150000}"/>
    <cellStyle name="Calculation 2 2 29 4" xfId="5483" xr:uid="{00000000-0005-0000-0000-000063150000}"/>
    <cellStyle name="Calculation 2 2 29 5" xfId="5484" xr:uid="{00000000-0005-0000-0000-000064150000}"/>
    <cellStyle name="Calculation 2 2 29 6" xfId="5485" xr:uid="{00000000-0005-0000-0000-000065150000}"/>
    <cellStyle name="Calculation 2 2 3" xfId="5486" xr:uid="{00000000-0005-0000-0000-000066150000}"/>
    <cellStyle name="Calculation 2 2 3 10" xfId="5487" xr:uid="{00000000-0005-0000-0000-000067150000}"/>
    <cellStyle name="Calculation 2 2 3 10 2" xfId="5488" xr:uid="{00000000-0005-0000-0000-000068150000}"/>
    <cellStyle name="Calculation 2 2 3 10 3" xfId="5489" xr:uid="{00000000-0005-0000-0000-000069150000}"/>
    <cellStyle name="Calculation 2 2 3 10 4" xfId="5490" xr:uid="{00000000-0005-0000-0000-00006A150000}"/>
    <cellStyle name="Calculation 2 2 3 10 5" xfId="5491" xr:uid="{00000000-0005-0000-0000-00006B150000}"/>
    <cellStyle name="Calculation 2 2 3 10 6" xfId="5492" xr:uid="{00000000-0005-0000-0000-00006C150000}"/>
    <cellStyle name="Calculation 2 2 3 11" xfId="5493" xr:uid="{00000000-0005-0000-0000-00006D150000}"/>
    <cellStyle name="Calculation 2 2 3 11 2" xfId="5494" xr:uid="{00000000-0005-0000-0000-00006E150000}"/>
    <cellStyle name="Calculation 2 2 3 11 3" xfId="5495" xr:uid="{00000000-0005-0000-0000-00006F150000}"/>
    <cellStyle name="Calculation 2 2 3 11 4" xfId="5496" xr:uid="{00000000-0005-0000-0000-000070150000}"/>
    <cellStyle name="Calculation 2 2 3 11 5" xfId="5497" xr:uid="{00000000-0005-0000-0000-000071150000}"/>
    <cellStyle name="Calculation 2 2 3 12" xfId="5498" xr:uid="{00000000-0005-0000-0000-000072150000}"/>
    <cellStyle name="Calculation 2 2 3 13" xfId="5499" xr:uid="{00000000-0005-0000-0000-000073150000}"/>
    <cellStyle name="Calculation 2 2 3 14" xfId="5500" xr:uid="{00000000-0005-0000-0000-000074150000}"/>
    <cellStyle name="Calculation 2 2 3 15" xfId="5501" xr:uid="{00000000-0005-0000-0000-000075150000}"/>
    <cellStyle name="Calculation 2 2 3 2" xfId="5502" xr:uid="{00000000-0005-0000-0000-000076150000}"/>
    <cellStyle name="Calculation 2 2 3 2 10" xfId="5503" xr:uid="{00000000-0005-0000-0000-000077150000}"/>
    <cellStyle name="Calculation 2 2 3 2 10 2" xfId="5504" xr:uid="{00000000-0005-0000-0000-000078150000}"/>
    <cellStyle name="Calculation 2 2 3 2 10 3" xfId="5505" xr:uid="{00000000-0005-0000-0000-000079150000}"/>
    <cellStyle name="Calculation 2 2 3 2 10 4" xfId="5506" xr:uid="{00000000-0005-0000-0000-00007A150000}"/>
    <cellStyle name="Calculation 2 2 3 2 10 5" xfId="5507" xr:uid="{00000000-0005-0000-0000-00007B150000}"/>
    <cellStyle name="Calculation 2 2 3 2 11" xfId="5508" xr:uid="{00000000-0005-0000-0000-00007C150000}"/>
    <cellStyle name="Calculation 2 2 3 2 12" xfId="5509" xr:uid="{00000000-0005-0000-0000-00007D150000}"/>
    <cellStyle name="Calculation 2 2 3 2 13" xfId="5510" xr:uid="{00000000-0005-0000-0000-00007E150000}"/>
    <cellStyle name="Calculation 2 2 3 2 14" xfId="5511" xr:uid="{00000000-0005-0000-0000-00007F150000}"/>
    <cellStyle name="Calculation 2 2 3 2 2" xfId="5512" xr:uid="{00000000-0005-0000-0000-000080150000}"/>
    <cellStyle name="Calculation 2 2 3 2 2 2" xfId="5513" xr:uid="{00000000-0005-0000-0000-000081150000}"/>
    <cellStyle name="Calculation 2 2 3 2 2 2 2" xfId="5514" xr:uid="{00000000-0005-0000-0000-000082150000}"/>
    <cellStyle name="Calculation 2 2 3 2 2 2 2 2" xfId="5515" xr:uid="{00000000-0005-0000-0000-000083150000}"/>
    <cellStyle name="Calculation 2 2 3 2 2 2 2 3" xfId="5516" xr:uid="{00000000-0005-0000-0000-000084150000}"/>
    <cellStyle name="Calculation 2 2 3 2 2 2 2 4" xfId="5517" xr:uid="{00000000-0005-0000-0000-000085150000}"/>
    <cellStyle name="Calculation 2 2 3 2 2 2 2 5" xfId="5518" xr:uid="{00000000-0005-0000-0000-000086150000}"/>
    <cellStyle name="Calculation 2 2 3 2 2 2 2 6" xfId="5519" xr:uid="{00000000-0005-0000-0000-000087150000}"/>
    <cellStyle name="Calculation 2 2 3 2 2 2 3" xfId="5520" xr:uid="{00000000-0005-0000-0000-000088150000}"/>
    <cellStyle name="Calculation 2 2 3 2 2 2 4" xfId="5521" xr:uid="{00000000-0005-0000-0000-000089150000}"/>
    <cellStyle name="Calculation 2 2 3 2 2 2 5" xfId="5522" xr:uid="{00000000-0005-0000-0000-00008A150000}"/>
    <cellStyle name="Calculation 2 2 3 2 2 2 6" xfId="5523" xr:uid="{00000000-0005-0000-0000-00008B150000}"/>
    <cellStyle name="Calculation 2 2 3 2 2 3" xfId="5524" xr:uid="{00000000-0005-0000-0000-00008C150000}"/>
    <cellStyle name="Calculation 2 2 3 2 2 3 2" xfId="5525" xr:uid="{00000000-0005-0000-0000-00008D150000}"/>
    <cellStyle name="Calculation 2 2 3 2 2 3 2 2" xfId="5526" xr:uid="{00000000-0005-0000-0000-00008E150000}"/>
    <cellStyle name="Calculation 2 2 3 2 2 3 2 3" xfId="5527" xr:uid="{00000000-0005-0000-0000-00008F150000}"/>
    <cellStyle name="Calculation 2 2 3 2 2 3 2 4" xfId="5528" xr:uid="{00000000-0005-0000-0000-000090150000}"/>
    <cellStyle name="Calculation 2 2 3 2 2 3 2 5" xfId="5529" xr:uid="{00000000-0005-0000-0000-000091150000}"/>
    <cellStyle name="Calculation 2 2 3 2 2 3 2 6" xfId="5530" xr:uid="{00000000-0005-0000-0000-000092150000}"/>
    <cellStyle name="Calculation 2 2 3 2 2 3 3" xfId="5531" xr:uid="{00000000-0005-0000-0000-000093150000}"/>
    <cellStyle name="Calculation 2 2 3 2 2 3 4" xfId="5532" xr:uid="{00000000-0005-0000-0000-000094150000}"/>
    <cellStyle name="Calculation 2 2 3 2 2 3 5" xfId="5533" xr:uid="{00000000-0005-0000-0000-000095150000}"/>
    <cellStyle name="Calculation 2 2 3 2 2 3 6" xfId="5534" xr:uid="{00000000-0005-0000-0000-000096150000}"/>
    <cellStyle name="Calculation 2 2 3 2 2 4" xfId="5535" xr:uid="{00000000-0005-0000-0000-000097150000}"/>
    <cellStyle name="Calculation 2 2 3 2 2 4 2" xfId="5536" xr:uid="{00000000-0005-0000-0000-000098150000}"/>
    <cellStyle name="Calculation 2 2 3 2 2 4 3" xfId="5537" xr:uid="{00000000-0005-0000-0000-000099150000}"/>
    <cellStyle name="Calculation 2 2 3 2 2 4 4" xfId="5538" xr:uid="{00000000-0005-0000-0000-00009A150000}"/>
    <cellStyle name="Calculation 2 2 3 2 2 4 5" xfId="5539" xr:uid="{00000000-0005-0000-0000-00009B150000}"/>
    <cellStyle name="Calculation 2 2 3 2 2 4 6" xfId="5540" xr:uid="{00000000-0005-0000-0000-00009C150000}"/>
    <cellStyle name="Calculation 2 2 3 2 2 5" xfId="5541" xr:uid="{00000000-0005-0000-0000-00009D150000}"/>
    <cellStyle name="Calculation 2 2 3 2 2 6" xfId="5542" xr:uid="{00000000-0005-0000-0000-00009E150000}"/>
    <cellStyle name="Calculation 2 2 3 2 2 7" xfId="5543" xr:uid="{00000000-0005-0000-0000-00009F150000}"/>
    <cellStyle name="Calculation 2 2 3 2 2 8" xfId="5544" xr:uid="{00000000-0005-0000-0000-0000A0150000}"/>
    <cellStyle name="Calculation 2 2 3 2 3" xfId="5545" xr:uid="{00000000-0005-0000-0000-0000A1150000}"/>
    <cellStyle name="Calculation 2 2 3 2 3 2" xfId="5546" xr:uid="{00000000-0005-0000-0000-0000A2150000}"/>
    <cellStyle name="Calculation 2 2 3 2 3 2 2" xfId="5547" xr:uid="{00000000-0005-0000-0000-0000A3150000}"/>
    <cellStyle name="Calculation 2 2 3 2 3 2 2 2" xfId="5548" xr:uid="{00000000-0005-0000-0000-0000A4150000}"/>
    <cellStyle name="Calculation 2 2 3 2 3 2 2 3" xfId="5549" xr:uid="{00000000-0005-0000-0000-0000A5150000}"/>
    <cellStyle name="Calculation 2 2 3 2 3 2 2 4" xfId="5550" xr:uid="{00000000-0005-0000-0000-0000A6150000}"/>
    <cellStyle name="Calculation 2 2 3 2 3 2 2 5" xfId="5551" xr:uid="{00000000-0005-0000-0000-0000A7150000}"/>
    <cellStyle name="Calculation 2 2 3 2 3 2 2 6" xfId="5552" xr:uid="{00000000-0005-0000-0000-0000A8150000}"/>
    <cellStyle name="Calculation 2 2 3 2 3 2 3" xfId="5553" xr:uid="{00000000-0005-0000-0000-0000A9150000}"/>
    <cellStyle name="Calculation 2 2 3 2 3 2 4" xfId="5554" xr:uid="{00000000-0005-0000-0000-0000AA150000}"/>
    <cellStyle name="Calculation 2 2 3 2 3 2 5" xfId="5555" xr:uid="{00000000-0005-0000-0000-0000AB150000}"/>
    <cellStyle name="Calculation 2 2 3 2 3 2 6" xfId="5556" xr:uid="{00000000-0005-0000-0000-0000AC150000}"/>
    <cellStyle name="Calculation 2 2 3 2 3 3" xfId="5557" xr:uid="{00000000-0005-0000-0000-0000AD150000}"/>
    <cellStyle name="Calculation 2 2 3 2 3 3 2" xfId="5558" xr:uid="{00000000-0005-0000-0000-0000AE150000}"/>
    <cellStyle name="Calculation 2 2 3 2 3 3 2 2" xfId="5559" xr:uid="{00000000-0005-0000-0000-0000AF150000}"/>
    <cellStyle name="Calculation 2 2 3 2 3 3 2 3" xfId="5560" xr:uid="{00000000-0005-0000-0000-0000B0150000}"/>
    <cellStyle name="Calculation 2 2 3 2 3 3 2 4" xfId="5561" xr:uid="{00000000-0005-0000-0000-0000B1150000}"/>
    <cellStyle name="Calculation 2 2 3 2 3 3 2 5" xfId="5562" xr:uid="{00000000-0005-0000-0000-0000B2150000}"/>
    <cellStyle name="Calculation 2 2 3 2 3 3 2 6" xfId="5563" xr:uid="{00000000-0005-0000-0000-0000B3150000}"/>
    <cellStyle name="Calculation 2 2 3 2 3 3 3" xfId="5564" xr:uid="{00000000-0005-0000-0000-0000B4150000}"/>
    <cellStyle name="Calculation 2 2 3 2 3 3 4" xfId="5565" xr:uid="{00000000-0005-0000-0000-0000B5150000}"/>
    <cellStyle name="Calculation 2 2 3 2 3 3 5" xfId="5566" xr:uid="{00000000-0005-0000-0000-0000B6150000}"/>
    <cellStyle name="Calculation 2 2 3 2 3 3 6" xfId="5567" xr:uid="{00000000-0005-0000-0000-0000B7150000}"/>
    <cellStyle name="Calculation 2 2 3 2 3 4" xfId="5568" xr:uid="{00000000-0005-0000-0000-0000B8150000}"/>
    <cellStyle name="Calculation 2 2 3 2 3 4 2" xfId="5569" xr:uid="{00000000-0005-0000-0000-0000B9150000}"/>
    <cellStyle name="Calculation 2 2 3 2 3 4 3" xfId="5570" xr:uid="{00000000-0005-0000-0000-0000BA150000}"/>
    <cellStyle name="Calculation 2 2 3 2 3 4 4" xfId="5571" xr:uid="{00000000-0005-0000-0000-0000BB150000}"/>
    <cellStyle name="Calculation 2 2 3 2 3 4 5" xfId="5572" xr:uid="{00000000-0005-0000-0000-0000BC150000}"/>
    <cellStyle name="Calculation 2 2 3 2 3 4 6" xfId="5573" xr:uid="{00000000-0005-0000-0000-0000BD150000}"/>
    <cellStyle name="Calculation 2 2 3 2 3 5" xfId="5574" xr:uid="{00000000-0005-0000-0000-0000BE150000}"/>
    <cellStyle name="Calculation 2 2 3 2 3 6" xfId="5575" xr:uid="{00000000-0005-0000-0000-0000BF150000}"/>
    <cellStyle name="Calculation 2 2 3 2 3 7" xfId="5576" xr:uid="{00000000-0005-0000-0000-0000C0150000}"/>
    <cellStyle name="Calculation 2 2 3 2 3 8" xfId="5577" xr:uid="{00000000-0005-0000-0000-0000C1150000}"/>
    <cellStyle name="Calculation 2 2 3 2 4" xfId="5578" xr:uid="{00000000-0005-0000-0000-0000C2150000}"/>
    <cellStyle name="Calculation 2 2 3 2 4 2" xfId="5579" xr:uid="{00000000-0005-0000-0000-0000C3150000}"/>
    <cellStyle name="Calculation 2 2 3 2 4 2 2" xfId="5580" xr:uid="{00000000-0005-0000-0000-0000C4150000}"/>
    <cellStyle name="Calculation 2 2 3 2 4 2 2 2" xfId="5581" xr:uid="{00000000-0005-0000-0000-0000C5150000}"/>
    <cellStyle name="Calculation 2 2 3 2 4 2 2 3" xfId="5582" xr:uid="{00000000-0005-0000-0000-0000C6150000}"/>
    <cellStyle name="Calculation 2 2 3 2 4 2 2 4" xfId="5583" xr:uid="{00000000-0005-0000-0000-0000C7150000}"/>
    <cellStyle name="Calculation 2 2 3 2 4 2 2 5" xfId="5584" xr:uid="{00000000-0005-0000-0000-0000C8150000}"/>
    <cellStyle name="Calculation 2 2 3 2 4 2 2 6" xfId="5585" xr:uid="{00000000-0005-0000-0000-0000C9150000}"/>
    <cellStyle name="Calculation 2 2 3 2 4 2 3" xfId="5586" xr:uid="{00000000-0005-0000-0000-0000CA150000}"/>
    <cellStyle name="Calculation 2 2 3 2 4 2 4" xfId="5587" xr:uid="{00000000-0005-0000-0000-0000CB150000}"/>
    <cellStyle name="Calculation 2 2 3 2 4 2 5" xfId="5588" xr:uid="{00000000-0005-0000-0000-0000CC150000}"/>
    <cellStyle name="Calculation 2 2 3 2 4 2 6" xfId="5589" xr:uid="{00000000-0005-0000-0000-0000CD150000}"/>
    <cellStyle name="Calculation 2 2 3 2 4 3" xfId="5590" xr:uid="{00000000-0005-0000-0000-0000CE150000}"/>
    <cellStyle name="Calculation 2 2 3 2 4 3 2" xfId="5591" xr:uid="{00000000-0005-0000-0000-0000CF150000}"/>
    <cellStyle name="Calculation 2 2 3 2 4 3 2 2" xfId="5592" xr:uid="{00000000-0005-0000-0000-0000D0150000}"/>
    <cellStyle name="Calculation 2 2 3 2 4 3 2 3" xfId="5593" xr:uid="{00000000-0005-0000-0000-0000D1150000}"/>
    <cellStyle name="Calculation 2 2 3 2 4 3 2 4" xfId="5594" xr:uid="{00000000-0005-0000-0000-0000D2150000}"/>
    <cellStyle name="Calculation 2 2 3 2 4 3 2 5" xfId="5595" xr:uid="{00000000-0005-0000-0000-0000D3150000}"/>
    <cellStyle name="Calculation 2 2 3 2 4 3 2 6" xfId="5596" xr:uid="{00000000-0005-0000-0000-0000D4150000}"/>
    <cellStyle name="Calculation 2 2 3 2 4 3 3" xfId="5597" xr:uid="{00000000-0005-0000-0000-0000D5150000}"/>
    <cellStyle name="Calculation 2 2 3 2 4 3 4" xfId="5598" xr:uid="{00000000-0005-0000-0000-0000D6150000}"/>
    <cellStyle name="Calculation 2 2 3 2 4 3 5" xfId="5599" xr:uid="{00000000-0005-0000-0000-0000D7150000}"/>
    <cellStyle name="Calculation 2 2 3 2 4 3 6" xfId="5600" xr:uid="{00000000-0005-0000-0000-0000D8150000}"/>
    <cellStyle name="Calculation 2 2 3 2 4 4" xfId="5601" xr:uid="{00000000-0005-0000-0000-0000D9150000}"/>
    <cellStyle name="Calculation 2 2 3 2 4 4 2" xfId="5602" xr:uid="{00000000-0005-0000-0000-0000DA150000}"/>
    <cellStyle name="Calculation 2 2 3 2 4 4 3" xfId="5603" xr:uid="{00000000-0005-0000-0000-0000DB150000}"/>
    <cellStyle name="Calculation 2 2 3 2 4 4 4" xfId="5604" xr:uid="{00000000-0005-0000-0000-0000DC150000}"/>
    <cellStyle name="Calculation 2 2 3 2 4 4 5" xfId="5605" xr:uid="{00000000-0005-0000-0000-0000DD150000}"/>
    <cellStyle name="Calculation 2 2 3 2 4 4 6" xfId="5606" xr:uid="{00000000-0005-0000-0000-0000DE150000}"/>
    <cellStyle name="Calculation 2 2 3 2 4 5" xfId="5607" xr:uid="{00000000-0005-0000-0000-0000DF150000}"/>
    <cellStyle name="Calculation 2 2 3 2 4 6" xfId="5608" xr:uid="{00000000-0005-0000-0000-0000E0150000}"/>
    <cellStyle name="Calculation 2 2 3 2 4 7" xfId="5609" xr:uid="{00000000-0005-0000-0000-0000E1150000}"/>
    <cellStyle name="Calculation 2 2 3 2 4 8" xfId="5610" xr:uid="{00000000-0005-0000-0000-0000E2150000}"/>
    <cellStyle name="Calculation 2 2 3 2 5" xfId="5611" xr:uid="{00000000-0005-0000-0000-0000E3150000}"/>
    <cellStyle name="Calculation 2 2 3 2 5 2" xfId="5612" xr:uid="{00000000-0005-0000-0000-0000E4150000}"/>
    <cellStyle name="Calculation 2 2 3 2 5 2 2" xfId="5613" xr:uid="{00000000-0005-0000-0000-0000E5150000}"/>
    <cellStyle name="Calculation 2 2 3 2 5 2 2 2" xfId="5614" xr:uid="{00000000-0005-0000-0000-0000E6150000}"/>
    <cellStyle name="Calculation 2 2 3 2 5 2 2 3" xfId="5615" xr:uid="{00000000-0005-0000-0000-0000E7150000}"/>
    <cellStyle name="Calculation 2 2 3 2 5 2 2 4" xfId="5616" xr:uid="{00000000-0005-0000-0000-0000E8150000}"/>
    <cellStyle name="Calculation 2 2 3 2 5 2 2 5" xfId="5617" xr:uid="{00000000-0005-0000-0000-0000E9150000}"/>
    <cellStyle name="Calculation 2 2 3 2 5 2 2 6" xfId="5618" xr:uid="{00000000-0005-0000-0000-0000EA150000}"/>
    <cellStyle name="Calculation 2 2 3 2 5 2 3" xfId="5619" xr:uid="{00000000-0005-0000-0000-0000EB150000}"/>
    <cellStyle name="Calculation 2 2 3 2 5 2 4" xfId="5620" xr:uid="{00000000-0005-0000-0000-0000EC150000}"/>
    <cellStyle name="Calculation 2 2 3 2 5 2 5" xfId="5621" xr:uid="{00000000-0005-0000-0000-0000ED150000}"/>
    <cellStyle name="Calculation 2 2 3 2 5 2 6" xfId="5622" xr:uid="{00000000-0005-0000-0000-0000EE150000}"/>
    <cellStyle name="Calculation 2 2 3 2 5 3" xfId="5623" xr:uid="{00000000-0005-0000-0000-0000EF150000}"/>
    <cellStyle name="Calculation 2 2 3 2 5 3 2" xfId="5624" xr:uid="{00000000-0005-0000-0000-0000F0150000}"/>
    <cellStyle name="Calculation 2 2 3 2 5 3 2 2" xfId="5625" xr:uid="{00000000-0005-0000-0000-0000F1150000}"/>
    <cellStyle name="Calculation 2 2 3 2 5 3 2 3" xfId="5626" xr:uid="{00000000-0005-0000-0000-0000F2150000}"/>
    <cellStyle name="Calculation 2 2 3 2 5 3 2 4" xfId="5627" xr:uid="{00000000-0005-0000-0000-0000F3150000}"/>
    <cellStyle name="Calculation 2 2 3 2 5 3 2 5" xfId="5628" xr:uid="{00000000-0005-0000-0000-0000F4150000}"/>
    <cellStyle name="Calculation 2 2 3 2 5 3 2 6" xfId="5629" xr:uid="{00000000-0005-0000-0000-0000F5150000}"/>
    <cellStyle name="Calculation 2 2 3 2 5 3 3" xfId="5630" xr:uid="{00000000-0005-0000-0000-0000F6150000}"/>
    <cellStyle name="Calculation 2 2 3 2 5 3 4" xfId="5631" xr:uid="{00000000-0005-0000-0000-0000F7150000}"/>
    <cellStyle name="Calculation 2 2 3 2 5 3 5" xfId="5632" xr:uid="{00000000-0005-0000-0000-0000F8150000}"/>
    <cellStyle name="Calculation 2 2 3 2 5 3 6" xfId="5633" xr:uid="{00000000-0005-0000-0000-0000F9150000}"/>
    <cellStyle name="Calculation 2 2 3 2 5 4" xfId="5634" xr:uid="{00000000-0005-0000-0000-0000FA150000}"/>
    <cellStyle name="Calculation 2 2 3 2 5 4 2" xfId="5635" xr:uid="{00000000-0005-0000-0000-0000FB150000}"/>
    <cellStyle name="Calculation 2 2 3 2 5 4 3" xfId="5636" xr:uid="{00000000-0005-0000-0000-0000FC150000}"/>
    <cellStyle name="Calculation 2 2 3 2 5 4 4" xfId="5637" xr:uid="{00000000-0005-0000-0000-0000FD150000}"/>
    <cellStyle name="Calculation 2 2 3 2 5 4 5" xfId="5638" xr:uid="{00000000-0005-0000-0000-0000FE150000}"/>
    <cellStyle name="Calculation 2 2 3 2 5 4 6" xfId="5639" xr:uid="{00000000-0005-0000-0000-0000FF150000}"/>
    <cellStyle name="Calculation 2 2 3 2 5 5" xfId="5640" xr:uid="{00000000-0005-0000-0000-000000160000}"/>
    <cellStyle name="Calculation 2 2 3 2 5 6" xfId="5641" xr:uid="{00000000-0005-0000-0000-000001160000}"/>
    <cellStyle name="Calculation 2 2 3 2 5 7" xfId="5642" xr:uid="{00000000-0005-0000-0000-000002160000}"/>
    <cellStyle name="Calculation 2 2 3 2 5 8" xfId="5643" xr:uid="{00000000-0005-0000-0000-000003160000}"/>
    <cellStyle name="Calculation 2 2 3 2 6" xfId="5644" xr:uid="{00000000-0005-0000-0000-000004160000}"/>
    <cellStyle name="Calculation 2 2 3 2 6 2" xfId="5645" xr:uid="{00000000-0005-0000-0000-000005160000}"/>
    <cellStyle name="Calculation 2 2 3 2 6 2 2" xfId="5646" xr:uid="{00000000-0005-0000-0000-000006160000}"/>
    <cellStyle name="Calculation 2 2 3 2 6 2 2 2" xfId="5647" xr:uid="{00000000-0005-0000-0000-000007160000}"/>
    <cellStyle name="Calculation 2 2 3 2 6 2 2 3" xfId="5648" xr:uid="{00000000-0005-0000-0000-000008160000}"/>
    <cellStyle name="Calculation 2 2 3 2 6 2 2 4" xfId="5649" xr:uid="{00000000-0005-0000-0000-000009160000}"/>
    <cellStyle name="Calculation 2 2 3 2 6 2 2 5" xfId="5650" xr:uid="{00000000-0005-0000-0000-00000A160000}"/>
    <cellStyle name="Calculation 2 2 3 2 6 2 2 6" xfId="5651" xr:uid="{00000000-0005-0000-0000-00000B160000}"/>
    <cellStyle name="Calculation 2 2 3 2 6 2 3" xfId="5652" xr:uid="{00000000-0005-0000-0000-00000C160000}"/>
    <cellStyle name="Calculation 2 2 3 2 6 2 4" xfId="5653" xr:uid="{00000000-0005-0000-0000-00000D160000}"/>
    <cellStyle name="Calculation 2 2 3 2 6 2 5" xfId="5654" xr:uid="{00000000-0005-0000-0000-00000E160000}"/>
    <cellStyle name="Calculation 2 2 3 2 6 2 6" xfId="5655" xr:uid="{00000000-0005-0000-0000-00000F160000}"/>
    <cellStyle name="Calculation 2 2 3 2 6 3" xfId="5656" xr:uid="{00000000-0005-0000-0000-000010160000}"/>
    <cellStyle name="Calculation 2 2 3 2 6 3 2" xfId="5657" xr:uid="{00000000-0005-0000-0000-000011160000}"/>
    <cellStyle name="Calculation 2 2 3 2 6 3 2 2" xfId="5658" xr:uid="{00000000-0005-0000-0000-000012160000}"/>
    <cellStyle name="Calculation 2 2 3 2 6 3 2 3" xfId="5659" xr:uid="{00000000-0005-0000-0000-000013160000}"/>
    <cellStyle name="Calculation 2 2 3 2 6 3 2 4" xfId="5660" xr:uid="{00000000-0005-0000-0000-000014160000}"/>
    <cellStyle name="Calculation 2 2 3 2 6 3 2 5" xfId="5661" xr:uid="{00000000-0005-0000-0000-000015160000}"/>
    <cellStyle name="Calculation 2 2 3 2 6 3 2 6" xfId="5662" xr:uid="{00000000-0005-0000-0000-000016160000}"/>
    <cellStyle name="Calculation 2 2 3 2 6 3 3" xfId="5663" xr:uid="{00000000-0005-0000-0000-000017160000}"/>
    <cellStyle name="Calculation 2 2 3 2 6 3 4" xfId="5664" xr:uid="{00000000-0005-0000-0000-000018160000}"/>
    <cellStyle name="Calculation 2 2 3 2 6 3 5" xfId="5665" xr:uid="{00000000-0005-0000-0000-000019160000}"/>
    <cellStyle name="Calculation 2 2 3 2 6 3 6" xfId="5666" xr:uid="{00000000-0005-0000-0000-00001A160000}"/>
    <cellStyle name="Calculation 2 2 3 2 6 4" xfId="5667" xr:uid="{00000000-0005-0000-0000-00001B160000}"/>
    <cellStyle name="Calculation 2 2 3 2 6 4 2" xfId="5668" xr:uid="{00000000-0005-0000-0000-00001C160000}"/>
    <cellStyle name="Calculation 2 2 3 2 6 4 3" xfId="5669" xr:uid="{00000000-0005-0000-0000-00001D160000}"/>
    <cellStyle name="Calculation 2 2 3 2 6 4 4" xfId="5670" xr:uid="{00000000-0005-0000-0000-00001E160000}"/>
    <cellStyle name="Calculation 2 2 3 2 6 4 5" xfId="5671" xr:uid="{00000000-0005-0000-0000-00001F160000}"/>
    <cellStyle name="Calculation 2 2 3 2 6 4 6" xfId="5672" xr:uid="{00000000-0005-0000-0000-000020160000}"/>
    <cellStyle name="Calculation 2 2 3 2 6 5" xfId="5673" xr:uid="{00000000-0005-0000-0000-000021160000}"/>
    <cellStyle name="Calculation 2 2 3 2 6 6" xfId="5674" xr:uid="{00000000-0005-0000-0000-000022160000}"/>
    <cellStyle name="Calculation 2 2 3 2 6 7" xfId="5675" xr:uid="{00000000-0005-0000-0000-000023160000}"/>
    <cellStyle name="Calculation 2 2 3 2 6 8" xfId="5676" xr:uid="{00000000-0005-0000-0000-000024160000}"/>
    <cellStyle name="Calculation 2 2 3 2 7" xfId="5677" xr:uid="{00000000-0005-0000-0000-000025160000}"/>
    <cellStyle name="Calculation 2 2 3 2 7 2" xfId="5678" xr:uid="{00000000-0005-0000-0000-000026160000}"/>
    <cellStyle name="Calculation 2 2 3 2 7 2 2" xfId="5679" xr:uid="{00000000-0005-0000-0000-000027160000}"/>
    <cellStyle name="Calculation 2 2 3 2 7 2 3" xfId="5680" xr:uid="{00000000-0005-0000-0000-000028160000}"/>
    <cellStyle name="Calculation 2 2 3 2 7 2 4" xfId="5681" xr:uid="{00000000-0005-0000-0000-000029160000}"/>
    <cellStyle name="Calculation 2 2 3 2 7 2 5" xfId="5682" xr:uid="{00000000-0005-0000-0000-00002A160000}"/>
    <cellStyle name="Calculation 2 2 3 2 7 2 6" xfId="5683" xr:uid="{00000000-0005-0000-0000-00002B160000}"/>
    <cellStyle name="Calculation 2 2 3 2 7 3" xfId="5684" xr:uid="{00000000-0005-0000-0000-00002C160000}"/>
    <cellStyle name="Calculation 2 2 3 2 7 4" xfId="5685" xr:uid="{00000000-0005-0000-0000-00002D160000}"/>
    <cellStyle name="Calculation 2 2 3 2 7 5" xfId="5686" xr:uid="{00000000-0005-0000-0000-00002E160000}"/>
    <cellStyle name="Calculation 2 2 3 2 7 6" xfId="5687" xr:uid="{00000000-0005-0000-0000-00002F160000}"/>
    <cellStyle name="Calculation 2 2 3 2 8" xfId="5688" xr:uid="{00000000-0005-0000-0000-000030160000}"/>
    <cellStyle name="Calculation 2 2 3 2 8 2" xfId="5689" xr:uid="{00000000-0005-0000-0000-000031160000}"/>
    <cellStyle name="Calculation 2 2 3 2 8 2 2" xfId="5690" xr:uid="{00000000-0005-0000-0000-000032160000}"/>
    <cellStyle name="Calculation 2 2 3 2 8 2 3" xfId="5691" xr:uid="{00000000-0005-0000-0000-000033160000}"/>
    <cellStyle name="Calculation 2 2 3 2 8 2 4" xfId="5692" xr:uid="{00000000-0005-0000-0000-000034160000}"/>
    <cellStyle name="Calculation 2 2 3 2 8 2 5" xfId="5693" xr:uid="{00000000-0005-0000-0000-000035160000}"/>
    <cellStyle name="Calculation 2 2 3 2 8 2 6" xfId="5694" xr:uid="{00000000-0005-0000-0000-000036160000}"/>
    <cellStyle name="Calculation 2 2 3 2 8 3" xfId="5695" xr:uid="{00000000-0005-0000-0000-000037160000}"/>
    <cellStyle name="Calculation 2 2 3 2 8 4" xfId="5696" xr:uid="{00000000-0005-0000-0000-000038160000}"/>
    <cellStyle name="Calculation 2 2 3 2 8 5" xfId="5697" xr:uid="{00000000-0005-0000-0000-000039160000}"/>
    <cellStyle name="Calculation 2 2 3 2 8 6" xfId="5698" xr:uid="{00000000-0005-0000-0000-00003A160000}"/>
    <cellStyle name="Calculation 2 2 3 2 9" xfId="5699" xr:uid="{00000000-0005-0000-0000-00003B160000}"/>
    <cellStyle name="Calculation 2 2 3 2 9 2" xfId="5700" xr:uid="{00000000-0005-0000-0000-00003C160000}"/>
    <cellStyle name="Calculation 2 2 3 2 9 3" xfId="5701" xr:uid="{00000000-0005-0000-0000-00003D160000}"/>
    <cellStyle name="Calculation 2 2 3 2 9 4" xfId="5702" xr:uid="{00000000-0005-0000-0000-00003E160000}"/>
    <cellStyle name="Calculation 2 2 3 2 9 5" xfId="5703" xr:uid="{00000000-0005-0000-0000-00003F160000}"/>
    <cellStyle name="Calculation 2 2 3 2 9 6" xfId="5704" xr:uid="{00000000-0005-0000-0000-000040160000}"/>
    <cellStyle name="Calculation 2 2 3 3" xfId="5705" xr:uid="{00000000-0005-0000-0000-000041160000}"/>
    <cellStyle name="Calculation 2 2 3 3 2" xfId="5706" xr:uid="{00000000-0005-0000-0000-000042160000}"/>
    <cellStyle name="Calculation 2 2 3 3 2 2" xfId="5707" xr:uid="{00000000-0005-0000-0000-000043160000}"/>
    <cellStyle name="Calculation 2 2 3 3 2 2 2" xfId="5708" xr:uid="{00000000-0005-0000-0000-000044160000}"/>
    <cellStyle name="Calculation 2 2 3 3 2 2 3" xfId="5709" xr:uid="{00000000-0005-0000-0000-000045160000}"/>
    <cellStyle name="Calculation 2 2 3 3 2 2 4" xfId="5710" xr:uid="{00000000-0005-0000-0000-000046160000}"/>
    <cellStyle name="Calculation 2 2 3 3 2 2 5" xfId="5711" xr:uid="{00000000-0005-0000-0000-000047160000}"/>
    <cellStyle name="Calculation 2 2 3 3 2 2 6" xfId="5712" xr:uid="{00000000-0005-0000-0000-000048160000}"/>
    <cellStyle name="Calculation 2 2 3 3 2 3" xfId="5713" xr:uid="{00000000-0005-0000-0000-000049160000}"/>
    <cellStyle name="Calculation 2 2 3 3 2 4" xfId="5714" xr:uid="{00000000-0005-0000-0000-00004A160000}"/>
    <cellStyle name="Calculation 2 2 3 3 2 5" xfId="5715" xr:uid="{00000000-0005-0000-0000-00004B160000}"/>
    <cellStyle name="Calculation 2 2 3 3 2 6" xfId="5716" xr:uid="{00000000-0005-0000-0000-00004C160000}"/>
    <cellStyle name="Calculation 2 2 3 3 3" xfId="5717" xr:uid="{00000000-0005-0000-0000-00004D160000}"/>
    <cellStyle name="Calculation 2 2 3 3 3 2" xfId="5718" xr:uid="{00000000-0005-0000-0000-00004E160000}"/>
    <cellStyle name="Calculation 2 2 3 3 3 2 2" xfId="5719" xr:uid="{00000000-0005-0000-0000-00004F160000}"/>
    <cellStyle name="Calculation 2 2 3 3 3 2 3" xfId="5720" xr:uid="{00000000-0005-0000-0000-000050160000}"/>
    <cellStyle name="Calculation 2 2 3 3 3 2 4" xfId="5721" xr:uid="{00000000-0005-0000-0000-000051160000}"/>
    <cellStyle name="Calculation 2 2 3 3 3 2 5" xfId="5722" xr:uid="{00000000-0005-0000-0000-000052160000}"/>
    <cellStyle name="Calculation 2 2 3 3 3 2 6" xfId="5723" xr:uid="{00000000-0005-0000-0000-000053160000}"/>
    <cellStyle name="Calculation 2 2 3 3 3 3" xfId="5724" xr:uid="{00000000-0005-0000-0000-000054160000}"/>
    <cellStyle name="Calculation 2 2 3 3 3 4" xfId="5725" xr:uid="{00000000-0005-0000-0000-000055160000}"/>
    <cellStyle name="Calculation 2 2 3 3 3 5" xfId="5726" xr:uid="{00000000-0005-0000-0000-000056160000}"/>
    <cellStyle name="Calculation 2 2 3 3 3 6" xfId="5727" xr:uid="{00000000-0005-0000-0000-000057160000}"/>
    <cellStyle name="Calculation 2 2 3 3 4" xfId="5728" xr:uid="{00000000-0005-0000-0000-000058160000}"/>
    <cellStyle name="Calculation 2 2 3 3 4 2" xfId="5729" xr:uid="{00000000-0005-0000-0000-000059160000}"/>
    <cellStyle name="Calculation 2 2 3 3 4 3" xfId="5730" xr:uid="{00000000-0005-0000-0000-00005A160000}"/>
    <cellStyle name="Calculation 2 2 3 3 4 4" xfId="5731" xr:uid="{00000000-0005-0000-0000-00005B160000}"/>
    <cellStyle name="Calculation 2 2 3 3 4 5" xfId="5732" xr:uid="{00000000-0005-0000-0000-00005C160000}"/>
    <cellStyle name="Calculation 2 2 3 3 4 6" xfId="5733" xr:uid="{00000000-0005-0000-0000-00005D160000}"/>
    <cellStyle name="Calculation 2 2 3 3 5" xfId="5734" xr:uid="{00000000-0005-0000-0000-00005E160000}"/>
    <cellStyle name="Calculation 2 2 3 3 6" xfId="5735" xr:uid="{00000000-0005-0000-0000-00005F160000}"/>
    <cellStyle name="Calculation 2 2 3 3 7" xfId="5736" xr:uid="{00000000-0005-0000-0000-000060160000}"/>
    <cellStyle name="Calculation 2 2 3 3 8" xfId="5737" xr:uid="{00000000-0005-0000-0000-000061160000}"/>
    <cellStyle name="Calculation 2 2 3 4" xfId="5738" xr:uid="{00000000-0005-0000-0000-000062160000}"/>
    <cellStyle name="Calculation 2 2 3 4 2" xfId="5739" xr:uid="{00000000-0005-0000-0000-000063160000}"/>
    <cellStyle name="Calculation 2 2 3 4 2 2" xfId="5740" xr:uid="{00000000-0005-0000-0000-000064160000}"/>
    <cellStyle name="Calculation 2 2 3 4 2 2 2" xfId="5741" xr:uid="{00000000-0005-0000-0000-000065160000}"/>
    <cellStyle name="Calculation 2 2 3 4 2 2 3" xfId="5742" xr:uid="{00000000-0005-0000-0000-000066160000}"/>
    <cellStyle name="Calculation 2 2 3 4 2 2 4" xfId="5743" xr:uid="{00000000-0005-0000-0000-000067160000}"/>
    <cellStyle name="Calculation 2 2 3 4 2 2 5" xfId="5744" xr:uid="{00000000-0005-0000-0000-000068160000}"/>
    <cellStyle name="Calculation 2 2 3 4 2 2 6" xfId="5745" xr:uid="{00000000-0005-0000-0000-000069160000}"/>
    <cellStyle name="Calculation 2 2 3 4 2 3" xfId="5746" xr:uid="{00000000-0005-0000-0000-00006A160000}"/>
    <cellStyle name="Calculation 2 2 3 4 2 4" xfId="5747" xr:uid="{00000000-0005-0000-0000-00006B160000}"/>
    <cellStyle name="Calculation 2 2 3 4 2 5" xfId="5748" xr:uid="{00000000-0005-0000-0000-00006C160000}"/>
    <cellStyle name="Calculation 2 2 3 4 2 6" xfId="5749" xr:uid="{00000000-0005-0000-0000-00006D160000}"/>
    <cellStyle name="Calculation 2 2 3 4 3" xfId="5750" xr:uid="{00000000-0005-0000-0000-00006E160000}"/>
    <cellStyle name="Calculation 2 2 3 4 3 2" xfId="5751" xr:uid="{00000000-0005-0000-0000-00006F160000}"/>
    <cellStyle name="Calculation 2 2 3 4 3 2 2" xfId="5752" xr:uid="{00000000-0005-0000-0000-000070160000}"/>
    <cellStyle name="Calculation 2 2 3 4 3 2 3" xfId="5753" xr:uid="{00000000-0005-0000-0000-000071160000}"/>
    <cellStyle name="Calculation 2 2 3 4 3 2 4" xfId="5754" xr:uid="{00000000-0005-0000-0000-000072160000}"/>
    <cellStyle name="Calculation 2 2 3 4 3 2 5" xfId="5755" xr:uid="{00000000-0005-0000-0000-000073160000}"/>
    <cellStyle name="Calculation 2 2 3 4 3 2 6" xfId="5756" xr:uid="{00000000-0005-0000-0000-000074160000}"/>
    <cellStyle name="Calculation 2 2 3 4 3 3" xfId="5757" xr:uid="{00000000-0005-0000-0000-000075160000}"/>
    <cellStyle name="Calculation 2 2 3 4 3 4" xfId="5758" xr:uid="{00000000-0005-0000-0000-000076160000}"/>
    <cellStyle name="Calculation 2 2 3 4 3 5" xfId="5759" xr:uid="{00000000-0005-0000-0000-000077160000}"/>
    <cellStyle name="Calculation 2 2 3 4 3 6" xfId="5760" xr:uid="{00000000-0005-0000-0000-000078160000}"/>
    <cellStyle name="Calculation 2 2 3 4 4" xfId="5761" xr:uid="{00000000-0005-0000-0000-000079160000}"/>
    <cellStyle name="Calculation 2 2 3 4 4 2" xfId="5762" xr:uid="{00000000-0005-0000-0000-00007A160000}"/>
    <cellStyle name="Calculation 2 2 3 4 4 3" xfId="5763" xr:uid="{00000000-0005-0000-0000-00007B160000}"/>
    <cellStyle name="Calculation 2 2 3 4 4 4" xfId="5764" xr:uid="{00000000-0005-0000-0000-00007C160000}"/>
    <cellStyle name="Calculation 2 2 3 4 4 5" xfId="5765" xr:uid="{00000000-0005-0000-0000-00007D160000}"/>
    <cellStyle name="Calculation 2 2 3 4 4 6" xfId="5766" xr:uid="{00000000-0005-0000-0000-00007E160000}"/>
    <cellStyle name="Calculation 2 2 3 4 5" xfId="5767" xr:uid="{00000000-0005-0000-0000-00007F160000}"/>
    <cellStyle name="Calculation 2 2 3 4 6" xfId="5768" xr:uid="{00000000-0005-0000-0000-000080160000}"/>
    <cellStyle name="Calculation 2 2 3 4 7" xfId="5769" xr:uid="{00000000-0005-0000-0000-000081160000}"/>
    <cellStyle name="Calculation 2 2 3 4 8" xfId="5770" xr:uid="{00000000-0005-0000-0000-000082160000}"/>
    <cellStyle name="Calculation 2 2 3 5" xfId="5771" xr:uid="{00000000-0005-0000-0000-000083160000}"/>
    <cellStyle name="Calculation 2 2 3 5 2" xfId="5772" xr:uid="{00000000-0005-0000-0000-000084160000}"/>
    <cellStyle name="Calculation 2 2 3 5 2 2" xfId="5773" xr:uid="{00000000-0005-0000-0000-000085160000}"/>
    <cellStyle name="Calculation 2 2 3 5 2 2 2" xfId="5774" xr:uid="{00000000-0005-0000-0000-000086160000}"/>
    <cellStyle name="Calculation 2 2 3 5 2 2 3" xfId="5775" xr:uid="{00000000-0005-0000-0000-000087160000}"/>
    <cellStyle name="Calculation 2 2 3 5 2 2 4" xfId="5776" xr:uid="{00000000-0005-0000-0000-000088160000}"/>
    <cellStyle name="Calculation 2 2 3 5 2 2 5" xfId="5777" xr:uid="{00000000-0005-0000-0000-000089160000}"/>
    <cellStyle name="Calculation 2 2 3 5 2 2 6" xfId="5778" xr:uid="{00000000-0005-0000-0000-00008A160000}"/>
    <cellStyle name="Calculation 2 2 3 5 2 3" xfId="5779" xr:uid="{00000000-0005-0000-0000-00008B160000}"/>
    <cellStyle name="Calculation 2 2 3 5 2 4" xfId="5780" xr:uid="{00000000-0005-0000-0000-00008C160000}"/>
    <cellStyle name="Calculation 2 2 3 5 2 5" xfId="5781" xr:uid="{00000000-0005-0000-0000-00008D160000}"/>
    <cellStyle name="Calculation 2 2 3 5 2 6" xfId="5782" xr:uid="{00000000-0005-0000-0000-00008E160000}"/>
    <cellStyle name="Calculation 2 2 3 5 3" xfId="5783" xr:uid="{00000000-0005-0000-0000-00008F160000}"/>
    <cellStyle name="Calculation 2 2 3 5 3 2" xfId="5784" xr:uid="{00000000-0005-0000-0000-000090160000}"/>
    <cellStyle name="Calculation 2 2 3 5 3 2 2" xfId="5785" xr:uid="{00000000-0005-0000-0000-000091160000}"/>
    <cellStyle name="Calculation 2 2 3 5 3 2 3" xfId="5786" xr:uid="{00000000-0005-0000-0000-000092160000}"/>
    <cellStyle name="Calculation 2 2 3 5 3 2 4" xfId="5787" xr:uid="{00000000-0005-0000-0000-000093160000}"/>
    <cellStyle name="Calculation 2 2 3 5 3 2 5" xfId="5788" xr:uid="{00000000-0005-0000-0000-000094160000}"/>
    <cellStyle name="Calculation 2 2 3 5 3 2 6" xfId="5789" xr:uid="{00000000-0005-0000-0000-000095160000}"/>
    <cellStyle name="Calculation 2 2 3 5 3 3" xfId="5790" xr:uid="{00000000-0005-0000-0000-000096160000}"/>
    <cellStyle name="Calculation 2 2 3 5 3 4" xfId="5791" xr:uid="{00000000-0005-0000-0000-000097160000}"/>
    <cellStyle name="Calculation 2 2 3 5 3 5" xfId="5792" xr:uid="{00000000-0005-0000-0000-000098160000}"/>
    <cellStyle name="Calculation 2 2 3 5 3 6" xfId="5793" xr:uid="{00000000-0005-0000-0000-000099160000}"/>
    <cellStyle name="Calculation 2 2 3 5 4" xfId="5794" xr:uid="{00000000-0005-0000-0000-00009A160000}"/>
    <cellStyle name="Calculation 2 2 3 5 4 2" xfId="5795" xr:uid="{00000000-0005-0000-0000-00009B160000}"/>
    <cellStyle name="Calculation 2 2 3 5 4 3" xfId="5796" xr:uid="{00000000-0005-0000-0000-00009C160000}"/>
    <cellStyle name="Calculation 2 2 3 5 4 4" xfId="5797" xr:uid="{00000000-0005-0000-0000-00009D160000}"/>
    <cellStyle name="Calculation 2 2 3 5 4 5" xfId="5798" xr:uid="{00000000-0005-0000-0000-00009E160000}"/>
    <cellStyle name="Calculation 2 2 3 5 4 6" xfId="5799" xr:uid="{00000000-0005-0000-0000-00009F160000}"/>
    <cellStyle name="Calculation 2 2 3 5 5" xfId="5800" xr:uid="{00000000-0005-0000-0000-0000A0160000}"/>
    <cellStyle name="Calculation 2 2 3 5 6" xfId="5801" xr:uid="{00000000-0005-0000-0000-0000A1160000}"/>
    <cellStyle name="Calculation 2 2 3 5 7" xfId="5802" xr:uid="{00000000-0005-0000-0000-0000A2160000}"/>
    <cellStyle name="Calculation 2 2 3 5 8" xfId="5803" xr:uid="{00000000-0005-0000-0000-0000A3160000}"/>
    <cellStyle name="Calculation 2 2 3 6" xfId="5804" xr:uid="{00000000-0005-0000-0000-0000A4160000}"/>
    <cellStyle name="Calculation 2 2 3 6 2" xfId="5805" xr:uid="{00000000-0005-0000-0000-0000A5160000}"/>
    <cellStyle name="Calculation 2 2 3 6 2 2" xfId="5806" xr:uid="{00000000-0005-0000-0000-0000A6160000}"/>
    <cellStyle name="Calculation 2 2 3 6 2 2 2" xfId="5807" xr:uid="{00000000-0005-0000-0000-0000A7160000}"/>
    <cellStyle name="Calculation 2 2 3 6 2 2 3" xfId="5808" xr:uid="{00000000-0005-0000-0000-0000A8160000}"/>
    <cellStyle name="Calculation 2 2 3 6 2 2 4" xfId="5809" xr:uid="{00000000-0005-0000-0000-0000A9160000}"/>
    <cellStyle name="Calculation 2 2 3 6 2 2 5" xfId="5810" xr:uid="{00000000-0005-0000-0000-0000AA160000}"/>
    <cellStyle name="Calculation 2 2 3 6 2 2 6" xfId="5811" xr:uid="{00000000-0005-0000-0000-0000AB160000}"/>
    <cellStyle name="Calculation 2 2 3 6 2 3" xfId="5812" xr:uid="{00000000-0005-0000-0000-0000AC160000}"/>
    <cellStyle name="Calculation 2 2 3 6 2 4" xfId="5813" xr:uid="{00000000-0005-0000-0000-0000AD160000}"/>
    <cellStyle name="Calculation 2 2 3 6 2 5" xfId="5814" xr:uid="{00000000-0005-0000-0000-0000AE160000}"/>
    <cellStyle name="Calculation 2 2 3 6 2 6" xfId="5815" xr:uid="{00000000-0005-0000-0000-0000AF160000}"/>
    <cellStyle name="Calculation 2 2 3 6 3" xfId="5816" xr:uid="{00000000-0005-0000-0000-0000B0160000}"/>
    <cellStyle name="Calculation 2 2 3 6 3 2" xfId="5817" xr:uid="{00000000-0005-0000-0000-0000B1160000}"/>
    <cellStyle name="Calculation 2 2 3 6 3 2 2" xfId="5818" xr:uid="{00000000-0005-0000-0000-0000B2160000}"/>
    <cellStyle name="Calculation 2 2 3 6 3 2 3" xfId="5819" xr:uid="{00000000-0005-0000-0000-0000B3160000}"/>
    <cellStyle name="Calculation 2 2 3 6 3 2 4" xfId="5820" xr:uid="{00000000-0005-0000-0000-0000B4160000}"/>
    <cellStyle name="Calculation 2 2 3 6 3 2 5" xfId="5821" xr:uid="{00000000-0005-0000-0000-0000B5160000}"/>
    <cellStyle name="Calculation 2 2 3 6 3 2 6" xfId="5822" xr:uid="{00000000-0005-0000-0000-0000B6160000}"/>
    <cellStyle name="Calculation 2 2 3 6 3 3" xfId="5823" xr:uid="{00000000-0005-0000-0000-0000B7160000}"/>
    <cellStyle name="Calculation 2 2 3 6 3 4" xfId="5824" xr:uid="{00000000-0005-0000-0000-0000B8160000}"/>
    <cellStyle name="Calculation 2 2 3 6 3 5" xfId="5825" xr:uid="{00000000-0005-0000-0000-0000B9160000}"/>
    <cellStyle name="Calculation 2 2 3 6 3 6" xfId="5826" xr:uid="{00000000-0005-0000-0000-0000BA160000}"/>
    <cellStyle name="Calculation 2 2 3 6 4" xfId="5827" xr:uid="{00000000-0005-0000-0000-0000BB160000}"/>
    <cellStyle name="Calculation 2 2 3 6 4 2" xfId="5828" xr:uid="{00000000-0005-0000-0000-0000BC160000}"/>
    <cellStyle name="Calculation 2 2 3 6 4 3" xfId="5829" xr:uid="{00000000-0005-0000-0000-0000BD160000}"/>
    <cellStyle name="Calculation 2 2 3 6 4 4" xfId="5830" xr:uid="{00000000-0005-0000-0000-0000BE160000}"/>
    <cellStyle name="Calculation 2 2 3 6 4 5" xfId="5831" xr:uid="{00000000-0005-0000-0000-0000BF160000}"/>
    <cellStyle name="Calculation 2 2 3 6 4 6" xfId="5832" xr:uid="{00000000-0005-0000-0000-0000C0160000}"/>
    <cellStyle name="Calculation 2 2 3 6 5" xfId="5833" xr:uid="{00000000-0005-0000-0000-0000C1160000}"/>
    <cellStyle name="Calculation 2 2 3 6 6" xfId="5834" xr:uid="{00000000-0005-0000-0000-0000C2160000}"/>
    <cellStyle name="Calculation 2 2 3 6 7" xfId="5835" xr:uid="{00000000-0005-0000-0000-0000C3160000}"/>
    <cellStyle name="Calculation 2 2 3 6 8" xfId="5836" xr:uid="{00000000-0005-0000-0000-0000C4160000}"/>
    <cellStyle name="Calculation 2 2 3 7" xfId="5837" xr:uid="{00000000-0005-0000-0000-0000C5160000}"/>
    <cellStyle name="Calculation 2 2 3 7 2" xfId="5838" xr:uid="{00000000-0005-0000-0000-0000C6160000}"/>
    <cellStyle name="Calculation 2 2 3 7 2 2" xfId="5839" xr:uid="{00000000-0005-0000-0000-0000C7160000}"/>
    <cellStyle name="Calculation 2 2 3 7 2 2 2" xfId="5840" xr:uid="{00000000-0005-0000-0000-0000C8160000}"/>
    <cellStyle name="Calculation 2 2 3 7 2 2 3" xfId="5841" xr:uid="{00000000-0005-0000-0000-0000C9160000}"/>
    <cellStyle name="Calculation 2 2 3 7 2 2 4" xfId="5842" xr:uid="{00000000-0005-0000-0000-0000CA160000}"/>
    <cellStyle name="Calculation 2 2 3 7 2 2 5" xfId="5843" xr:uid="{00000000-0005-0000-0000-0000CB160000}"/>
    <cellStyle name="Calculation 2 2 3 7 2 2 6" xfId="5844" xr:uid="{00000000-0005-0000-0000-0000CC160000}"/>
    <cellStyle name="Calculation 2 2 3 7 2 3" xfId="5845" xr:uid="{00000000-0005-0000-0000-0000CD160000}"/>
    <cellStyle name="Calculation 2 2 3 7 2 4" xfId="5846" xr:uid="{00000000-0005-0000-0000-0000CE160000}"/>
    <cellStyle name="Calculation 2 2 3 7 2 5" xfId="5847" xr:uid="{00000000-0005-0000-0000-0000CF160000}"/>
    <cellStyle name="Calculation 2 2 3 7 2 6" xfId="5848" xr:uid="{00000000-0005-0000-0000-0000D0160000}"/>
    <cellStyle name="Calculation 2 2 3 7 3" xfId="5849" xr:uid="{00000000-0005-0000-0000-0000D1160000}"/>
    <cellStyle name="Calculation 2 2 3 7 3 2" xfId="5850" xr:uid="{00000000-0005-0000-0000-0000D2160000}"/>
    <cellStyle name="Calculation 2 2 3 7 3 2 2" xfId="5851" xr:uid="{00000000-0005-0000-0000-0000D3160000}"/>
    <cellStyle name="Calculation 2 2 3 7 3 2 3" xfId="5852" xr:uid="{00000000-0005-0000-0000-0000D4160000}"/>
    <cellStyle name="Calculation 2 2 3 7 3 2 4" xfId="5853" xr:uid="{00000000-0005-0000-0000-0000D5160000}"/>
    <cellStyle name="Calculation 2 2 3 7 3 2 5" xfId="5854" xr:uid="{00000000-0005-0000-0000-0000D6160000}"/>
    <cellStyle name="Calculation 2 2 3 7 3 2 6" xfId="5855" xr:uid="{00000000-0005-0000-0000-0000D7160000}"/>
    <cellStyle name="Calculation 2 2 3 7 3 3" xfId="5856" xr:uid="{00000000-0005-0000-0000-0000D8160000}"/>
    <cellStyle name="Calculation 2 2 3 7 3 4" xfId="5857" xr:uid="{00000000-0005-0000-0000-0000D9160000}"/>
    <cellStyle name="Calculation 2 2 3 7 3 5" xfId="5858" xr:uid="{00000000-0005-0000-0000-0000DA160000}"/>
    <cellStyle name="Calculation 2 2 3 7 3 6" xfId="5859" xr:uid="{00000000-0005-0000-0000-0000DB160000}"/>
    <cellStyle name="Calculation 2 2 3 7 4" xfId="5860" xr:uid="{00000000-0005-0000-0000-0000DC160000}"/>
    <cellStyle name="Calculation 2 2 3 7 4 2" xfId="5861" xr:uid="{00000000-0005-0000-0000-0000DD160000}"/>
    <cellStyle name="Calculation 2 2 3 7 4 3" xfId="5862" xr:uid="{00000000-0005-0000-0000-0000DE160000}"/>
    <cellStyle name="Calculation 2 2 3 7 4 4" xfId="5863" xr:uid="{00000000-0005-0000-0000-0000DF160000}"/>
    <cellStyle name="Calculation 2 2 3 7 4 5" xfId="5864" xr:uid="{00000000-0005-0000-0000-0000E0160000}"/>
    <cellStyle name="Calculation 2 2 3 7 4 6" xfId="5865" xr:uid="{00000000-0005-0000-0000-0000E1160000}"/>
    <cellStyle name="Calculation 2 2 3 7 5" xfId="5866" xr:uid="{00000000-0005-0000-0000-0000E2160000}"/>
    <cellStyle name="Calculation 2 2 3 7 6" xfId="5867" xr:uid="{00000000-0005-0000-0000-0000E3160000}"/>
    <cellStyle name="Calculation 2 2 3 7 7" xfId="5868" xr:uid="{00000000-0005-0000-0000-0000E4160000}"/>
    <cellStyle name="Calculation 2 2 3 7 8" xfId="5869" xr:uid="{00000000-0005-0000-0000-0000E5160000}"/>
    <cellStyle name="Calculation 2 2 3 8" xfId="5870" xr:uid="{00000000-0005-0000-0000-0000E6160000}"/>
    <cellStyle name="Calculation 2 2 3 8 2" xfId="5871" xr:uid="{00000000-0005-0000-0000-0000E7160000}"/>
    <cellStyle name="Calculation 2 2 3 8 2 2" xfId="5872" xr:uid="{00000000-0005-0000-0000-0000E8160000}"/>
    <cellStyle name="Calculation 2 2 3 8 2 3" xfId="5873" xr:uid="{00000000-0005-0000-0000-0000E9160000}"/>
    <cellStyle name="Calculation 2 2 3 8 2 4" xfId="5874" xr:uid="{00000000-0005-0000-0000-0000EA160000}"/>
    <cellStyle name="Calculation 2 2 3 8 2 5" xfId="5875" xr:uid="{00000000-0005-0000-0000-0000EB160000}"/>
    <cellStyle name="Calculation 2 2 3 8 2 6" xfId="5876" xr:uid="{00000000-0005-0000-0000-0000EC160000}"/>
    <cellStyle name="Calculation 2 2 3 8 3" xfId="5877" xr:uid="{00000000-0005-0000-0000-0000ED160000}"/>
    <cellStyle name="Calculation 2 2 3 8 4" xfId="5878" xr:uid="{00000000-0005-0000-0000-0000EE160000}"/>
    <cellStyle name="Calculation 2 2 3 8 5" xfId="5879" xr:uid="{00000000-0005-0000-0000-0000EF160000}"/>
    <cellStyle name="Calculation 2 2 3 8 6" xfId="5880" xr:uid="{00000000-0005-0000-0000-0000F0160000}"/>
    <cellStyle name="Calculation 2 2 3 9" xfId="5881" xr:uid="{00000000-0005-0000-0000-0000F1160000}"/>
    <cellStyle name="Calculation 2 2 3 9 2" xfId="5882" xr:uid="{00000000-0005-0000-0000-0000F2160000}"/>
    <cellStyle name="Calculation 2 2 3 9 2 2" xfId="5883" xr:uid="{00000000-0005-0000-0000-0000F3160000}"/>
    <cellStyle name="Calculation 2 2 3 9 2 3" xfId="5884" xr:uid="{00000000-0005-0000-0000-0000F4160000}"/>
    <cellStyle name="Calculation 2 2 3 9 2 4" xfId="5885" xr:uid="{00000000-0005-0000-0000-0000F5160000}"/>
    <cellStyle name="Calculation 2 2 3 9 2 5" xfId="5886" xr:uid="{00000000-0005-0000-0000-0000F6160000}"/>
    <cellStyle name="Calculation 2 2 3 9 2 6" xfId="5887" xr:uid="{00000000-0005-0000-0000-0000F7160000}"/>
    <cellStyle name="Calculation 2 2 3 9 3" xfId="5888" xr:uid="{00000000-0005-0000-0000-0000F8160000}"/>
    <cellStyle name="Calculation 2 2 3 9 4" xfId="5889" xr:uid="{00000000-0005-0000-0000-0000F9160000}"/>
    <cellStyle name="Calculation 2 2 3 9 5" xfId="5890" xr:uid="{00000000-0005-0000-0000-0000FA160000}"/>
    <cellStyle name="Calculation 2 2 3 9 6" xfId="5891" xr:uid="{00000000-0005-0000-0000-0000FB160000}"/>
    <cellStyle name="Calculation 2 2 30" xfId="5892" xr:uid="{00000000-0005-0000-0000-0000FC160000}"/>
    <cellStyle name="Calculation 2 2 30 2" xfId="5893" xr:uid="{00000000-0005-0000-0000-0000FD160000}"/>
    <cellStyle name="Calculation 2 2 30 2 2" xfId="5894" xr:uid="{00000000-0005-0000-0000-0000FE160000}"/>
    <cellStyle name="Calculation 2 2 30 2 3" xfId="5895" xr:uid="{00000000-0005-0000-0000-0000FF160000}"/>
    <cellStyle name="Calculation 2 2 30 2 4" xfId="5896" xr:uid="{00000000-0005-0000-0000-000000170000}"/>
    <cellStyle name="Calculation 2 2 30 2 5" xfId="5897" xr:uid="{00000000-0005-0000-0000-000001170000}"/>
    <cellStyle name="Calculation 2 2 30 3" xfId="5898" xr:uid="{00000000-0005-0000-0000-000002170000}"/>
    <cellStyle name="Calculation 2 2 30 4" xfId="5899" xr:uid="{00000000-0005-0000-0000-000003170000}"/>
    <cellStyle name="Calculation 2 2 30 5" xfId="5900" xr:uid="{00000000-0005-0000-0000-000004170000}"/>
    <cellStyle name="Calculation 2 2 30 6" xfId="5901" xr:uid="{00000000-0005-0000-0000-000005170000}"/>
    <cellStyle name="Calculation 2 2 31" xfId="5902" xr:uid="{00000000-0005-0000-0000-000006170000}"/>
    <cellStyle name="Calculation 2 2 31 2" xfId="5903" xr:uid="{00000000-0005-0000-0000-000007170000}"/>
    <cellStyle name="Calculation 2 2 31 2 2" xfId="5904" xr:uid="{00000000-0005-0000-0000-000008170000}"/>
    <cellStyle name="Calculation 2 2 31 2 3" xfId="5905" xr:uid="{00000000-0005-0000-0000-000009170000}"/>
    <cellStyle name="Calculation 2 2 31 2 4" xfId="5906" xr:uid="{00000000-0005-0000-0000-00000A170000}"/>
    <cellStyle name="Calculation 2 2 31 2 5" xfId="5907" xr:uid="{00000000-0005-0000-0000-00000B170000}"/>
    <cellStyle name="Calculation 2 2 31 3" xfId="5908" xr:uid="{00000000-0005-0000-0000-00000C170000}"/>
    <cellStyle name="Calculation 2 2 31 4" xfId="5909" xr:uid="{00000000-0005-0000-0000-00000D170000}"/>
    <cellStyle name="Calculation 2 2 31 5" xfId="5910" xr:uid="{00000000-0005-0000-0000-00000E170000}"/>
    <cellStyle name="Calculation 2 2 31 6" xfId="5911" xr:uid="{00000000-0005-0000-0000-00000F170000}"/>
    <cellStyle name="Calculation 2 2 32" xfId="5912" xr:uid="{00000000-0005-0000-0000-000010170000}"/>
    <cellStyle name="Calculation 2 2 32 2" xfId="5913" xr:uid="{00000000-0005-0000-0000-000011170000}"/>
    <cellStyle name="Calculation 2 2 32 2 2" xfId="5914" xr:uid="{00000000-0005-0000-0000-000012170000}"/>
    <cellStyle name="Calculation 2 2 32 2 3" xfId="5915" xr:uid="{00000000-0005-0000-0000-000013170000}"/>
    <cellStyle name="Calculation 2 2 32 2 4" xfId="5916" xr:uid="{00000000-0005-0000-0000-000014170000}"/>
    <cellStyle name="Calculation 2 2 32 2 5" xfId="5917" xr:uid="{00000000-0005-0000-0000-000015170000}"/>
    <cellStyle name="Calculation 2 2 32 3" xfId="5918" xr:uid="{00000000-0005-0000-0000-000016170000}"/>
    <cellStyle name="Calculation 2 2 32 4" xfId="5919" xr:uid="{00000000-0005-0000-0000-000017170000}"/>
    <cellStyle name="Calculation 2 2 32 5" xfId="5920" xr:uid="{00000000-0005-0000-0000-000018170000}"/>
    <cellStyle name="Calculation 2 2 32 6" xfId="5921" xr:uid="{00000000-0005-0000-0000-000019170000}"/>
    <cellStyle name="Calculation 2 2 33" xfId="5922" xr:uid="{00000000-0005-0000-0000-00001A170000}"/>
    <cellStyle name="Calculation 2 2 33 2" xfId="5923" xr:uid="{00000000-0005-0000-0000-00001B170000}"/>
    <cellStyle name="Calculation 2 2 33 2 2" xfId="5924" xr:uid="{00000000-0005-0000-0000-00001C170000}"/>
    <cellStyle name="Calculation 2 2 33 2 3" xfId="5925" xr:uid="{00000000-0005-0000-0000-00001D170000}"/>
    <cellStyle name="Calculation 2 2 33 2 4" xfId="5926" xr:uid="{00000000-0005-0000-0000-00001E170000}"/>
    <cellStyle name="Calculation 2 2 33 2 5" xfId="5927" xr:uid="{00000000-0005-0000-0000-00001F170000}"/>
    <cellStyle name="Calculation 2 2 33 3" xfId="5928" xr:uid="{00000000-0005-0000-0000-000020170000}"/>
    <cellStyle name="Calculation 2 2 33 4" xfId="5929" xr:uid="{00000000-0005-0000-0000-000021170000}"/>
    <cellStyle name="Calculation 2 2 33 5" xfId="5930" xr:uid="{00000000-0005-0000-0000-000022170000}"/>
    <cellStyle name="Calculation 2 2 33 6" xfId="5931" xr:uid="{00000000-0005-0000-0000-000023170000}"/>
    <cellStyle name="Calculation 2 2 34" xfId="5932" xr:uid="{00000000-0005-0000-0000-000024170000}"/>
    <cellStyle name="Calculation 2 2 34 2" xfId="5933" xr:uid="{00000000-0005-0000-0000-000025170000}"/>
    <cellStyle name="Calculation 2 2 34 2 2" xfId="5934" xr:uid="{00000000-0005-0000-0000-000026170000}"/>
    <cellStyle name="Calculation 2 2 34 2 3" xfId="5935" xr:uid="{00000000-0005-0000-0000-000027170000}"/>
    <cellStyle name="Calculation 2 2 34 2 4" xfId="5936" xr:uid="{00000000-0005-0000-0000-000028170000}"/>
    <cellStyle name="Calculation 2 2 34 2 5" xfId="5937" xr:uid="{00000000-0005-0000-0000-000029170000}"/>
    <cellStyle name="Calculation 2 2 34 3" xfId="5938" xr:uid="{00000000-0005-0000-0000-00002A170000}"/>
    <cellStyle name="Calculation 2 2 34 4" xfId="5939" xr:uid="{00000000-0005-0000-0000-00002B170000}"/>
    <cellStyle name="Calculation 2 2 34 5" xfId="5940" xr:uid="{00000000-0005-0000-0000-00002C170000}"/>
    <cellStyle name="Calculation 2 2 34 6" xfId="5941" xr:uid="{00000000-0005-0000-0000-00002D170000}"/>
    <cellStyle name="Calculation 2 2 35" xfId="5942" xr:uid="{00000000-0005-0000-0000-00002E170000}"/>
    <cellStyle name="Calculation 2 2 35 2" xfId="5943" xr:uid="{00000000-0005-0000-0000-00002F170000}"/>
    <cellStyle name="Calculation 2 2 35 2 2" xfId="5944" xr:uid="{00000000-0005-0000-0000-000030170000}"/>
    <cellStyle name="Calculation 2 2 35 2 3" xfId="5945" xr:uid="{00000000-0005-0000-0000-000031170000}"/>
    <cellStyle name="Calculation 2 2 35 2 4" xfId="5946" xr:uid="{00000000-0005-0000-0000-000032170000}"/>
    <cellStyle name="Calculation 2 2 35 2 5" xfId="5947" xr:uid="{00000000-0005-0000-0000-000033170000}"/>
    <cellStyle name="Calculation 2 2 35 3" xfId="5948" xr:uid="{00000000-0005-0000-0000-000034170000}"/>
    <cellStyle name="Calculation 2 2 35 4" xfId="5949" xr:uid="{00000000-0005-0000-0000-000035170000}"/>
    <cellStyle name="Calculation 2 2 35 5" xfId="5950" xr:uid="{00000000-0005-0000-0000-000036170000}"/>
    <cellStyle name="Calculation 2 2 35 6" xfId="5951" xr:uid="{00000000-0005-0000-0000-000037170000}"/>
    <cellStyle name="Calculation 2 2 36" xfId="5952" xr:uid="{00000000-0005-0000-0000-000038170000}"/>
    <cellStyle name="Calculation 2 2 36 2" xfId="5953" xr:uid="{00000000-0005-0000-0000-000039170000}"/>
    <cellStyle name="Calculation 2 2 36 2 2" xfId="5954" xr:uid="{00000000-0005-0000-0000-00003A170000}"/>
    <cellStyle name="Calculation 2 2 36 2 3" xfId="5955" xr:uid="{00000000-0005-0000-0000-00003B170000}"/>
    <cellStyle name="Calculation 2 2 36 2 4" xfId="5956" xr:uid="{00000000-0005-0000-0000-00003C170000}"/>
    <cellStyle name="Calculation 2 2 36 2 5" xfId="5957" xr:uid="{00000000-0005-0000-0000-00003D170000}"/>
    <cellStyle name="Calculation 2 2 36 3" xfId="5958" xr:uid="{00000000-0005-0000-0000-00003E170000}"/>
    <cellStyle name="Calculation 2 2 36 4" xfId="5959" xr:uid="{00000000-0005-0000-0000-00003F170000}"/>
    <cellStyle name="Calculation 2 2 36 5" xfId="5960" xr:uid="{00000000-0005-0000-0000-000040170000}"/>
    <cellStyle name="Calculation 2 2 36 6" xfId="5961" xr:uid="{00000000-0005-0000-0000-000041170000}"/>
    <cellStyle name="Calculation 2 2 37" xfId="5962" xr:uid="{00000000-0005-0000-0000-000042170000}"/>
    <cellStyle name="Calculation 2 2 37 2" xfId="5963" xr:uid="{00000000-0005-0000-0000-000043170000}"/>
    <cellStyle name="Calculation 2 2 37 2 2" xfId="5964" xr:uid="{00000000-0005-0000-0000-000044170000}"/>
    <cellStyle name="Calculation 2 2 37 2 3" xfId="5965" xr:uid="{00000000-0005-0000-0000-000045170000}"/>
    <cellStyle name="Calculation 2 2 37 2 4" xfId="5966" xr:uid="{00000000-0005-0000-0000-000046170000}"/>
    <cellStyle name="Calculation 2 2 37 2 5" xfId="5967" xr:uid="{00000000-0005-0000-0000-000047170000}"/>
    <cellStyle name="Calculation 2 2 37 3" xfId="5968" xr:uid="{00000000-0005-0000-0000-000048170000}"/>
    <cellStyle name="Calculation 2 2 37 4" xfId="5969" xr:uid="{00000000-0005-0000-0000-000049170000}"/>
    <cellStyle name="Calculation 2 2 37 5" xfId="5970" xr:uid="{00000000-0005-0000-0000-00004A170000}"/>
    <cellStyle name="Calculation 2 2 37 6" xfId="5971" xr:uid="{00000000-0005-0000-0000-00004B170000}"/>
    <cellStyle name="Calculation 2 2 38" xfId="5972" xr:uid="{00000000-0005-0000-0000-00004C170000}"/>
    <cellStyle name="Calculation 2 2 38 2" xfId="5973" xr:uid="{00000000-0005-0000-0000-00004D170000}"/>
    <cellStyle name="Calculation 2 2 38 2 2" xfId="5974" xr:uid="{00000000-0005-0000-0000-00004E170000}"/>
    <cellStyle name="Calculation 2 2 38 2 3" xfId="5975" xr:uid="{00000000-0005-0000-0000-00004F170000}"/>
    <cellStyle name="Calculation 2 2 38 2 4" xfId="5976" xr:uid="{00000000-0005-0000-0000-000050170000}"/>
    <cellStyle name="Calculation 2 2 38 2 5" xfId="5977" xr:uid="{00000000-0005-0000-0000-000051170000}"/>
    <cellStyle name="Calculation 2 2 38 3" xfId="5978" xr:uid="{00000000-0005-0000-0000-000052170000}"/>
    <cellStyle name="Calculation 2 2 38 4" xfId="5979" xr:uid="{00000000-0005-0000-0000-000053170000}"/>
    <cellStyle name="Calculation 2 2 38 5" xfId="5980" xr:uid="{00000000-0005-0000-0000-000054170000}"/>
    <cellStyle name="Calculation 2 2 38 6" xfId="5981" xr:uid="{00000000-0005-0000-0000-000055170000}"/>
    <cellStyle name="Calculation 2 2 39" xfId="5982" xr:uid="{00000000-0005-0000-0000-000056170000}"/>
    <cellStyle name="Calculation 2 2 39 2" xfId="5983" xr:uid="{00000000-0005-0000-0000-000057170000}"/>
    <cellStyle name="Calculation 2 2 39 2 2" xfId="5984" xr:uid="{00000000-0005-0000-0000-000058170000}"/>
    <cellStyle name="Calculation 2 2 39 2 3" xfId="5985" xr:uid="{00000000-0005-0000-0000-000059170000}"/>
    <cellStyle name="Calculation 2 2 39 2 4" xfId="5986" xr:uid="{00000000-0005-0000-0000-00005A170000}"/>
    <cellStyle name="Calculation 2 2 39 2 5" xfId="5987" xr:uid="{00000000-0005-0000-0000-00005B170000}"/>
    <cellStyle name="Calculation 2 2 39 3" xfId="5988" xr:uid="{00000000-0005-0000-0000-00005C170000}"/>
    <cellStyle name="Calculation 2 2 39 4" xfId="5989" xr:uid="{00000000-0005-0000-0000-00005D170000}"/>
    <cellStyle name="Calculation 2 2 39 5" xfId="5990" xr:uid="{00000000-0005-0000-0000-00005E170000}"/>
    <cellStyle name="Calculation 2 2 39 6" xfId="5991" xr:uid="{00000000-0005-0000-0000-00005F170000}"/>
    <cellStyle name="Calculation 2 2 4" xfId="5992" xr:uid="{00000000-0005-0000-0000-000060170000}"/>
    <cellStyle name="Calculation 2 2 4 10" xfId="5993" xr:uid="{00000000-0005-0000-0000-000061170000}"/>
    <cellStyle name="Calculation 2 2 4 10 2" xfId="5994" xr:uid="{00000000-0005-0000-0000-000062170000}"/>
    <cellStyle name="Calculation 2 2 4 10 3" xfId="5995" xr:uid="{00000000-0005-0000-0000-000063170000}"/>
    <cellStyle name="Calculation 2 2 4 10 4" xfId="5996" xr:uid="{00000000-0005-0000-0000-000064170000}"/>
    <cellStyle name="Calculation 2 2 4 10 5" xfId="5997" xr:uid="{00000000-0005-0000-0000-000065170000}"/>
    <cellStyle name="Calculation 2 2 4 11" xfId="5998" xr:uid="{00000000-0005-0000-0000-000066170000}"/>
    <cellStyle name="Calculation 2 2 4 12" xfId="5999" xr:uid="{00000000-0005-0000-0000-000067170000}"/>
    <cellStyle name="Calculation 2 2 4 13" xfId="6000" xr:uid="{00000000-0005-0000-0000-000068170000}"/>
    <cellStyle name="Calculation 2 2 4 14" xfId="6001" xr:uid="{00000000-0005-0000-0000-000069170000}"/>
    <cellStyle name="Calculation 2 2 4 2" xfId="6002" xr:uid="{00000000-0005-0000-0000-00006A170000}"/>
    <cellStyle name="Calculation 2 2 4 2 2" xfId="6003" xr:uid="{00000000-0005-0000-0000-00006B170000}"/>
    <cellStyle name="Calculation 2 2 4 2 2 2" xfId="6004" xr:uid="{00000000-0005-0000-0000-00006C170000}"/>
    <cellStyle name="Calculation 2 2 4 2 2 2 2" xfId="6005" xr:uid="{00000000-0005-0000-0000-00006D170000}"/>
    <cellStyle name="Calculation 2 2 4 2 2 2 3" xfId="6006" xr:uid="{00000000-0005-0000-0000-00006E170000}"/>
    <cellStyle name="Calculation 2 2 4 2 2 2 4" xfId="6007" xr:uid="{00000000-0005-0000-0000-00006F170000}"/>
    <cellStyle name="Calculation 2 2 4 2 2 2 5" xfId="6008" xr:uid="{00000000-0005-0000-0000-000070170000}"/>
    <cellStyle name="Calculation 2 2 4 2 2 2 6" xfId="6009" xr:uid="{00000000-0005-0000-0000-000071170000}"/>
    <cellStyle name="Calculation 2 2 4 2 2 3" xfId="6010" xr:uid="{00000000-0005-0000-0000-000072170000}"/>
    <cellStyle name="Calculation 2 2 4 2 2 4" xfId="6011" xr:uid="{00000000-0005-0000-0000-000073170000}"/>
    <cellStyle name="Calculation 2 2 4 2 2 5" xfId="6012" xr:uid="{00000000-0005-0000-0000-000074170000}"/>
    <cellStyle name="Calculation 2 2 4 2 2 6" xfId="6013" xr:uid="{00000000-0005-0000-0000-000075170000}"/>
    <cellStyle name="Calculation 2 2 4 2 3" xfId="6014" xr:uid="{00000000-0005-0000-0000-000076170000}"/>
    <cellStyle name="Calculation 2 2 4 2 3 2" xfId="6015" xr:uid="{00000000-0005-0000-0000-000077170000}"/>
    <cellStyle name="Calculation 2 2 4 2 3 2 2" xfId="6016" xr:uid="{00000000-0005-0000-0000-000078170000}"/>
    <cellStyle name="Calculation 2 2 4 2 3 2 3" xfId="6017" xr:uid="{00000000-0005-0000-0000-000079170000}"/>
    <cellStyle name="Calculation 2 2 4 2 3 2 4" xfId="6018" xr:uid="{00000000-0005-0000-0000-00007A170000}"/>
    <cellStyle name="Calculation 2 2 4 2 3 2 5" xfId="6019" xr:uid="{00000000-0005-0000-0000-00007B170000}"/>
    <cellStyle name="Calculation 2 2 4 2 3 2 6" xfId="6020" xr:uid="{00000000-0005-0000-0000-00007C170000}"/>
    <cellStyle name="Calculation 2 2 4 2 3 3" xfId="6021" xr:uid="{00000000-0005-0000-0000-00007D170000}"/>
    <cellStyle name="Calculation 2 2 4 2 3 4" xfId="6022" xr:uid="{00000000-0005-0000-0000-00007E170000}"/>
    <cellStyle name="Calculation 2 2 4 2 3 5" xfId="6023" xr:uid="{00000000-0005-0000-0000-00007F170000}"/>
    <cellStyle name="Calculation 2 2 4 2 3 6" xfId="6024" xr:uid="{00000000-0005-0000-0000-000080170000}"/>
    <cellStyle name="Calculation 2 2 4 2 4" xfId="6025" xr:uid="{00000000-0005-0000-0000-000081170000}"/>
    <cellStyle name="Calculation 2 2 4 2 4 2" xfId="6026" xr:uid="{00000000-0005-0000-0000-000082170000}"/>
    <cellStyle name="Calculation 2 2 4 2 4 3" xfId="6027" xr:uid="{00000000-0005-0000-0000-000083170000}"/>
    <cellStyle name="Calculation 2 2 4 2 4 4" xfId="6028" xr:uid="{00000000-0005-0000-0000-000084170000}"/>
    <cellStyle name="Calculation 2 2 4 2 4 5" xfId="6029" xr:uid="{00000000-0005-0000-0000-000085170000}"/>
    <cellStyle name="Calculation 2 2 4 2 4 6" xfId="6030" xr:uid="{00000000-0005-0000-0000-000086170000}"/>
    <cellStyle name="Calculation 2 2 4 2 5" xfId="6031" xr:uid="{00000000-0005-0000-0000-000087170000}"/>
    <cellStyle name="Calculation 2 2 4 2 5 2" xfId="6032" xr:uid="{00000000-0005-0000-0000-000088170000}"/>
    <cellStyle name="Calculation 2 2 4 2 5 3" xfId="6033" xr:uid="{00000000-0005-0000-0000-000089170000}"/>
    <cellStyle name="Calculation 2 2 4 2 5 4" xfId="6034" xr:uid="{00000000-0005-0000-0000-00008A170000}"/>
    <cellStyle name="Calculation 2 2 4 2 5 5" xfId="6035" xr:uid="{00000000-0005-0000-0000-00008B170000}"/>
    <cellStyle name="Calculation 2 2 4 2 6" xfId="6036" xr:uid="{00000000-0005-0000-0000-00008C170000}"/>
    <cellStyle name="Calculation 2 2 4 2 7" xfId="6037" xr:uid="{00000000-0005-0000-0000-00008D170000}"/>
    <cellStyle name="Calculation 2 2 4 2 8" xfId="6038" xr:uid="{00000000-0005-0000-0000-00008E170000}"/>
    <cellStyle name="Calculation 2 2 4 2 9" xfId="6039" xr:uid="{00000000-0005-0000-0000-00008F170000}"/>
    <cellStyle name="Calculation 2 2 4 3" xfId="6040" xr:uid="{00000000-0005-0000-0000-000090170000}"/>
    <cellStyle name="Calculation 2 2 4 3 2" xfId="6041" xr:uid="{00000000-0005-0000-0000-000091170000}"/>
    <cellStyle name="Calculation 2 2 4 3 2 2" xfId="6042" xr:uid="{00000000-0005-0000-0000-000092170000}"/>
    <cellStyle name="Calculation 2 2 4 3 2 2 2" xfId="6043" xr:uid="{00000000-0005-0000-0000-000093170000}"/>
    <cellStyle name="Calculation 2 2 4 3 2 2 3" xfId="6044" xr:uid="{00000000-0005-0000-0000-000094170000}"/>
    <cellStyle name="Calculation 2 2 4 3 2 2 4" xfId="6045" xr:uid="{00000000-0005-0000-0000-000095170000}"/>
    <cellStyle name="Calculation 2 2 4 3 2 2 5" xfId="6046" xr:uid="{00000000-0005-0000-0000-000096170000}"/>
    <cellStyle name="Calculation 2 2 4 3 2 2 6" xfId="6047" xr:uid="{00000000-0005-0000-0000-000097170000}"/>
    <cellStyle name="Calculation 2 2 4 3 2 3" xfId="6048" xr:uid="{00000000-0005-0000-0000-000098170000}"/>
    <cellStyle name="Calculation 2 2 4 3 2 4" xfId="6049" xr:uid="{00000000-0005-0000-0000-000099170000}"/>
    <cellStyle name="Calculation 2 2 4 3 2 5" xfId="6050" xr:uid="{00000000-0005-0000-0000-00009A170000}"/>
    <cellStyle name="Calculation 2 2 4 3 2 6" xfId="6051" xr:uid="{00000000-0005-0000-0000-00009B170000}"/>
    <cellStyle name="Calculation 2 2 4 3 3" xfId="6052" xr:uid="{00000000-0005-0000-0000-00009C170000}"/>
    <cellStyle name="Calculation 2 2 4 3 3 2" xfId="6053" xr:uid="{00000000-0005-0000-0000-00009D170000}"/>
    <cellStyle name="Calculation 2 2 4 3 3 2 2" xfId="6054" xr:uid="{00000000-0005-0000-0000-00009E170000}"/>
    <cellStyle name="Calculation 2 2 4 3 3 2 3" xfId="6055" xr:uid="{00000000-0005-0000-0000-00009F170000}"/>
    <cellStyle name="Calculation 2 2 4 3 3 2 4" xfId="6056" xr:uid="{00000000-0005-0000-0000-0000A0170000}"/>
    <cellStyle name="Calculation 2 2 4 3 3 2 5" xfId="6057" xr:uid="{00000000-0005-0000-0000-0000A1170000}"/>
    <cellStyle name="Calculation 2 2 4 3 3 2 6" xfId="6058" xr:uid="{00000000-0005-0000-0000-0000A2170000}"/>
    <cellStyle name="Calculation 2 2 4 3 3 3" xfId="6059" xr:uid="{00000000-0005-0000-0000-0000A3170000}"/>
    <cellStyle name="Calculation 2 2 4 3 3 4" xfId="6060" xr:uid="{00000000-0005-0000-0000-0000A4170000}"/>
    <cellStyle name="Calculation 2 2 4 3 3 5" xfId="6061" xr:uid="{00000000-0005-0000-0000-0000A5170000}"/>
    <cellStyle name="Calculation 2 2 4 3 3 6" xfId="6062" xr:uid="{00000000-0005-0000-0000-0000A6170000}"/>
    <cellStyle name="Calculation 2 2 4 3 4" xfId="6063" xr:uid="{00000000-0005-0000-0000-0000A7170000}"/>
    <cellStyle name="Calculation 2 2 4 3 4 2" xfId="6064" xr:uid="{00000000-0005-0000-0000-0000A8170000}"/>
    <cellStyle name="Calculation 2 2 4 3 4 3" xfId="6065" xr:uid="{00000000-0005-0000-0000-0000A9170000}"/>
    <cellStyle name="Calculation 2 2 4 3 4 4" xfId="6066" xr:uid="{00000000-0005-0000-0000-0000AA170000}"/>
    <cellStyle name="Calculation 2 2 4 3 4 5" xfId="6067" xr:uid="{00000000-0005-0000-0000-0000AB170000}"/>
    <cellStyle name="Calculation 2 2 4 3 4 6" xfId="6068" xr:uid="{00000000-0005-0000-0000-0000AC170000}"/>
    <cellStyle name="Calculation 2 2 4 3 5" xfId="6069" xr:uid="{00000000-0005-0000-0000-0000AD170000}"/>
    <cellStyle name="Calculation 2 2 4 3 6" xfId="6070" xr:uid="{00000000-0005-0000-0000-0000AE170000}"/>
    <cellStyle name="Calculation 2 2 4 3 7" xfId="6071" xr:uid="{00000000-0005-0000-0000-0000AF170000}"/>
    <cellStyle name="Calculation 2 2 4 3 8" xfId="6072" xr:uid="{00000000-0005-0000-0000-0000B0170000}"/>
    <cellStyle name="Calculation 2 2 4 4" xfId="6073" xr:uid="{00000000-0005-0000-0000-0000B1170000}"/>
    <cellStyle name="Calculation 2 2 4 4 2" xfId="6074" xr:uid="{00000000-0005-0000-0000-0000B2170000}"/>
    <cellStyle name="Calculation 2 2 4 4 2 2" xfId="6075" xr:uid="{00000000-0005-0000-0000-0000B3170000}"/>
    <cellStyle name="Calculation 2 2 4 4 2 2 2" xfId="6076" xr:uid="{00000000-0005-0000-0000-0000B4170000}"/>
    <cellStyle name="Calculation 2 2 4 4 2 2 3" xfId="6077" xr:uid="{00000000-0005-0000-0000-0000B5170000}"/>
    <cellStyle name="Calculation 2 2 4 4 2 2 4" xfId="6078" xr:uid="{00000000-0005-0000-0000-0000B6170000}"/>
    <cellStyle name="Calculation 2 2 4 4 2 2 5" xfId="6079" xr:uid="{00000000-0005-0000-0000-0000B7170000}"/>
    <cellStyle name="Calculation 2 2 4 4 2 2 6" xfId="6080" xr:uid="{00000000-0005-0000-0000-0000B8170000}"/>
    <cellStyle name="Calculation 2 2 4 4 2 3" xfId="6081" xr:uid="{00000000-0005-0000-0000-0000B9170000}"/>
    <cellStyle name="Calculation 2 2 4 4 2 4" xfId="6082" xr:uid="{00000000-0005-0000-0000-0000BA170000}"/>
    <cellStyle name="Calculation 2 2 4 4 2 5" xfId="6083" xr:uid="{00000000-0005-0000-0000-0000BB170000}"/>
    <cellStyle name="Calculation 2 2 4 4 2 6" xfId="6084" xr:uid="{00000000-0005-0000-0000-0000BC170000}"/>
    <cellStyle name="Calculation 2 2 4 4 3" xfId="6085" xr:uid="{00000000-0005-0000-0000-0000BD170000}"/>
    <cellStyle name="Calculation 2 2 4 4 3 2" xfId="6086" xr:uid="{00000000-0005-0000-0000-0000BE170000}"/>
    <cellStyle name="Calculation 2 2 4 4 3 2 2" xfId="6087" xr:uid="{00000000-0005-0000-0000-0000BF170000}"/>
    <cellStyle name="Calculation 2 2 4 4 3 2 3" xfId="6088" xr:uid="{00000000-0005-0000-0000-0000C0170000}"/>
    <cellStyle name="Calculation 2 2 4 4 3 2 4" xfId="6089" xr:uid="{00000000-0005-0000-0000-0000C1170000}"/>
    <cellStyle name="Calculation 2 2 4 4 3 2 5" xfId="6090" xr:uid="{00000000-0005-0000-0000-0000C2170000}"/>
    <cellStyle name="Calculation 2 2 4 4 3 2 6" xfId="6091" xr:uid="{00000000-0005-0000-0000-0000C3170000}"/>
    <cellStyle name="Calculation 2 2 4 4 3 3" xfId="6092" xr:uid="{00000000-0005-0000-0000-0000C4170000}"/>
    <cellStyle name="Calculation 2 2 4 4 3 4" xfId="6093" xr:uid="{00000000-0005-0000-0000-0000C5170000}"/>
    <cellStyle name="Calculation 2 2 4 4 3 5" xfId="6094" xr:uid="{00000000-0005-0000-0000-0000C6170000}"/>
    <cellStyle name="Calculation 2 2 4 4 3 6" xfId="6095" xr:uid="{00000000-0005-0000-0000-0000C7170000}"/>
    <cellStyle name="Calculation 2 2 4 4 4" xfId="6096" xr:uid="{00000000-0005-0000-0000-0000C8170000}"/>
    <cellStyle name="Calculation 2 2 4 4 4 2" xfId="6097" xr:uid="{00000000-0005-0000-0000-0000C9170000}"/>
    <cellStyle name="Calculation 2 2 4 4 4 3" xfId="6098" xr:uid="{00000000-0005-0000-0000-0000CA170000}"/>
    <cellStyle name="Calculation 2 2 4 4 4 4" xfId="6099" xr:uid="{00000000-0005-0000-0000-0000CB170000}"/>
    <cellStyle name="Calculation 2 2 4 4 4 5" xfId="6100" xr:uid="{00000000-0005-0000-0000-0000CC170000}"/>
    <cellStyle name="Calculation 2 2 4 4 4 6" xfId="6101" xr:uid="{00000000-0005-0000-0000-0000CD170000}"/>
    <cellStyle name="Calculation 2 2 4 4 5" xfId="6102" xr:uid="{00000000-0005-0000-0000-0000CE170000}"/>
    <cellStyle name="Calculation 2 2 4 4 6" xfId="6103" xr:uid="{00000000-0005-0000-0000-0000CF170000}"/>
    <cellStyle name="Calculation 2 2 4 4 7" xfId="6104" xr:uid="{00000000-0005-0000-0000-0000D0170000}"/>
    <cellStyle name="Calculation 2 2 4 4 8" xfId="6105" xr:uid="{00000000-0005-0000-0000-0000D1170000}"/>
    <cellStyle name="Calculation 2 2 4 5" xfId="6106" xr:uid="{00000000-0005-0000-0000-0000D2170000}"/>
    <cellStyle name="Calculation 2 2 4 5 2" xfId="6107" xr:uid="{00000000-0005-0000-0000-0000D3170000}"/>
    <cellStyle name="Calculation 2 2 4 5 2 2" xfId="6108" xr:uid="{00000000-0005-0000-0000-0000D4170000}"/>
    <cellStyle name="Calculation 2 2 4 5 2 2 2" xfId="6109" xr:uid="{00000000-0005-0000-0000-0000D5170000}"/>
    <cellStyle name="Calculation 2 2 4 5 2 2 3" xfId="6110" xr:uid="{00000000-0005-0000-0000-0000D6170000}"/>
    <cellStyle name="Calculation 2 2 4 5 2 2 4" xfId="6111" xr:uid="{00000000-0005-0000-0000-0000D7170000}"/>
    <cellStyle name="Calculation 2 2 4 5 2 2 5" xfId="6112" xr:uid="{00000000-0005-0000-0000-0000D8170000}"/>
    <cellStyle name="Calculation 2 2 4 5 2 2 6" xfId="6113" xr:uid="{00000000-0005-0000-0000-0000D9170000}"/>
    <cellStyle name="Calculation 2 2 4 5 2 3" xfId="6114" xr:uid="{00000000-0005-0000-0000-0000DA170000}"/>
    <cellStyle name="Calculation 2 2 4 5 2 4" xfId="6115" xr:uid="{00000000-0005-0000-0000-0000DB170000}"/>
    <cellStyle name="Calculation 2 2 4 5 2 5" xfId="6116" xr:uid="{00000000-0005-0000-0000-0000DC170000}"/>
    <cellStyle name="Calculation 2 2 4 5 2 6" xfId="6117" xr:uid="{00000000-0005-0000-0000-0000DD170000}"/>
    <cellStyle name="Calculation 2 2 4 5 3" xfId="6118" xr:uid="{00000000-0005-0000-0000-0000DE170000}"/>
    <cellStyle name="Calculation 2 2 4 5 3 2" xfId="6119" xr:uid="{00000000-0005-0000-0000-0000DF170000}"/>
    <cellStyle name="Calculation 2 2 4 5 3 2 2" xfId="6120" xr:uid="{00000000-0005-0000-0000-0000E0170000}"/>
    <cellStyle name="Calculation 2 2 4 5 3 2 3" xfId="6121" xr:uid="{00000000-0005-0000-0000-0000E1170000}"/>
    <cellStyle name="Calculation 2 2 4 5 3 2 4" xfId="6122" xr:uid="{00000000-0005-0000-0000-0000E2170000}"/>
    <cellStyle name="Calculation 2 2 4 5 3 2 5" xfId="6123" xr:uid="{00000000-0005-0000-0000-0000E3170000}"/>
    <cellStyle name="Calculation 2 2 4 5 3 2 6" xfId="6124" xr:uid="{00000000-0005-0000-0000-0000E4170000}"/>
    <cellStyle name="Calculation 2 2 4 5 3 3" xfId="6125" xr:uid="{00000000-0005-0000-0000-0000E5170000}"/>
    <cellStyle name="Calculation 2 2 4 5 3 4" xfId="6126" xr:uid="{00000000-0005-0000-0000-0000E6170000}"/>
    <cellStyle name="Calculation 2 2 4 5 3 5" xfId="6127" xr:uid="{00000000-0005-0000-0000-0000E7170000}"/>
    <cellStyle name="Calculation 2 2 4 5 3 6" xfId="6128" xr:uid="{00000000-0005-0000-0000-0000E8170000}"/>
    <cellStyle name="Calculation 2 2 4 5 4" xfId="6129" xr:uid="{00000000-0005-0000-0000-0000E9170000}"/>
    <cellStyle name="Calculation 2 2 4 5 4 2" xfId="6130" xr:uid="{00000000-0005-0000-0000-0000EA170000}"/>
    <cellStyle name="Calculation 2 2 4 5 4 3" xfId="6131" xr:uid="{00000000-0005-0000-0000-0000EB170000}"/>
    <cellStyle name="Calculation 2 2 4 5 4 4" xfId="6132" xr:uid="{00000000-0005-0000-0000-0000EC170000}"/>
    <cellStyle name="Calculation 2 2 4 5 4 5" xfId="6133" xr:uid="{00000000-0005-0000-0000-0000ED170000}"/>
    <cellStyle name="Calculation 2 2 4 5 4 6" xfId="6134" xr:uid="{00000000-0005-0000-0000-0000EE170000}"/>
    <cellStyle name="Calculation 2 2 4 5 5" xfId="6135" xr:uid="{00000000-0005-0000-0000-0000EF170000}"/>
    <cellStyle name="Calculation 2 2 4 5 6" xfId="6136" xr:uid="{00000000-0005-0000-0000-0000F0170000}"/>
    <cellStyle name="Calculation 2 2 4 5 7" xfId="6137" xr:uid="{00000000-0005-0000-0000-0000F1170000}"/>
    <cellStyle name="Calculation 2 2 4 5 8" xfId="6138" xr:uid="{00000000-0005-0000-0000-0000F2170000}"/>
    <cellStyle name="Calculation 2 2 4 6" xfId="6139" xr:uid="{00000000-0005-0000-0000-0000F3170000}"/>
    <cellStyle name="Calculation 2 2 4 6 2" xfId="6140" xr:uid="{00000000-0005-0000-0000-0000F4170000}"/>
    <cellStyle name="Calculation 2 2 4 6 2 2" xfId="6141" xr:uid="{00000000-0005-0000-0000-0000F5170000}"/>
    <cellStyle name="Calculation 2 2 4 6 2 2 2" xfId="6142" xr:uid="{00000000-0005-0000-0000-0000F6170000}"/>
    <cellStyle name="Calculation 2 2 4 6 2 2 3" xfId="6143" xr:uid="{00000000-0005-0000-0000-0000F7170000}"/>
    <cellStyle name="Calculation 2 2 4 6 2 2 4" xfId="6144" xr:uid="{00000000-0005-0000-0000-0000F8170000}"/>
    <cellStyle name="Calculation 2 2 4 6 2 2 5" xfId="6145" xr:uid="{00000000-0005-0000-0000-0000F9170000}"/>
    <cellStyle name="Calculation 2 2 4 6 2 2 6" xfId="6146" xr:uid="{00000000-0005-0000-0000-0000FA170000}"/>
    <cellStyle name="Calculation 2 2 4 6 2 3" xfId="6147" xr:uid="{00000000-0005-0000-0000-0000FB170000}"/>
    <cellStyle name="Calculation 2 2 4 6 2 4" xfId="6148" xr:uid="{00000000-0005-0000-0000-0000FC170000}"/>
    <cellStyle name="Calculation 2 2 4 6 2 5" xfId="6149" xr:uid="{00000000-0005-0000-0000-0000FD170000}"/>
    <cellStyle name="Calculation 2 2 4 6 2 6" xfId="6150" xr:uid="{00000000-0005-0000-0000-0000FE170000}"/>
    <cellStyle name="Calculation 2 2 4 6 3" xfId="6151" xr:uid="{00000000-0005-0000-0000-0000FF170000}"/>
    <cellStyle name="Calculation 2 2 4 6 3 2" xfId="6152" xr:uid="{00000000-0005-0000-0000-000000180000}"/>
    <cellStyle name="Calculation 2 2 4 6 3 2 2" xfId="6153" xr:uid="{00000000-0005-0000-0000-000001180000}"/>
    <cellStyle name="Calculation 2 2 4 6 3 2 3" xfId="6154" xr:uid="{00000000-0005-0000-0000-000002180000}"/>
    <cellStyle name="Calculation 2 2 4 6 3 2 4" xfId="6155" xr:uid="{00000000-0005-0000-0000-000003180000}"/>
    <cellStyle name="Calculation 2 2 4 6 3 2 5" xfId="6156" xr:uid="{00000000-0005-0000-0000-000004180000}"/>
    <cellStyle name="Calculation 2 2 4 6 3 2 6" xfId="6157" xr:uid="{00000000-0005-0000-0000-000005180000}"/>
    <cellStyle name="Calculation 2 2 4 6 3 3" xfId="6158" xr:uid="{00000000-0005-0000-0000-000006180000}"/>
    <cellStyle name="Calculation 2 2 4 6 3 4" xfId="6159" xr:uid="{00000000-0005-0000-0000-000007180000}"/>
    <cellStyle name="Calculation 2 2 4 6 3 5" xfId="6160" xr:uid="{00000000-0005-0000-0000-000008180000}"/>
    <cellStyle name="Calculation 2 2 4 6 3 6" xfId="6161" xr:uid="{00000000-0005-0000-0000-000009180000}"/>
    <cellStyle name="Calculation 2 2 4 6 4" xfId="6162" xr:uid="{00000000-0005-0000-0000-00000A180000}"/>
    <cellStyle name="Calculation 2 2 4 6 4 2" xfId="6163" xr:uid="{00000000-0005-0000-0000-00000B180000}"/>
    <cellStyle name="Calculation 2 2 4 6 4 3" xfId="6164" xr:uid="{00000000-0005-0000-0000-00000C180000}"/>
    <cellStyle name="Calculation 2 2 4 6 4 4" xfId="6165" xr:uid="{00000000-0005-0000-0000-00000D180000}"/>
    <cellStyle name="Calculation 2 2 4 6 4 5" xfId="6166" xr:uid="{00000000-0005-0000-0000-00000E180000}"/>
    <cellStyle name="Calculation 2 2 4 6 4 6" xfId="6167" xr:uid="{00000000-0005-0000-0000-00000F180000}"/>
    <cellStyle name="Calculation 2 2 4 6 5" xfId="6168" xr:uid="{00000000-0005-0000-0000-000010180000}"/>
    <cellStyle name="Calculation 2 2 4 6 6" xfId="6169" xr:uid="{00000000-0005-0000-0000-000011180000}"/>
    <cellStyle name="Calculation 2 2 4 6 7" xfId="6170" xr:uid="{00000000-0005-0000-0000-000012180000}"/>
    <cellStyle name="Calculation 2 2 4 6 8" xfId="6171" xr:uid="{00000000-0005-0000-0000-000013180000}"/>
    <cellStyle name="Calculation 2 2 4 7" xfId="6172" xr:uid="{00000000-0005-0000-0000-000014180000}"/>
    <cellStyle name="Calculation 2 2 4 7 2" xfId="6173" xr:uid="{00000000-0005-0000-0000-000015180000}"/>
    <cellStyle name="Calculation 2 2 4 7 2 2" xfId="6174" xr:uid="{00000000-0005-0000-0000-000016180000}"/>
    <cellStyle name="Calculation 2 2 4 7 2 3" xfId="6175" xr:uid="{00000000-0005-0000-0000-000017180000}"/>
    <cellStyle name="Calculation 2 2 4 7 2 4" xfId="6176" xr:uid="{00000000-0005-0000-0000-000018180000}"/>
    <cellStyle name="Calculation 2 2 4 7 2 5" xfId="6177" xr:uid="{00000000-0005-0000-0000-000019180000}"/>
    <cellStyle name="Calculation 2 2 4 7 2 6" xfId="6178" xr:uid="{00000000-0005-0000-0000-00001A180000}"/>
    <cellStyle name="Calculation 2 2 4 7 3" xfId="6179" xr:uid="{00000000-0005-0000-0000-00001B180000}"/>
    <cellStyle name="Calculation 2 2 4 7 4" xfId="6180" xr:uid="{00000000-0005-0000-0000-00001C180000}"/>
    <cellStyle name="Calculation 2 2 4 7 5" xfId="6181" xr:uid="{00000000-0005-0000-0000-00001D180000}"/>
    <cellStyle name="Calculation 2 2 4 7 6" xfId="6182" xr:uid="{00000000-0005-0000-0000-00001E180000}"/>
    <cellStyle name="Calculation 2 2 4 8" xfId="6183" xr:uid="{00000000-0005-0000-0000-00001F180000}"/>
    <cellStyle name="Calculation 2 2 4 8 2" xfId="6184" xr:uid="{00000000-0005-0000-0000-000020180000}"/>
    <cellStyle name="Calculation 2 2 4 8 2 2" xfId="6185" xr:uid="{00000000-0005-0000-0000-000021180000}"/>
    <cellStyle name="Calculation 2 2 4 8 2 3" xfId="6186" xr:uid="{00000000-0005-0000-0000-000022180000}"/>
    <cellStyle name="Calculation 2 2 4 8 2 4" xfId="6187" xr:uid="{00000000-0005-0000-0000-000023180000}"/>
    <cellStyle name="Calculation 2 2 4 8 2 5" xfId="6188" xr:uid="{00000000-0005-0000-0000-000024180000}"/>
    <cellStyle name="Calculation 2 2 4 8 2 6" xfId="6189" xr:uid="{00000000-0005-0000-0000-000025180000}"/>
    <cellStyle name="Calculation 2 2 4 8 3" xfId="6190" xr:uid="{00000000-0005-0000-0000-000026180000}"/>
    <cellStyle name="Calculation 2 2 4 8 4" xfId="6191" xr:uid="{00000000-0005-0000-0000-000027180000}"/>
    <cellStyle name="Calculation 2 2 4 8 5" xfId="6192" xr:uid="{00000000-0005-0000-0000-000028180000}"/>
    <cellStyle name="Calculation 2 2 4 8 6" xfId="6193" xr:uid="{00000000-0005-0000-0000-000029180000}"/>
    <cellStyle name="Calculation 2 2 4 9" xfId="6194" xr:uid="{00000000-0005-0000-0000-00002A180000}"/>
    <cellStyle name="Calculation 2 2 4 9 2" xfId="6195" xr:uid="{00000000-0005-0000-0000-00002B180000}"/>
    <cellStyle name="Calculation 2 2 4 9 3" xfId="6196" xr:uid="{00000000-0005-0000-0000-00002C180000}"/>
    <cellStyle name="Calculation 2 2 4 9 4" xfId="6197" xr:uid="{00000000-0005-0000-0000-00002D180000}"/>
    <cellStyle name="Calculation 2 2 4 9 5" xfId="6198" xr:uid="{00000000-0005-0000-0000-00002E180000}"/>
    <cellStyle name="Calculation 2 2 4 9 6" xfId="6199" xr:uid="{00000000-0005-0000-0000-00002F180000}"/>
    <cellStyle name="Calculation 2 2 40" xfId="6200" xr:uid="{00000000-0005-0000-0000-000030180000}"/>
    <cellStyle name="Calculation 2 2 40 2" xfId="6201" xr:uid="{00000000-0005-0000-0000-000031180000}"/>
    <cellStyle name="Calculation 2 2 40 2 2" xfId="6202" xr:uid="{00000000-0005-0000-0000-000032180000}"/>
    <cellStyle name="Calculation 2 2 40 2 3" xfId="6203" xr:uid="{00000000-0005-0000-0000-000033180000}"/>
    <cellStyle name="Calculation 2 2 40 2 4" xfId="6204" xr:uid="{00000000-0005-0000-0000-000034180000}"/>
    <cellStyle name="Calculation 2 2 40 2 5" xfId="6205" xr:uid="{00000000-0005-0000-0000-000035180000}"/>
    <cellStyle name="Calculation 2 2 40 3" xfId="6206" xr:uid="{00000000-0005-0000-0000-000036180000}"/>
    <cellStyle name="Calculation 2 2 40 4" xfId="6207" xr:uid="{00000000-0005-0000-0000-000037180000}"/>
    <cellStyle name="Calculation 2 2 40 5" xfId="6208" xr:uid="{00000000-0005-0000-0000-000038180000}"/>
    <cellStyle name="Calculation 2 2 40 6" xfId="6209" xr:uid="{00000000-0005-0000-0000-000039180000}"/>
    <cellStyle name="Calculation 2 2 41" xfId="6210" xr:uid="{00000000-0005-0000-0000-00003A180000}"/>
    <cellStyle name="Calculation 2 2 41 2" xfId="6211" xr:uid="{00000000-0005-0000-0000-00003B180000}"/>
    <cellStyle name="Calculation 2 2 41 2 2" xfId="6212" xr:uid="{00000000-0005-0000-0000-00003C180000}"/>
    <cellStyle name="Calculation 2 2 41 2 3" xfId="6213" xr:uid="{00000000-0005-0000-0000-00003D180000}"/>
    <cellStyle name="Calculation 2 2 41 2 4" xfId="6214" xr:uid="{00000000-0005-0000-0000-00003E180000}"/>
    <cellStyle name="Calculation 2 2 41 2 5" xfId="6215" xr:uid="{00000000-0005-0000-0000-00003F180000}"/>
    <cellStyle name="Calculation 2 2 41 3" xfId="6216" xr:uid="{00000000-0005-0000-0000-000040180000}"/>
    <cellStyle name="Calculation 2 2 41 4" xfId="6217" xr:uid="{00000000-0005-0000-0000-000041180000}"/>
    <cellStyle name="Calculation 2 2 41 5" xfId="6218" xr:uid="{00000000-0005-0000-0000-000042180000}"/>
    <cellStyle name="Calculation 2 2 41 6" xfId="6219" xr:uid="{00000000-0005-0000-0000-000043180000}"/>
    <cellStyle name="Calculation 2 2 42" xfId="6220" xr:uid="{00000000-0005-0000-0000-000044180000}"/>
    <cellStyle name="Calculation 2 2 42 2" xfId="6221" xr:uid="{00000000-0005-0000-0000-000045180000}"/>
    <cellStyle name="Calculation 2 2 42 3" xfId="6222" xr:uid="{00000000-0005-0000-0000-000046180000}"/>
    <cellStyle name="Calculation 2 2 42 4" xfId="6223" xr:uid="{00000000-0005-0000-0000-000047180000}"/>
    <cellStyle name="Calculation 2 2 42 5" xfId="6224" xr:uid="{00000000-0005-0000-0000-000048180000}"/>
    <cellStyle name="Calculation 2 2 43" xfId="6225" xr:uid="{00000000-0005-0000-0000-000049180000}"/>
    <cellStyle name="Calculation 2 2 43 2" xfId="6226" xr:uid="{00000000-0005-0000-0000-00004A180000}"/>
    <cellStyle name="Calculation 2 2 43 3" xfId="6227" xr:uid="{00000000-0005-0000-0000-00004B180000}"/>
    <cellStyle name="Calculation 2 2 43 4" xfId="6228" xr:uid="{00000000-0005-0000-0000-00004C180000}"/>
    <cellStyle name="Calculation 2 2 43 5" xfId="6229" xr:uid="{00000000-0005-0000-0000-00004D180000}"/>
    <cellStyle name="Calculation 2 2 44" xfId="6230" xr:uid="{00000000-0005-0000-0000-00004E180000}"/>
    <cellStyle name="Calculation 2 2 45" xfId="6231" xr:uid="{00000000-0005-0000-0000-00004F180000}"/>
    <cellStyle name="Calculation 2 2 46" xfId="6232" xr:uid="{00000000-0005-0000-0000-000050180000}"/>
    <cellStyle name="Calculation 2 2 47" xfId="6233" xr:uid="{00000000-0005-0000-0000-000051180000}"/>
    <cellStyle name="Calculation 2 2 48" xfId="6234" xr:uid="{00000000-0005-0000-0000-000052180000}"/>
    <cellStyle name="Calculation 2 2 5" xfId="6235" xr:uid="{00000000-0005-0000-0000-000053180000}"/>
    <cellStyle name="Calculation 2 2 5 2" xfId="6236" xr:uid="{00000000-0005-0000-0000-000054180000}"/>
    <cellStyle name="Calculation 2 2 5 2 2" xfId="6237" xr:uid="{00000000-0005-0000-0000-000055180000}"/>
    <cellStyle name="Calculation 2 2 5 2 2 2" xfId="6238" xr:uid="{00000000-0005-0000-0000-000056180000}"/>
    <cellStyle name="Calculation 2 2 5 2 2 3" xfId="6239" xr:uid="{00000000-0005-0000-0000-000057180000}"/>
    <cellStyle name="Calculation 2 2 5 2 2 4" xfId="6240" xr:uid="{00000000-0005-0000-0000-000058180000}"/>
    <cellStyle name="Calculation 2 2 5 2 2 5" xfId="6241" xr:uid="{00000000-0005-0000-0000-000059180000}"/>
    <cellStyle name="Calculation 2 2 5 2 2 6" xfId="6242" xr:uid="{00000000-0005-0000-0000-00005A180000}"/>
    <cellStyle name="Calculation 2 2 5 2 3" xfId="6243" xr:uid="{00000000-0005-0000-0000-00005B180000}"/>
    <cellStyle name="Calculation 2 2 5 2 3 2" xfId="6244" xr:uid="{00000000-0005-0000-0000-00005C180000}"/>
    <cellStyle name="Calculation 2 2 5 2 3 3" xfId="6245" xr:uid="{00000000-0005-0000-0000-00005D180000}"/>
    <cellStyle name="Calculation 2 2 5 2 3 4" xfId="6246" xr:uid="{00000000-0005-0000-0000-00005E180000}"/>
    <cellStyle name="Calculation 2 2 5 2 3 5" xfId="6247" xr:uid="{00000000-0005-0000-0000-00005F180000}"/>
    <cellStyle name="Calculation 2 2 5 2 4" xfId="6248" xr:uid="{00000000-0005-0000-0000-000060180000}"/>
    <cellStyle name="Calculation 2 2 5 2 5" xfId="6249" xr:uid="{00000000-0005-0000-0000-000061180000}"/>
    <cellStyle name="Calculation 2 2 5 2 6" xfId="6250" xr:uid="{00000000-0005-0000-0000-000062180000}"/>
    <cellStyle name="Calculation 2 2 5 2 7" xfId="6251" xr:uid="{00000000-0005-0000-0000-000063180000}"/>
    <cellStyle name="Calculation 2 2 5 3" xfId="6252" xr:uid="{00000000-0005-0000-0000-000064180000}"/>
    <cellStyle name="Calculation 2 2 5 3 2" xfId="6253" xr:uid="{00000000-0005-0000-0000-000065180000}"/>
    <cellStyle name="Calculation 2 2 5 3 2 2" xfId="6254" xr:uid="{00000000-0005-0000-0000-000066180000}"/>
    <cellStyle name="Calculation 2 2 5 3 2 3" xfId="6255" xr:uid="{00000000-0005-0000-0000-000067180000}"/>
    <cellStyle name="Calculation 2 2 5 3 2 4" xfId="6256" xr:uid="{00000000-0005-0000-0000-000068180000}"/>
    <cellStyle name="Calculation 2 2 5 3 2 5" xfId="6257" xr:uid="{00000000-0005-0000-0000-000069180000}"/>
    <cellStyle name="Calculation 2 2 5 3 2 6" xfId="6258" xr:uid="{00000000-0005-0000-0000-00006A180000}"/>
    <cellStyle name="Calculation 2 2 5 3 3" xfId="6259" xr:uid="{00000000-0005-0000-0000-00006B180000}"/>
    <cellStyle name="Calculation 2 2 5 3 4" xfId="6260" xr:uid="{00000000-0005-0000-0000-00006C180000}"/>
    <cellStyle name="Calculation 2 2 5 3 5" xfId="6261" xr:uid="{00000000-0005-0000-0000-00006D180000}"/>
    <cellStyle name="Calculation 2 2 5 3 6" xfId="6262" xr:uid="{00000000-0005-0000-0000-00006E180000}"/>
    <cellStyle name="Calculation 2 2 5 4" xfId="6263" xr:uid="{00000000-0005-0000-0000-00006F180000}"/>
    <cellStyle name="Calculation 2 2 5 4 2" xfId="6264" xr:uid="{00000000-0005-0000-0000-000070180000}"/>
    <cellStyle name="Calculation 2 2 5 4 3" xfId="6265" xr:uid="{00000000-0005-0000-0000-000071180000}"/>
    <cellStyle name="Calculation 2 2 5 4 4" xfId="6266" xr:uid="{00000000-0005-0000-0000-000072180000}"/>
    <cellStyle name="Calculation 2 2 5 4 5" xfId="6267" xr:uid="{00000000-0005-0000-0000-000073180000}"/>
    <cellStyle name="Calculation 2 2 5 4 6" xfId="6268" xr:uid="{00000000-0005-0000-0000-000074180000}"/>
    <cellStyle name="Calculation 2 2 5 5" xfId="6269" xr:uid="{00000000-0005-0000-0000-000075180000}"/>
    <cellStyle name="Calculation 2 2 5 5 2" xfId="6270" xr:uid="{00000000-0005-0000-0000-000076180000}"/>
    <cellStyle name="Calculation 2 2 5 5 3" xfId="6271" xr:uid="{00000000-0005-0000-0000-000077180000}"/>
    <cellStyle name="Calculation 2 2 5 5 4" xfId="6272" xr:uid="{00000000-0005-0000-0000-000078180000}"/>
    <cellStyle name="Calculation 2 2 5 5 5" xfId="6273" xr:uid="{00000000-0005-0000-0000-000079180000}"/>
    <cellStyle name="Calculation 2 2 5 6" xfId="6274" xr:uid="{00000000-0005-0000-0000-00007A180000}"/>
    <cellStyle name="Calculation 2 2 5 7" xfId="6275" xr:uid="{00000000-0005-0000-0000-00007B180000}"/>
    <cellStyle name="Calculation 2 2 5 8" xfId="6276" xr:uid="{00000000-0005-0000-0000-00007C180000}"/>
    <cellStyle name="Calculation 2 2 5 9" xfId="6277" xr:uid="{00000000-0005-0000-0000-00007D180000}"/>
    <cellStyle name="Calculation 2 2 6" xfId="6278" xr:uid="{00000000-0005-0000-0000-00007E180000}"/>
    <cellStyle name="Calculation 2 2 6 2" xfId="6279" xr:uid="{00000000-0005-0000-0000-00007F180000}"/>
    <cellStyle name="Calculation 2 2 6 2 2" xfId="6280" xr:uid="{00000000-0005-0000-0000-000080180000}"/>
    <cellStyle name="Calculation 2 2 6 2 2 2" xfId="6281" xr:uid="{00000000-0005-0000-0000-000081180000}"/>
    <cellStyle name="Calculation 2 2 6 2 2 3" xfId="6282" xr:uid="{00000000-0005-0000-0000-000082180000}"/>
    <cellStyle name="Calculation 2 2 6 2 2 4" xfId="6283" xr:uid="{00000000-0005-0000-0000-000083180000}"/>
    <cellStyle name="Calculation 2 2 6 2 2 5" xfId="6284" xr:uid="{00000000-0005-0000-0000-000084180000}"/>
    <cellStyle name="Calculation 2 2 6 2 2 6" xfId="6285" xr:uid="{00000000-0005-0000-0000-000085180000}"/>
    <cellStyle name="Calculation 2 2 6 2 3" xfId="6286" xr:uid="{00000000-0005-0000-0000-000086180000}"/>
    <cellStyle name="Calculation 2 2 6 2 3 2" xfId="6287" xr:uid="{00000000-0005-0000-0000-000087180000}"/>
    <cellStyle name="Calculation 2 2 6 2 3 3" xfId="6288" xr:uid="{00000000-0005-0000-0000-000088180000}"/>
    <cellStyle name="Calculation 2 2 6 2 3 4" xfId="6289" xr:uid="{00000000-0005-0000-0000-000089180000}"/>
    <cellStyle name="Calculation 2 2 6 2 3 5" xfId="6290" xr:uid="{00000000-0005-0000-0000-00008A180000}"/>
    <cellStyle name="Calculation 2 2 6 2 4" xfId="6291" xr:uid="{00000000-0005-0000-0000-00008B180000}"/>
    <cellStyle name="Calculation 2 2 6 2 5" xfId="6292" xr:uid="{00000000-0005-0000-0000-00008C180000}"/>
    <cellStyle name="Calculation 2 2 6 2 6" xfId="6293" xr:uid="{00000000-0005-0000-0000-00008D180000}"/>
    <cellStyle name="Calculation 2 2 6 2 7" xfId="6294" xr:uid="{00000000-0005-0000-0000-00008E180000}"/>
    <cellStyle name="Calculation 2 2 6 3" xfId="6295" xr:uid="{00000000-0005-0000-0000-00008F180000}"/>
    <cellStyle name="Calculation 2 2 6 3 2" xfId="6296" xr:uid="{00000000-0005-0000-0000-000090180000}"/>
    <cellStyle name="Calculation 2 2 6 3 2 2" xfId="6297" xr:uid="{00000000-0005-0000-0000-000091180000}"/>
    <cellStyle name="Calculation 2 2 6 3 2 3" xfId="6298" xr:uid="{00000000-0005-0000-0000-000092180000}"/>
    <cellStyle name="Calculation 2 2 6 3 2 4" xfId="6299" xr:uid="{00000000-0005-0000-0000-000093180000}"/>
    <cellStyle name="Calculation 2 2 6 3 2 5" xfId="6300" xr:uid="{00000000-0005-0000-0000-000094180000}"/>
    <cellStyle name="Calculation 2 2 6 3 2 6" xfId="6301" xr:uid="{00000000-0005-0000-0000-000095180000}"/>
    <cellStyle name="Calculation 2 2 6 3 3" xfId="6302" xr:uid="{00000000-0005-0000-0000-000096180000}"/>
    <cellStyle name="Calculation 2 2 6 3 4" xfId="6303" xr:uid="{00000000-0005-0000-0000-000097180000}"/>
    <cellStyle name="Calculation 2 2 6 3 5" xfId="6304" xr:uid="{00000000-0005-0000-0000-000098180000}"/>
    <cellStyle name="Calculation 2 2 6 3 6" xfId="6305" xr:uid="{00000000-0005-0000-0000-000099180000}"/>
    <cellStyle name="Calculation 2 2 6 4" xfId="6306" xr:uid="{00000000-0005-0000-0000-00009A180000}"/>
    <cellStyle name="Calculation 2 2 6 4 2" xfId="6307" xr:uid="{00000000-0005-0000-0000-00009B180000}"/>
    <cellStyle name="Calculation 2 2 6 4 3" xfId="6308" xr:uid="{00000000-0005-0000-0000-00009C180000}"/>
    <cellStyle name="Calculation 2 2 6 4 4" xfId="6309" xr:uid="{00000000-0005-0000-0000-00009D180000}"/>
    <cellStyle name="Calculation 2 2 6 4 5" xfId="6310" xr:uid="{00000000-0005-0000-0000-00009E180000}"/>
    <cellStyle name="Calculation 2 2 6 4 6" xfId="6311" xr:uid="{00000000-0005-0000-0000-00009F180000}"/>
    <cellStyle name="Calculation 2 2 6 5" xfId="6312" xr:uid="{00000000-0005-0000-0000-0000A0180000}"/>
    <cellStyle name="Calculation 2 2 6 5 2" xfId="6313" xr:uid="{00000000-0005-0000-0000-0000A1180000}"/>
    <cellStyle name="Calculation 2 2 6 5 3" xfId="6314" xr:uid="{00000000-0005-0000-0000-0000A2180000}"/>
    <cellStyle name="Calculation 2 2 6 5 4" xfId="6315" xr:uid="{00000000-0005-0000-0000-0000A3180000}"/>
    <cellStyle name="Calculation 2 2 6 5 5" xfId="6316" xr:uid="{00000000-0005-0000-0000-0000A4180000}"/>
    <cellStyle name="Calculation 2 2 6 6" xfId="6317" xr:uid="{00000000-0005-0000-0000-0000A5180000}"/>
    <cellStyle name="Calculation 2 2 6 7" xfId="6318" xr:uid="{00000000-0005-0000-0000-0000A6180000}"/>
    <cellStyle name="Calculation 2 2 6 8" xfId="6319" xr:uid="{00000000-0005-0000-0000-0000A7180000}"/>
    <cellStyle name="Calculation 2 2 6 9" xfId="6320" xr:uid="{00000000-0005-0000-0000-0000A8180000}"/>
    <cellStyle name="Calculation 2 2 7" xfId="6321" xr:uid="{00000000-0005-0000-0000-0000A9180000}"/>
    <cellStyle name="Calculation 2 2 7 2" xfId="6322" xr:uid="{00000000-0005-0000-0000-0000AA180000}"/>
    <cellStyle name="Calculation 2 2 7 2 2" xfId="6323" xr:uid="{00000000-0005-0000-0000-0000AB180000}"/>
    <cellStyle name="Calculation 2 2 7 2 2 2" xfId="6324" xr:uid="{00000000-0005-0000-0000-0000AC180000}"/>
    <cellStyle name="Calculation 2 2 7 2 2 3" xfId="6325" xr:uid="{00000000-0005-0000-0000-0000AD180000}"/>
    <cellStyle name="Calculation 2 2 7 2 2 4" xfId="6326" xr:uid="{00000000-0005-0000-0000-0000AE180000}"/>
    <cellStyle name="Calculation 2 2 7 2 2 5" xfId="6327" xr:uid="{00000000-0005-0000-0000-0000AF180000}"/>
    <cellStyle name="Calculation 2 2 7 2 2 6" xfId="6328" xr:uid="{00000000-0005-0000-0000-0000B0180000}"/>
    <cellStyle name="Calculation 2 2 7 2 3" xfId="6329" xr:uid="{00000000-0005-0000-0000-0000B1180000}"/>
    <cellStyle name="Calculation 2 2 7 2 3 2" xfId="6330" xr:uid="{00000000-0005-0000-0000-0000B2180000}"/>
    <cellStyle name="Calculation 2 2 7 2 3 3" xfId="6331" xr:uid="{00000000-0005-0000-0000-0000B3180000}"/>
    <cellStyle name="Calculation 2 2 7 2 3 4" xfId="6332" xr:uid="{00000000-0005-0000-0000-0000B4180000}"/>
    <cellStyle name="Calculation 2 2 7 2 3 5" xfId="6333" xr:uid="{00000000-0005-0000-0000-0000B5180000}"/>
    <cellStyle name="Calculation 2 2 7 2 4" xfId="6334" xr:uid="{00000000-0005-0000-0000-0000B6180000}"/>
    <cellStyle name="Calculation 2 2 7 2 5" xfId="6335" xr:uid="{00000000-0005-0000-0000-0000B7180000}"/>
    <cellStyle name="Calculation 2 2 7 2 6" xfId="6336" xr:uid="{00000000-0005-0000-0000-0000B8180000}"/>
    <cellStyle name="Calculation 2 2 7 2 7" xfId="6337" xr:uid="{00000000-0005-0000-0000-0000B9180000}"/>
    <cellStyle name="Calculation 2 2 7 3" xfId="6338" xr:uid="{00000000-0005-0000-0000-0000BA180000}"/>
    <cellStyle name="Calculation 2 2 7 3 2" xfId="6339" xr:uid="{00000000-0005-0000-0000-0000BB180000}"/>
    <cellStyle name="Calculation 2 2 7 3 2 2" xfId="6340" xr:uid="{00000000-0005-0000-0000-0000BC180000}"/>
    <cellStyle name="Calculation 2 2 7 3 2 3" xfId="6341" xr:uid="{00000000-0005-0000-0000-0000BD180000}"/>
    <cellStyle name="Calculation 2 2 7 3 2 4" xfId="6342" xr:uid="{00000000-0005-0000-0000-0000BE180000}"/>
    <cellStyle name="Calculation 2 2 7 3 2 5" xfId="6343" xr:uid="{00000000-0005-0000-0000-0000BF180000}"/>
    <cellStyle name="Calculation 2 2 7 3 2 6" xfId="6344" xr:uid="{00000000-0005-0000-0000-0000C0180000}"/>
    <cellStyle name="Calculation 2 2 7 3 3" xfId="6345" xr:uid="{00000000-0005-0000-0000-0000C1180000}"/>
    <cellStyle name="Calculation 2 2 7 3 4" xfId="6346" xr:uid="{00000000-0005-0000-0000-0000C2180000}"/>
    <cellStyle name="Calculation 2 2 7 3 5" xfId="6347" xr:uid="{00000000-0005-0000-0000-0000C3180000}"/>
    <cellStyle name="Calculation 2 2 7 3 6" xfId="6348" xr:uid="{00000000-0005-0000-0000-0000C4180000}"/>
    <cellStyle name="Calculation 2 2 7 4" xfId="6349" xr:uid="{00000000-0005-0000-0000-0000C5180000}"/>
    <cellStyle name="Calculation 2 2 7 4 2" xfId="6350" xr:uid="{00000000-0005-0000-0000-0000C6180000}"/>
    <cellStyle name="Calculation 2 2 7 4 3" xfId="6351" xr:uid="{00000000-0005-0000-0000-0000C7180000}"/>
    <cellStyle name="Calculation 2 2 7 4 4" xfId="6352" xr:uid="{00000000-0005-0000-0000-0000C8180000}"/>
    <cellStyle name="Calculation 2 2 7 4 5" xfId="6353" xr:uid="{00000000-0005-0000-0000-0000C9180000}"/>
    <cellStyle name="Calculation 2 2 7 4 6" xfId="6354" xr:uid="{00000000-0005-0000-0000-0000CA180000}"/>
    <cellStyle name="Calculation 2 2 7 5" xfId="6355" xr:uid="{00000000-0005-0000-0000-0000CB180000}"/>
    <cellStyle name="Calculation 2 2 7 5 2" xfId="6356" xr:uid="{00000000-0005-0000-0000-0000CC180000}"/>
    <cellStyle name="Calculation 2 2 7 5 3" xfId="6357" xr:uid="{00000000-0005-0000-0000-0000CD180000}"/>
    <cellStyle name="Calculation 2 2 7 5 4" xfId="6358" xr:uid="{00000000-0005-0000-0000-0000CE180000}"/>
    <cellStyle name="Calculation 2 2 7 5 5" xfId="6359" xr:uid="{00000000-0005-0000-0000-0000CF180000}"/>
    <cellStyle name="Calculation 2 2 7 6" xfId="6360" xr:uid="{00000000-0005-0000-0000-0000D0180000}"/>
    <cellStyle name="Calculation 2 2 7 7" xfId="6361" xr:uid="{00000000-0005-0000-0000-0000D1180000}"/>
    <cellStyle name="Calculation 2 2 7 8" xfId="6362" xr:uid="{00000000-0005-0000-0000-0000D2180000}"/>
    <cellStyle name="Calculation 2 2 7 9" xfId="6363" xr:uid="{00000000-0005-0000-0000-0000D3180000}"/>
    <cellStyle name="Calculation 2 2 8" xfId="6364" xr:uid="{00000000-0005-0000-0000-0000D4180000}"/>
    <cellStyle name="Calculation 2 2 8 2" xfId="6365" xr:uid="{00000000-0005-0000-0000-0000D5180000}"/>
    <cellStyle name="Calculation 2 2 8 2 2" xfId="6366" xr:uid="{00000000-0005-0000-0000-0000D6180000}"/>
    <cellStyle name="Calculation 2 2 8 2 2 2" xfId="6367" xr:uid="{00000000-0005-0000-0000-0000D7180000}"/>
    <cellStyle name="Calculation 2 2 8 2 2 3" xfId="6368" xr:uid="{00000000-0005-0000-0000-0000D8180000}"/>
    <cellStyle name="Calculation 2 2 8 2 2 4" xfId="6369" xr:uid="{00000000-0005-0000-0000-0000D9180000}"/>
    <cellStyle name="Calculation 2 2 8 2 2 5" xfId="6370" xr:uid="{00000000-0005-0000-0000-0000DA180000}"/>
    <cellStyle name="Calculation 2 2 8 2 3" xfId="6371" xr:uid="{00000000-0005-0000-0000-0000DB180000}"/>
    <cellStyle name="Calculation 2 2 8 2 4" xfId="6372" xr:uid="{00000000-0005-0000-0000-0000DC180000}"/>
    <cellStyle name="Calculation 2 2 8 2 5" xfId="6373" xr:uid="{00000000-0005-0000-0000-0000DD180000}"/>
    <cellStyle name="Calculation 2 2 8 2 6" xfId="6374" xr:uid="{00000000-0005-0000-0000-0000DE180000}"/>
    <cellStyle name="Calculation 2 2 8 2 7" xfId="6375" xr:uid="{00000000-0005-0000-0000-0000DF180000}"/>
    <cellStyle name="Calculation 2 2 8 3" xfId="6376" xr:uid="{00000000-0005-0000-0000-0000E0180000}"/>
    <cellStyle name="Calculation 2 2 8 3 2" xfId="6377" xr:uid="{00000000-0005-0000-0000-0000E1180000}"/>
    <cellStyle name="Calculation 2 2 8 3 3" xfId="6378" xr:uid="{00000000-0005-0000-0000-0000E2180000}"/>
    <cellStyle name="Calculation 2 2 8 3 4" xfId="6379" xr:uid="{00000000-0005-0000-0000-0000E3180000}"/>
    <cellStyle name="Calculation 2 2 8 3 5" xfId="6380" xr:uid="{00000000-0005-0000-0000-0000E4180000}"/>
    <cellStyle name="Calculation 2 2 8 4" xfId="6381" xr:uid="{00000000-0005-0000-0000-0000E5180000}"/>
    <cellStyle name="Calculation 2 2 8 5" xfId="6382" xr:uid="{00000000-0005-0000-0000-0000E6180000}"/>
    <cellStyle name="Calculation 2 2 8 6" xfId="6383" xr:uid="{00000000-0005-0000-0000-0000E7180000}"/>
    <cellStyle name="Calculation 2 2 8 7" xfId="6384" xr:uid="{00000000-0005-0000-0000-0000E8180000}"/>
    <cellStyle name="Calculation 2 2 9" xfId="6385" xr:uid="{00000000-0005-0000-0000-0000E9180000}"/>
    <cellStyle name="Calculation 2 2 9 2" xfId="6386" xr:uid="{00000000-0005-0000-0000-0000EA180000}"/>
    <cellStyle name="Calculation 2 2 9 2 2" xfId="6387" xr:uid="{00000000-0005-0000-0000-0000EB180000}"/>
    <cellStyle name="Calculation 2 2 9 2 2 2" xfId="6388" xr:uid="{00000000-0005-0000-0000-0000EC180000}"/>
    <cellStyle name="Calculation 2 2 9 2 2 3" xfId="6389" xr:uid="{00000000-0005-0000-0000-0000ED180000}"/>
    <cellStyle name="Calculation 2 2 9 2 2 4" xfId="6390" xr:uid="{00000000-0005-0000-0000-0000EE180000}"/>
    <cellStyle name="Calculation 2 2 9 2 2 5" xfId="6391" xr:uid="{00000000-0005-0000-0000-0000EF180000}"/>
    <cellStyle name="Calculation 2 2 9 2 3" xfId="6392" xr:uid="{00000000-0005-0000-0000-0000F0180000}"/>
    <cellStyle name="Calculation 2 2 9 2 4" xfId="6393" xr:uid="{00000000-0005-0000-0000-0000F1180000}"/>
    <cellStyle name="Calculation 2 2 9 2 5" xfId="6394" xr:uid="{00000000-0005-0000-0000-0000F2180000}"/>
    <cellStyle name="Calculation 2 2 9 2 6" xfId="6395" xr:uid="{00000000-0005-0000-0000-0000F3180000}"/>
    <cellStyle name="Calculation 2 2 9 2 7" xfId="6396" xr:uid="{00000000-0005-0000-0000-0000F4180000}"/>
    <cellStyle name="Calculation 2 2 9 3" xfId="6397" xr:uid="{00000000-0005-0000-0000-0000F5180000}"/>
    <cellStyle name="Calculation 2 2 9 3 2" xfId="6398" xr:uid="{00000000-0005-0000-0000-0000F6180000}"/>
    <cellStyle name="Calculation 2 2 9 3 3" xfId="6399" xr:uid="{00000000-0005-0000-0000-0000F7180000}"/>
    <cellStyle name="Calculation 2 2 9 3 4" xfId="6400" xr:uid="{00000000-0005-0000-0000-0000F8180000}"/>
    <cellStyle name="Calculation 2 2 9 3 5" xfId="6401" xr:uid="{00000000-0005-0000-0000-0000F9180000}"/>
    <cellStyle name="Calculation 2 2 9 4" xfId="6402" xr:uid="{00000000-0005-0000-0000-0000FA180000}"/>
    <cellStyle name="Calculation 2 2 9 5" xfId="6403" xr:uid="{00000000-0005-0000-0000-0000FB180000}"/>
    <cellStyle name="Calculation 2 2 9 6" xfId="6404" xr:uid="{00000000-0005-0000-0000-0000FC180000}"/>
    <cellStyle name="Calculation 2 2 9 7" xfId="6405" xr:uid="{00000000-0005-0000-0000-0000FD180000}"/>
    <cellStyle name="Calculation 2 20" xfId="6406" xr:uid="{00000000-0005-0000-0000-0000FE180000}"/>
    <cellStyle name="Calculation 2 20 2" xfId="6407" xr:uid="{00000000-0005-0000-0000-0000FF180000}"/>
    <cellStyle name="Calculation 2 20 2 2" xfId="6408" xr:uid="{00000000-0005-0000-0000-000000190000}"/>
    <cellStyle name="Calculation 2 20 2 3" xfId="6409" xr:uid="{00000000-0005-0000-0000-000001190000}"/>
    <cellStyle name="Calculation 2 20 2 4" xfId="6410" xr:uid="{00000000-0005-0000-0000-000002190000}"/>
    <cellStyle name="Calculation 2 20 2 5" xfId="6411" xr:uid="{00000000-0005-0000-0000-000003190000}"/>
    <cellStyle name="Calculation 2 20 3" xfId="6412" xr:uid="{00000000-0005-0000-0000-000004190000}"/>
    <cellStyle name="Calculation 2 20 4" xfId="6413" xr:uid="{00000000-0005-0000-0000-000005190000}"/>
    <cellStyle name="Calculation 2 20 5" xfId="6414" xr:uid="{00000000-0005-0000-0000-000006190000}"/>
    <cellStyle name="Calculation 2 20 6" xfId="6415" xr:uid="{00000000-0005-0000-0000-000007190000}"/>
    <cellStyle name="Calculation 2 21" xfId="6416" xr:uid="{00000000-0005-0000-0000-000008190000}"/>
    <cellStyle name="Calculation 2 21 2" xfId="6417" xr:uid="{00000000-0005-0000-0000-000009190000}"/>
    <cellStyle name="Calculation 2 21 2 2" xfId="6418" xr:uid="{00000000-0005-0000-0000-00000A190000}"/>
    <cellStyle name="Calculation 2 21 2 3" xfId="6419" xr:uid="{00000000-0005-0000-0000-00000B190000}"/>
    <cellStyle name="Calculation 2 21 2 4" xfId="6420" xr:uid="{00000000-0005-0000-0000-00000C190000}"/>
    <cellStyle name="Calculation 2 21 2 5" xfId="6421" xr:uid="{00000000-0005-0000-0000-00000D190000}"/>
    <cellStyle name="Calculation 2 21 3" xfId="6422" xr:uid="{00000000-0005-0000-0000-00000E190000}"/>
    <cellStyle name="Calculation 2 21 4" xfId="6423" xr:uid="{00000000-0005-0000-0000-00000F190000}"/>
    <cellStyle name="Calculation 2 21 5" xfId="6424" xr:uid="{00000000-0005-0000-0000-000010190000}"/>
    <cellStyle name="Calculation 2 21 6" xfId="6425" xr:uid="{00000000-0005-0000-0000-000011190000}"/>
    <cellStyle name="Calculation 2 22" xfId="6426" xr:uid="{00000000-0005-0000-0000-000012190000}"/>
    <cellStyle name="Calculation 2 22 2" xfId="6427" xr:uid="{00000000-0005-0000-0000-000013190000}"/>
    <cellStyle name="Calculation 2 22 2 2" xfId="6428" xr:uid="{00000000-0005-0000-0000-000014190000}"/>
    <cellStyle name="Calculation 2 22 2 3" xfId="6429" xr:uid="{00000000-0005-0000-0000-000015190000}"/>
    <cellStyle name="Calculation 2 22 2 4" xfId="6430" xr:uid="{00000000-0005-0000-0000-000016190000}"/>
    <cellStyle name="Calculation 2 22 2 5" xfId="6431" xr:uid="{00000000-0005-0000-0000-000017190000}"/>
    <cellStyle name="Calculation 2 22 3" xfId="6432" xr:uid="{00000000-0005-0000-0000-000018190000}"/>
    <cellStyle name="Calculation 2 22 4" xfId="6433" xr:uid="{00000000-0005-0000-0000-000019190000}"/>
    <cellStyle name="Calculation 2 22 5" xfId="6434" xr:uid="{00000000-0005-0000-0000-00001A190000}"/>
    <cellStyle name="Calculation 2 22 6" xfId="6435" xr:uid="{00000000-0005-0000-0000-00001B190000}"/>
    <cellStyle name="Calculation 2 23" xfId="6436" xr:uid="{00000000-0005-0000-0000-00001C190000}"/>
    <cellStyle name="Calculation 2 23 2" xfId="6437" xr:uid="{00000000-0005-0000-0000-00001D190000}"/>
    <cellStyle name="Calculation 2 23 2 2" xfId="6438" xr:uid="{00000000-0005-0000-0000-00001E190000}"/>
    <cellStyle name="Calculation 2 23 2 3" xfId="6439" xr:uid="{00000000-0005-0000-0000-00001F190000}"/>
    <cellStyle name="Calculation 2 23 2 4" xfId="6440" xr:uid="{00000000-0005-0000-0000-000020190000}"/>
    <cellStyle name="Calculation 2 23 2 5" xfId="6441" xr:uid="{00000000-0005-0000-0000-000021190000}"/>
    <cellStyle name="Calculation 2 23 3" xfId="6442" xr:uid="{00000000-0005-0000-0000-000022190000}"/>
    <cellStyle name="Calculation 2 23 4" xfId="6443" xr:uid="{00000000-0005-0000-0000-000023190000}"/>
    <cellStyle name="Calculation 2 23 5" xfId="6444" xr:uid="{00000000-0005-0000-0000-000024190000}"/>
    <cellStyle name="Calculation 2 23 6" xfId="6445" xr:uid="{00000000-0005-0000-0000-000025190000}"/>
    <cellStyle name="Calculation 2 24" xfId="6446" xr:uid="{00000000-0005-0000-0000-000026190000}"/>
    <cellStyle name="Calculation 2 24 2" xfId="6447" xr:uid="{00000000-0005-0000-0000-000027190000}"/>
    <cellStyle name="Calculation 2 24 2 2" xfId="6448" xr:uid="{00000000-0005-0000-0000-000028190000}"/>
    <cellStyle name="Calculation 2 24 2 3" xfId="6449" xr:uid="{00000000-0005-0000-0000-000029190000}"/>
    <cellStyle name="Calculation 2 24 2 4" xfId="6450" xr:uid="{00000000-0005-0000-0000-00002A190000}"/>
    <cellStyle name="Calculation 2 24 2 5" xfId="6451" xr:uid="{00000000-0005-0000-0000-00002B190000}"/>
    <cellStyle name="Calculation 2 24 3" xfId="6452" xr:uid="{00000000-0005-0000-0000-00002C190000}"/>
    <cellStyle name="Calculation 2 24 4" xfId="6453" xr:uid="{00000000-0005-0000-0000-00002D190000}"/>
    <cellStyle name="Calculation 2 24 5" xfId="6454" xr:uid="{00000000-0005-0000-0000-00002E190000}"/>
    <cellStyle name="Calculation 2 24 6" xfId="6455" xr:uid="{00000000-0005-0000-0000-00002F190000}"/>
    <cellStyle name="Calculation 2 25" xfId="6456" xr:uid="{00000000-0005-0000-0000-000030190000}"/>
    <cellStyle name="Calculation 2 25 2" xfId="6457" xr:uid="{00000000-0005-0000-0000-000031190000}"/>
    <cellStyle name="Calculation 2 25 2 2" xfId="6458" xr:uid="{00000000-0005-0000-0000-000032190000}"/>
    <cellStyle name="Calculation 2 25 2 3" xfId="6459" xr:uid="{00000000-0005-0000-0000-000033190000}"/>
    <cellStyle name="Calculation 2 25 2 4" xfId="6460" xr:uid="{00000000-0005-0000-0000-000034190000}"/>
    <cellStyle name="Calculation 2 25 2 5" xfId="6461" xr:uid="{00000000-0005-0000-0000-000035190000}"/>
    <cellStyle name="Calculation 2 25 3" xfId="6462" xr:uid="{00000000-0005-0000-0000-000036190000}"/>
    <cellStyle name="Calculation 2 25 4" xfId="6463" xr:uid="{00000000-0005-0000-0000-000037190000}"/>
    <cellStyle name="Calculation 2 25 5" xfId="6464" xr:uid="{00000000-0005-0000-0000-000038190000}"/>
    <cellStyle name="Calculation 2 25 6" xfId="6465" xr:uid="{00000000-0005-0000-0000-000039190000}"/>
    <cellStyle name="Calculation 2 26" xfId="6466" xr:uid="{00000000-0005-0000-0000-00003A190000}"/>
    <cellStyle name="Calculation 2 26 2" xfId="6467" xr:uid="{00000000-0005-0000-0000-00003B190000}"/>
    <cellStyle name="Calculation 2 26 2 2" xfId="6468" xr:uid="{00000000-0005-0000-0000-00003C190000}"/>
    <cellStyle name="Calculation 2 26 2 3" xfId="6469" xr:uid="{00000000-0005-0000-0000-00003D190000}"/>
    <cellStyle name="Calculation 2 26 2 4" xfId="6470" xr:uid="{00000000-0005-0000-0000-00003E190000}"/>
    <cellStyle name="Calculation 2 26 2 5" xfId="6471" xr:uid="{00000000-0005-0000-0000-00003F190000}"/>
    <cellStyle name="Calculation 2 26 3" xfId="6472" xr:uid="{00000000-0005-0000-0000-000040190000}"/>
    <cellStyle name="Calculation 2 26 4" xfId="6473" xr:uid="{00000000-0005-0000-0000-000041190000}"/>
    <cellStyle name="Calculation 2 26 5" xfId="6474" xr:uid="{00000000-0005-0000-0000-000042190000}"/>
    <cellStyle name="Calculation 2 26 6" xfId="6475" xr:uid="{00000000-0005-0000-0000-000043190000}"/>
    <cellStyle name="Calculation 2 27" xfId="6476" xr:uid="{00000000-0005-0000-0000-000044190000}"/>
    <cellStyle name="Calculation 2 27 2" xfId="6477" xr:uid="{00000000-0005-0000-0000-000045190000}"/>
    <cellStyle name="Calculation 2 27 2 2" xfId="6478" xr:uid="{00000000-0005-0000-0000-000046190000}"/>
    <cellStyle name="Calculation 2 27 2 3" xfId="6479" xr:uid="{00000000-0005-0000-0000-000047190000}"/>
    <cellStyle name="Calculation 2 27 2 4" xfId="6480" xr:uid="{00000000-0005-0000-0000-000048190000}"/>
    <cellStyle name="Calculation 2 27 2 5" xfId="6481" xr:uid="{00000000-0005-0000-0000-000049190000}"/>
    <cellStyle name="Calculation 2 27 3" xfId="6482" xr:uid="{00000000-0005-0000-0000-00004A190000}"/>
    <cellStyle name="Calculation 2 27 4" xfId="6483" xr:uid="{00000000-0005-0000-0000-00004B190000}"/>
    <cellStyle name="Calculation 2 27 5" xfId="6484" xr:uid="{00000000-0005-0000-0000-00004C190000}"/>
    <cellStyle name="Calculation 2 27 6" xfId="6485" xr:uid="{00000000-0005-0000-0000-00004D190000}"/>
    <cellStyle name="Calculation 2 28" xfId="6486" xr:uid="{00000000-0005-0000-0000-00004E190000}"/>
    <cellStyle name="Calculation 2 28 2" xfId="6487" xr:uid="{00000000-0005-0000-0000-00004F190000}"/>
    <cellStyle name="Calculation 2 28 2 2" xfId="6488" xr:uid="{00000000-0005-0000-0000-000050190000}"/>
    <cellStyle name="Calculation 2 28 2 3" xfId="6489" xr:uid="{00000000-0005-0000-0000-000051190000}"/>
    <cellStyle name="Calculation 2 28 2 4" xfId="6490" xr:uid="{00000000-0005-0000-0000-000052190000}"/>
    <cellStyle name="Calculation 2 28 2 5" xfId="6491" xr:uid="{00000000-0005-0000-0000-000053190000}"/>
    <cellStyle name="Calculation 2 28 3" xfId="6492" xr:uid="{00000000-0005-0000-0000-000054190000}"/>
    <cellStyle name="Calculation 2 28 4" xfId="6493" xr:uid="{00000000-0005-0000-0000-000055190000}"/>
    <cellStyle name="Calculation 2 28 5" xfId="6494" xr:uid="{00000000-0005-0000-0000-000056190000}"/>
    <cellStyle name="Calculation 2 28 6" xfId="6495" xr:uid="{00000000-0005-0000-0000-000057190000}"/>
    <cellStyle name="Calculation 2 29" xfId="6496" xr:uid="{00000000-0005-0000-0000-000058190000}"/>
    <cellStyle name="Calculation 2 29 2" xfId="6497" xr:uid="{00000000-0005-0000-0000-000059190000}"/>
    <cellStyle name="Calculation 2 29 2 2" xfId="6498" xr:uid="{00000000-0005-0000-0000-00005A190000}"/>
    <cellStyle name="Calculation 2 29 2 3" xfId="6499" xr:uid="{00000000-0005-0000-0000-00005B190000}"/>
    <cellStyle name="Calculation 2 29 2 4" xfId="6500" xr:uid="{00000000-0005-0000-0000-00005C190000}"/>
    <cellStyle name="Calculation 2 29 2 5" xfId="6501" xr:uid="{00000000-0005-0000-0000-00005D190000}"/>
    <cellStyle name="Calculation 2 29 3" xfId="6502" xr:uid="{00000000-0005-0000-0000-00005E190000}"/>
    <cellStyle name="Calculation 2 29 4" xfId="6503" xr:uid="{00000000-0005-0000-0000-00005F190000}"/>
    <cellStyle name="Calculation 2 29 5" xfId="6504" xr:uid="{00000000-0005-0000-0000-000060190000}"/>
    <cellStyle name="Calculation 2 29 6" xfId="6505" xr:uid="{00000000-0005-0000-0000-000061190000}"/>
    <cellStyle name="Calculation 2 3" xfId="6506" xr:uid="{00000000-0005-0000-0000-000062190000}"/>
    <cellStyle name="Calculation 2 3 10" xfId="6507" xr:uid="{00000000-0005-0000-0000-000063190000}"/>
    <cellStyle name="Calculation 2 3 10 2" xfId="6508" xr:uid="{00000000-0005-0000-0000-000064190000}"/>
    <cellStyle name="Calculation 2 3 10 2 2" xfId="6509" xr:uid="{00000000-0005-0000-0000-000065190000}"/>
    <cellStyle name="Calculation 2 3 10 2 3" xfId="6510" xr:uid="{00000000-0005-0000-0000-000066190000}"/>
    <cellStyle name="Calculation 2 3 10 2 4" xfId="6511" xr:uid="{00000000-0005-0000-0000-000067190000}"/>
    <cellStyle name="Calculation 2 3 10 2 5" xfId="6512" xr:uid="{00000000-0005-0000-0000-000068190000}"/>
    <cellStyle name="Calculation 2 3 10 3" xfId="6513" xr:uid="{00000000-0005-0000-0000-000069190000}"/>
    <cellStyle name="Calculation 2 3 10 4" xfId="6514" xr:uid="{00000000-0005-0000-0000-00006A190000}"/>
    <cellStyle name="Calculation 2 3 10 5" xfId="6515" xr:uid="{00000000-0005-0000-0000-00006B190000}"/>
    <cellStyle name="Calculation 2 3 10 6" xfId="6516" xr:uid="{00000000-0005-0000-0000-00006C190000}"/>
    <cellStyle name="Calculation 2 3 11" xfId="6517" xr:uid="{00000000-0005-0000-0000-00006D190000}"/>
    <cellStyle name="Calculation 2 3 11 2" xfId="6518" xr:uid="{00000000-0005-0000-0000-00006E190000}"/>
    <cellStyle name="Calculation 2 3 11 2 2" xfId="6519" xr:uid="{00000000-0005-0000-0000-00006F190000}"/>
    <cellStyle name="Calculation 2 3 11 2 3" xfId="6520" xr:uid="{00000000-0005-0000-0000-000070190000}"/>
    <cellStyle name="Calculation 2 3 11 2 4" xfId="6521" xr:uid="{00000000-0005-0000-0000-000071190000}"/>
    <cellStyle name="Calculation 2 3 11 2 5" xfId="6522" xr:uid="{00000000-0005-0000-0000-000072190000}"/>
    <cellStyle name="Calculation 2 3 11 3" xfId="6523" xr:uid="{00000000-0005-0000-0000-000073190000}"/>
    <cellStyle name="Calculation 2 3 11 4" xfId="6524" xr:uid="{00000000-0005-0000-0000-000074190000}"/>
    <cellStyle name="Calculation 2 3 11 5" xfId="6525" xr:uid="{00000000-0005-0000-0000-000075190000}"/>
    <cellStyle name="Calculation 2 3 11 6" xfId="6526" xr:uid="{00000000-0005-0000-0000-000076190000}"/>
    <cellStyle name="Calculation 2 3 12" xfId="6527" xr:uid="{00000000-0005-0000-0000-000077190000}"/>
    <cellStyle name="Calculation 2 3 12 2" xfId="6528" xr:uid="{00000000-0005-0000-0000-000078190000}"/>
    <cellStyle name="Calculation 2 3 12 2 2" xfId="6529" xr:uid="{00000000-0005-0000-0000-000079190000}"/>
    <cellStyle name="Calculation 2 3 12 2 3" xfId="6530" xr:uid="{00000000-0005-0000-0000-00007A190000}"/>
    <cellStyle name="Calculation 2 3 12 2 4" xfId="6531" xr:uid="{00000000-0005-0000-0000-00007B190000}"/>
    <cellStyle name="Calculation 2 3 12 2 5" xfId="6532" xr:uid="{00000000-0005-0000-0000-00007C190000}"/>
    <cellStyle name="Calculation 2 3 12 3" xfId="6533" xr:uid="{00000000-0005-0000-0000-00007D190000}"/>
    <cellStyle name="Calculation 2 3 12 4" xfId="6534" xr:uid="{00000000-0005-0000-0000-00007E190000}"/>
    <cellStyle name="Calculation 2 3 12 5" xfId="6535" xr:uid="{00000000-0005-0000-0000-00007F190000}"/>
    <cellStyle name="Calculation 2 3 12 6" xfId="6536" xr:uid="{00000000-0005-0000-0000-000080190000}"/>
    <cellStyle name="Calculation 2 3 13" xfId="6537" xr:uid="{00000000-0005-0000-0000-000081190000}"/>
    <cellStyle name="Calculation 2 3 13 2" xfId="6538" xr:uid="{00000000-0005-0000-0000-000082190000}"/>
    <cellStyle name="Calculation 2 3 13 2 2" xfId="6539" xr:uid="{00000000-0005-0000-0000-000083190000}"/>
    <cellStyle name="Calculation 2 3 13 2 3" xfId="6540" xr:uid="{00000000-0005-0000-0000-000084190000}"/>
    <cellStyle name="Calculation 2 3 13 2 4" xfId="6541" xr:uid="{00000000-0005-0000-0000-000085190000}"/>
    <cellStyle name="Calculation 2 3 13 2 5" xfId="6542" xr:uid="{00000000-0005-0000-0000-000086190000}"/>
    <cellStyle name="Calculation 2 3 13 3" xfId="6543" xr:uid="{00000000-0005-0000-0000-000087190000}"/>
    <cellStyle name="Calculation 2 3 13 4" xfId="6544" xr:uid="{00000000-0005-0000-0000-000088190000}"/>
    <cellStyle name="Calculation 2 3 13 5" xfId="6545" xr:uid="{00000000-0005-0000-0000-000089190000}"/>
    <cellStyle name="Calculation 2 3 13 6" xfId="6546" xr:uid="{00000000-0005-0000-0000-00008A190000}"/>
    <cellStyle name="Calculation 2 3 14" xfId="6547" xr:uid="{00000000-0005-0000-0000-00008B190000}"/>
    <cellStyle name="Calculation 2 3 14 2" xfId="6548" xr:uid="{00000000-0005-0000-0000-00008C190000}"/>
    <cellStyle name="Calculation 2 3 14 2 2" xfId="6549" xr:uid="{00000000-0005-0000-0000-00008D190000}"/>
    <cellStyle name="Calculation 2 3 14 2 3" xfId="6550" xr:uid="{00000000-0005-0000-0000-00008E190000}"/>
    <cellStyle name="Calculation 2 3 14 2 4" xfId="6551" xr:uid="{00000000-0005-0000-0000-00008F190000}"/>
    <cellStyle name="Calculation 2 3 14 2 5" xfId="6552" xr:uid="{00000000-0005-0000-0000-000090190000}"/>
    <cellStyle name="Calculation 2 3 14 3" xfId="6553" xr:uid="{00000000-0005-0000-0000-000091190000}"/>
    <cellStyle name="Calculation 2 3 14 4" xfId="6554" xr:uid="{00000000-0005-0000-0000-000092190000}"/>
    <cellStyle name="Calculation 2 3 14 5" xfId="6555" xr:uid="{00000000-0005-0000-0000-000093190000}"/>
    <cellStyle name="Calculation 2 3 14 6" xfId="6556" xr:uid="{00000000-0005-0000-0000-000094190000}"/>
    <cellStyle name="Calculation 2 3 15" xfId="6557" xr:uid="{00000000-0005-0000-0000-000095190000}"/>
    <cellStyle name="Calculation 2 3 15 2" xfId="6558" xr:uid="{00000000-0005-0000-0000-000096190000}"/>
    <cellStyle name="Calculation 2 3 15 2 2" xfId="6559" xr:uid="{00000000-0005-0000-0000-000097190000}"/>
    <cellStyle name="Calculation 2 3 15 2 3" xfId="6560" xr:uid="{00000000-0005-0000-0000-000098190000}"/>
    <cellStyle name="Calculation 2 3 15 2 4" xfId="6561" xr:uid="{00000000-0005-0000-0000-000099190000}"/>
    <cellStyle name="Calculation 2 3 15 2 5" xfId="6562" xr:uid="{00000000-0005-0000-0000-00009A190000}"/>
    <cellStyle name="Calculation 2 3 15 3" xfId="6563" xr:uid="{00000000-0005-0000-0000-00009B190000}"/>
    <cellStyle name="Calculation 2 3 15 4" xfId="6564" xr:uid="{00000000-0005-0000-0000-00009C190000}"/>
    <cellStyle name="Calculation 2 3 15 5" xfId="6565" xr:uid="{00000000-0005-0000-0000-00009D190000}"/>
    <cellStyle name="Calculation 2 3 15 6" xfId="6566" xr:uid="{00000000-0005-0000-0000-00009E190000}"/>
    <cellStyle name="Calculation 2 3 16" xfId="6567" xr:uid="{00000000-0005-0000-0000-00009F190000}"/>
    <cellStyle name="Calculation 2 3 16 2" xfId="6568" xr:uid="{00000000-0005-0000-0000-0000A0190000}"/>
    <cellStyle name="Calculation 2 3 16 2 2" xfId="6569" xr:uid="{00000000-0005-0000-0000-0000A1190000}"/>
    <cellStyle name="Calculation 2 3 16 2 3" xfId="6570" xr:uid="{00000000-0005-0000-0000-0000A2190000}"/>
    <cellStyle name="Calculation 2 3 16 2 4" xfId="6571" xr:uid="{00000000-0005-0000-0000-0000A3190000}"/>
    <cellStyle name="Calculation 2 3 16 2 5" xfId="6572" xr:uid="{00000000-0005-0000-0000-0000A4190000}"/>
    <cellStyle name="Calculation 2 3 16 3" xfId="6573" xr:uid="{00000000-0005-0000-0000-0000A5190000}"/>
    <cellStyle name="Calculation 2 3 16 4" xfId="6574" xr:uid="{00000000-0005-0000-0000-0000A6190000}"/>
    <cellStyle name="Calculation 2 3 16 5" xfId="6575" xr:uid="{00000000-0005-0000-0000-0000A7190000}"/>
    <cellStyle name="Calculation 2 3 16 6" xfId="6576" xr:uid="{00000000-0005-0000-0000-0000A8190000}"/>
    <cellStyle name="Calculation 2 3 17" xfId="6577" xr:uid="{00000000-0005-0000-0000-0000A9190000}"/>
    <cellStyle name="Calculation 2 3 17 2" xfId="6578" xr:uid="{00000000-0005-0000-0000-0000AA190000}"/>
    <cellStyle name="Calculation 2 3 17 2 2" xfId="6579" xr:uid="{00000000-0005-0000-0000-0000AB190000}"/>
    <cellStyle name="Calculation 2 3 17 2 3" xfId="6580" xr:uid="{00000000-0005-0000-0000-0000AC190000}"/>
    <cellStyle name="Calculation 2 3 17 2 4" xfId="6581" xr:uid="{00000000-0005-0000-0000-0000AD190000}"/>
    <cellStyle name="Calculation 2 3 17 2 5" xfId="6582" xr:uid="{00000000-0005-0000-0000-0000AE190000}"/>
    <cellStyle name="Calculation 2 3 17 3" xfId="6583" xr:uid="{00000000-0005-0000-0000-0000AF190000}"/>
    <cellStyle name="Calculation 2 3 17 4" xfId="6584" xr:uid="{00000000-0005-0000-0000-0000B0190000}"/>
    <cellStyle name="Calculation 2 3 17 5" xfId="6585" xr:uid="{00000000-0005-0000-0000-0000B1190000}"/>
    <cellStyle name="Calculation 2 3 17 6" xfId="6586" xr:uid="{00000000-0005-0000-0000-0000B2190000}"/>
    <cellStyle name="Calculation 2 3 18" xfId="6587" xr:uid="{00000000-0005-0000-0000-0000B3190000}"/>
    <cellStyle name="Calculation 2 3 18 2" xfId="6588" xr:uid="{00000000-0005-0000-0000-0000B4190000}"/>
    <cellStyle name="Calculation 2 3 18 2 2" xfId="6589" xr:uid="{00000000-0005-0000-0000-0000B5190000}"/>
    <cellStyle name="Calculation 2 3 18 2 3" xfId="6590" xr:uid="{00000000-0005-0000-0000-0000B6190000}"/>
    <cellStyle name="Calculation 2 3 18 2 4" xfId="6591" xr:uid="{00000000-0005-0000-0000-0000B7190000}"/>
    <cellStyle name="Calculation 2 3 18 2 5" xfId="6592" xr:uid="{00000000-0005-0000-0000-0000B8190000}"/>
    <cellStyle name="Calculation 2 3 18 3" xfId="6593" xr:uid="{00000000-0005-0000-0000-0000B9190000}"/>
    <cellStyle name="Calculation 2 3 18 4" xfId="6594" xr:uid="{00000000-0005-0000-0000-0000BA190000}"/>
    <cellStyle name="Calculation 2 3 18 5" xfId="6595" xr:uid="{00000000-0005-0000-0000-0000BB190000}"/>
    <cellStyle name="Calculation 2 3 18 6" xfId="6596" xr:uid="{00000000-0005-0000-0000-0000BC190000}"/>
    <cellStyle name="Calculation 2 3 19" xfId="6597" xr:uid="{00000000-0005-0000-0000-0000BD190000}"/>
    <cellStyle name="Calculation 2 3 19 2" xfId="6598" xr:uid="{00000000-0005-0000-0000-0000BE190000}"/>
    <cellStyle name="Calculation 2 3 19 2 2" xfId="6599" xr:uid="{00000000-0005-0000-0000-0000BF190000}"/>
    <cellStyle name="Calculation 2 3 19 2 3" xfId="6600" xr:uid="{00000000-0005-0000-0000-0000C0190000}"/>
    <cellStyle name="Calculation 2 3 19 2 4" xfId="6601" xr:uid="{00000000-0005-0000-0000-0000C1190000}"/>
    <cellStyle name="Calculation 2 3 19 2 5" xfId="6602" xr:uid="{00000000-0005-0000-0000-0000C2190000}"/>
    <cellStyle name="Calculation 2 3 19 3" xfId="6603" xr:uid="{00000000-0005-0000-0000-0000C3190000}"/>
    <cellStyle name="Calculation 2 3 19 4" xfId="6604" xr:uid="{00000000-0005-0000-0000-0000C4190000}"/>
    <cellStyle name="Calculation 2 3 19 5" xfId="6605" xr:uid="{00000000-0005-0000-0000-0000C5190000}"/>
    <cellStyle name="Calculation 2 3 19 6" xfId="6606" xr:uid="{00000000-0005-0000-0000-0000C6190000}"/>
    <cellStyle name="Calculation 2 3 2" xfId="6607" xr:uid="{00000000-0005-0000-0000-0000C7190000}"/>
    <cellStyle name="Calculation 2 3 2 10" xfId="6608" xr:uid="{00000000-0005-0000-0000-0000C8190000}"/>
    <cellStyle name="Calculation 2 3 2 10 2" xfId="6609" xr:uid="{00000000-0005-0000-0000-0000C9190000}"/>
    <cellStyle name="Calculation 2 3 2 10 3" xfId="6610" xr:uid="{00000000-0005-0000-0000-0000CA190000}"/>
    <cellStyle name="Calculation 2 3 2 10 4" xfId="6611" xr:uid="{00000000-0005-0000-0000-0000CB190000}"/>
    <cellStyle name="Calculation 2 3 2 10 5" xfId="6612" xr:uid="{00000000-0005-0000-0000-0000CC190000}"/>
    <cellStyle name="Calculation 2 3 2 10 6" xfId="6613" xr:uid="{00000000-0005-0000-0000-0000CD190000}"/>
    <cellStyle name="Calculation 2 3 2 11" xfId="6614" xr:uid="{00000000-0005-0000-0000-0000CE190000}"/>
    <cellStyle name="Calculation 2 3 2 11 2" xfId="6615" xr:uid="{00000000-0005-0000-0000-0000CF190000}"/>
    <cellStyle name="Calculation 2 3 2 11 3" xfId="6616" xr:uid="{00000000-0005-0000-0000-0000D0190000}"/>
    <cellStyle name="Calculation 2 3 2 11 4" xfId="6617" xr:uid="{00000000-0005-0000-0000-0000D1190000}"/>
    <cellStyle name="Calculation 2 3 2 11 5" xfId="6618" xr:uid="{00000000-0005-0000-0000-0000D2190000}"/>
    <cellStyle name="Calculation 2 3 2 12" xfId="6619" xr:uid="{00000000-0005-0000-0000-0000D3190000}"/>
    <cellStyle name="Calculation 2 3 2 13" xfId="6620" xr:uid="{00000000-0005-0000-0000-0000D4190000}"/>
    <cellStyle name="Calculation 2 3 2 14" xfId="6621" xr:uid="{00000000-0005-0000-0000-0000D5190000}"/>
    <cellStyle name="Calculation 2 3 2 15" xfId="6622" xr:uid="{00000000-0005-0000-0000-0000D6190000}"/>
    <cellStyle name="Calculation 2 3 2 2" xfId="6623" xr:uid="{00000000-0005-0000-0000-0000D7190000}"/>
    <cellStyle name="Calculation 2 3 2 2 10" xfId="6624" xr:uid="{00000000-0005-0000-0000-0000D8190000}"/>
    <cellStyle name="Calculation 2 3 2 2 10 2" xfId="6625" xr:uid="{00000000-0005-0000-0000-0000D9190000}"/>
    <cellStyle name="Calculation 2 3 2 2 10 3" xfId="6626" xr:uid="{00000000-0005-0000-0000-0000DA190000}"/>
    <cellStyle name="Calculation 2 3 2 2 10 4" xfId="6627" xr:uid="{00000000-0005-0000-0000-0000DB190000}"/>
    <cellStyle name="Calculation 2 3 2 2 10 5" xfId="6628" xr:uid="{00000000-0005-0000-0000-0000DC190000}"/>
    <cellStyle name="Calculation 2 3 2 2 11" xfId="6629" xr:uid="{00000000-0005-0000-0000-0000DD190000}"/>
    <cellStyle name="Calculation 2 3 2 2 12" xfId="6630" xr:uid="{00000000-0005-0000-0000-0000DE190000}"/>
    <cellStyle name="Calculation 2 3 2 2 13" xfId="6631" xr:uid="{00000000-0005-0000-0000-0000DF190000}"/>
    <cellStyle name="Calculation 2 3 2 2 14" xfId="6632" xr:uid="{00000000-0005-0000-0000-0000E0190000}"/>
    <cellStyle name="Calculation 2 3 2 2 2" xfId="6633" xr:uid="{00000000-0005-0000-0000-0000E1190000}"/>
    <cellStyle name="Calculation 2 3 2 2 2 2" xfId="6634" xr:uid="{00000000-0005-0000-0000-0000E2190000}"/>
    <cellStyle name="Calculation 2 3 2 2 2 2 2" xfId="6635" xr:uid="{00000000-0005-0000-0000-0000E3190000}"/>
    <cellStyle name="Calculation 2 3 2 2 2 2 2 2" xfId="6636" xr:uid="{00000000-0005-0000-0000-0000E4190000}"/>
    <cellStyle name="Calculation 2 3 2 2 2 2 2 3" xfId="6637" xr:uid="{00000000-0005-0000-0000-0000E5190000}"/>
    <cellStyle name="Calculation 2 3 2 2 2 2 2 4" xfId="6638" xr:uid="{00000000-0005-0000-0000-0000E6190000}"/>
    <cellStyle name="Calculation 2 3 2 2 2 2 2 5" xfId="6639" xr:uid="{00000000-0005-0000-0000-0000E7190000}"/>
    <cellStyle name="Calculation 2 3 2 2 2 2 2 6" xfId="6640" xr:uid="{00000000-0005-0000-0000-0000E8190000}"/>
    <cellStyle name="Calculation 2 3 2 2 2 2 3" xfId="6641" xr:uid="{00000000-0005-0000-0000-0000E9190000}"/>
    <cellStyle name="Calculation 2 3 2 2 2 2 4" xfId="6642" xr:uid="{00000000-0005-0000-0000-0000EA190000}"/>
    <cellStyle name="Calculation 2 3 2 2 2 2 5" xfId="6643" xr:uid="{00000000-0005-0000-0000-0000EB190000}"/>
    <cellStyle name="Calculation 2 3 2 2 2 2 6" xfId="6644" xr:uid="{00000000-0005-0000-0000-0000EC190000}"/>
    <cellStyle name="Calculation 2 3 2 2 2 3" xfId="6645" xr:uid="{00000000-0005-0000-0000-0000ED190000}"/>
    <cellStyle name="Calculation 2 3 2 2 2 3 2" xfId="6646" xr:uid="{00000000-0005-0000-0000-0000EE190000}"/>
    <cellStyle name="Calculation 2 3 2 2 2 3 2 2" xfId="6647" xr:uid="{00000000-0005-0000-0000-0000EF190000}"/>
    <cellStyle name="Calculation 2 3 2 2 2 3 2 3" xfId="6648" xr:uid="{00000000-0005-0000-0000-0000F0190000}"/>
    <cellStyle name="Calculation 2 3 2 2 2 3 2 4" xfId="6649" xr:uid="{00000000-0005-0000-0000-0000F1190000}"/>
    <cellStyle name="Calculation 2 3 2 2 2 3 2 5" xfId="6650" xr:uid="{00000000-0005-0000-0000-0000F2190000}"/>
    <cellStyle name="Calculation 2 3 2 2 2 3 2 6" xfId="6651" xr:uid="{00000000-0005-0000-0000-0000F3190000}"/>
    <cellStyle name="Calculation 2 3 2 2 2 3 3" xfId="6652" xr:uid="{00000000-0005-0000-0000-0000F4190000}"/>
    <cellStyle name="Calculation 2 3 2 2 2 3 4" xfId="6653" xr:uid="{00000000-0005-0000-0000-0000F5190000}"/>
    <cellStyle name="Calculation 2 3 2 2 2 3 5" xfId="6654" xr:uid="{00000000-0005-0000-0000-0000F6190000}"/>
    <cellStyle name="Calculation 2 3 2 2 2 3 6" xfId="6655" xr:uid="{00000000-0005-0000-0000-0000F7190000}"/>
    <cellStyle name="Calculation 2 3 2 2 2 4" xfId="6656" xr:uid="{00000000-0005-0000-0000-0000F8190000}"/>
    <cellStyle name="Calculation 2 3 2 2 2 4 2" xfId="6657" xr:uid="{00000000-0005-0000-0000-0000F9190000}"/>
    <cellStyle name="Calculation 2 3 2 2 2 4 3" xfId="6658" xr:uid="{00000000-0005-0000-0000-0000FA190000}"/>
    <cellStyle name="Calculation 2 3 2 2 2 4 4" xfId="6659" xr:uid="{00000000-0005-0000-0000-0000FB190000}"/>
    <cellStyle name="Calculation 2 3 2 2 2 4 5" xfId="6660" xr:uid="{00000000-0005-0000-0000-0000FC190000}"/>
    <cellStyle name="Calculation 2 3 2 2 2 4 6" xfId="6661" xr:uid="{00000000-0005-0000-0000-0000FD190000}"/>
    <cellStyle name="Calculation 2 3 2 2 2 5" xfId="6662" xr:uid="{00000000-0005-0000-0000-0000FE190000}"/>
    <cellStyle name="Calculation 2 3 2 2 2 6" xfId="6663" xr:uid="{00000000-0005-0000-0000-0000FF190000}"/>
    <cellStyle name="Calculation 2 3 2 2 2 7" xfId="6664" xr:uid="{00000000-0005-0000-0000-0000001A0000}"/>
    <cellStyle name="Calculation 2 3 2 2 2 8" xfId="6665" xr:uid="{00000000-0005-0000-0000-0000011A0000}"/>
    <cellStyle name="Calculation 2 3 2 2 3" xfId="6666" xr:uid="{00000000-0005-0000-0000-0000021A0000}"/>
    <cellStyle name="Calculation 2 3 2 2 3 2" xfId="6667" xr:uid="{00000000-0005-0000-0000-0000031A0000}"/>
    <cellStyle name="Calculation 2 3 2 2 3 2 2" xfId="6668" xr:uid="{00000000-0005-0000-0000-0000041A0000}"/>
    <cellStyle name="Calculation 2 3 2 2 3 2 2 2" xfId="6669" xr:uid="{00000000-0005-0000-0000-0000051A0000}"/>
    <cellStyle name="Calculation 2 3 2 2 3 2 2 3" xfId="6670" xr:uid="{00000000-0005-0000-0000-0000061A0000}"/>
    <cellStyle name="Calculation 2 3 2 2 3 2 2 4" xfId="6671" xr:uid="{00000000-0005-0000-0000-0000071A0000}"/>
    <cellStyle name="Calculation 2 3 2 2 3 2 2 5" xfId="6672" xr:uid="{00000000-0005-0000-0000-0000081A0000}"/>
    <cellStyle name="Calculation 2 3 2 2 3 2 2 6" xfId="6673" xr:uid="{00000000-0005-0000-0000-0000091A0000}"/>
    <cellStyle name="Calculation 2 3 2 2 3 2 3" xfId="6674" xr:uid="{00000000-0005-0000-0000-00000A1A0000}"/>
    <cellStyle name="Calculation 2 3 2 2 3 2 4" xfId="6675" xr:uid="{00000000-0005-0000-0000-00000B1A0000}"/>
    <cellStyle name="Calculation 2 3 2 2 3 2 5" xfId="6676" xr:uid="{00000000-0005-0000-0000-00000C1A0000}"/>
    <cellStyle name="Calculation 2 3 2 2 3 2 6" xfId="6677" xr:uid="{00000000-0005-0000-0000-00000D1A0000}"/>
    <cellStyle name="Calculation 2 3 2 2 3 3" xfId="6678" xr:uid="{00000000-0005-0000-0000-00000E1A0000}"/>
    <cellStyle name="Calculation 2 3 2 2 3 3 2" xfId="6679" xr:uid="{00000000-0005-0000-0000-00000F1A0000}"/>
    <cellStyle name="Calculation 2 3 2 2 3 3 2 2" xfId="6680" xr:uid="{00000000-0005-0000-0000-0000101A0000}"/>
    <cellStyle name="Calculation 2 3 2 2 3 3 2 3" xfId="6681" xr:uid="{00000000-0005-0000-0000-0000111A0000}"/>
    <cellStyle name="Calculation 2 3 2 2 3 3 2 4" xfId="6682" xr:uid="{00000000-0005-0000-0000-0000121A0000}"/>
    <cellStyle name="Calculation 2 3 2 2 3 3 2 5" xfId="6683" xr:uid="{00000000-0005-0000-0000-0000131A0000}"/>
    <cellStyle name="Calculation 2 3 2 2 3 3 2 6" xfId="6684" xr:uid="{00000000-0005-0000-0000-0000141A0000}"/>
    <cellStyle name="Calculation 2 3 2 2 3 3 3" xfId="6685" xr:uid="{00000000-0005-0000-0000-0000151A0000}"/>
    <cellStyle name="Calculation 2 3 2 2 3 3 4" xfId="6686" xr:uid="{00000000-0005-0000-0000-0000161A0000}"/>
    <cellStyle name="Calculation 2 3 2 2 3 3 5" xfId="6687" xr:uid="{00000000-0005-0000-0000-0000171A0000}"/>
    <cellStyle name="Calculation 2 3 2 2 3 3 6" xfId="6688" xr:uid="{00000000-0005-0000-0000-0000181A0000}"/>
    <cellStyle name="Calculation 2 3 2 2 3 4" xfId="6689" xr:uid="{00000000-0005-0000-0000-0000191A0000}"/>
    <cellStyle name="Calculation 2 3 2 2 3 4 2" xfId="6690" xr:uid="{00000000-0005-0000-0000-00001A1A0000}"/>
    <cellStyle name="Calculation 2 3 2 2 3 4 3" xfId="6691" xr:uid="{00000000-0005-0000-0000-00001B1A0000}"/>
    <cellStyle name="Calculation 2 3 2 2 3 4 4" xfId="6692" xr:uid="{00000000-0005-0000-0000-00001C1A0000}"/>
    <cellStyle name="Calculation 2 3 2 2 3 4 5" xfId="6693" xr:uid="{00000000-0005-0000-0000-00001D1A0000}"/>
    <cellStyle name="Calculation 2 3 2 2 3 4 6" xfId="6694" xr:uid="{00000000-0005-0000-0000-00001E1A0000}"/>
    <cellStyle name="Calculation 2 3 2 2 3 5" xfId="6695" xr:uid="{00000000-0005-0000-0000-00001F1A0000}"/>
    <cellStyle name="Calculation 2 3 2 2 3 6" xfId="6696" xr:uid="{00000000-0005-0000-0000-0000201A0000}"/>
    <cellStyle name="Calculation 2 3 2 2 3 7" xfId="6697" xr:uid="{00000000-0005-0000-0000-0000211A0000}"/>
    <cellStyle name="Calculation 2 3 2 2 3 8" xfId="6698" xr:uid="{00000000-0005-0000-0000-0000221A0000}"/>
    <cellStyle name="Calculation 2 3 2 2 4" xfId="6699" xr:uid="{00000000-0005-0000-0000-0000231A0000}"/>
    <cellStyle name="Calculation 2 3 2 2 4 2" xfId="6700" xr:uid="{00000000-0005-0000-0000-0000241A0000}"/>
    <cellStyle name="Calculation 2 3 2 2 4 2 2" xfId="6701" xr:uid="{00000000-0005-0000-0000-0000251A0000}"/>
    <cellStyle name="Calculation 2 3 2 2 4 2 2 2" xfId="6702" xr:uid="{00000000-0005-0000-0000-0000261A0000}"/>
    <cellStyle name="Calculation 2 3 2 2 4 2 2 3" xfId="6703" xr:uid="{00000000-0005-0000-0000-0000271A0000}"/>
    <cellStyle name="Calculation 2 3 2 2 4 2 2 4" xfId="6704" xr:uid="{00000000-0005-0000-0000-0000281A0000}"/>
    <cellStyle name="Calculation 2 3 2 2 4 2 2 5" xfId="6705" xr:uid="{00000000-0005-0000-0000-0000291A0000}"/>
    <cellStyle name="Calculation 2 3 2 2 4 2 2 6" xfId="6706" xr:uid="{00000000-0005-0000-0000-00002A1A0000}"/>
    <cellStyle name="Calculation 2 3 2 2 4 2 3" xfId="6707" xr:uid="{00000000-0005-0000-0000-00002B1A0000}"/>
    <cellStyle name="Calculation 2 3 2 2 4 2 4" xfId="6708" xr:uid="{00000000-0005-0000-0000-00002C1A0000}"/>
    <cellStyle name="Calculation 2 3 2 2 4 2 5" xfId="6709" xr:uid="{00000000-0005-0000-0000-00002D1A0000}"/>
    <cellStyle name="Calculation 2 3 2 2 4 2 6" xfId="6710" xr:uid="{00000000-0005-0000-0000-00002E1A0000}"/>
    <cellStyle name="Calculation 2 3 2 2 4 3" xfId="6711" xr:uid="{00000000-0005-0000-0000-00002F1A0000}"/>
    <cellStyle name="Calculation 2 3 2 2 4 3 2" xfId="6712" xr:uid="{00000000-0005-0000-0000-0000301A0000}"/>
    <cellStyle name="Calculation 2 3 2 2 4 3 2 2" xfId="6713" xr:uid="{00000000-0005-0000-0000-0000311A0000}"/>
    <cellStyle name="Calculation 2 3 2 2 4 3 2 3" xfId="6714" xr:uid="{00000000-0005-0000-0000-0000321A0000}"/>
    <cellStyle name="Calculation 2 3 2 2 4 3 2 4" xfId="6715" xr:uid="{00000000-0005-0000-0000-0000331A0000}"/>
    <cellStyle name="Calculation 2 3 2 2 4 3 2 5" xfId="6716" xr:uid="{00000000-0005-0000-0000-0000341A0000}"/>
    <cellStyle name="Calculation 2 3 2 2 4 3 2 6" xfId="6717" xr:uid="{00000000-0005-0000-0000-0000351A0000}"/>
    <cellStyle name="Calculation 2 3 2 2 4 3 3" xfId="6718" xr:uid="{00000000-0005-0000-0000-0000361A0000}"/>
    <cellStyle name="Calculation 2 3 2 2 4 3 4" xfId="6719" xr:uid="{00000000-0005-0000-0000-0000371A0000}"/>
    <cellStyle name="Calculation 2 3 2 2 4 3 5" xfId="6720" xr:uid="{00000000-0005-0000-0000-0000381A0000}"/>
    <cellStyle name="Calculation 2 3 2 2 4 3 6" xfId="6721" xr:uid="{00000000-0005-0000-0000-0000391A0000}"/>
    <cellStyle name="Calculation 2 3 2 2 4 4" xfId="6722" xr:uid="{00000000-0005-0000-0000-00003A1A0000}"/>
    <cellStyle name="Calculation 2 3 2 2 4 4 2" xfId="6723" xr:uid="{00000000-0005-0000-0000-00003B1A0000}"/>
    <cellStyle name="Calculation 2 3 2 2 4 4 3" xfId="6724" xr:uid="{00000000-0005-0000-0000-00003C1A0000}"/>
    <cellStyle name="Calculation 2 3 2 2 4 4 4" xfId="6725" xr:uid="{00000000-0005-0000-0000-00003D1A0000}"/>
    <cellStyle name="Calculation 2 3 2 2 4 4 5" xfId="6726" xr:uid="{00000000-0005-0000-0000-00003E1A0000}"/>
    <cellStyle name="Calculation 2 3 2 2 4 4 6" xfId="6727" xr:uid="{00000000-0005-0000-0000-00003F1A0000}"/>
    <cellStyle name="Calculation 2 3 2 2 4 5" xfId="6728" xr:uid="{00000000-0005-0000-0000-0000401A0000}"/>
    <cellStyle name="Calculation 2 3 2 2 4 6" xfId="6729" xr:uid="{00000000-0005-0000-0000-0000411A0000}"/>
    <cellStyle name="Calculation 2 3 2 2 4 7" xfId="6730" xr:uid="{00000000-0005-0000-0000-0000421A0000}"/>
    <cellStyle name="Calculation 2 3 2 2 4 8" xfId="6731" xr:uid="{00000000-0005-0000-0000-0000431A0000}"/>
    <cellStyle name="Calculation 2 3 2 2 5" xfId="6732" xr:uid="{00000000-0005-0000-0000-0000441A0000}"/>
    <cellStyle name="Calculation 2 3 2 2 5 2" xfId="6733" xr:uid="{00000000-0005-0000-0000-0000451A0000}"/>
    <cellStyle name="Calculation 2 3 2 2 5 2 2" xfId="6734" xr:uid="{00000000-0005-0000-0000-0000461A0000}"/>
    <cellStyle name="Calculation 2 3 2 2 5 2 2 2" xfId="6735" xr:uid="{00000000-0005-0000-0000-0000471A0000}"/>
    <cellStyle name="Calculation 2 3 2 2 5 2 2 3" xfId="6736" xr:uid="{00000000-0005-0000-0000-0000481A0000}"/>
    <cellStyle name="Calculation 2 3 2 2 5 2 2 4" xfId="6737" xr:uid="{00000000-0005-0000-0000-0000491A0000}"/>
    <cellStyle name="Calculation 2 3 2 2 5 2 2 5" xfId="6738" xr:uid="{00000000-0005-0000-0000-00004A1A0000}"/>
    <cellStyle name="Calculation 2 3 2 2 5 2 2 6" xfId="6739" xr:uid="{00000000-0005-0000-0000-00004B1A0000}"/>
    <cellStyle name="Calculation 2 3 2 2 5 2 3" xfId="6740" xr:uid="{00000000-0005-0000-0000-00004C1A0000}"/>
    <cellStyle name="Calculation 2 3 2 2 5 2 4" xfId="6741" xr:uid="{00000000-0005-0000-0000-00004D1A0000}"/>
    <cellStyle name="Calculation 2 3 2 2 5 2 5" xfId="6742" xr:uid="{00000000-0005-0000-0000-00004E1A0000}"/>
    <cellStyle name="Calculation 2 3 2 2 5 2 6" xfId="6743" xr:uid="{00000000-0005-0000-0000-00004F1A0000}"/>
    <cellStyle name="Calculation 2 3 2 2 5 3" xfId="6744" xr:uid="{00000000-0005-0000-0000-0000501A0000}"/>
    <cellStyle name="Calculation 2 3 2 2 5 3 2" xfId="6745" xr:uid="{00000000-0005-0000-0000-0000511A0000}"/>
    <cellStyle name="Calculation 2 3 2 2 5 3 2 2" xfId="6746" xr:uid="{00000000-0005-0000-0000-0000521A0000}"/>
    <cellStyle name="Calculation 2 3 2 2 5 3 2 3" xfId="6747" xr:uid="{00000000-0005-0000-0000-0000531A0000}"/>
    <cellStyle name="Calculation 2 3 2 2 5 3 2 4" xfId="6748" xr:uid="{00000000-0005-0000-0000-0000541A0000}"/>
    <cellStyle name="Calculation 2 3 2 2 5 3 2 5" xfId="6749" xr:uid="{00000000-0005-0000-0000-0000551A0000}"/>
    <cellStyle name="Calculation 2 3 2 2 5 3 2 6" xfId="6750" xr:uid="{00000000-0005-0000-0000-0000561A0000}"/>
    <cellStyle name="Calculation 2 3 2 2 5 3 3" xfId="6751" xr:uid="{00000000-0005-0000-0000-0000571A0000}"/>
    <cellStyle name="Calculation 2 3 2 2 5 3 4" xfId="6752" xr:uid="{00000000-0005-0000-0000-0000581A0000}"/>
    <cellStyle name="Calculation 2 3 2 2 5 3 5" xfId="6753" xr:uid="{00000000-0005-0000-0000-0000591A0000}"/>
    <cellStyle name="Calculation 2 3 2 2 5 3 6" xfId="6754" xr:uid="{00000000-0005-0000-0000-00005A1A0000}"/>
    <cellStyle name="Calculation 2 3 2 2 5 4" xfId="6755" xr:uid="{00000000-0005-0000-0000-00005B1A0000}"/>
    <cellStyle name="Calculation 2 3 2 2 5 4 2" xfId="6756" xr:uid="{00000000-0005-0000-0000-00005C1A0000}"/>
    <cellStyle name="Calculation 2 3 2 2 5 4 3" xfId="6757" xr:uid="{00000000-0005-0000-0000-00005D1A0000}"/>
    <cellStyle name="Calculation 2 3 2 2 5 4 4" xfId="6758" xr:uid="{00000000-0005-0000-0000-00005E1A0000}"/>
    <cellStyle name="Calculation 2 3 2 2 5 4 5" xfId="6759" xr:uid="{00000000-0005-0000-0000-00005F1A0000}"/>
    <cellStyle name="Calculation 2 3 2 2 5 4 6" xfId="6760" xr:uid="{00000000-0005-0000-0000-0000601A0000}"/>
    <cellStyle name="Calculation 2 3 2 2 5 5" xfId="6761" xr:uid="{00000000-0005-0000-0000-0000611A0000}"/>
    <cellStyle name="Calculation 2 3 2 2 5 6" xfId="6762" xr:uid="{00000000-0005-0000-0000-0000621A0000}"/>
    <cellStyle name="Calculation 2 3 2 2 5 7" xfId="6763" xr:uid="{00000000-0005-0000-0000-0000631A0000}"/>
    <cellStyle name="Calculation 2 3 2 2 5 8" xfId="6764" xr:uid="{00000000-0005-0000-0000-0000641A0000}"/>
    <cellStyle name="Calculation 2 3 2 2 6" xfId="6765" xr:uid="{00000000-0005-0000-0000-0000651A0000}"/>
    <cellStyle name="Calculation 2 3 2 2 6 2" xfId="6766" xr:uid="{00000000-0005-0000-0000-0000661A0000}"/>
    <cellStyle name="Calculation 2 3 2 2 6 2 2" xfId="6767" xr:uid="{00000000-0005-0000-0000-0000671A0000}"/>
    <cellStyle name="Calculation 2 3 2 2 6 2 2 2" xfId="6768" xr:uid="{00000000-0005-0000-0000-0000681A0000}"/>
    <cellStyle name="Calculation 2 3 2 2 6 2 2 3" xfId="6769" xr:uid="{00000000-0005-0000-0000-0000691A0000}"/>
    <cellStyle name="Calculation 2 3 2 2 6 2 2 4" xfId="6770" xr:uid="{00000000-0005-0000-0000-00006A1A0000}"/>
    <cellStyle name="Calculation 2 3 2 2 6 2 2 5" xfId="6771" xr:uid="{00000000-0005-0000-0000-00006B1A0000}"/>
    <cellStyle name="Calculation 2 3 2 2 6 2 2 6" xfId="6772" xr:uid="{00000000-0005-0000-0000-00006C1A0000}"/>
    <cellStyle name="Calculation 2 3 2 2 6 2 3" xfId="6773" xr:uid="{00000000-0005-0000-0000-00006D1A0000}"/>
    <cellStyle name="Calculation 2 3 2 2 6 2 4" xfId="6774" xr:uid="{00000000-0005-0000-0000-00006E1A0000}"/>
    <cellStyle name="Calculation 2 3 2 2 6 2 5" xfId="6775" xr:uid="{00000000-0005-0000-0000-00006F1A0000}"/>
    <cellStyle name="Calculation 2 3 2 2 6 2 6" xfId="6776" xr:uid="{00000000-0005-0000-0000-0000701A0000}"/>
    <cellStyle name="Calculation 2 3 2 2 6 3" xfId="6777" xr:uid="{00000000-0005-0000-0000-0000711A0000}"/>
    <cellStyle name="Calculation 2 3 2 2 6 3 2" xfId="6778" xr:uid="{00000000-0005-0000-0000-0000721A0000}"/>
    <cellStyle name="Calculation 2 3 2 2 6 3 2 2" xfId="6779" xr:uid="{00000000-0005-0000-0000-0000731A0000}"/>
    <cellStyle name="Calculation 2 3 2 2 6 3 2 3" xfId="6780" xr:uid="{00000000-0005-0000-0000-0000741A0000}"/>
    <cellStyle name="Calculation 2 3 2 2 6 3 2 4" xfId="6781" xr:uid="{00000000-0005-0000-0000-0000751A0000}"/>
    <cellStyle name="Calculation 2 3 2 2 6 3 2 5" xfId="6782" xr:uid="{00000000-0005-0000-0000-0000761A0000}"/>
    <cellStyle name="Calculation 2 3 2 2 6 3 2 6" xfId="6783" xr:uid="{00000000-0005-0000-0000-0000771A0000}"/>
    <cellStyle name="Calculation 2 3 2 2 6 3 3" xfId="6784" xr:uid="{00000000-0005-0000-0000-0000781A0000}"/>
    <cellStyle name="Calculation 2 3 2 2 6 3 4" xfId="6785" xr:uid="{00000000-0005-0000-0000-0000791A0000}"/>
    <cellStyle name="Calculation 2 3 2 2 6 3 5" xfId="6786" xr:uid="{00000000-0005-0000-0000-00007A1A0000}"/>
    <cellStyle name="Calculation 2 3 2 2 6 3 6" xfId="6787" xr:uid="{00000000-0005-0000-0000-00007B1A0000}"/>
    <cellStyle name="Calculation 2 3 2 2 6 4" xfId="6788" xr:uid="{00000000-0005-0000-0000-00007C1A0000}"/>
    <cellStyle name="Calculation 2 3 2 2 6 4 2" xfId="6789" xr:uid="{00000000-0005-0000-0000-00007D1A0000}"/>
    <cellStyle name="Calculation 2 3 2 2 6 4 3" xfId="6790" xr:uid="{00000000-0005-0000-0000-00007E1A0000}"/>
    <cellStyle name="Calculation 2 3 2 2 6 4 4" xfId="6791" xr:uid="{00000000-0005-0000-0000-00007F1A0000}"/>
    <cellStyle name="Calculation 2 3 2 2 6 4 5" xfId="6792" xr:uid="{00000000-0005-0000-0000-0000801A0000}"/>
    <cellStyle name="Calculation 2 3 2 2 6 4 6" xfId="6793" xr:uid="{00000000-0005-0000-0000-0000811A0000}"/>
    <cellStyle name="Calculation 2 3 2 2 6 5" xfId="6794" xr:uid="{00000000-0005-0000-0000-0000821A0000}"/>
    <cellStyle name="Calculation 2 3 2 2 6 6" xfId="6795" xr:uid="{00000000-0005-0000-0000-0000831A0000}"/>
    <cellStyle name="Calculation 2 3 2 2 6 7" xfId="6796" xr:uid="{00000000-0005-0000-0000-0000841A0000}"/>
    <cellStyle name="Calculation 2 3 2 2 6 8" xfId="6797" xr:uid="{00000000-0005-0000-0000-0000851A0000}"/>
    <cellStyle name="Calculation 2 3 2 2 7" xfId="6798" xr:uid="{00000000-0005-0000-0000-0000861A0000}"/>
    <cellStyle name="Calculation 2 3 2 2 7 2" xfId="6799" xr:uid="{00000000-0005-0000-0000-0000871A0000}"/>
    <cellStyle name="Calculation 2 3 2 2 7 2 2" xfId="6800" xr:uid="{00000000-0005-0000-0000-0000881A0000}"/>
    <cellStyle name="Calculation 2 3 2 2 7 2 3" xfId="6801" xr:uid="{00000000-0005-0000-0000-0000891A0000}"/>
    <cellStyle name="Calculation 2 3 2 2 7 2 4" xfId="6802" xr:uid="{00000000-0005-0000-0000-00008A1A0000}"/>
    <cellStyle name="Calculation 2 3 2 2 7 2 5" xfId="6803" xr:uid="{00000000-0005-0000-0000-00008B1A0000}"/>
    <cellStyle name="Calculation 2 3 2 2 7 2 6" xfId="6804" xr:uid="{00000000-0005-0000-0000-00008C1A0000}"/>
    <cellStyle name="Calculation 2 3 2 2 7 3" xfId="6805" xr:uid="{00000000-0005-0000-0000-00008D1A0000}"/>
    <cellStyle name="Calculation 2 3 2 2 7 4" xfId="6806" xr:uid="{00000000-0005-0000-0000-00008E1A0000}"/>
    <cellStyle name="Calculation 2 3 2 2 7 5" xfId="6807" xr:uid="{00000000-0005-0000-0000-00008F1A0000}"/>
    <cellStyle name="Calculation 2 3 2 2 7 6" xfId="6808" xr:uid="{00000000-0005-0000-0000-0000901A0000}"/>
    <cellStyle name="Calculation 2 3 2 2 8" xfId="6809" xr:uid="{00000000-0005-0000-0000-0000911A0000}"/>
    <cellStyle name="Calculation 2 3 2 2 8 2" xfId="6810" xr:uid="{00000000-0005-0000-0000-0000921A0000}"/>
    <cellStyle name="Calculation 2 3 2 2 8 2 2" xfId="6811" xr:uid="{00000000-0005-0000-0000-0000931A0000}"/>
    <cellStyle name="Calculation 2 3 2 2 8 2 3" xfId="6812" xr:uid="{00000000-0005-0000-0000-0000941A0000}"/>
    <cellStyle name="Calculation 2 3 2 2 8 2 4" xfId="6813" xr:uid="{00000000-0005-0000-0000-0000951A0000}"/>
    <cellStyle name="Calculation 2 3 2 2 8 2 5" xfId="6814" xr:uid="{00000000-0005-0000-0000-0000961A0000}"/>
    <cellStyle name="Calculation 2 3 2 2 8 2 6" xfId="6815" xr:uid="{00000000-0005-0000-0000-0000971A0000}"/>
    <cellStyle name="Calculation 2 3 2 2 8 3" xfId="6816" xr:uid="{00000000-0005-0000-0000-0000981A0000}"/>
    <cellStyle name="Calculation 2 3 2 2 8 4" xfId="6817" xr:uid="{00000000-0005-0000-0000-0000991A0000}"/>
    <cellStyle name="Calculation 2 3 2 2 8 5" xfId="6818" xr:uid="{00000000-0005-0000-0000-00009A1A0000}"/>
    <cellStyle name="Calculation 2 3 2 2 8 6" xfId="6819" xr:uid="{00000000-0005-0000-0000-00009B1A0000}"/>
    <cellStyle name="Calculation 2 3 2 2 9" xfId="6820" xr:uid="{00000000-0005-0000-0000-00009C1A0000}"/>
    <cellStyle name="Calculation 2 3 2 2 9 2" xfId="6821" xr:uid="{00000000-0005-0000-0000-00009D1A0000}"/>
    <cellStyle name="Calculation 2 3 2 2 9 3" xfId="6822" xr:uid="{00000000-0005-0000-0000-00009E1A0000}"/>
    <cellStyle name="Calculation 2 3 2 2 9 4" xfId="6823" xr:uid="{00000000-0005-0000-0000-00009F1A0000}"/>
    <cellStyle name="Calculation 2 3 2 2 9 5" xfId="6824" xr:uid="{00000000-0005-0000-0000-0000A01A0000}"/>
    <cellStyle name="Calculation 2 3 2 2 9 6" xfId="6825" xr:uid="{00000000-0005-0000-0000-0000A11A0000}"/>
    <cellStyle name="Calculation 2 3 2 3" xfId="6826" xr:uid="{00000000-0005-0000-0000-0000A21A0000}"/>
    <cellStyle name="Calculation 2 3 2 3 2" xfId="6827" xr:uid="{00000000-0005-0000-0000-0000A31A0000}"/>
    <cellStyle name="Calculation 2 3 2 3 2 2" xfId="6828" xr:uid="{00000000-0005-0000-0000-0000A41A0000}"/>
    <cellStyle name="Calculation 2 3 2 3 2 2 2" xfId="6829" xr:uid="{00000000-0005-0000-0000-0000A51A0000}"/>
    <cellStyle name="Calculation 2 3 2 3 2 2 3" xfId="6830" xr:uid="{00000000-0005-0000-0000-0000A61A0000}"/>
    <cellStyle name="Calculation 2 3 2 3 2 2 4" xfId="6831" xr:uid="{00000000-0005-0000-0000-0000A71A0000}"/>
    <cellStyle name="Calculation 2 3 2 3 2 2 5" xfId="6832" xr:uid="{00000000-0005-0000-0000-0000A81A0000}"/>
    <cellStyle name="Calculation 2 3 2 3 2 2 6" xfId="6833" xr:uid="{00000000-0005-0000-0000-0000A91A0000}"/>
    <cellStyle name="Calculation 2 3 2 3 2 3" xfId="6834" xr:uid="{00000000-0005-0000-0000-0000AA1A0000}"/>
    <cellStyle name="Calculation 2 3 2 3 2 4" xfId="6835" xr:uid="{00000000-0005-0000-0000-0000AB1A0000}"/>
    <cellStyle name="Calculation 2 3 2 3 2 5" xfId="6836" xr:uid="{00000000-0005-0000-0000-0000AC1A0000}"/>
    <cellStyle name="Calculation 2 3 2 3 2 6" xfId="6837" xr:uid="{00000000-0005-0000-0000-0000AD1A0000}"/>
    <cellStyle name="Calculation 2 3 2 3 3" xfId="6838" xr:uid="{00000000-0005-0000-0000-0000AE1A0000}"/>
    <cellStyle name="Calculation 2 3 2 3 3 2" xfId="6839" xr:uid="{00000000-0005-0000-0000-0000AF1A0000}"/>
    <cellStyle name="Calculation 2 3 2 3 3 2 2" xfId="6840" xr:uid="{00000000-0005-0000-0000-0000B01A0000}"/>
    <cellStyle name="Calculation 2 3 2 3 3 2 3" xfId="6841" xr:uid="{00000000-0005-0000-0000-0000B11A0000}"/>
    <cellStyle name="Calculation 2 3 2 3 3 2 4" xfId="6842" xr:uid="{00000000-0005-0000-0000-0000B21A0000}"/>
    <cellStyle name="Calculation 2 3 2 3 3 2 5" xfId="6843" xr:uid="{00000000-0005-0000-0000-0000B31A0000}"/>
    <cellStyle name="Calculation 2 3 2 3 3 2 6" xfId="6844" xr:uid="{00000000-0005-0000-0000-0000B41A0000}"/>
    <cellStyle name="Calculation 2 3 2 3 3 3" xfId="6845" xr:uid="{00000000-0005-0000-0000-0000B51A0000}"/>
    <cellStyle name="Calculation 2 3 2 3 3 4" xfId="6846" xr:uid="{00000000-0005-0000-0000-0000B61A0000}"/>
    <cellStyle name="Calculation 2 3 2 3 3 5" xfId="6847" xr:uid="{00000000-0005-0000-0000-0000B71A0000}"/>
    <cellStyle name="Calculation 2 3 2 3 3 6" xfId="6848" xr:uid="{00000000-0005-0000-0000-0000B81A0000}"/>
    <cellStyle name="Calculation 2 3 2 3 4" xfId="6849" xr:uid="{00000000-0005-0000-0000-0000B91A0000}"/>
    <cellStyle name="Calculation 2 3 2 3 4 2" xfId="6850" xr:uid="{00000000-0005-0000-0000-0000BA1A0000}"/>
    <cellStyle name="Calculation 2 3 2 3 4 3" xfId="6851" xr:uid="{00000000-0005-0000-0000-0000BB1A0000}"/>
    <cellStyle name="Calculation 2 3 2 3 4 4" xfId="6852" xr:uid="{00000000-0005-0000-0000-0000BC1A0000}"/>
    <cellStyle name="Calculation 2 3 2 3 4 5" xfId="6853" xr:uid="{00000000-0005-0000-0000-0000BD1A0000}"/>
    <cellStyle name="Calculation 2 3 2 3 4 6" xfId="6854" xr:uid="{00000000-0005-0000-0000-0000BE1A0000}"/>
    <cellStyle name="Calculation 2 3 2 3 5" xfId="6855" xr:uid="{00000000-0005-0000-0000-0000BF1A0000}"/>
    <cellStyle name="Calculation 2 3 2 3 6" xfId="6856" xr:uid="{00000000-0005-0000-0000-0000C01A0000}"/>
    <cellStyle name="Calculation 2 3 2 3 7" xfId="6857" xr:uid="{00000000-0005-0000-0000-0000C11A0000}"/>
    <cellStyle name="Calculation 2 3 2 3 8" xfId="6858" xr:uid="{00000000-0005-0000-0000-0000C21A0000}"/>
    <cellStyle name="Calculation 2 3 2 4" xfId="6859" xr:uid="{00000000-0005-0000-0000-0000C31A0000}"/>
    <cellStyle name="Calculation 2 3 2 4 2" xfId="6860" xr:uid="{00000000-0005-0000-0000-0000C41A0000}"/>
    <cellStyle name="Calculation 2 3 2 4 2 2" xfId="6861" xr:uid="{00000000-0005-0000-0000-0000C51A0000}"/>
    <cellStyle name="Calculation 2 3 2 4 2 2 2" xfId="6862" xr:uid="{00000000-0005-0000-0000-0000C61A0000}"/>
    <cellStyle name="Calculation 2 3 2 4 2 2 3" xfId="6863" xr:uid="{00000000-0005-0000-0000-0000C71A0000}"/>
    <cellStyle name="Calculation 2 3 2 4 2 2 4" xfId="6864" xr:uid="{00000000-0005-0000-0000-0000C81A0000}"/>
    <cellStyle name="Calculation 2 3 2 4 2 2 5" xfId="6865" xr:uid="{00000000-0005-0000-0000-0000C91A0000}"/>
    <cellStyle name="Calculation 2 3 2 4 2 2 6" xfId="6866" xr:uid="{00000000-0005-0000-0000-0000CA1A0000}"/>
    <cellStyle name="Calculation 2 3 2 4 2 3" xfId="6867" xr:uid="{00000000-0005-0000-0000-0000CB1A0000}"/>
    <cellStyle name="Calculation 2 3 2 4 2 4" xfId="6868" xr:uid="{00000000-0005-0000-0000-0000CC1A0000}"/>
    <cellStyle name="Calculation 2 3 2 4 2 5" xfId="6869" xr:uid="{00000000-0005-0000-0000-0000CD1A0000}"/>
    <cellStyle name="Calculation 2 3 2 4 2 6" xfId="6870" xr:uid="{00000000-0005-0000-0000-0000CE1A0000}"/>
    <cellStyle name="Calculation 2 3 2 4 3" xfId="6871" xr:uid="{00000000-0005-0000-0000-0000CF1A0000}"/>
    <cellStyle name="Calculation 2 3 2 4 3 2" xfId="6872" xr:uid="{00000000-0005-0000-0000-0000D01A0000}"/>
    <cellStyle name="Calculation 2 3 2 4 3 2 2" xfId="6873" xr:uid="{00000000-0005-0000-0000-0000D11A0000}"/>
    <cellStyle name="Calculation 2 3 2 4 3 2 3" xfId="6874" xr:uid="{00000000-0005-0000-0000-0000D21A0000}"/>
    <cellStyle name="Calculation 2 3 2 4 3 2 4" xfId="6875" xr:uid="{00000000-0005-0000-0000-0000D31A0000}"/>
    <cellStyle name="Calculation 2 3 2 4 3 2 5" xfId="6876" xr:uid="{00000000-0005-0000-0000-0000D41A0000}"/>
    <cellStyle name="Calculation 2 3 2 4 3 2 6" xfId="6877" xr:uid="{00000000-0005-0000-0000-0000D51A0000}"/>
    <cellStyle name="Calculation 2 3 2 4 3 3" xfId="6878" xr:uid="{00000000-0005-0000-0000-0000D61A0000}"/>
    <cellStyle name="Calculation 2 3 2 4 3 4" xfId="6879" xr:uid="{00000000-0005-0000-0000-0000D71A0000}"/>
    <cellStyle name="Calculation 2 3 2 4 3 5" xfId="6880" xr:uid="{00000000-0005-0000-0000-0000D81A0000}"/>
    <cellStyle name="Calculation 2 3 2 4 3 6" xfId="6881" xr:uid="{00000000-0005-0000-0000-0000D91A0000}"/>
    <cellStyle name="Calculation 2 3 2 4 4" xfId="6882" xr:uid="{00000000-0005-0000-0000-0000DA1A0000}"/>
    <cellStyle name="Calculation 2 3 2 4 4 2" xfId="6883" xr:uid="{00000000-0005-0000-0000-0000DB1A0000}"/>
    <cellStyle name="Calculation 2 3 2 4 4 3" xfId="6884" xr:uid="{00000000-0005-0000-0000-0000DC1A0000}"/>
    <cellStyle name="Calculation 2 3 2 4 4 4" xfId="6885" xr:uid="{00000000-0005-0000-0000-0000DD1A0000}"/>
    <cellStyle name="Calculation 2 3 2 4 4 5" xfId="6886" xr:uid="{00000000-0005-0000-0000-0000DE1A0000}"/>
    <cellStyle name="Calculation 2 3 2 4 4 6" xfId="6887" xr:uid="{00000000-0005-0000-0000-0000DF1A0000}"/>
    <cellStyle name="Calculation 2 3 2 4 5" xfId="6888" xr:uid="{00000000-0005-0000-0000-0000E01A0000}"/>
    <cellStyle name="Calculation 2 3 2 4 6" xfId="6889" xr:uid="{00000000-0005-0000-0000-0000E11A0000}"/>
    <cellStyle name="Calculation 2 3 2 4 7" xfId="6890" xr:uid="{00000000-0005-0000-0000-0000E21A0000}"/>
    <cellStyle name="Calculation 2 3 2 4 8" xfId="6891" xr:uid="{00000000-0005-0000-0000-0000E31A0000}"/>
    <cellStyle name="Calculation 2 3 2 5" xfId="6892" xr:uid="{00000000-0005-0000-0000-0000E41A0000}"/>
    <cellStyle name="Calculation 2 3 2 5 2" xfId="6893" xr:uid="{00000000-0005-0000-0000-0000E51A0000}"/>
    <cellStyle name="Calculation 2 3 2 5 2 2" xfId="6894" xr:uid="{00000000-0005-0000-0000-0000E61A0000}"/>
    <cellStyle name="Calculation 2 3 2 5 2 2 2" xfId="6895" xr:uid="{00000000-0005-0000-0000-0000E71A0000}"/>
    <cellStyle name="Calculation 2 3 2 5 2 2 3" xfId="6896" xr:uid="{00000000-0005-0000-0000-0000E81A0000}"/>
    <cellStyle name="Calculation 2 3 2 5 2 2 4" xfId="6897" xr:uid="{00000000-0005-0000-0000-0000E91A0000}"/>
    <cellStyle name="Calculation 2 3 2 5 2 2 5" xfId="6898" xr:uid="{00000000-0005-0000-0000-0000EA1A0000}"/>
    <cellStyle name="Calculation 2 3 2 5 2 2 6" xfId="6899" xr:uid="{00000000-0005-0000-0000-0000EB1A0000}"/>
    <cellStyle name="Calculation 2 3 2 5 2 3" xfId="6900" xr:uid="{00000000-0005-0000-0000-0000EC1A0000}"/>
    <cellStyle name="Calculation 2 3 2 5 2 4" xfId="6901" xr:uid="{00000000-0005-0000-0000-0000ED1A0000}"/>
    <cellStyle name="Calculation 2 3 2 5 2 5" xfId="6902" xr:uid="{00000000-0005-0000-0000-0000EE1A0000}"/>
    <cellStyle name="Calculation 2 3 2 5 2 6" xfId="6903" xr:uid="{00000000-0005-0000-0000-0000EF1A0000}"/>
    <cellStyle name="Calculation 2 3 2 5 3" xfId="6904" xr:uid="{00000000-0005-0000-0000-0000F01A0000}"/>
    <cellStyle name="Calculation 2 3 2 5 3 2" xfId="6905" xr:uid="{00000000-0005-0000-0000-0000F11A0000}"/>
    <cellStyle name="Calculation 2 3 2 5 3 2 2" xfId="6906" xr:uid="{00000000-0005-0000-0000-0000F21A0000}"/>
    <cellStyle name="Calculation 2 3 2 5 3 2 3" xfId="6907" xr:uid="{00000000-0005-0000-0000-0000F31A0000}"/>
    <cellStyle name="Calculation 2 3 2 5 3 2 4" xfId="6908" xr:uid="{00000000-0005-0000-0000-0000F41A0000}"/>
    <cellStyle name="Calculation 2 3 2 5 3 2 5" xfId="6909" xr:uid="{00000000-0005-0000-0000-0000F51A0000}"/>
    <cellStyle name="Calculation 2 3 2 5 3 2 6" xfId="6910" xr:uid="{00000000-0005-0000-0000-0000F61A0000}"/>
    <cellStyle name="Calculation 2 3 2 5 3 3" xfId="6911" xr:uid="{00000000-0005-0000-0000-0000F71A0000}"/>
    <cellStyle name="Calculation 2 3 2 5 3 4" xfId="6912" xr:uid="{00000000-0005-0000-0000-0000F81A0000}"/>
    <cellStyle name="Calculation 2 3 2 5 3 5" xfId="6913" xr:uid="{00000000-0005-0000-0000-0000F91A0000}"/>
    <cellStyle name="Calculation 2 3 2 5 3 6" xfId="6914" xr:uid="{00000000-0005-0000-0000-0000FA1A0000}"/>
    <cellStyle name="Calculation 2 3 2 5 4" xfId="6915" xr:uid="{00000000-0005-0000-0000-0000FB1A0000}"/>
    <cellStyle name="Calculation 2 3 2 5 4 2" xfId="6916" xr:uid="{00000000-0005-0000-0000-0000FC1A0000}"/>
    <cellStyle name="Calculation 2 3 2 5 4 3" xfId="6917" xr:uid="{00000000-0005-0000-0000-0000FD1A0000}"/>
    <cellStyle name="Calculation 2 3 2 5 4 4" xfId="6918" xr:uid="{00000000-0005-0000-0000-0000FE1A0000}"/>
    <cellStyle name="Calculation 2 3 2 5 4 5" xfId="6919" xr:uid="{00000000-0005-0000-0000-0000FF1A0000}"/>
    <cellStyle name="Calculation 2 3 2 5 4 6" xfId="6920" xr:uid="{00000000-0005-0000-0000-0000001B0000}"/>
    <cellStyle name="Calculation 2 3 2 5 5" xfId="6921" xr:uid="{00000000-0005-0000-0000-0000011B0000}"/>
    <cellStyle name="Calculation 2 3 2 5 6" xfId="6922" xr:uid="{00000000-0005-0000-0000-0000021B0000}"/>
    <cellStyle name="Calculation 2 3 2 5 7" xfId="6923" xr:uid="{00000000-0005-0000-0000-0000031B0000}"/>
    <cellStyle name="Calculation 2 3 2 5 8" xfId="6924" xr:uid="{00000000-0005-0000-0000-0000041B0000}"/>
    <cellStyle name="Calculation 2 3 2 6" xfId="6925" xr:uid="{00000000-0005-0000-0000-0000051B0000}"/>
    <cellStyle name="Calculation 2 3 2 6 2" xfId="6926" xr:uid="{00000000-0005-0000-0000-0000061B0000}"/>
    <cellStyle name="Calculation 2 3 2 6 2 2" xfId="6927" xr:uid="{00000000-0005-0000-0000-0000071B0000}"/>
    <cellStyle name="Calculation 2 3 2 6 2 2 2" xfId="6928" xr:uid="{00000000-0005-0000-0000-0000081B0000}"/>
    <cellStyle name="Calculation 2 3 2 6 2 2 3" xfId="6929" xr:uid="{00000000-0005-0000-0000-0000091B0000}"/>
    <cellStyle name="Calculation 2 3 2 6 2 2 4" xfId="6930" xr:uid="{00000000-0005-0000-0000-00000A1B0000}"/>
    <cellStyle name="Calculation 2 3 2 6 2 2 5" xfId="6931" xr:uid="{00000000-0005-0000-0000-00000B1B0000}"/>
    <cellStyle name="Calculation 2 3 2 6 2 2 6" xfId="6932" xr:uid="{00000000-0005-0000-0000-00000C1B0000}"/>
    <cellStyle name="Calculation 2 3 2 6 2 3" xfId="6933" xr:uid="{00000000-0005-0000-0000-00000D1B0000}"/>
    <cellStyle name="Calculation 2 3 2 6 2 4" xfId="6934" xr:uid="{00000000-0005-0000-0000-00000E1B0000}"/>
    <cellStyle name="Calculation 2 3 2 6 2 5" xfId="6935" xr:uid="{00000000-0005-0000-0000-00000F1B0000}"/>
    <cellStyle name="Calculation 2 3 2 6 2 6" xfId="6936" xr:uid="{00000000-0005-0000-0000-0000101B0000}"/>
    <cellStyle name="Calculation 2 3 2 6 3" xfId="6937" xr:uid="{00000000-0005-0000-0000-0000111B0000}"/>
    <cellStyle name="Calculation 2 3 2 6 3 2" xfId="6938" xr:uid="{00000000-0005-0000-0000-0000121B0000}"/>
    <cellStyle name="Calculation 2 3 2 6 3 2 2" xfId="6939" xr:uid="{00000000-0005-0000-0000-0000131B0000}"/>
    <cellStyle name="Calculation 2 3 2 6 3 2 3" xfId="6940" xr:uid="{00000000-0005-0000-0000-0000141B0000}"/>
    <cellStyle name="Calculation 2 3 2 6 3 2 4" xfId="6941" xr:uid="{00000000-0005-0000-0000-0000151B0000}"/>
    <cellStyle name="Calculation 2 3 2 6 3 2 5" xfId="6942" xr:uid="{00000000-0005-0000-0000-0000161B0000}"/>
    <cellStyle name="Calculation 2 3 2 6 3 2 6" xfId="6943" xr:uid="{00000000-0005-0000-0000-0000171B0000}"/>
    <cellStyle name="Calculation 2 3 2 6 3 3" xfId="6944" xr:uid="{00000000-0005-0000-0000-0000181B0000}"/>
    <cellStyle name="Calculation 2 3 2 6 3 4" xfId="6945" xr:uid="{00000000-0005-0000-0000-0000191B0000}"/>
    <cellStyle name="Calculation 2 3 2 6 3 5" xfId="6946" xr:uid="{00000000-0005-0000-0000-00001A1B0000}"/>
    <cellStyle name="Calculation 2 3 2 6 3 6" xfId="6947" xr:uid="{00000000-0005-0000-0000-00001B1B0000}"/>
    <cellStyle name="Calculation 2 3 2 6 4" xfId="6948" xr:uid="{00000000-0005-0000-0000-00001C1B0000}"/>
    <cellStyle name="Calculation 2 3 2 6 4 2" xfId="6949" xr:uid="{00000000-0005-0000-0000-00001D1B0000}"/>
    <cellStyle name="Calculation 2 3 2 6 4 3" xfId="6950" xr:uid="{00000000-0005-0000-0000-00001E1B0000}"/>
    <cellStyle name="Calculation 2 3 2 6 4 4" xfId="6951" xr:uid="{00000000-0005-0000-0000-00001F1B0000}"/>
    <cellStyle name="Calculation 2 3 2 6 4 5" xfId="6952" xr:uid="{00000000-0005-0000-0000-0000201B0000}"/>
    <cellStyle name="Calculation 2 3 2 6 4 6" xfId="6953" xr:uid="{00000000-0005-0000-0000-0000211B0000}"/>
    <cellStyle name="Calculation 2 3 2 6 5" xfId="6954" xr:uid="{00000000-0005-0000-0000-0000221B0000}"/>
    <cellStyle name="Calculation 2 3 2 6 6" xfId="6955" xr:uid="{00000000-0005-0000-0000-0000231B0000}"/>
    <cellStyle name="Calculation 2 3 2 6 7" xfId="6956" xr:uid="{00000000-0005-0000-0000-0000241B0000}"/>
    <cellStyle name="Calculation 2 3 2 6 8" xfId="6957" xr:uid="{00000000-0005-0000-0000-0000251B0000}"/>
    <cellStyle name="Calculation 2 3 2 7" xfId="6958" xr:uid="{00000000-0005-0000-0000-0000261B0000}"/>
    <cellStyle name="Calculation 2 3 2 7 2" xfId="6959" xr:uid="{00000000-0005-0000-0000-0000271B0000}"/>
    <cellStyle name="Calculation 2 3 2 7 2 2" xfId="6960" xr:uid="{00000000-0005-0000-0000-0000281B0000}"/>
    <cellStyle name="Calculation 2 3 2 7 2 2 2" xfId="6961" xr:uid="{00000000-0005-0000-0000-0000291B0000}"/>
    <cellStyle name="Calculation 2 3 2 7 2 2 3" xfId="6962" xr:uid="{00000000-0005-0000-0000-00002A1B0000}"/>
    <cellStyle name="Calculation 2 3 2 7 2 2 4" xfId="6963" xr:uid="{00000000-0005-0000-0000-00002B1B0000}"/>
    <cellStyle name="Calculation 2 3 2 7 2 2 5" xfId="6964" xr:uid="{00000000-0005-0000-0000-00002C1B0000}"/>
    <cellStyle name="Calculation 2 3 2 7 2 2 6" xfId="6965" xr:uid="{00000000-0005-0000-0000-00002D1B0000}"/>
    <cellStyle name="Calculation 2 3 2 7 2 3" xfId="6966" xr:uid="{00000000-0005-0000-0000-00002E1B0000}"/>
    <cellStyle name="Calculation 2 3 2 7 2 4" xfId="6967" xr:uid="{00000000-0005-0000-0000-00002F1B0000}"/>
    <cellStyle name="Calculation 2 3 2 7 2 5" xfId="6968" xr:uid="{00000000-0005-0000-0000-0000301B0000}"/>
    <cellStyle name="Calculation 2 3 2 7 2 6" xfId="6969" xr:uid="{00000000-0005-0000-0000-0000311B0000}"/>
    <cellStyle name="Calculation 2 3 2 7 3" xfId="6970" xr:uid="{00000000-0005-0000-0000-0000321B0000}"/>
    <cellStyle name="Calculation 2 3 2 7 3 2" xfId="6971" xr:uid="{00000000-0005-0000-0000-0000331B0000}"/>
    <cellStyle name="Calculation 2 3 2 7 3 2 2" xfId="6972" xr:uid="{00000000-0005-0000-0000-0000341B0000}"/>
    <cellStyle name="Calculation 2 3 2 7 3 2 3" xfId="6973" xr:uid="{00000000-0005-0000-0000-0000351B0000}"/>
    <cellStyle name="Calculation 2 3 2 7 3 2 4" xfId="6974" xr:uid="{00000000-0005-0000-0000-0000361B0000}"/>
    <cellStyle name="Calculation 2 3 2 7 3 2 5" xfId="6975" xr:uid="{00000000-0005-0000-0000-0000371B0000}"/>
    <cellStyle name="Calculation 2 3 2 7 3 2 6" xfId="6976" xr:uid="{00000000-0005-0000-0000-0000381B0000}"/>
    <cellStyle name="Calculation 2 3 2 7 3 3" xfId="6977" xr:uid="{00000000-0005-0000-0000-0000391B0000}"/>
    <cellStyle name="Calculation 2 3 2 7 3 4" xfId="6978" xr:uid="{00000000-0005-0000-0000-00003A1B0000}"/>
    <cellStyle name="Calculation 2 3 2 7 3 5" xfId="6979" xr:uid="{00000000-0005-0000-0000-00003B1B0000}"/>
    <cellStyle name="Calculation 2 3 2 7 3 6" xfId="6980" xr:uid="{00000000-0005-0000-0000-00003C1B0000}"/>
    <cellStyle name="Calculation 2 3 2 7 4" xfId="6981" xr:uid="{00000000-0005-0000-0000-00003D1B0000}"/>
    <cellStyle name="Calculation 2 3 2 7 4 2" xfId="6982" xr:uid="{00000000-0005-0000-0000-00003E1B0000}"/>
    <cellStyle name="Calculation 2 3 2 7 4 3" xfId="6983" xr:uid="{00000000-0005-0000-0000-00003F1B0000}"/>
    <cellStyle name="Calculation 2 3 2 7 4 4" xfId="6984" xr:uid="{00000000-0005-0000-0000-0000401B0000}"/>
    <cellStyle name="Calculation 2 3 2 7 4 5" xfId="6985" xr:uid="{00000000-0005-0000-0000-0000411B0000}"/>
    <cellStyle name="Calculation 2 3 2 7 4 6" xfId="6986" xr:uid="{00000000-0005-0000-0000-0000421B0000}"/>
    <cellStyle name="Calculation 2 3 2 7 5" xfId="6987" xr:uid="{00000000-0005-0000-0000-0000431B0000}"/>
    <cellStyle name="Calculation 2 3 2 7 6" xfId="6988" xr:uid="{00000000-0005-0000-0000-0000441B0000}"/>
    <cellStyle name="Calculation 2 3 2 7 7" xfId="6989" xr:uid="{00000000-0005-0000-0000-0000451B0000}"/>
    <cellStyle name="Calculation 2 3 2 7 8" xfId="6990" xr:uid="{00000000-0005-0000-0000-0000461B0000}"/>
    <cellStyle name="Calculation 2 3 2 8" xfId="6991" xr:uid="{00000000-0005-0000-0000-0000471B0000}"/>
    <cellStyle name="Calculation 2 3 2 8 2" xfId="6992" xr:uid="{00000000-0005-0000-0000-0000481B0000}"/>
    <cellStyle name="Calculation 2 3 2 8 2 2" xfId="6993" xr:uid="{00000000-0005-0000-0000-0000491B0000}"/>
    <cellStyle name="Calculation 2 3 2 8 2 3" xfId="6994" xr:uid="{00000000-0005-0000-0000-00004A1B0000}"/>
    <cellStyle name="Calculation 2 3 2 8 2 4" xfId="6995" xr:uid="{00000000-0005-0000-0000-00004B1B0000}"/>
    <cellStyle name="Calculation 2 3 2 8 2 5" xfId="6996" xr:uid="{00000000-0005-0000-0000-00004C1B0000}"/>
    <cellStyle name="Calculation 2 3 2 8 2 6" xfId="6997" xr:uid="{00000000-0005-0000-0000-00004D1B0000}"/>
    <cellStyle name="Calculation 2 3 2 8 3" xfId="6998" xr:uid="{00000000-0005-0000-0000-00004E1B0000}"/>
    <cellStyle name="Calculation 2 3 2 8 4" xfId="6999" xr:uid="{00000000-0005-0000-0000-00004F1B0000}"/>
    <cellStyle name="Calculation 2 3 2 8 5" xfId="7000" xr:uid="{00000000-0005-0000-0000-0000501B0000}"/>
    <cellStyle name="Calculation 2 3 2 8 6" xfId="7001" xr:uid="{00000000-0005-0000-0000-0000511B0000}"/>
    <cellStyle name="Calculation 2 3 2 9" xfId="7002" xr:uid="{00000000-0005-0000-0000-0000521B0000}"/>
    <cellStyle name="Calculation 2 3 2 9 2" xfId="7003" xr:uid="{00000000-0005-0000-0000-0000531B0000}"/>
    <cellStyle name="Calculation 2 3 2 9 2 2" xfId="7004" xr:uid="{00000000-0005-0000-0000-0000541B0000}"/>
    <cellStyle name="Calculation 2 3 2 9 2 3" xfId="7005" xr:uid="{00000000-0005-0000-0000-0000551B0000}"/>
    <cellStyle name="Calculation 2 3 2 9 2 4" xfId="7006" xr:uid="{00000000-0005-0000-0000-0000561B0000}"/>
    <cellStyle name="Calculation 2 3 2 9 2 5" xfId="7007" xr:uid="{00000000-0005-0000-0000-0000571B0000}"/>
    <cellStyle name="Calculation 2 3 2 9 2 6" xfId="7008" xr:uid="{00000000-0005-0000-0000-0000581B0000}"/>
    <cellStyle name="Calculation 2 3 2 9 3" xfId="7009" xr:uid="{00000000-0005-0000-0000-0000591B0000}"/>
    <cellStyle name="Calculation 2 3 2 9 4" xfId="7010" xr:uid="{00000000-0005-0000-0000-00005A1B0000}"/>
    <cellStyle name="Calculation 2 3 2 9 5" xfId="7011" xr:uid="{00000000-0005-0000-0000-00005B1B0000}"/>
    <cellStyle name="Calculation 2 3 2 9 6" xfId="7012" xr:uid="{00000000-0005-0000-0000-00005C1B0000}"/>
    <cellStyle name="Calculation 2 3 20" xfId="7013" xr:uid="{00000000-0005-0000-0000-00005D1B0000}"/>
    <cellStyle name="Calculation 2 3 20 2" xfId="7014" xr:uid="{00000000-0005-0000-0000-00005E1B0000}"/>
    <cellStyle name="Calculation 2 3 20 2 2" xfId="7015" xr:uid="{00000000-0005-0000-0000-00005F1B0000}"/>
    <cellStyle name="Calculation 2 3 20 2 3" xfId="7016" xr:uid="{00000000-0005-0000-0000-0000601B0000}"/>
    <cellStyle name="Calculation 2 3 20 2 4" xfId="7017" xr:uid="{00000000-0005-0000-0000-0000611B0000}"/>
    <cellStyle name="Calculation 2 3 20 2 5" xfId="7018" xr:uid="{00000000-0005-0000-0000-0000621B0000}"/>
    <cellStyle name="Calculation 2 3 20 3" xfId="7019" xr:uid="{00000000-0005-0000-0000-0000631B0000}"/>
    <cellStyle name="Calculation 2 3 20 4" xfId="7020" xr:uid="{00000000-0005-0000-0000-0000641B0000}"/>
    <cellStyle name="Calculation 2 3 20 5" xfId="7021" xr:uid="{00000000-0005-0000-0000-0000651B0000}"/>
    <cellStyle name="Calculation 2 3 20 6" xfId="7022" xr:uid="{00000000-0005-0000-0000-0000661B0000}"/>
    <cellStyle name="Calculation 2 3 21" xfId="7023" xr:uid="{00000000-0005-0000-0000-0000671B0000}"/>
    <cellStyle name="Calculation 2 3 21 2" xfId="7024" xr:uid="{00000000-0005-0000-0000-0000681B0000}"/>
    <cellStyle name="Calculation 2 3 21 2 2" xfId="7025" xr:uid="{00000000-0005-0000-0000-0000691B0000}"/>
    <cellStyle name="Calculation 2 3 21 2 3" xfId="7026" xr:uid="{00000000-0005-0000-0000-00006A1B0000}"/>
    <cellStyle name="Calculation 2 3 21 2 4" xfId="7027" xr:uid="{00000000-0005-0000-0000-00006B1B0000}"/>
    <cellStyle name="Calculation 2 3 21 2 5" xfId="7028" xr:uid="{00000000-0005-0000-0000-00006C1B0000}"/>
    <cellStyle name="Calculation 2 3 21 3" xfId="7029" xr:uid="{00000000-0005-0000-0000-00006D1B0000}"/>
    <cellStyle name="Calculation 2 3 21 4" xfId="7030" xr:uid="{00000000-0005-0000-0000-00006E1B0000}"/>
    <cellStyle name="Calculation 2 3 21 5" xfId="7031" xr:uid="{00000000-0005-0000-0000-00006F1B0000}"/>
    <cellStyle name="Calculation 2 3 21 6" xfId="7032" xr:uid="{00000000-0005-0000-0000-0000701B0000}"/>
    <cellStyle name="Calculation 2 3 22" xfId="7033" xr:uid="{00000000-0005-0000-0000-0000711B0000}"/>
    <cellStyle name="Calculation 2 3 22 2" xfId="7034" xr:uid="{00000000-0005-0000-0000-0000721B0000}"/>
    <cellStyle name="Calculation 2 3 22 2 2" xfId="7035" xr:uid="{00000000-0005-0000-0000-0000731B0000}"/>
    <cellStyle name="Calculation 2 3 22 2 3" xfId="7036" xr:uid="{00000000-0005-0000-0000-0000741B0000}"/>
    <cellStyle name="Calculation 2 3 22 2 4" xfId="7037" xr:uid="{00000000-0005-0000-0000-0000751B0000}"/>
    <cellStyle name="Calculation 2 3 22 2 5" xfId="7038" xr:uid="{00000000-0005-0000-0000-0000761B0000}"/>
    <cellStyle name="Calculation 2 3 22 3" xfId="7039" xr:uid="{00000000-0005-0000-0000-0000771B0000}"/>
    <cellStyle name="Calculation 2 3 22 4" xfId="7040" xr:uid="{00000000-0005-0000-0000-0000781B0000}"/>
    <cellStyle name="Calculation 2 3 22 5" xfId="7041" xr:uid="{00000000-0005-0000-0000-0000791B0000}"/>
    <cellStyle name="Calculation 2 3 22 6" xfId="7042" xr:uid="{00000000-0005-0000-0000-00007A1B0000}"/>
    <cellStyle name="Calculation 2 3 23" xfId="7043" xr:uid="{00000000-0005-0000-0000-00007B1B0000}"/>
    <cellStyle name="Calculation 2 3 23 2" xfId="7044" xr:uid="{00000000-0005-0000-0000-00007C1B0000}"/>
    <cellStyle name="Calculation 2 3 23 2 2" xfId="7045" xr:uid="{00000000-0005-0000-0000-00007D1B0000}"/>
    <cellStyle name="Calculation 2 3 23 2 3" xfId="7046" xr:uid="{00000000-0005-0000-0000-00007E1B0000}"/>
    <cellStyle name="Calculation 2 3 23 2 4" xfId="7047" xr:uid="{00000000-0005-0000-0000-00007F1B0000}"/>
    <cellStyle name="Calculation 2 3 23 2 5" xfId="7048" xr:uid="{00000000-0005-0000-0000-0000801B0000}"/>
    <cellStyle name="Calculation 2 3 23 3" xfId="7049" xr:uid="{00000000-0005-0000-0000-0000811B0000}"/>
    <cellStyle name="Calculation 2 3 23 4" xfId="7050" xr:uid="{00000000-0005-0000-0000-0000821B0000}"/>
    <cellStyle name="Calculation 2 3 23 5" xfId="7051" xr:uid="{00000000-0005-0000-0000-0000831B0000}"/>
    <cellStyle name="Calculation 2 3 23 6" xfId="7052" xr:uid="{00000000-0005-0000-0000-0000841B0000}"/>
    <cellStyle name="Calculation 2 3 24" xfId="7053" xr:uid="{00000000-0005-0000-0000-0000851B0000}"/>
    <cellStyle name="Calculation 2 3 24 2" xfId="7054" xr:uid="{00000000-0005-0000-0000-0000861B0000}"/>
    <cellStyle name="Calculation 2 3 24 2 2" xfId="7055" xr:uid="{00000000-0005-0000-0000-0000871B0000}"/>
    <cellStyle name="Calculation 2 3 24 2 3" xfId="7056" xr:uid="{00000000-0005-0000-0000-0000881B0000}"/>
    <cellStyle name="Calculation 2 3 24 2 4" xfId="7057" xr:uid="{00000000-0005-0000-0000-0000891B0000}"/>
    <cellStyle name="Calculation 2 3 24 2 5" xfId="7058" xr:uid="{00000000-0005-0000-0000-00008A1B0000}"/>
    <cellStyle name="Calculation 2 3 24 3" xfId="7059" xr:uid="{00000000-0005-0000-0000-00008B1B0000}"/>
    <cellStyle name="Calculation 2 3 24 4" xfId="7060" xr:uid="{00000000-0005-0000-0000-00008C1B0000}"/>
    <cellStyle name="Calculation 2 3 24 5" xfId="7061" xr:uid="{00000000-0005-0000-0000-00008D1B0000}"/>
    <cellStyle name="Calculation 2 3 24 6" xfId="7062" xr:uid="{00000000-0005-0000-0000-00008E1B0000}"/>
    <cellStyle name="Calculation 2 3 25" xfId="7063" xr:uid="{00000000-0005-0000-0000-00008F1B0000}"/>
    <cellStyle name="Calculation 2 3 25 2" xfId="7064" xr:uid="{00000000-0005-0000-0000-0000901B0000}"/>
    <cellStyle name="Calculation 2 3 25 2 2" xfId="7065" xr:uid="{00000000-0005-0000-0000-0000911B0000}"/>
    <cellStyle name="Calculation 2 3 25 2 3" xfId="7066" xr:uid="{00000000-0005-0000-0000-0000921B0000}"/>
    <cellStyle name="Calculation 2 3 25 2 4" xfId="7067" xr:uid="{00000000-0005-0000-0000-0000931B0000}"/>
    <cellStyle name="Calculation 2 3 25 2 5" xfId="7068" xr:uid="{00000000-0005-0000-0000-0000941B0000}"/>
    <cellStyle name="Calculation 2 3 25 3" xfId="7069" xr:uid="{00000000-0005-0000-0000-0000951B0000}"/>
    <cellStyle name="Calculation 2 3 25 4" xfId="7070" xr:uid="{00000000-0005-0000-0000-0000961B0000}"/>
    <cellStyle name="Calculation 2 3 25 5" xfId="7071" xr:uid="{00000000-0005-0000-0000-0000971B0000}"/>
    <cellStyle name="Calculation 2 3 25 6" xfId="7072" xr:uid="{00000000-0005-0000-0000-0000981B0000}"/>
    <cellStyle name="Calculation 2 3 26" xfId="7073" xr:uid="{00000000-0005-0000-0000-0000991B0000}"/>
    <cellStyle name="Calculation 2 3 26 2" xfId="7074" xr:uid="{00000000-0005-0000-0000-00009A1B0000}"/>
    <cellStyle name="Calculation 2 3 26 2 2" xfId="7075" xr:uid="{00000000-0005-0000-0000-00009B1B0000}"/>
    <cellStyle name="Calculation 2 3 26 2 3" xfId="7076" xr:uid="{00000000-0005-0000-0000-00009C1B0000}"/>
    <cellStyle name="Calculation 2 3 26 2 4" xfId="7077" xr:uid="{00000000-0005-0000-0000-00009D1B0000}"/>
    <cellStyle name="Calculation 2 3 26 2 5" xfId="7078" xr:uid="{00000000-0005-0000-0000-00009E1B0000}"/>
    <cellStyle name="Calculation 2 3 26 3" xfId="7079" xr:uid="{00000000-0005-0000-0000-00009F1B0000}"/>
    <cellStyle name="Calculation 2 3 26 4" xfId="7080" xr:uid="{00000000-0005-0000-0000-0000A01B0000}"/>
    <cellStyle name="Calculation 2 3 26 5" xfId="7081" xr:uid="{00000000-0005-0000-0000-0000A11B0000}"/>
    <cellStyle name="Calculation 2 3 26 6" xfId="7082" xr:uid="{00000000-0005-0000-0000-0000A21B0000}"/>
    <cellStyle name="Calculation 2 3 27" xfId="7083" xr:uid="{00000000-0005-0000-0000-0000A31B0000}"/>
    <cellStyle name="Calculation 2 3 27 2" xfId="7084" xr:uid="{00000000-0005-0000-0000-0000A41B0000}"/>
    <cellStyle name="Calculation 2 3 27 2 2" xfId="7085" xr:uid="{00000000-0005-0000-0000-0000A51B0000}"/>
    <cellStyle name="Calculation 2 3 27 2 3" xfId="7086" xr:uid="{00000000-0005-0000-0000-0000A61B0000}"/>
    <cellStyle name="Calculation 2 3 27 2 4" xfId="7087" xr:uid="{00000000-0005-0000-0000-0000A71B0000}"/>
    <cellStyle name="Calculation 2 3 27 2 5" xfId="7088" xr:uid="{00000000-0005-0000-0000-0000A81B0000}"/>
    <cellStyle name="Calculation 2 3 27 3" xfId="7089" xr:uid="{00000000-0005-0000-0000-0000A91B0000}"/>
    <cellStyle name="Calculation 2 3 27 4" xfId="7090" xr:uid="{00000000-0005-0000-0000-0000AA1B0000}"/>
    <cellStyle name="Calculation 2 3 27 5" xfId="7091" xr:uid="{00000000-0005-0000-0000-0000AB1B0000}"/>
    <cellStyle name="Calculation 2 3 27 6" xfId="7092" xr:uid="{00000000-0005-0000-0000-0000AC1B0000}"/>
    <cellStyle name="Calculation 2 3 28" xfId="7093" xr:uid="{00000000-0005-0000-0000-0000AD1B0000}"/>
    <cellStyle name="Calculation 2 3 28 2" xfId="7094" xr:uid="{00000000-0005-0000-0000-0000AE1B0000}"/>
    <cellStyle name="Calculation 2 3 28 2 2" xfId="7095" xr:uid="{00000000-0005-0000-0000-0000AF1B0000}"/>
    <cellStyle name="Calculation 2 3 28 2 3" xfId="7096" xr:uid="{00000000-0005-0000-0000-0000B01B0000}"/>
    <cellStyle name="Calculation 2 3 28 2 4" xfId="7097" xr:uid="{00000000-0005-0000-0000-0000B11B0000}"/>
    <cellStyle name="Calculation 2 3 28 2 5" xfId="7098" xr:uid="{00000000-0005-0000-0000-0000B21B0000}"/>
    <cellStyle name="Calculation 2 3 28 3" xfId="7099" xr:uid="{00000000-0005-0000-0000-0000B31B0000}"/>
    <cellStyle name="Calculation 2 3 28 4" xfId="7100" xr:uid="{00000000-0005-0000-0000-0000B41B0000}"/>
    <cellStyle name="Calculation 2 3 28 5" xfId="7101" xr:uid="{00000000-0005-0000-0000-0000B51B0000}"/>
    <cellStyle name="Calculation 2 3 28 6" xfId="7102" xr:uid="{00000000-0005-0000-0000-0000B61B0000}"/>
    <cellStyle name="Calculation 2 3 29" xfId="7103" xr:uid="{00000000-0005-0000-0000-0000B71B0000}"/>
    <cellStyle name="Calculation 2 3 29 2" xfId="7104" xr:uid="{00000000-0005-0000-0000-0000B81B0000}"/>
    <cellStyle name="Calculation 2 3 29 2 2" xfId="7105" xr:uid="{00000000-0005-0000-0000-0000B91B0000}"/>
    <cellStyle name="Calculation 2 3 29 2 3" xfId="7106" xr:uid="{00000000-0005-0000-0000-0000BA1B0000}"/>
    <cellStyle name="Calculation 2 3 29 2 4" xfId="7107" xr:uid="{00000000-0005-0000-0000-0000BB1B0000}"/>
    <cellStyle name="Calculation 2 3 29 2 5" xfId="7108" xr:uid="{00000000-0005-0000-0000-0000BC1B0000}"/>
    <cellStyle name="Calculation 2 3 29 3" xfId="7109" xr:uid="{00000000-0005-0000-0000-0000BD1B0000}"/>
    <cellStyle name="Calculation 2 3 29 4" xfId="7110" xr:uid="{00000000-0005-0000-0000-0000BE1B0000}"/>
    <cellStyle name="Calculation 2 3 29 5" xfId="7111" xr:uid="{00000000-0005-0000-0000-0000BF1B0000}"/>
    <cellStyle name="Calculation 2 3 29 6" xfId="7112" xr:uid="{00000000-0005-0000-0000-0000C01B0000}"/>
    <cellStyle name="Calculation 2 3 3" xfId="7113" xr:uid="{00000000-0005-0000-0000-0000C11B0000}"/>
    <cellStyle name="Calculation 2 3 3 10" xfId="7114" xr:uid="{00000000-0005-0000-0000-0000C21B0000}"/>
    <cellStyle name="Calculation 2 3 3 10 2" xfId="7115" xr:uid="{00000000-0005-0000-0000-0000C31B0000}"/>
    <cellStyle name="Calculation 2 3 3 10 3" xfId="7116" xr:uid="{00000000-0005-0000-0000-0000C41B0000}"/>
    <cellStyle name="Calculation 2 3 3 10 4" xfId="7117" xr:uid="{00000000-0005-0000-0000-0000C51B0000}"/>
    <cellStyle name="Calculation 2 3 3 10 5" xfId="7118" xr:uid="{00000000-0005-0000-0000-0000C61B0000}"/>
    <cellStyle name="Calculation 2 3 3 11" xfId="7119" xr:uid="{00000000-0005-0000-0000-0000C71B0000}"/>
    <cellStyle name="Calculation 2 3 3 12" xfId="7120" xr:uid="{00000000-0005-0000-0000-0000C81B0000}"/>
    <cellStyle name="Calculation 2 3 3 13" xfId="7121" xr:uid="{00000000-0005-0000-0000-0000C91B0000}"/>
    <cellStyle name="Calculation 2 3 3 14" xfId="7122" xr:uid="{00000000-0005-0000-0000-0000CA1B0000}"/>
    <cellStyle name="Calculation 2 3 3 2" xfId="7123" xr:uid="{00000000-0005-0000-0000-0000CB1B0000}"/>
    <cellStyle name="Calculation 2 3 3 2 2" xfId="7124" xr:uid="{00000000-0005-0000-0000-0000CC1B0000}"/>
    <cellStyle name="Calculation 2 3 3 2 2 2" xfId="7125" xr:uid="{00000000-0005-0000-0000-0000CD1B0000}"/>
    <cellStyle name="Calculation 2 3 3 2 2 2 2" xfId="7126" xr:uid="{00000000-0005-0000-0000-0000CE1B0000}"/>
    <cellStyle name="Calculation 2 3 3 2 2 2 3" xfId="7127" xr:uid="{00000000-0005-0000-0000-0000CF1B0000}"/>
    <cellStyle name="Calculation 2 3 3 2 2 2 4" xfId="7128" xr:uid="{00000000-0005-0000-0000-0000D01B0000}"/>
    <cellStyle name="Calculation 2 3 3 2 2 2 5" xfId="7129" xr:uid="{00000000-0005-0000-0000-0000D11B0000}"/>
    <cellStyle name="Calculation 2 3 3 2 2 2 6" xfId="7130" xr:uid="{00000000-0005-0000-0000-0000D21B0000}"/>
    <cellStyle name="Calculation 2 3 3 2 2 3" xfId="7131" xr:uid="{00000000-0005-0000-0000-0000D31B0000}"/>
    <cellStyle name="Calculation 2 3 3 2 2 4" xfId="7132" xr:uid="{00000000-0005-0000-0000-0000D41B0000}"/>
    <cellStyle name="Calculation 2 3 3 2 2 5" xfId="7133" xr:uid="{00000000-0005-0000-0000-0000D51B0000}"/>
    <cellStyle name="Calculation 2 3 3 2 2 6" xfId="7134" xr:uid="{00000000-0005-0000-0000-0000D61B0000}"/>
    <cellStyle name="Calculation 2 3 3 2 3" xfId="7135" xr:uid="{00000000-0005-0000-0000-0000D71B0000}"/>
    <cellStyle name="Calculation 2 3 3 2 3 2" xfId="7136" xr:uid="{00000000-0005-0000-0000-0000D81B0000}"/>
    <cellStyle name="Calculation 2 3 3 2 3 2 2" xfId="7137" xr:uid="{00000000-0005-0000-0000-0000D91B0000}"/>
    <cellStyle name="Calculation 2 3 3 2 3 2 3" xfId="7138" xr:uid="{00000000-0005-0000-0000-0000DA1B0000}"/>
    <cellStyle name="Calculation 2 3 3 2 3 2 4" xfId="7139" xr:uid="{00000000-0005-0000-0000-0000DB1B0000}"/>
    <cellStyle name="Calculation 2 3 3 2 3 2 5" xfId="7140" xr:uid="{00000000-0005-0000-0000-0000DC1B0000}"/>
    <cellStyle name="Calculation 2 3 3 2 3 2 6" xfId="7141" xr:uid="{00000000-0005-0000-0000-0000DD1B0000}"/>
    <cellStyle name="Calculation 2 3 3 2 3 3" xfId="7142" xr:uid="{00000000-0005-0000-0000-0000DE1B0000}"/>
    <cellStyle name="Calculation 2 3 3 2 3 4" xfId="7143" xr:uid="{00000000-0005-0000-0000-0000DF1B0000}"/>
    <cellStyle name="Calculation 2 3 3 2 3 5" xfId="7144" xr:uid="{00000000-0005-0000-0000-0000E01B0000}"/>
    <cellStyle name="Calculation 2 3 3 2 3 6" xfId="7145" xr:uid="{00000000-0005-0000-0000-0000E11B0000}"/>
    <cellStyle name="Calculation 2 3 3 2 4" xfId="7146" xr:uid="{00000000-0005-0000-0000-0000E21B0000}"/>
    <cellStyle name="Calculation 2 3 3 2 4 2" xfId="7147" xr:uid="{00000000-0005-0000-0000-0000E31B0000}"/>
    <cellStyle name="Calculation 2 3 3 2 4 3" xfId="7148" xr:uid="{00000000-0005-0000-0000-0000E41B0000}"/>
    <cellStyle name="Calculation 2 3 3 2 4 4" xfId="7149" xr:uid="{00000000-0005-0000-0000-0000E51B0000}"/>
    <cellStyle name="Calculation 2 3 3 2 4 5" xfId="7150" xr:uid="{00000000-0005-0000-0000-0000E61B0000}"/>
    <cellStyle name="Calculation 2 3 3 2 4 6" xfId="7151" xr:uid="{00000000-0005-0000-0000-0000E71B0000}"/>
    <cellStyle name="Calculation 2 3 3 2 5" xfId="7152" xr:uid="{00000000-0005-0000-0000-0000E81B0000}"/>
    <cellStyle name="Calculation 2 3 3 2 5 2" xfId="7153" xr:uid="{00000000-0005-0000-0000-0000E91B0000}"/>
    <cellStyle name="Calculation 2 3 3 2 5 3" xfId="7154" xr:uid="{00000000-0005-0000-0000-0000EA1B0000}"/>
    <cellStyle name="Calculation 2 3 3 2 5 4" xfId="7155" xr:uid="{00000000-0005-0000-0000-0000EB1B0000}"/>
    <cellStyle name="Calculation 2 3 3 2 5 5" xfId="7156" xr:uid="{00000000-0005-0000-0000-0000EC1B0000}"/>
    <cellStyle name="Calculation 2 3 3 2 6" xfId="7157" xr:uid="{00000000-0005-0000-0000-0000ED1B0000}"/>
    <cellStyle name="Calculation 2 3 3 2 7" xfId="7158" xr:uid="{00000000-0005-0000-0000-0000EE1B0000}"/>
    <cellStyle name="Calculation 2 3 3 2 8" xfId="7159" xr:uid="{00000000-0005-0000-0000-0000EF1B0000}"/>
    <cellStyle name="Calculation 2 3 3 2 9" xfId="7160" xr:uid="{00000000-0005-0000-0000-0000F01B0000}"/>
    <cellStyle name="Calculation 2 3 3 3" xfId="7161" xr:uid="{00000000-0005-0000-0000-0000F11B0000}"/>
    <cellStyle name="Calculation 2 3 3 3 2" xfId="7162" xr:uid="{00000000-0005-0000-0000-0000F21B0000}"/>
    <cellStyle name="Calculation 2 3 3 3 2 2" xfId="7163" xr:uid="{00000000-0005-0000-0000-0000F31B0000}"/>
    <cellStyle name="Calculation 2 3 3 3 2 2 2" xfId="7164" xr:uid="{00000000-0005-0000-0000-0000F41B0000}"/>
    <cellStyle name="Calculation 2 3 3 3 2 2 3" xfId="7165" xr:uid="{00000000-0005-0000-0000-0000F51B0000}"/>
    <cellStyle name="Calculation 2 3 3 3 2 2 4" xfId="7166" xr:uid="{00000000-0005-0000-0000-0000F61B0000}"/>
    <cellStyle name="Calculation 2 3 3 3 2 2 5" xfId="7167" xr:uid="{00000000-0005-0000-0000-0000F71B0000}"/>
    <cellStyle name="Calculation 2 3 3 3 2 2 6" xfId="7168" xr:uid="{00000000-0005-0000-0000-0000F81B0000}"/>
    <cellStyle name="Calculation 2 3 3 3 2 3" xfId="7169" xr:uid="{00000000-0005-0000-0000-0000F91B0000}"/>
    <cellStyle name="Calculation 2 3 3 3 2 4" xfId="7170" xr:uid="{00000000-0005-0000-0000-0000FA1B0000}"/>
    <cellStyle name="Calculation 2 3 3 3 2 5" xfId="7171" xr:uid="{00000000-0005-0000-0000-0000FB1B0000}"/>
    <cellStyle name="Calculation 2 3 3 3 2 6" xfId="7172" xr:uid="{00000000-0005-0000-0000-0000FC1B0000}"/>
    <cellStyle name="Calculation 2 3 3 3 3" xfId="7173" xr:uid="{00000000-0005-0000-0000-0000FD1B0000}"/>
    <cellStyle name="Calculation 2 3 3 3 3 2" xfId="7174" xr:uid="{00000000-0005-0000-0000-0000FE1B0000}"/>
    <cellStyle name="Calculation 2 3 3 3 3 2 2" xfId="7175" xr:uid="{00000000-0005-0000-0000-0000FF1B0000}"/>
    <cellStyle name="Calculation 2 3 3 3 3 2 3" xfId="7176" xr:uid="{00000000-0005-0000-0000-0000001C0000}"/>
    <cellStyle name="Calculation 2 3 3 3 3 2 4" xfId="7177" xr:uid="{00000000-0005-0000-0000-0000011C0000}"/>
    <cellStyle name="Calculation 2 3 3 3 3 2 5" xfId="7178" xr:uid="{00000000-0005-0000-0000-0000021C0000}"/>
    <cellStyle name="Calculation 2 3 3 3 3 2 6" xfId="7179" xr:uid="{00000000-0005-0000-0000-0000031C0000}"/>
    <cellStyle name="Calculation 2 3 3 3 3 3" xfId="7180" xr:uid="{00000000-0005-0000-0000-0000041C0000}"/>
    <cellStyle name="Calculation 2 3 3 3 3 4" xfId="7181" xr:uid="{00000000-0005-0000-0000-0000051C0000}"/>
    <cellStyle name="Calculation 2 3 3 3 3 5" xfId="7182" xr:uid="{00000000-0005-0000-0000-0000061C0000}"/>
    <cellStyle name="Calculation 2 3 3 3 3 6" xfId="7183" xr:uid="{00000000-0005-0000-0000-0000071C0000}"/>
    <cellStyle name="Calculation 2 3 3 3 4" xfId="7184" xr:uid="{00000000-0005-0000-0000-0000081C0000}"/>
    <cellStyle name="Calculation 2 3 3 3 4 2" xfId="7185" xr:uid="{00000000-0005-0000-0000-0000091C0000}"/>
    <cellStyle name="Calculation 2 3 3 3 4 3" xfId="7186" xr:uid="{00000000-0005-0000-0000-00000A1C0000}"/>
    <cellStyle name="Calculation 2 3 3 3 4 4" xfId="7187" xr:uid="{00000000-0005-0000-0000-00000B1C0000}"/>
    <cellStyle name="Calculation 2 3 3 3 4 5" xfId="7188" xr:uid="{00000000-0005-0000-0000-00000C1C0000}"/>
    <cellStyle name="Calculation 2 3 3 3 4 6" xfId="7189" xr:uid="{00000000-0005-0000-0000-00000D1C0000}"/>
    <cellStyle name="Calculation 2 3 3 3 5" xfId="7190" xr:uid="{00000000-0005-0000-0000-00000E1C0000}"/>
    <cellStyle name="Calculation 2 3 3 3 6" xfId="7191" xr:uid="{00000000-0005-0000-0000-00000F1C0000}"/>
    <cellStyle name="Calculation 2 3 3 3 7" xfId="7192" xr:uid="{00000000-0005-0000-0000-0000101C0000}"/>
    <cellStyle name="Calculation 2 3 3 3 8" xfId="7193" xr:uid="{00000000-0005-0000-0000-0000111C0000}"/>
    <cellStyle name="Calculation 2 3 3 4" xfId="7194" xr:uid="{00000000-0005-0000-0000-0000121C0000}"/>
    <cellStyle name="Calculation 2 3 3 4 2" xfId="7195" xr:uid="{00000000-0005-0000-0000-0000131C0000}"/>
    <cellStyle name="Calculation 2 3 3 4 2 2" xfId="7196" xr:uid="{00000000-0005-0000-0000-0000141C0000}"/>
    <cellStyle name="Calculation 2 3 3 4 2 2 2" xfId="7197" xr:uid="{00000000-0005-0000-0000-0000151C0000}"/>
    <cellStyle name="Calculation 2 3 3 4 2 2 3" xfId="7198" xr:uid="{00000000-0005-0000-0000-0000161C0000}"/>
    <cellStyle name="Calculation 2 3 3 4 2 2 4" xfId="7199" xr:uid="{00000000-0005-0000-0000-0000171C0000}"/>
    <cellStyle name="Calculation 2 3 3 4 2 2 5" xfId="7200" xr:uid="{00000000-0005-0000-0000-0000181C0000}"/>
    <cellStyle name="Calculation 2 3 3 4 2 2 6" xfId="7201" xr:uid="{00000000-0005-0000-0000-0000191C0000}"/>
    <cellStyle name="Calculation 2 3 3 4 2 3" xfId="7202" xr:uid="{00000000-0005-0000-0000-00001A1C0000}"/>
    <cellStyle name="Calculation 2 3 3 4 2 4" xfId="7203" xr:uid="{00000000-0005-0000-0000-00001B1C0000}"/>
    <cellStyle name="Calculation 2 3 3 4 2 5" xfId="7204" xr:uid="{00000000-0005-0000-0000-00001C1C0000}"/>
    <cellStyle name="Calculation 2 3 3 4 2 6" xfId="7205" xr:uid="{00000000-0005-0000-0000-00001D1C0000}"/>
    <cellStyle name="Calculation 2 3 3 4 3" xfId="7206" xr:uid="{00000000-0005-0000-0000-00001E1C0000}"/>
    <cellStyle name="Calculation 2 3 3 4 3 2" xfId="7207" xr:uid="{00000000-0005-0000-0000-00001F1C0000}"/>
    <cellStyle name="Calculation 2 3 3 4 3 2 2" xfId="7208" xr:uid="{00000000-0005-0000-0000-0000201C0000}"/>
    <cellStyle name="Calculation 2 3 3 4 3 2 3" xfId="7209" xr:uid="{00000000-0005-0000-0000-0000211C0000}"/>
    <cellStyle name="Calculation 2 3 3 4 3 2 4" xfId="7210" xr:uid="{00000000-0005-0000-0000-0000221C0000}"/>
    <cellStyle name="Calculation 2 3 3 4 3 2 5" xfId="7211" xr:uid="{00000000-0005-0000-0000-0000231C0000}"/>
    <cellStyle name="Calculation 2 3 3 4 3 2 6" xfId="7212" xr:uid="{00000000-0005-0000-0000-0000241C0000}"/>
    <cellStyle name="Calculation 2 3 3 4 3 3" xfId="7213" xr:uid="{00000000-0005-0000-0000-0000251C0000}"/>
    <cellStyle name="Calculation 2 3 3 4 3 4" xfId="7214" xr:uid="{00000000-0005-0000-0000-0000261C0000}"/>
    <cellStyle name="Calculation 2 3 3 4 3 5" xfId="7215" xr:uid="{00000000-0005-0000-0000-0000271C0000}"/>
    <cellStyle name="Calculation 2 3 3 4 3 6" xfId="7216" xr:uid="{00000000-0005-0000-0000-0000281C0000}"/>
    <cellStyle name="Calculation 2 3 3 4 4" xfId="7217" xr:uid="{00000000-0005-0000-0000-0000291C0000}"/>
    <cellStyle name="Calculation 2 3 3 4 4 2" xfId="7218" xr:uid="{00000000-0005-0000-0000-00002A1C0000}"/>
    <cellStyle name="Calculation 2 3 3 4 4 3" xfId="7219" xr:uid="{00000000-0005-0000-0000-00002B1C0000}"/>
    <cellStyle name="Calculation 2 3 3 4 4 4" xfId="7220" xr:uid="{00000000-0005-0000-0000-00002C1C0000}"/>
    <cellStyle name="Calculation 2 3 3 4 4 5" xfId="7221" xr:uid="{00000000-0005-0000-0000-00002D1C0000}"/>
    <cellStyle name="Calculation 2 3 3 4 4 6" xfId="7222" xr:uid="{00000000-0005-0000-0000-00002E1C0000}"/>
    <cellStyle name="Calculation 2 3 3 4 5" xfId="7223" xr:uid="{00000000-0005-0000-0000-00002F1C0000}"/>
    <cellStyle name="Calculation 2 3 3 4 6" xfId="7224" xr:uid="{00000000-0005-0000-0000-0000301C0000}"/>
    <cellStyle name="Calculation 2 3 3 4 7" xfId="7225" xr:uid="{00000000-0005-0000-0000-0000311C0000}"/>
    <cellStyle name="Calculation 2 3 3 4 8" xfId="7226" xr:uid="{00000000-0005-0000-0000-0000321C0000}"/>
    <cellStyle name="Calculation 2 3 3 5" xfId="7227" xr:uid="{00000000-0005-0000-0000-0000331C0000}"/>
    <cellStyle name="Calculation 2 3 3 5 2" xfId="7228" xr:uid="{00000000-0005-0000-0000-0000341C0000}"/>
    <cellStyle name="Calculation 2 3 3 5 2 2" xfId="7229" xr:uid="{00000000-0005-0000-0000-0000351C0000}"/>
    <cellStyle name="Calculation 2 3 3 5 2 2 2" xfId="7230" xr:uid="{00000000-0005-0000-0000-0000361C0000}"/>
    <cellStyle name="Calculation 2 3 3 5 2 2 3" xfId="7231" xr:uid="{00000000-0005-0000-0000-0000371C0000}"/>
    <cellStyle name="Calculation 2 3 3 5 2 2 4" xfId="7232" xr:uid="{00000000-0005-0000-0000-0000381C0000}"/>
    <cellStyle name="Calculation 2 3 3 5 2 2 5" xfId="7233" xr:uid="{00000000-0005-0000-0000-0000391C0000}"/>
    <cellStyle name="Calculation 2 3 3 5 2 2 6" xfId="7234" xr:uid="{00000000-0005-0000-0000-00003A1C0000}"/>
    <cellStyle name="Calculation 2 3 3 5 2 3" xfId="7235" xr:uid="{00000000-0005-0000-0000-00003B1C0000}"/>
    <cellStyle name="Calculation 2 3 3 5 2 4" xfId="7236" xr:uid="{00000000-0005-0000-0000-00003C1C0000}"/>
    <cellStyle name="Calculation 2 3 3 5 2 5" xfId="7237" xr:uid="{00000000-0005-0000-0000-00003D1C0000}"/>
    <cellStyle name="Calculation 2 3 3 5 2 6" xfId="7238" xr:uid="{00000000-0005-0000-0000-00003E1C0000}"/>
    <cellStyle name="Calculation 2 3 3 5 3" xfId="7239" xr:uid="{00000000-0005-0000-0000-00003F1C0000}"/>
    <cellStyle name="Calculation 2 3 3 5 3 2" xfId="7240" xr:uid="{00000000-0005-0000-0000-0000401C0000}"/>
    <cellStyle name="Calculation 2 3 3 5 3 2 2" xfId="7241" xr:uid="{00000000-0005-0000-0000-0000411C0000}"/>
    <cellStyle name="Calculation 2 3 3 5 3 2 3" xfId="7242" xr:uid="{00000000-0005-0000-0000-0000421C0000}"/>
    <cellStyle name="Calculation 2 3 3 5 3 2 4" xfId="7243" xr:uid="{00000000-0005-0000-0000-0000431C0000}"/>
    <cellStyle name="Calculation 2 3 3 5 3 2 5" xfId="7244" xr:uid="{00000000-0005-0000-0000-0000441C0000}"/>
    <cellStyle name="Calculation 2 3 3 5 3 2 6" xfId="7245" xr:uid="{00000000-0005-0000-0000-0000451C0000}"/>
    <cellStyle name="Calculation 2 3 3 5 3 3" xfId="7246" xr:uid="{00000000-0005-0000-0000-0000461C0000}"/>
    <cellStyle name="Calculation 2 3 3 5 3 4" xfId="7247" xr:uid="{00000000-0005-0000-0000-0000471C0000}"/>
    <cellStyle name="Calculation 2 3 3 5 3 5" xfId="7248" xr:uid="{00000000-0005-0000-0000-0000481C0000}"/>
    <cellStyle name="Calculation 2 3 3 5 3 6" xfId="7249" xr:uid="{00000000-0005-0000-0000-0000491C0000}"/>
    <cellStyle name="Calculation 2 3 3 5 4" xfId="7250" xr:uid="{00000000-0005-0000-0000-00004A1C0000}"/>
    <cellStyle name="Calculation 2 3 3 5 4 2" xfId="7251" xr:uid="{00000000-0005-0000-0000-00004B1C0000}"/>
    <cellStyle name="Calculation 2 3 3 5 4 3" xfId="7252" xr:uid="{00000000-0005-0000-0000-00004C1C0000}"/>
    <cellStyle name="Calculation 2 3 3 5 4 4" xfId="7253" xr:uid="{00000000-0005-0000-0000-00004D1C0000}"/>
    <cellStyle name="Calculation 2 3 3 5 4 5" xfId="7254" xr:uid="{00000000-0005-0000-0000-00004E1C0000}"/>
    <cellStyle name="Calculation 2 3 3 5 4 6" xfId="7255" xr:uid="{00000000-0005-0000-0000-00004F1C0000}"/>
    <cellStyle name="Calculation 2 3 3 5 5" xfId="7256" xr:uid="{00000000-0005-0000-0000-0000501C0000}"/>
    <cellStyle name="Calculation 2 3 3 5 6" xfId="7257" xr:uid="{00000000-0005-0000-0000-0000511C0000}"/>
    <cellStyle name="Calculation 2 3 3 5 7" xfId="7258" xr:uid="{00000000-0005-0000-0000-0000521C0000}"/>
    <cellStyle name="Calculation 2 3 3 5 8" xfId="7259" xr:uid="{00000000-0005-0000-0000-0000531C0000}"/>
    <cellStyle name="Calculation 2 3 3 6" xfId="7260" xr:uid="{00000000-0005-0000-0000-0000541C0000}"/>
    <cellStyle name="Calculation 2 3 3 6 2" xfId="7261" xr:uid="{00000000-0005-0000-0000-0000551C0000}"/>
    <cellStyle name="Calculation 2 3 3 6 2 2" xfId="7262" xr:uid="{00000000-0005-0000-0000-0000561C0000}"/>
    <cellStyle name="Calculation 2 3 3 6 2 2 2" xfId="7263" xr:uid="{00000000-0005-0000-0000-0000571C0000}"/>
    <cellStyle name="Calculation 2 3 3 6 2 2 3" xfId="7264" xr:uid="{00000000-0005-0000-0000-0000581C0000}"/>
    <cellStyle name="Calculation 2 3 3 6 2 2 4" xfId="7265" xr:uid="{00000000-0005-0000-0000-0000591C0000}"/>
    <cellStyle name="Calculation 2 3 3 6 2 2 5" xfId="7266" xr:uid="{00000000-0005-0000-0000-00005A1C0000}"/>
    <cellStyle name="Calculation 2 3 3 6 2 2 6" xfId="7267" xr:uid="{00000000-0005-0000-0000-00005B1C0000}"/>
    <cellStyle name="Calculation 2 3 3 6 2 3" xfId="7268" xr:uid="{00000000-0005-0000-0000-00005C1C0000}"/>
    <cellStyle name="Calculation 2 3 3 6 2 4" xfId="7269" xr:uid="{00000000-0005-0000-0000-00005D1C0000}"/>
    <cellStyle name="Calculation 2 3 3 6 2 5" xfId="7270" xr:uid="{00000000-0005-0000-0000-00005E1C0000}"/>
    <cellStyle name="Calculation 2 3 3 6 2 6" xfId="7271" xr:uid="{00000000-0005-0000-0000-00005F1C0000}"/>
    <cellStyle name="Calculation 2 3 3 6 3" xfId="7272" xr:uid="{00000000-0005-0000-0000-0000601C0000}"/>
    <cellStyle name="Calculation 2 3 3 6 3 2" xfId="7273" xr:uid="{00000000-0005-0000-0000-0000611C0000}"/>
    <cellStyle name="Calculation 2 3 3 6 3 2 2" xfId="7274" xr:uid="{00000000-0005-0000-0000-0000621C0000}"/>
    <cellStyle name="Calculation 2 3 3 6 3 2 3" xfId="7275" xr:uid="{00000000-0005-0000-0000-0000631C0000}"/>
    <cellStyle name="Calculation 2 3 3 6 3 2 4" xfId="7276" xr:uid="{00000000-0005-0000-0000-0000641C0000}"/>
    <cellStyle name="Calculation 2 3 3 6 3 2 5" xfId="7277" xr:uid="{00000000-0005-0000-0000-0000651C0000}"/>
    <cellStyle name="Calculation 2 3 3 6 3 2 6" xfId="7278" xr:uid="{00000000-0005-0000-0000-0000661C0000}"/>
    <cellStyle name="Calculation 2 3 3 6 3 3" xfId="7279" xr:uid="{00000000-0005-0000-0000-0000671C0000}"/>
    <cellStyle name="Calculation 2 3 3 6 3 4" xfId="7280" xr:uid="{00000000-0005-0000-0000-0000681C0000}"/>
    <cellStyle name="Calculation 2 3 3 6 3 5" xfId="7281" xr:uid="{00000000-0005-0000-0000-0000691C0000}"/>
    <cellStyle name="Calculation 2 3 3 6 3 6" xfId="7282" xr:uid="{00000000-0005-0000-0000-00006A1C0000}"/>
    <cellStyle name="Calculation 2 3 3 6 4" xfId="7283" xr:uid="{00000000-0005-0000-0000-00006B1C0000}"/>
    <cellStyle name="Calculation 2 3 3 6 4 2" xfId="7284" xr:uid="{00000000-0005-0000-0000-00006C1C0000}"/>
    <cellStyle name="Calculation 2 3 3 6 4 3" xfId="7285" xr:uid="{00000000-0005-0000-0000-00006D1C0000}"/>
    <cellStyle name="Calculation 2 3 3 6 4 4" xfId="7286" xr:uid="{00000000-0005-0000-0000-00006E1C0000}"/>
    <cellStyle name="Calculation 2 3 3 6 4 5" xfId="7287" xr:uid="{00000000-0005-0000-0000-00006F1C0000}"/>
    <cellStyle name="Calculation 2 3 3 6 4 6" xfId="7288" xr:uid="{00000000-0005-0000-0000-0000701C0000}"/>
    <cellStyle name="Calculation 2 3 3 6 5" xfId="7289" xr:uid="{00000000-0005-0000-0000-0000711C0000}"/>
    <cellStyle name="Calculation 2 3 3 6 6" xfId="7290" xr:uid="{00000000-0005-0000-0000-0000721C0000}"/>
    <cellStyle name="Calculation 2 3 3 6 7" xfId="7291" xr:uid="{00000000-0005-0000-0000-0000731C0000}"/>
    <cellStyle name="Calculation 2 3 3 6 8" xfId="7292" xr:uid="{00000000-0005-0000-0000-0000741C0000}"/>
    <cellStyle name="Calculation 2 3 3 7" xfId="7293" xr:uid="{00000000-0005-0000-0000-0000751C0000}"/>
    <cellStyle name="Calculation 2 3 3 7 2" xfId="7294" xr:uid="{00000000-0005-0000-0000-0000761C0000}"/>
    <cellStyle name="Calculation 2 3 3 7 2 2" xfId="7295" xr:uid="{00000000-0005-0000-0000-0000771C0000}"/>
    <cellStyle name="Calculation 2 3 3 7 2 3" xfId="7296" xr:uid="{00000000-0005-0000-0000-0000781C0000}"/>
    <cellStyle name="Calculation 2 3 3 7 2 4" xfId="7297" xr:uid="{00000000-0005-0000-0000-0000791C0000}"/>
    <cellStyle name="Calculation 2 3 3 7 2 5" xfId="7298" xr:uid="{00000000-0005-0000-0000-00007A1C0000}"/>
    <cellStyle name="Calculation 2 3 3 7 2 6" xfId="7299" xr:uid="{00000000-0005-0000-0000-00007B1C0000}"/>
    <cellStyle name="Calculation 2 3 3 7 3" xfId="7300" xr:uid="{00000000-0005-0000-0000-00007C1C0000}"/>
    <cellStyle name="Calculation 2 3 3 7 4" xfId="7301" xr:uid="{00000000-0005-0000-0000-00007D1C0000}"/>
    <cellStyle name="Calculation 2 3 3 7 5" xfId="7302" xr:uid="{00000000-0005-0000-0000-00007E1C0000}"/>
    <cellStyle name="Calculation 2 3 3 7 6" xfId="7303" xr:uid="{00000000-0005-0000-0000-00007F1C0000}"/>
    <cellStyle name="Calculation 2 3 3 8" xfId="7304" xr:uid="{00000000-0005-0000-0000-0000801C0000}"/>
    <cellStyle name="Calculation 2 3 3 8 2" xfId="7305" xr:uid="{00000000-0005-0000-0000-0000811C0000}"/>
    <cellStyle name="Calculation 2 3 3 8 2 2" xfId="7306" xr:uid="{00000000-0005-0000-0000-0000821C0000}"/>
    <cellStyle name="Calculation 2 3 3 8 2 3" xfId="7307" xr:uid="{00000000-0005-0000-0000-0000831C0000}"/>
    <cellStyle name="Calculation 2 3 3 8 2 4" xfId="7308" xr:uid="{00000000-0005-0000-0000-0000841C0000}"/>
    <cellStyle name="Calculation 2 3 3 8 2 5" xfId="7309" xr:uid="{00000000-0005-0000-0000-0000851C0000}"/>
    <cellStyle name="Calculation 2 3 3 8 2 6" xfId="7310" xr:uid="{00000000-0005-0000-0000-0000861C0000}"/>
    <cellStyle name="Calculation 2 3 3 8 3" xfId="7311" xr:uid="{00000000-0005-0000-0000-0000871C0000}"/>
    <cellStyle name="Calculation 2 3 3 8 4" xfId="7312" xr:uid="{00000000-0005-0000-0000-0000881C0000}"/>
    <cellStyle name="Calculation 2 3 3 8 5" xfId="7313" xr:uid="{00000000-0005-0000-0000-0000891C0000}"/>
    <cellStyle name="Calculation 2 3 3 8 6" xfId="7314" xr:uid="{00000000-0005-0000-0000-00008A1C0000}"/>
    <cellStyle name="Calculation 2 3 3 9" xfId="7315" xr:uid="{00000000-0005-0000-0000-00008B1C0000}"/>
    <cellStyle name="Calculation 2 3 3 9 2" xfId="7316" xr:uid="{00000000-0005-0000-0000-00008C1C0000}"/>
    <cellStyle name="Calculation 2 3 3 9 3" xfId="7317" xr:uid="{00000000-0005-0000-0000-00008D1C0000}"/>
    <cellStyle name="Calculation 2 3 3 9 4" xfId="7318" xr:uid="{00000000-0005-0000-0000-00008E1C0000}"/>
    <cellStyle name="Calculation 2 3 3 9 5" xfId="7319" xr:uid="{00000000-0005-0000-0000-00008F1C0000}"/>
    <cellStyle name="Calculation 2 3 3 9 6" xfId="7320" xr:uid="{00000000-0005-0000-0000-0000901C0000}"/>
    <cellStyle name="Calculation 2 3 30" xfId="7321" xr:uid="{00000000-0005-0000-0000-0000911C0000}"/>
    <cellStyle name="Calculation 2 3 30 2" xfId="7322" xr:uid="{00000000-0005-0000-0000-0000921C0000}"/>
    <cellStyle name="Calculation 2 3 30 2 2" xfId="7323" xr:uid="{00000000-0005-0000-0000-0000931C0000}"/>
    <cellStyle name="Calculation 2 3 30 2 3" xfId="7324" xr:uid="{00000000-0005-0000-0000-0000941C0000}"/>
    <cellStyle name="Calculation 2 3 30 2 4" xfId="7325" xr:uid="{00000000-0005-0000-0000-0000951C0000}"/>
    <cellStyle name="Calculation 2 3 30 2 5" xfId="7326" xr:uid="{00000000-0005-0000-0000-0000961C0000}"/>
    <cellStyle name="Calculation 2 3 30 3" xfId="7327" xr:uid="{00000000-0005-0000-0000-0000971C0000}"/>
    <cellStyle name="Calculation 2 3 30 4" xfId="7328" xr:uid="{00000000-0005-0000-0000-0000981C0000}"/>
    <cellStyle name="Calculation 2 3 30 5" xfId="7329" xr:uid="{00000000-0005-0000-0000-0000991C0000}"/>
    <cellStyle name="Calculation 2 3 30 6" xfId="7330" xr:uid="{00000000-0005-0000-0000-00009A1C0000}"/>
    <cellStyle name="Calculation 2 3 31" xfId="7331" xr:uid="{00000000-0005-0000-0000-00009B1C0000}"/>
    <cellStyle name="Calculation 2 3 31 2" xfId="7332" xr:uid="{00000000-0005-0000-0000-00009C1C0000}"/>
    <cellStyle name="Calculation 2 3 31 2 2" xfId="7333" xr:uid="{00000000-0005-0000-0000-00009D1C0000}"/>
    <cellStyle name="Calculation 2 3 31 2 3" xfId="7334" xr:uid="{00000000-0005-0000-0000-00009E1C0000}"/>
    <cellStyle name="Calculation 2 3 31 2 4" xfId="7335" xr:uid="{00000000-0005-0000-0000-00009F1C0000}"/>
    <cellStyle name="Calculation 2 3 31 2 5" xfId="7336" xr:uid="{00000000-0005-0000-0000-0000A01C0000}"/>
    <cellStyle name="Calculation 2 3 31 3" xfId="7337" xr:uid="{00000000-0005-0000-0000-0000A11C0000}"/>
    <cellStyle name="Calculation 2 3 31 4" xfId="7338" xr:uid="{00000000-0005-0000-0000-0000A21C0000}"/>
    <cellStyle name="Calculation 2 3 31 5" xfId="7339" xr:uid="{00000000-0005-0000-0000-0000A31C0000}"/>
    <cellStyle name="Calculation 2 3 31 6" xfId="7340" xr:uid="{00000000-0005-0000-0000-0000A41C0000}"/>
    <cellStyle name="Calculation 2 3 32" xfId="7341" xr:uid="{00000000-0005-0000-0000-0000A51C0000}"/>
    <cellStyle name="Calculation 2 3 32 2" xfId="7342" xr:uid="{00000000-0005-0000-0000-0000A61C0000}"/>
    <cellStyle name="Calculation 2 3 32 2 2" xfId="7343" xr:uid="{00000000-0005-0000-0000-0000A71C0000}"/>
    <cellStyle name="Calculation 2 3 32 2 3" xfId="7344" xr:uid="{00000000-0005-0000-0000-0000A81C0000}"/>
    <cellStyle name="Calculation 2 3 32 2 4" xfId="7345" xr:uid="{00000000-0005-0000-0000-0000A91C0000}"/>
    <cellStyle name="Calculation 2 3 32 2 5" xfId="7346" xr:uid="{00000000-0005-0000-0000-0000AA1C0000}"/>
    <cellStyle name="Calculation 2 3 32 3" xfId="7347" xr:uid="{00000000-0005-0000-0000-0000AB1C0000}"/>
    <cellStyle name="Calculation 2 3 32 4" xfId="7348" xr:uid="{00000000-0005-0000-0000-0000AC1C0000}"/>
    <cellStyle name="Calculation 2 3 32 5" xfId="7349" xr:uid="{00000000-0005-0000-0000-0000AD1C0000}"/>
    <cellStyle name="Calculation 2 3 32 6" xfId="7350" xr:uid="{00000000-0005-0000-0000-0000AE1C0000}"/>
    <cellStyle name="Calculation 2 3 33" xfId="7351" xr:uid="{00000000-0005-0000-0000-0000AF1C0000}"/>
    <cellStyle name="Calculation 2 3 33 2" xfId="7352" xr:uid="{00000000-0005-0000-0000-0000B01C0000}"/>
    <cellStyle name="Calculation 2 3 33 2 2" xfId="7353" xr:uid="{00000000-0005-0000-0000-0000B11C0000}"/>
    <cellStyle name="Calculation 2 3 33 2 3" xfId="7354" xr:uid="{00000000-0005-0000-0000-0000B21C0000}"/>
    <cellStyle name="Calculation 2 3 33 2 4" xfId="7355" xr:uid="{00000000-0005-0000-0000-0000B31C0000}"/>
    <cellStyle name="Calculation 2 3 33 2 5" xfId="7356" xr:uid="{00000000-0005-0000-0000-0000B41C0000}"/>
    <cellStyle name="Calculation 2 3 33 3" xfId="7357" xr:uid="{00000000-0005-0000-0000-0000B51C0000}"/>
    <cellStyle name="Calculation 2 3 33 4" xfId="7358" xr:uid="{00000000-0005-0000-0000-0000B61C0000}"/>
    <cellStyle name="Calculation 2 3 33 5" xfId="7359" xr:uid="{00000000-0005-0000-0000-0000B71C0000}"/>
    <cellStyle name="Calculation 2 3 33 6" xfId="7360" xr:uid="{00000000-0005-0000-0000-0000B81C0000}"/>
    <cellStyle name="Calculation 2 3 34" xfId="7361" xr:uid="{00000000-0005-0000-0000-0000B91C0000}"/>
    <cellStyle name="Calculation 2 3 34 2" xfId="7362" xr:uid="{00000000-0005-0000-0000-0000BA1C0000}"/>
    <cellStyle name="Calculation 2 3 34 2 2" xfId="7363" xr:uid="{00000000-0005-0000-0000-0000BB1C0000}"/>
    <cellStyle name="Calculation 2 3 34 2 3" xfId="7364" xr:uid="{00000000-0005-0000-0000-0000BC1C0000}"/>
    <cellStyle name="Calculation 2 3 34 2 4" xfId="7365" xr:uid="{00000000-0005-0000-0000-0000BD1C0000}"/>
    <cellStyle name="Calculation 2 3 34 2 5" xfId="7366" xr:uid="{00000000-0005-0000-0000-0000BE1C0000}"/>
    <cellStyle name="Calculation 2 3 34 3" xfId="7367" xr:uid="{00000000-0005-0000-0000-0000BF1C0000}"/>
    <cellStyle name="Calculation 2 3 34 4" xfId="7368" xr:uid="{00000000-0005-0000-0000-0000C01C0000}"/>
    <cellStyle name="Calculation 2 3 34 5" xfId="7369" xr:uid="{00000000-0005-0000-0000-0000C11C0000}"/>
    <cellStyle name="Calculation 2 3 34 6" xfId="7370" xr:uid="{00000000-0005-0000-0000-0000C21C0000}"/>
    <cellStyle name="Calculation 2 3 35" xfId="7371" xr:uid="{00000000-0005-0000-0000-0000C31C0000}"/>
    <cellStyle name="Calculation 2 3 35 2" xfId="7372" xr:uid="{00000000-0005-0000-0000-0000C41C0000}"/>
    <cellStyle name="Calculation 2 3 35 2 2" xfId="7373" xr:uid="{00000000-0005-0000-0000-0000C51C0000}"/>
    <cellStyle name="Calculation 2 3 35 2 3" xfId="7374" xr:uid="{00000000-0005-0000-0000-0000C61C0000}"/>
    <cellStyle name="Calculation 2 3 35 2 4" xfId="7375" xr:uid="{00000000-0005-0000-0000-0000C71C0000}"/>
    <cellStyle name="Calculation 2 3 35 2 5" xfId="7376" xr:uid="{00000000-0005-0000-0000-0000C81C0000}"/>
    <cellStyle name="Calculation 2 3 35 3" xfId="7377" xr:uid="{00000000-0005-0000-0000-0000C91C0000}"/>
    <cellStyle name="Calculation 2 3 35 4" xfId="7378" xr:uid="{00000000-0005-0000-0000-0000CA1C0000}"/>
    <cellStyle name="Calculation 2 3 35 5" xfId="7379" xr:uid="{00000000-0005-0000-0000-0000CB1C0000}"/>
    <cellStyle name="Calculation 2 3 35 6" xfId="7380" xr:uid="{00000000-0005-0000-0000-0000CC1C0000}"/>
    <cellStyle name="Calculation 2 3 36" xfId="7381" xr:uid="{00000000-0005-0000-0000-0000CD1C0000}"/>
    <cellStyle name="Calculation 2 3 36 2" xfId="7382" xr:uid="{00000000-0005-0000-0000-0000CE1C0000}"/>
    <cellStyle name="Calculation 2 3 36 2 2" xfId="7383" xr:uid="{00000000-0005-0000-0000-0000CF1C0000}"/>
    <cellStyle name="Calculation 2 3 36 2 3" xfId="7384" xr:uid="{00000000-0005-0000-0000-0000D01C0000}"/>
    <cellStyle name="Calculation 2 3 36 2 4" xfId="7385" xr:uid="{00000000-0005-0000-0000-0000D11C0000}"/>
    <cellStyle name="Calculation 2 3 36 2 5" xfId="7386" xr:uid="{00000000-0005-0000-0000-0000D21C0000}"/>
    <cellStyle name="Calculation 2 3 36 3" xfId="7387" xr:uid="{00000000-0005-0000-0000-0000D31C0000}"/>
    <cellStyle name="Calculation 2 3 36 4" xfId="7388" xr:uid="{00000000-0005-0000-0000-0000D41C0000}"/>
    <cellStyle name="Calculation 2 3 36 5" xfId="7389" xr:uid="{00000000-0005-0000-0000-0000D51C0000}"/>
    <cellStyle name="Calculation 2 3 36 6" xfId="7390" xr:uid="{00000000-0005-0000-0000-0000D61C0000}"/>
    <cellStyle name="Calculation 2 3 37" xfId="7391" xr:uid="{00000000-0005-0000-0000-0000D71C0000}"/>
    <cellStyle name="Calculation 2 3 37 2" xfId="7392" xr:uid="{00000000-0005-0000-0000-0000D81C0000}"/>
    <cellStyle name="Calculation 2 3 37 2 2" xfId="7393" xr:uid="{00000000-0005-0000-0000-0000D91C0000}"/>
    <cellStyle name="Calculation 2 3 37 2 3" xfId="7394" xr:uid="{00000000-0005-0000-0000-0000DA1C0000}"/>
    <cellStyle name="Calculation 2 3 37 2 4" xfId="7395" xr:uid="{00000000-0005-0000-0000-0000DB1C0000}"/>
    <cellStyle name="Calculation 2 3 37 2 5" xfId="7396" xr:uid="{00000000-0005-0000-0000-0000DC1C0000}"/>
    <cellStyle name="Calculation 2 3 37 3" xfId="7397" xr:uid="{00000000-0005-0000-0000-0000DD1C0000}"/>
    <cellStyle name="Calculation 2 3 37 4" xfId="7398" xr:uid="{00000000-0005-0000-0000-0000DE1C0000}"/>
    <cellStyle name="Calculation 2 3 37 5" xfId="7399" xr:uid="{00000000-0005-0000-0000-0000DF1C0000}"/>
    <cellStyle name="Calculation 2 3 37 6" xfId="7400" xr:uid="{00000000-0005-0000-0000-0000E01C0000}"/>
    <cellStyle name="Calculation 2 3 38" xfId="7401" xr:uid="{00000000-0005-0000-0000-0000E11C0000}"/>
    <cellStyle name="Calculation 2 3 38 2" xfId="7402" xr:uid="{00000000-0005-0000-0000-0000E21C0000}"/>
    <cellStyle name="Calculation 2 3 38 2 2" xfId="7403" xr:uid="{00000000-0005-0000-0000-0000E31C0000}"/>
    <cellStyle name="Calculation 2 3 38 2 3" xfId="7404" xr:uid="{00000000-0005-0000-0000-0000E41C0000}"/>
    <cellStyle name="Calculation 2 3 38 2 4" xfId="7405" xr:uid="{00000000-0005-0000-0000-0000E51C0000}"/>
    <cellStyle name="Calculation 2 3 38 2 5" xfId="7406" xr:uid="{00000000-0005-0000-0000-0000E61C0000}"/>
    <cellStyle name="Calculation 2 3 38 3" xfId="7407" xr:uid="{00000000-0005-0000-0000-0000E71C0000}"/>
    <cellStyle name="Calculation 2 3 38 4" xfId="7408" xr:uid="{00000000-0005-0000-0000-0000E81C0000}"/>
    <cellStyle name="Calculation 2 3 38 5" xfId="7409" xr:uid="{00000000-0005-0000-0000-0000E91C0000}"/>
    <cellStyle name="Calculation 2 3 38 6" xfId="7410" xr:uid="{00000000-0005-0000-0000-0000EA1C0000}"/>
    <cellStyle name="Calculation 2 3 39" xfId="7411" xr:uid="{00000000-0005-0000-0000-0000EB1C0000}"/>
    <cellStyle name="Calculation 2 3 39 2" xfId="7412" xr:uid="{00000000-0005-0000-0000-0000EC1C0000}"/>
    <cellStyle name="Calculation 2 3 39 2 2" xfId="7413" xr:uid="{00000000-0005-0000-0000-0000ED1C0000}"/>
    <cellStyle name="Calculation 2 3 39 2 3" xfId="7414" xr:uid="{00000000-0005-0000-0000-0000EE1C0000}"/>
    <cellStyle name="Calculation 2 3 39 2 4" xfId="7415" xr:uid="{00000000-0005-0000-0000-0000EF1C0000}"/>
    <cellStyle name="Calculation 2 3 39 2 5" xfId="7416" xr:uid="{00000000-0005-0000-0000-0000F01C0000}"/>
    <cellStyle name="Calculation 2 3 39 3" xfId="7417" xr:uid="{00000000-0005-0000-0000-0000F11C0000}"/>
    <cellStyle name="Calculation 2 3 39 4" xfId="7418" xr:uid="{00000000-0005-0000-0000-0000F21C0000}"/>
    <cellStyle name="Calculation 2 3 39 5" xfId="7419" xr:uid="{00000000-0005-0000-0000-0000F31C0000}"/>
    <cellStyle name="Calculation 2 3 39 6" xfId="7420" xr:uid="{00000000-0005-0000-0000-0000F41C0000}"/>
    <cellStyle name="Calculation 2 3 4" xfId="7421" xr:uid="{00000000-0005-0000-0000-0000F51C0000}"/>
    <cellStyle name="Calculation 2 3 4 2" xfId="7422" xr:uid="{00000000-0005-0000-0000-0000F61C0000}"/>
    <cellStyle name="Calculation 2 3 4 2 2" xfId="7423" xr:uid="{00000000-0005-0000-0000-0000F71C0000}"/>
    <cellStyle name="Calculation 2 3 4 2 2 2" xfId="7424" xr:uid="{00000000-0005-0000-0000-0000F81C0000}"/>
    <cellStyle name="Calculation 2 3 4 2 2 3" xfId="7425" xr:uid="{00000000-0005-0000-0000-0000F91C0000}"/>
    <cellStyle name="Calculation 2 3 4 2 2 4" xfId="7426" xr:uid="{00000000-0005-0000-0000-0000FA1C0000}"/>
    <cellStyle name="Calculation 2 3 4 2 2 5" xfId="7427" xr:uid="{00000000-0005-0000-0000-0000FB1C0000}"/>
    <cellStyle name="Calculation 2 3 4 2 2 6" xfId="7428" xr:uid="{00000000-0005-0000-0000-0000FC1C0000}"/>
    <cellStyle name="Calculation 2 3 4 2 3" xfId="7429" xr:uid="{00000000-0005-0000-0000-0000FD1C0000}"/>
    <cellStyle name="Calculation 2 3 4 2 3 2" xfId="7430" xr:uid="{00000000-0005-0000-0000-0000FE1C0000}"/>
    <cellStyle name="Calculation 2 3 4 2 3 3" xfId="7431" xr:uid="{00000000-0005-0000-0000-0000FF1C0000}"/>
    <cellStyle name="Calculation 2 3 4 2 3 4" xfId="7432" xr:uid="{00000000-0005-0000-0000-0000001D0000}"/>
    <cellStyle name="Calculation 2 3 4 2 3 5" xfId="7433" xr:uid="{00000000-0005-0000-0000-0000011D0000}"/>
    <cellStyle name="Calculation 2 3 4 2 4" xfId="7434" xr:uid="{00000000-0005-0000-0000-0000021D0000}"/>
    <cellStyle name="Calculation 2 3 4 2 5" xfId="7435" xr:uid="{00000000-0005-0000-0000-0000031D0000}"/>
    <cellStyle name="Calculation 2 3 4 2 6" xfId="7436" xr:uid="{00000000-0005-0000-0000-0000041D0000}"/>
    <cellStyle name="Calculation 2 3 4 2 7" xfId="7437" xr:uid="{00000000-0005-0000-0000-0000051D0000}"/>
    <cellStyle name="Calculation 2 3 4 3" xfId="7438" xr:uid="{00000000-0005-0000-0000-0000061D0000}"/>
    <cellStyle name="Calculation 2 3 4 3 2" xfId="7439" xr:uid="{00000000-0005-0000-0000-0000071D0000}"/>
    <cellStyle name="Calculation 2 3 4 3 2 2" xfId="7440" xr:uid="{00000000-0005-0000-0000-0000081D0000}"/>
    <cellStyle name="Calculation 2 3 4 3 2 3" xfId="7441" xr:uid="{00000000-0005-0000-0000-0000091D0000}"/>
    <cellStyle name="Calculation 2 3 4 3 2 4" xfId="7442" xr:uid="{00000000-0005-0000-0000-00000A1D0000}"/>
    <cellStyle name="Calculation 2 3 4 3 2 5" xfId="7443" xr:uid="{00000000-0005-0000-0000-00000B1D0000}"/>
    <cellStyle name="Calculation 2 3 4 3 2 6" xfId="7444" xr:uid="{00000000-0005-0000-0000-00000C1D0000}"/>
    <cellStyle name="Calculation 2 3 4 3 3" xfId="7445" xr:uid="{00000000-0005-0000-0000-00000D1D0000}"/>
    <cellStyle name="Calculation 2 3 4 3 4" xfId="7446" xr:uid="{00000000-0005-0000-0000-00000E1D0000}"/>
    <cellStyle name="Calculation 2 3 4 3 5" xfId="7447" xr:uid="{00000000-0005-0000-0000-00000F1D0000}"/>
    <cellStyle name="Calculation 2 3 4 3 6" xfId="7448" xr:uid="{00000000-0005-0000-0000-0000101D0000}"/>
    <cellStyle name="Calculation 2 3 4 4" xfId="7449" xr:uid="{00000000-0005-0000-0000-0000111D0000}"/>
    <cellStyle name="Calculation 2 3 4 4 2" xfId="7450" xr:uid="{00000000-0005-0000-0000-0000121D0000}"/>
    <cellStyle name="Calculation 2 3 4 4 3" xfId="7451" xr:uid="{00000000-0005-0000-0000-0000131D0000}"/>
    <cellStyle name="Calculation 2 3 4 4 4" xfId="7452" xr:uid="{00000000-0005-0000-0000-0000141D0000}"/>
    <cellStyle name="Calculation 2 3 4 4 5" xfId="7453" xr:uid="{00000000-0005-0000-0000-0000151D0000}"/>
    <cellStyle name="Calculation 2 3 4 4 6" xfId="7454" xr:uid="{00000000-0005-0000-0000-0000161D0000}"/>
    <cellStyle name="Calculation 2 3 4 5" xfId="7455" xr:uid="{00000000-0005-0000-0000-0000171D0000}"/>
    <cellStyle name="Calculation 2 3 4 5 2" xfId="7456" xr:uid="{00000000-0005-0000-0000-0000181D0000}"/>
    <cellStyle name="Calculation 2 3 4 5 3" xfId="7457" xr:uid="{00000000-0005-0000-0000-0000191D0000}"/>
    <cellStyle name="Calculation 2 3 4 5 4" xfId="7458" xr:uid="{00000000-0005-0000-0000-00001A1D0000}"/>
    <cellStyle name="Calculation 2 3 4 5 5" xfId="7459" xr:uid="{00000000-0005-0000-0000-00001B1D0000}"/>
    <cellStyle name="Calculation 2 3 4 6" xfId="7460" xr:uid="{00000000-0005-0000-0000-00001C1D0000}"/>
    <cellStyle name="Calculation 2 3 4 7" xfId="7461" xr:uid="{00000000-0005-0000-0000-00001D1D0000}"/>
    <cellStyle name="Calculation 2 3 4 8" xfId="7462" xr:uid="{00000000-0005-0000-0000-00001E1D0000}"/>
    <cellStyle name="Calculation 2 3 4 9" xfId="7463" xr:uid="{00000000-0005-0000-0000-00001F1D0000}"/>
    <cellStyle name="Calculation 2 3 40" xfId="7464" xr:uid="{00000000-0005-0000-0000-0000201D0000}"/>
    <cellStyle name="Calculation 2 3 40 2" xfId="7465" xr:uid="{00000000-0005-0000-0000-0000211D0000}"/>
    <cellStyle name="Calculation 2 3 40 2 2" xfId="7466" xr:uid="{00000000-0005-0000-0000-0000221D0000}"/>
    <cellStyle name="Calculation 2 3 40 2 3" xfId="7467" xr:uid="{00000000-0005-0000-0000-0000231D0000}"/>
    <cellStyle name="Calculation 2 3 40 2 4" xfId="7468" xr:uid="{00000000-0005-0000-0000-0000241D0000}"/>
    <cellStyle name="Calculation 2 3 40 2 5" xfId="7469" xr:uid="{00000000-0005-0000-0000-0000251D0000}"/>
    <cellStyle name="Calculation 2 3 40 3" xfId="7470" xr:uid="{00000000-0005-0000-0000-0000261D0000}"/>
    <cellStyle name="Calculation 2 3 40 4" xfId="7471" xr:uid="{00000000-0005-0000-0000-0000271D0000}"/>
    <cellStyle name="Calculation 2 3 40 5" xfId="7472" xr:uid="{00000000-0005-0000-0000-0000281D0000}"/>
    <cellStyle name="Calculation 2 3 40 6" xfId="7473" xr:uid="{00000000-0005-0000-0000-0000291D0000}"/>
    <cellStyle name="Calculation 2 3 41" xfId="7474" xr:uid="{00000000-0005-0000-0000-00002A1D0000}"/>
    <cellStyle name="Calculation 2 3 41 2" xfId="7475" xr:uid="{00000000-0005-0000-0000-00002B1D0000}"/>
    <cellStyle name="Calculation 2 3 41 2 2" xfId="7476" xr:uid="{00000000-0005-0000-0000-00002C1D0000}"/>
    <cellStyle name="Calculation 2 3 41 2 3" xfId="7477" xr:uid="{00000000-0005-0000-0000-00002D1D0000}"/>
    <cellStyle name="Calculation 2 3 41 2 4" xfId="7478" xr:uid="{00000000-0005-0000-0000-00002E1D0000}"/>
    <cellStyle name="Calculation 2 3 41 2 5" xfId="7479" xr:uid="{00000000-0005-0000-0000-00002F1D0000}"/>
    <cellStyle name="Calculation 2 3 41 3" xfId="7480" xr:uid="{00000000-0005-0000-0000-0000301D0000}"/>
    <cellStyle name="Calculation 2 3 41 4" xfId="7481" xr:uid="{00000000-0005-0000-0000-0000311D0000}"/>
    <cellStyle name="Calculation 2 3 41 5" xfId="7482" xr:uid="{00000000-0005-0000-0000-0000321D0000}"/>
    <cellStyle name="Calculation 2 3 41 6" xfId="7483" xr:uid="{00000000-0005-0000-0000-0000331D0000}"/>
    <cellStyle name="Calculation 2 3 42" xfId="7484" xr:uid="{00000000-0005-0000-0000-0000341D0000}"/>
    <cellStyle name="Calculation 2 3 42 2" xfId="7485" xr:uid="{00000000-0005-0000-0000-0000351D0000}"/>
    <cellStyle name="Calculation 2 3 42 3" xfId="7486" xr:uid="{00000000-0005-0000-0000-0000361D0000}"/>
    <cellStyle name="Calculation 2 3 42 4" xfId="7487" xr:uid="{00000000-0005-0000-0000-0000371D0000}"/>
    <cellStyle name="Calculation 2 3 42 5" xfId="7488" xr:uid="{00000000-0005-0000-0000-0000381D0000}"/>
    <cellStyle name="Calculation 2 3 43" xfId="7489" xr:uid="{00000000-0005-0000-0000-0000391D0000}"/>
    <cellStyle name="Calculation 2 3 43 2" xfId="7490" xr:uid="{00000000-0005-0000-0000-00003A1D0000}"/>
    <cellStyle name="Calculation 2 3 43 3" xfId="7491" xr:uid="{00000000-0005-0000-0000-00003B1D0000}"/>
    <cellStyle name="Calculation 2 3 43 4" xfId="7492" xr:uid="{00000000-0005-0000-0000-00003C1D0000}"/>
    <cellStyle name="Calculation 2 3 43 5" xfId="7493" xr:uid="{00000000-0005-0000-0000-00003D1D0000}"/>
    <cellStyle name="Calculation 2 3 44" xfId="7494" xr:uid="{00000000-0005-0000-0000-00003E1D0000}"/>
    <cellStyle name="Calculation 2 3 45" xfId="7495" xr:uid="{00000000-0005-0000-0000-00003F1D0000}"/>
    <cellStyle name="Calculation 2 3 46" xfId="7496" xr:uid="{00000000-0005-0000-0000-0000401D0000}"/>
    <cellStyle name="Calculation 2 3 47" xfId="7497" xr:uid="{00000000-0005-0000-0000-0000411D0000}"/>
    <cellStyle name="Calculation 2 3 48" xfId="7498" xr:uid="{00000000-0005-0000-0000-0000421D0000}"/>
    <cellStyle name="Calculation 2 3 5" xfId="7499" xr:uid="{00000000-0005-0000-0000-0000431D0000}"/>
    <cellStyle name="Calculation 2 3 5 2" xfId="7500" xr:uid="{00000000-0005-0000-0000-0000441D0000}"/>
    <cellStyle name="Calculation 2 3 5 2 2" xfId="7501" xr:uid="{00000000-0005-0000-0000-0000451D0000}"/>
    <cellStyle name="Calculation 2 3 5 2 2 2" xfId="7502" xr:uid="{00000000-0005-0000-0000-0000461D0000}"/>
    <cellStyle name="Calculation 2 3 5 2 2 3" xfId="7503" xr:uid="{00000000-0005-0000-0000-0000471D0000}"/>
    <cellStyle name="Calculation 2 3 5 2 2 4" xfId="7504" xr:uid="{00000000-0005-0000-0000-0000481D0000}"/>
    <cellStyle name="Calculation 2 3 5 2 2 5" xfId="7505" xr:uid="{00000000-0005-0000-0000-0000491D0000}"/>
    <cellStyle name="Calculation 2 3 5 2 2 6" xfId="7506" xr:uid="{00000000-0005-0000-0000-00004A1D0000}"/>
    <cellStyle name="Calculation 2 3 5 2 3" xfId="7507" xr:uid="{00000000-0005-0000-0000-00004B1D0000}"/>
    <cellStyle name="Calculation 2 3 5 2 3 2" xfId="7508" xr:uid="{00000000-0005-0000-0000-00004C1D0000}"/>
    <cellStyle name="Calculation 2 3 5 2 3 3" xfId="7509" xr:uid="{00000000-0005-0000-0000-00004D1D0000}"/>
    <cellStyle name="Calculation 2 3 5 2 3 4" xfId="7510" xr:uid="{00000000-0005-0000-0000-00004E1D0000}"/>
    <cellStyle name="Calculation 2 3 5 2 3 5" xfId="7511" xr:uid="{00000000-0005-0000-0000-00004F1D0000}"/>
    <cellStyle name="Calculation 2 3 5 2 4" xfId="7512" xr:uid="{00000000-0005-0000-0000-0000501D0000}"/>
    <cellStyle name="Calculation 2 3 5 2 5" xfId="7513" xr:uid="{00000000-0005-0000-0000-0000511D0000}"/>
    <cellStyle name="Calculation 2 3 5 2 6" xfId="7514" xr:uid="{00000000-0005-0000-0000-0000521D0000}"/>
    <cellStyle name="Calculation 2 3 5 2 7" xfId="7515" xr:uid="{00000000-0005-0000-0000-0000531D0000}"/>
    <cellStyle name="Calculation 2 3 5 3" xfId="7516" xr:uid="{00000000-0005-0000-0000-0000541D0000}"/>
    <cellStyle name="Calculation 2 3 5 3 2" xfId="7517" xr:uid="{00000000-0005-0000-0000-0000551D0000}"/>
    <cellStyle name="Calculation 2 3 5 3 2 2" xfId="7518" xr:uid="{00000000-0005-0000-0000-0000561D0000}"/>
    <cellStyle name="Calculation 2 3 5 3 2 3" xfId="7519" xr:uid="{00000000-0005-0000-0000-0000571D0000}"/>
    <cellStyle name="Calculation 2 3 5 3 2 4" xfId="7520" xr:uid="{00000000-0005-0000-0000-0000581D0000}"/>
    <cellStyle name="Calculation 2 3 5 3 2 5" xfId="7521" xr:uid="{00000000-0005-0000-0000-0000591D0000}"/>
    <cellStyle name="Calculation 2 3 5 3 2 6" xfId="7522" xr:uid="{00000000-0005-0000-0000-00005A1D0000}"/>
    <cellStyle name="Calculation 2 3 5 3 3" xfId="7523" xr:uid="{00000000-0005-0000-0000-00005B1D0000}"/>
    <cellStyle name="Calculation 2 3 5 3 4" xfId="7524" xr:uid="{00000000-0005-0000-0000-00005C1D0000}"/>
    <cellStyle name="Calculation 2 3 5 3 5" xfId="7525" xr:uid="{00000000-0005-0000-0000-00005D1D0000}"/>
    <cellStyle name="Calculation 2 3 5 3 6" xfId="7526" xr:uid="{00000000-0005-0000-0000-00005E1D0000}"/>
    <cellStyle name="Calculation 2 3 5 4" xfId="7527" xr:uid="{00000000-0005-0000-0000-00005F1D0000}"/>
    <cellStyle name="Calculation 2 3 5 4 2" xfId="7528" xr:uid="{00000000-0005-0000-0000-0000601D0000}"/>
    <cellStyle name="Calculation 2 3 5 4 3" xfId="7529" xr:uid="{00000000-0005-0000-0000-0000611D0000}"/>
    <cellStyle name="Calculation 2 3 5 4 4" xfId="7530" xr:uid="{00000000-0005-0000-0000-0000621D0000}"/>
    <cellStyle name="Calculation 2 3 5 4 5" xfId="7531" xr:uid="{00000000-0005-0000-0000-0000631D0000}"/>
    <cellStyle name="Calculation 2 3 5 4 6" xfId="7532" xr:uid="{00000000-0005-0000-0000-0000641D0000}"/>
    <cellStyle name="Calculation 2 3 5 5" xfId="7533" xr:uid="{00000000-0005-0000-0000-0000651D0000}"/>
    <cellStyle name="Calculation 2 3 5 5 2" xfId="7534" xr:uid="{00000000-0005-0000-0000-0000661D0000}"/>
    <cellStyle name="Calculation 2 3 5 5 3" xfId="7535" xr:uid="{00000000-0005-0000-0000-0000671D0000}"/>
    <cellStyle name="Calculation 2 3 5 5 4" xfId="7536" xr:uid="{00000000-0005-0000-0000-0000681D0000}"/>
    <cellStyle name="Calculation 2 3 5 5 5" xfId="7537" xr:uid="{00000000-0005-0000-0000-0000691D0000}"/>
    <cellStyle name="Calculation 2 3 5 6" xfId="7538" xr:uid="{00000000-0005-0000-0000-00006A1D0000}"/>
    <cellStyle name="Calculation 2 3 5 7" xfId="7539" xr:uid="{00000000-0005-0000-0000-00006B1D0000}"/>
    <cellStyle name="Calculation 2 3 5 8" xfId="7540" xr:uid="{00000000-0005-0000-0000-00006C1D0000}"/>
    <cellStyle name="Calculation 2 3 5 9" xfId="7541" xr:uid="{00000000-0005-0000-0000-00006D1D0000}"/>
    <cellStyle name="Calculation 2 3 6" xfId="7542" xr:uid="{00000000-0005-0000-0000-00006E1D0000}"/>
    <cellStyle name="Calculation 2 3 6 2" xfId="7543" xr:uid="{00000000-0005-0000-0000-00006F1D0000}"/>
    <cellStyle name="Calculation 2 3 6 2 2" xfId="7544" xr:uid="{00000000-0005-0000-0000-0000701D0000}"/>
    <cellStyle name="Calculation 2 3 6 2 2 2" xfId="7545" xr:uid="{00000000-0005-0000-0000-0000711D0000}"/>
    <cellStyle name="Calculation 2 3 6 2 2 3" xfId="7546" xr:uid="{00000000-0005-0000-0000-0000721D0000}"/>
    <cellStyle name="Calculation 2 3 6 2 2 4" xfId="7547" xr:uid="{00000000-0005-0000-0000-0000731D0000}"/>
    <cellStyle name="Calculation 2 3 6 2 2 5" xfId="7548" xr:uid="{00000000-0005-0000-0000-0000741D0000}"/>
    <cellStyle name="Calculation 2 3 6 2 2 6" xfId="7549" xr:uid="{00000000-0005-0000-0000-0000751D0000}"/>
    <cellStyle name="Calculation 2 3 6 2 3" xfId="7550" xr:uid="{00000000-0005-0000-0000-0000761D0000}"/>
    <cellStyle name="Calculation 2 3 6 2 3 2" xfId="7551" xr:uid="{00000000-0005-0000-0000-0000771D0000}"/>
    <cellStyle name="Calculation 2 3 6 2 3 3" xfId="7552" xr:uid="{00000000-0005-0000-0000-0000781D0000}"/>
    <cellStyle name="Calculation 2 3 6 2 3 4" xfId="7553" xr:uid="{00000000-0005-0000-0000-0000791D0000}"/>
    <cellStyle name="Calculation 2 3 6 2 3 5" xfId="7554" xr:uid="{00000000-0005-0000-0000-00007A1D0000}"/>
    <cellStyle name="Calculation 2 3 6 2 4" xfId="7555" xr:uid="{00000000-0005-0000-0000-00007B1D0000}"/>
    <cellStyle name="Calculation 2 3 6 2 5" xfId="7556" xr:uid="{00000000-0005-0000-0000-00007C1D0000}"/>
    <cellStyle name="Calculation 2 3 6 2 6" xfId="7557" xr:uid="{00000000-0005-0000-0000-00007D1D0000}"/>
    <cellStyle name="Calculation 2 3 6 2 7" xfId="7558" xr:uid="{00000000-0005-0000-0000-00007E1D0000}"/>
    <cellStyle name="Calculation 2 3 6 3" xfId="7559" xr:uid="{00000000-0005-0000-0000-00007F1D0000}"/>
    <cellStyle name="Calculation 2 3 6 3 2" xfId="7560" xr:uid="{00000000-0005-0000-0000-0000801D0000}"/>
    <cellStyle name="Calculation 2 3 6 3 2 2" xfId="7561" xr:uid="{00000000-0005-0000-0000-0000811D0000}"/>
    <cellStyle name="Calculation 2 3 6 3 2 3" xfId="7562" xr:uid="{00000000-0005-0000-0000-0000821D0000}"/>
    <cellStyle name="Calculation 2 3 6 3 2 4" xfId="7563" xr:uid="{00000000-0005-0000-0000-0000831D0000}"/>
    <cellStyle name="Calculation 2 3 6 3 2 5" xfId="7564" xr:uid="{00000000-0005-0000-0000-0000841D0000}"/>
    <cellStyle name="Calculation 2 3 6 3 2 6" xfId="7565" xr:uid="{00000000-0005-0000-0000-0000851D0000}"/>
    <cellStyle name="Calculation 2 3 6 3 3" xfId="7566" xr:uid="{00000000-0005-0000-0000-0000861D0000}"/>
    <cellStyle name="Calculation 2 3 6 3 4" xfId="7567" xr:uid="{00000000-0005-0000-0000-0000871D0000}"/>
    <cellStyle name="Calculation 2 3 6 3 5" xfId="7568" xr:uid="{00000000-0005-0000-0000-0000881D0000}"/>
    <cellStyle name="Calculation 2 3 6 3 6" xfId="7569" xr:uid="{00000000-0005-0000-0000-0000891D0000}"/>
    <cellStyle name="Calculation 2 3 6 4" xfId="7570" xr:uid="{00000000-0005-0000-0000-00008A1D0000}"/>
    <cellStyle name="Calculation 2 3 6 4 2" xfId="7571" xr:uid="{00000000-0005-0000-0000-00008B1D0000}"/>
    <cellStyle name="Calculation 2 3 6 4 3" xfId="7572" xr:uid="{00000000-0005-0000-0000-00008C1D0000}"/>
    <cellStyle name="Calculation 2 3 6 4 4" xfId="7573" xr:uid="{00000000-0005-0000-0000-00008D1D0000}"/>
    <cellStyle name="Calculation 2 3 6 4 5" xfId="7574" xr:uid="{00000000-0005-0000-0000-00008E1D0000}"/>
    <cellStyle name="Calculation 2 3 6 4 6" xfId="7575" xr:uid="{00000000-0005-0000-0000-00008F1D0000}"/>
    <cellStyle name="Calculation 2 3 6 5" xfId="7576" xr:uid="{00000000-0005-0000-0000-0000901D0000}"/>
    <cellStyle name="Calculation 2 3 6 5 2" xfId="7577" xr:uid="{00000000-0005-0000-0000-0000911D0000}"/>
    <cellStyle name="Calculation 2 3 6 5 3" xfId="7578" xr:uid="{00000000-0005-0000-0000-0000921D0000}"/>
    <cellStyle name="Calculation 2 3 6 5 4" xfId="7579" xr:uid="{00000000-0005-0000-0000-0000931D0000}"/>
    <cellStyle name="Calculation 2 3 6 5 5" xfId="7580" xr:uid="{00000000-0005-0000-0000-0000941D0000}"/>
    <cellStyle name="Calculation 2 3 6 6" xfId="7581" xr:uid="{00000000-0005-0000-0000-0000951D0000}"/>
    <cellStyle name="Calculation 2 3 6 7" xfId="7582" xr:uid="{00000000-0005-0000-0000-0000961D0000}"/>
    <cellStyle name="Calculation 2 3 6 8" xfId="7583" xr:uid="{00000000-0005-0000-0000-0000971D0000}"/>
    <cellStyle name="Calculation 2 3 6 9" xfId="7584" xr:uid="{00000000-0005-0000-0000-0000981D0000}"/>
    <cellStyle name="Calculation 2 3 7" xfId="7585" xr:uid="{00000000-0005-0000-0000-0000991D0000}"/>
    <cellStyle name="Calculation 2 3 7 2" xfId="7586" xr:uid="{00000000-0005-0000-0000-00009A1D0000}"/>
    <cellStyle name="Calculation 2 3 7 2 2" xfId="7587" xr:uid="{00000000-0005-0000-0000-00009B1D0000}"/>
    <cellStyle name="Calculation 2 3 7 2 2 2" xfId="7588" xr:uid="{00000000-0005-0000-0000-00009C1D0000}"/>
    <cellStyle name="Calculation 2 3 7 2 2 3" xfId="7589" xr:uid="{00000000-0005-0000-0000-00009D1D0000}"/>
    <cellStyle name="Calculation 2 3 7 2 2 4" xfId="7590" xr:uid="{00000000-0005-0000-0000-00009E1D0000}"/>
    <cellStyle name="Calculation 2 3 7 2 2 5" xfId="7591" xr:uid="{00000000-0005-0000-0000-00009F1D0000}"/>
    <cellStyle name="Calculation 2 3 7 2 3" xfId="7592" xr:uid="{00000000-0005-0000-0000-0000A01D0000}"/>
    <cellStyle name="Calculation 2 3 7 2 4" xfId="7593" xr:uid="{00000000-0005-0000-0000-0000A11D0000}"/>
    <cellStyle name="Calculation 2 3 7 2 5" xfId="7594" xr:uid="{00000000-0005-0000-0000-0000A21D0000}"/>
    <cellStyle name="Calculation 2 3 7 2 6" xfId="7595" xr:uid="{00000000-0005-0000-0000-0000A31D0000}"/>
    <cellStyle name="Calculation 2 3 7 2 7" xfId="7596" xr:uid="{00000000-0005-0000-0000-0000A41D0000}"/>
    <cellStyle name="Calculation 2 3 7 3" xfId="7597" xr:uid="{00000000-0005-0000-0000-0000A51D0000}"/>
    <cellStyle name="Calculation 2 3 7 3 2" xfId="7598" xr:uid="{00000000-0005-0000-0000-0000A61D0000}"/>
    <cellStyle name="Calculation 2 3 7 3 3" xfId="7599" xr:uid="{00000000-0005-0000-0000-0000A71D0000}"/>
    <cellStyle name="Calculation 2 3 7 3 4" xfId="7600" xr:uid="{00000000-0005-0000-0000-0000A81D0000}"/>
    <cellStyle name="Calculation 2 3 7 3 5" xfId="7601" xr:uid="{00000000-0005-0000-0000-0000A91D0000}"/>
    <cellStyle name="Calculation 2 3 7 4" xfId="7602" xr:uid="{00000000-0005-0000-0000-0000AA1D0000}"/>
    <cellStyle name="Calculation 2 3 7 5" xfId="7603" xr:uid="{00000000-0005-0000-0000-0000AB1D0000}"/>
    <cellStyle name="Calculation 2 3 7 6" xfId="7604" xr:uid="{00000000-0005-0000-0000-0000AC1D0000}"/>
    <cellStyle name="Calculation 2 3 7 7" xfId="7605" xr:uid="{00000000-0005-0000-0000-0000AD1D0000}"/>
    <cellStyle name="Calculation 2 3 8" xfId="7606" xr:uid="{00000000-0005-0000-0000-0000AE1D0000}"/>
    <cellStyle name="Calculation 2 3 8 2" xfId="7607" xr:uid="{00000000-0005-0000-0000-0000AF1D0000}"/>
    <cellStyle name="Calculation 2 3 8 2 2" xfId="7608" xr:uid="{00000000-0005-0000-0000-0000B01D0000}"/>
    <cellStyle name="Calculation 2 3 8 2 2 2" xfId="7609" xr:uid="{00000000-0005-0000-0000-0000B11D0000}"/>
    <cellStyle name="Calculation 2 3 8 2 2 3" xfId="7610" xr:uid="{00000000-0005-0000-0000-0000B21D0000}"/>
    <cellStyle name="Calculation 2 3 8 2 2 4" xfId="7611" xr:uid="{00000000-0005-0000-0000-0000B31D0000}"/>
    <cellStyle name="Calculation 2 3 8 2 2 5" xfId="7612" xr:uid="{00000000-0005-0000-0000-0000B41D0000}"/>
    <cellStyle name="Calculation 2 3 8 2 3" xfId="7613" xr:uid="{00000000-0005-0000-0000-0000B51D0000}"/>
    <cellStyle name="Calculation 2 3 8 2 4" xfId="7614" xr:uid="{00000000-0005-0000-0000-0000B61D0000}"/>
    <cellStyle name="Calculation 2 3 8 2 5" xfId="7615" xr:uid="{00000000-0005-0000-0000-0000B71D0000}"/>
    <cellStyle name="Calculation 2 3 8 2 6" xfId="7616" xr:uid="{00000000-0005-0000-0000-0000B81D0000}"/>
    <cellStyle name="Calculation 2 3 8 2 7" xfId="7617" xr:uid="{00000000-0005-0000-0000-0000B91D0000}"/>
    <cellStyle name="Calculation 2 3 8 3" xfId="7618" xr:uid="{00000000-0005-0000-0000-0000BA1D0000}"/>
    <cellStyle name="Calculation 2 3 8 3 2" xfId="7619" xr:uid="{00000000-0005-0000-0000-0000BB1D0000}"/>
    <cellStyle name="Calculation 2 3 8 3 3" xfId="7620" xr:uid="{00000000-0005-0000-0000-0000BC1D0000}"/>
    <cellStyle name="Calculation 2 3 8 3 4" xfId="7621" xr:uid="{00000000-0005-0000-0000-0000BD1D0000}"/>
    <cellStyle name="Calculation 2 3 8 3 5" xfId="7622" xr:uid="{00000000-0005-0000-0000-0000BE1D0000}"/>
    <cellStyle name="Calculation 2 3 8 4" xfId="7623" xr:uid="{00000000-0005-0000-0000-0000BF1D0000}"/>
    <cellStyle name="Calculation 2 3 8 5" xfId="7624" xr:uid="{00000000-0005-0000-0000-0000C01D0000}"/>
    <cellStyle name="Calculation 2 3 8 6" xfId="7625" xr:uid="{00000000-0005-0000-0000-0000C11D0000}"/>
    <cellStyle name="Calculation 2 3 8 7" xfId="7626" xr:uid="{00000000-0005-0000-0000-0000C21D0000}"/>
    <cellStyle name="Calculation 2 3 9" xfId="7627" xr:uid="{00000000-0005-0000-0000-0000C31D0000}"/>
    <cellStyle name="Calculation 2 3 9 2" xfId="7628" xr:uid="{00000000-0005-0000-0000-0000C41D0000}"/>
    <cellStyle name="Calculation 2 3 9 2 2" xfId="7629" xr:uid="{00000000-0005-0000-0000-0000C51D0000}"/>
    <cellStyle name="Calculation 2 3 9 2 3" xfId="7630" xr:uid="{00000000-0005-0000-0000-0000C61D0000}"/>
    <cellStyle name="Calculation 2 3 9 2 4" xfId="7631" xr:uid="{00000000-0005-0000-0000-0000C71D0000}"/>
    <cellStyle name="Calculation 2 3 9 2 5" xfId="7632" xr:uid="{00000000-0005-0000-0000-0000C81D0000}"/>
    <cellStyle name="Calculation 2 3 9 3" xfId="7633" xr:uid="{00000000-0005-0000-0000-0000C91D0000}"/>
    <cellStyle name="Calculation 2 3 9 3 2" xfId="7634" xr:uid="{00000000-0005-0000-0000-0000CA1D0000}"/>
    <cellStyle name="Calculation 2 3 9 3 3" xfId="7635" xr:uid="{00000000-0005-0000-0000-0000CB1D0000}"/>
    <cellStyle name="Calculation 2 3 9 3 4" xfId="7636" xr:uid="{00000000-0005-0000-0000-0000CC1D0000}"/>
    <cellStyle name="Calculation 2 3 9 3 5" xfId="7637" xr:uid="{00000000-0005-0000-0000-0000CD1D0000}"/>
    <cellStyle name="Calculation 2 3 9 4" xfId="7638" xr:uid="{00000000-0005-0000-0000-0000CE1D0000}"/>
    <cellStyle name="Calculation 2 3 9 5" xfId="7639" xr:uid="{00000000-0005-0000-0000-0000CF1D0000}"/>
    <cellStyle name="Calculation 2 3 9 6" xfId="7640" xr:uid="{00000000-0005-0000-0000-0000D01D0000}"/>
    <cellStyle name="Calculation 2 3 9 7" xfId="7641" xr:uid="{00000000-0005-0000-0000-0000D11D0000}"/>
    <cellStyle name="Calculation 2 3 9 8" xfId="7642" xr:uid="{00000000-0005-0000-0000-0000D21D0000}"/>
    <cellStyle name="Calculation 2 30" xfId="7643" xr:uid="{00000000-0005-0000-0000-0000D31D0000}"/>
    <cellStyle name="Calculation 2 30 2" xfId="7644" xr:uid="{00000000-0005-0000-0000-0000D41D0000}"/>
    <cellStyle name="Calculation 2 30 2 2" xfId="7645" xr:uid="{00000000-0005-0000-0000-0000D51D0000}"/>
    <cellStyle name="Calculation 2 30 2 3" xfId="7646" xr:uid="{00000000-0005-0000-0000-0000D61D0000}"/>
    <cellStyle name="Calculation 2 30 2 4" xfId="7647" xr:uid="{00000000-0005-0000-0000-0000D71D0000}"/>
    <cellStyle name="Calculation 2 30 2 5" xfId="7648" xr:uid="{00000000-0005-0000-0000-0000D81D0000}"/>
    <cellStyle name="Calculation 2 30 3" xfId="7649" xr:uid="{00000000-0005-0000-0000-0000D91D0000}"/>
    <cellStyle name="Calculation 2 30 4" xfId="7650" xr:uid="{00000000-0005-0000-0000-0000DA1D0000}"/>
    <cellStyle name="Calculation 2 30 5" xfId="7651" xr:uid="{00000000-0005-0000-0000-0000DB1D0000}"/>
    <cellStyle name="Calculation 2 30 6" xfId="7652" xr:uid="{00000000-0005-0000-0000-0000DC1D0000}"/>
    <cellStyle name="Calculation 2 31" xfId="7653" xr:uid="{00000000-0005-0000-0000-0000DD1D0000}"/>
    <cellStyle name="Calculation 2 31 2" xfId="7654" xr:uid="{00000000-0005-0000-0000-0000DE1D0000}"/>
    <cellStyle name="Calculation 2 31 2 2" xfId="7655" xr:uid="{00000000-0005-0000-0000-0000DF1D0000}"/>
    <cellStyle name="Calculation 2 31 2 3" xfId="7656" xr:uid="{00000000-0005-0000-0000-0000E01D0000}"/>
    <cellStyle name="Calculation 2 31 2 4" xfId="7657" xr:uid="{00000000-0005-0000-0000-0000E11D0000}"/>
    <cellStyle name="Calculation 2 31 2 5" xfId="7658" xr:uid="{00000000-0005-0000-0000-0000E21D0000}"/>
    <cellStyle name="Calculation 2 31 3" xfId="7659" xr:uid="{00000000-0005-0000-0000-0000E31D0000}"/>
    <cellStyle name="Calculation 2 31 4" xfId="7660" xr:uid="{00000000-0005-0000-0000-0000E41D0000}"/>
    <cellStyle name="Calculation 2 31 5" xfId="7661" xr:uid="{00000000-0005-0000-0000-0000E51D0000}"/>
    <cellStyle name="Calculation 2 31 6" xfId="7662" xr:uid="{00000000-0005-0000-0000-0000E61D0000}"/>
    <cellStyle name="Calculation 2 32" xfId="7663" xr:uid="{00000000-0005-0000-0000-0000E71D0000}"/>
    <cellStyle name="Calculation 2 32 2" xfId="7664" xr:uid="{00000000-0005-0000-0000-0000E81D0000}"/>
    <cellStyle name="Calculation 2 32 2 2" xfId="7665" xr:uid="{00000000-0005-0000-0000-0000E91D0000}"/>
    <cellStyle name="Calculation 2 32 2 3" xfId="7666" xr:uid="{00000000-0005-0000-0000-0000EA1D0000}"/>
    <cellStyle name="Calculation 2 32 2 4" xfId="7667" xr:uid="{00000000-0005-0000-0000-0000EB1D0000}"/>
    <cellStyle name="Calculation 2 32 2 5" xfId="7668" xr:uid="{00000000-0005-0000-0000-0000EC1D0000}"/>
    <cellStyle name="Calculation 2 32 3" xfId="7669" xr:uid="{00000000-0005-0000-0000-0000ED1D0000}"/>
    <cellStyle name="Calculation 2 32 4" xfId="7670" xr:uid="{00000000-0005-0000-0000-0000EE1D0000}"/>
    <cellStyle name="Calculation 2 32 5" xfId="7671" xr:uid="{00000000-0005-0000-0000-0000EF1D0000}"/>
    <cellStyle name="Calculation 2 32 6" xfId="7672" xr:uid="{00000000-0005-0000-0000-0000F01D0000}"/>
    <cellStyle name="Calculation 2 33" xfId="7673" xr:uid="{00000000-0005-0000-0000-0000F11D0000}"/>
    <cellStyle name="Calculation 2 33 2" xfId="7674" xr:uid="{00000000-0005-0000-0000-0000F21D0000}"/>
    <cellStyle name="Calculation 2 33 2 2" xfId="7675" xr:uid="{00000000-0005-0000-0000-0000F31D0000}"/>
    <cellStyle name="Calculation 2 33 2 3" xfId="7676" xr:uid="{00000000-0005-0000-0000-0000F41D0000}"/>
    <cellStyle name="Calculation 2 33 2 4" xfId="7677" xr:uid="{00000000-0005-0000-0000-0000F51D0000}"/>
    <cellStyle name="Calculation 2 33 2 5" xfId="7678" xr:uid="{00000000-0005-0000-0000-0000F61D0000}"/>
    <cellStyle name="Calculation 2 33 3" xfId="7679" xr:uid="{00000000-0005-0000-0000-0000F71D0000}"/>
    <cellStyle name="Calculation 2 33 4" xfId="7680" xr:uid="{00000000-0005-0000-0000-0000F81D0000}"/>
    <cellStyle name="Calculation 2 33 5" xfId="7681" xr:uid="{00000000-0005-0000-0000-0000F91D0000}"/>
    <cellStyle name="Calculation 2 33 6" xfId="7682" xr:uid="{00000000-0005-0000-0000-0000FA1D0000}"/>
    <cellStyle name="Calculation 2 34" xfId="7683" xr:uid="{00000000-0005-0000-0000-0000FB1D0000}"/>
    <cellStyle name="Calculation 2 34 2" xfId="7684" xr:uid="{00000000-0005-0000-0000-0000FC1D0000}"/>
    <cellStyle name="Calculation 2 34 2 2" xfId="7685" xr:uid="{00000000-0005-0000-0000-0000FD1D0000}"/>
    <cellStyle name="Calculation 2 34 2 3" xfId="7686" xr:uid="{00000000-0005-0000-0000-0000FE1D0000}"/>
    <cellStyle name="Calculation 2 34 2 4" xfId="7687" xr:uid="{00000000-0005-0000-0000-0000FF1D0000}"/>
    <cellStyle name="Calculation 2 34 2 5" xfId="7688" xr:uid="{00000000-0005-0000-0000-0000001E0000}"/>
    <cellStyle name="Calculation 2 34 3" xfId="7689" xr:uid="{00000000-0005-0000-0000-0000011E0000}"/>
    <cellStyle name="Calculation 2 34 4" xfId="7690" xr:uid="{00000000-0005-0000-0000-0000021E0000}"/>
    <cellStyle name="Calculation 2 34 5" xfId="7691" xr:uid="{00000000-0005-0000-0000-0000031E0000}"/>
    <cellStyle name="Calculation 2 34 6" xfId="7692" xr:uid="{00000000-0005-0000-0000-0000041E0000}"/>
    <cellStyle name="Calculation 2 35" xfId="7693" xr:uid="{00000000-0005-0000-0000-0000051E0000}"/>
    <cellStyle name="Calculation 2 35 2" xfId="7694" xr:uid="{00000000-0005-0000-0000-0000061E0000}"/>
    <cellStyle name="Calculation 2 35 2 2" xfId="7695" xr:uid="{00000000-0005-0000-0000-0000071E0000}"/>
    <cellStyle name="Calculation 2 35 2 3" xfId="7696" xr:uid="{00000000-0005-0000-0000-0000081E0000}"/>
    <cellStyle name="Calculation 2 35 2 4" xfId="7697" xr:uid="{00000000-0005-0000-0000-0000091E0000}"/>
    <cellStyle name="Calculation 2 35 2 5" xfId="7698" xr:uid="{00000000-0005-0000-0000-00000A1E0000}"/>
    <cellStyle name="Calculation 2 35 3" xfId="7699" xr:uid="{00000000-0005-0000-0000-00000B1E0000}"/>
    <cellStyle name="Calculation 2 35 4" xfId="7700" xr:uid="{00000000-0005-0000-0000-00000C1E0000}"/>
    <cellStyle name="Calculation 2 35 5" xfId="7701" xr:uid="{00000000-0005-0000-0000-00000D1E0000}"/>
    <cellStyle name="Calculation 2 35 6" xfId="7702" xr:uid="{00000000-0005-0000-0000-00000E1E0000}"/>
    <cellStyle name="Calculation 2 36" xfId="7703" xr:uid="{00000000-0005-0000-0000-00000F1E0000}"/>
    <cellStyle name="Calculation 2 36 2" xfId="7704" xr:uid="{00000000-0005-0000-0000-0000101E0000}"/>
    <cellStyle name="Calculation 2 36 2 2" xfId="7705" xr:uid="{00000000-0005-0000-0000-0000111E0000}"/>
    <cellStyle name="Calculation 2 36 2 3" xfId="7706" xr:uid="{00000000-0005-0000-0000-0000121E0000}"/>
    <cellStyle name="Calculation 2 36 2 4" xfId="7707" xr:uid="{00000000-0005-0000-0000-0000131E0000}"/>
    <cellStyle name="Calculation 2 36 2 5" xfId="7708" xr:uid="{00000000-0005-0000-0000-0000141E0000}"/>
    <cellStyle name="Calculation 2 36 3" xfId="7709" xr:uid="{00000000-0005-0000-0000-0000151E0000}"/>
    <cellStyle name="Calculation 2 36 4" xfId="7710" xr:uid="{00000000-0005-0000-0000-0000161E0000}"/>
    <cellStyle name="Calculation 2 36 5" xfId="7711" xr:uid="{00000000-0005-0000-0000-0000171E0000}"/>
    <cellStyle name="Calculation 2 36 6" xfId="7712" xr:uid="{00000000-0005-0000-0000-0000181E0000}"/>
    <cellStyle name="Calculation 2 37" xfId="7713" xr:uid="{00000000-0005-0000-0000-0000191E0000}"/>
    <cellStyle name="Calculation 2 37 2" xfId="7714" xr:uid="{00000000-0005-0000-0000-00001A1E0000}"/>
    <cellStyle name="Calculation 2 37 2 2" xfId="7715" xr:uid="{00000000-0005-0000-0000-00001B1E0000}"/>
    <cellStyle name="Calculation 2 37 2 3" xfId="7716" xr:uid="{00000000-0005-0000-0000-00001C1E0000}"/>
    <cellStyle name="Calculation 2 37 2 4" xfId="7717" xr:uid="{00000000-0005-0000-0000-00001D1E0000}"/>
    <cellStyle name="Calculation 2 37 2 5" xfId="7718" xr:uid="{00000000-0005-0000-0000-00001E1E0000}"/>
    <cellStyle name="Calculation 2 37 3" xfId="7719" xr:uid="{00000000-0005-0000-0000-00001F1E0000}"/>
    <cellStyle name="Calculation 2 37 4" xfId="7720" xr:uid="{00000000-0005-0000-0000-0000201E0000}"/>
    <cellStyle name="Calculation 2 37 5" xfId="7721" xr:uid="{00000000-0005-0000-0000-0000211E0000}"/>
    <cellStyle name="Calculation 2 37 6" xfId="7722" xr:uid="{00000000-0005-0000-0000-0000221E0000}"/>
    <cellStyle name="Calculation 2 38" xfId="7723" xr:uid="{00000000-0005-0000-0000-0000231E0000}"/>
    <cellStyle name="Calculation 2 38 2" xfId="7724" xr:uid="{00000000-0005-0000-0000-0000241E0000}"/>
    <cellStyle name="Calculation 2 38 2 2" xfId="7725" xr:uid="{00000000-0005-0000-0000-0000251E0000}"/>
    <cellStyle name="Calculation 2 38 2 3" xfId="7726" xr:uid="{00000000-0005-0000-0000-0000261E0000}"/>
    <cellStyle name="Calculation 2 38 2 4" xfId="7727" xr:uid="{00000000-0005-0000-0000-0000271E0000}"/>
    <cellStyle name="Calculation 2 38 2 5" xfId="7728" xr:uid="{00000000-0005-0000-0000-0000281E0000}"/>
    <cellStyle name="Calculation 2 38 3" xfId="7729" xr:uid="{00000000-0005-0000-0000-0000291E0000}"/>
    <cellStyle name="Calculation 2 38 4" xfId="7730" xr:uid="{00000000-0005-0000-0000-00002A1E0000}"/>
    <cellStyle name="Calculation 2 38 5" xfId="7731" xr:uid="{00000000-0005-0000-0000-00002B1E0000}"/>
    <cellStyle name="Calculation 2 38 6" xfId="7732" xr:uid="{00000000-0005-0000-0000-00002C1E0000}"/>
    <cellStyle name="Calculation 2 39" xfId="7733" xr:uid="{00000000-0005-0000-0000-00002D1E0000}"/>
    <cellStyle name="Calculation 2 39 2" xfId="7734" xr:uid="{00000000-0005-0000-0000-00002E1E0000}"/>
    <cellStyle name="Calculation 2 39 2 2" xfId="7735" xr:uid="{00000000-0005-0000-0000-00002F1E0000}"/>
    <cellStyle name="Calculation 2 39 2 3" xfId="7736" xr:uid="{00000000-0005-0000-0000-0000301E0000}"/>
    <cellStyle name="Calculation 2 39 2 4" xfId="7737" xr:uid="{00000000-0005-0000-0000-0000311E0000}"/>
    <cellStyle name="Calculation 2 39 2 5" xfId="7738" xr:uid="{00000000-0005-0000-0000-0000321E0000}"/>
    <cellStyle name="Calculation 2 39 3" xfId="7739" xr:uid="{00000000-0005-0000-0000-0000331E0000}"/>
    <cellStyle name="Calculation 2 39 4" xfId="7740" xr:uid="{00000000-0005-0000-0000-0000341E0000}"/>
    <cellStyle name="Calculation 2 39 5" xfId="7741" xr:uid="{00000000-0005-0000-0000-0000351E0000}"/>
    <cellStyle name="Calculation 2 39 6" xfId="7742" xr:uid="{00000000-0005-0000-0000-0000361E0000}"/>
    <cellStyle name="Calculation 2 4" xfId="7743" xr:uid="{00000000-0005-0000-0000-0000371E0000}"/>
    <cellStyle name="Calculation 2 4 10" xfId="7744" xr:uid="{00000000-0005-0000-0000-0000381E0000}"/>
    <cellStyle name="Calculation 2 4 10 2" xfId="7745" xr:uid="{00000000-0005-0000-0000-0000391E0000}"/>
    <cellStyle name="Calculation 2 4 10 3" xfId="7746" xr:uid="{00000000-0005-0000-0000-00003A1E0000}"/>
    <cellStyle name="Calculation 2 4 10 4" xfId="7747" xr:uid="{00000000-0005-0000-0000-00003B1E0000}"/>
    <cellStyle name="Calculation 2 4 10 5" xfId="7748" xr:uid="{00000000-0005-0000-0000-00003C1E0000}"/>
    <cellStyle name="Calculation 2 4 10 6" xfId="7749" xr:uid="{00000000-0005-0000-0000-00003D1E0000}"/>
    <cellStyle name="Calculation 2 4 11" xfId="7750" xr:uid="{00000000-0005-0000-0000-00003E1E0000}"/>
    <cellStyle name="Calculation 2 4 11 2" xfId="7751" xr:uid="{00000000-0005-0000-0000-00003F1E0000}"/>
    <cellStyle name="Calculation 2 4 11 3" xfId="7752" xr:uid="{00000000-0005-0000-0000-0000401E0000}"/>
    <cellStyle name="Calculation 2 4 11 4" xfId="7753" xr:uid="{00000000-0005-0000-0000-0000411E0000}"/>
    <cellStyle name="Calculation 2 4 11 5" xfId="7754" xr:uid="{00000000-0005-0000-0000-0000421E0000}"/>
    <cellStyle name="Calculation 2 4 12" xfId="7755" xr:uid="{00000000-0005-0000-0000-0000431E0000}"/>
    <cellStyle name="Calculation 2 4 13" xfId="7756" xr:uid="{00000000-0005-0000-0000-0000441E0000}"/>
    <cellStyle name="Calculation 2 4 14" xfId="7757" xr:uid="{00000000-0005-0000-0000-0000451E0000}"/>
    <cellStyle name="Calculation 2 4 15" xfId="7758" xr:uid="{00000000-0005-0000-0000-0000461E0000}"/>
    <cellStyle name="Calculation 2 4 2" xfId="7759" xr:uid="{00000000-0005-0000-0000-0000471E0000}"/>
    <cellStyle name="Calculation 2 4 2 10" xfId="7760" xr:uid="{00000000-0005-0000-0000-0000481E0000}"/>
    <cellStyle name="Calculation 2 4 2 10 2" xfId="7761" xr:uid="{00000000-0005-0000-0000-0000491E0000}"/>
    <cellStyle name="Calculation 2 4 2 10 3" xfId="7762" xr:uid="{00000000-0005-0000-0000-00004A1E0000}"/>
    <cellStyle name="Calculation 2 4 2 10 4" xfId="7763" xr:uid="{00000000-0005-0000-0000-00004B1E0000}"/>
    <cellStyle name="Calculation 2 4 2 10 5" xfId="7764" xr:uid="{00000000-0005-0000-0000-00004C1E0000}"/>
    <cellStyle name="Calculation 2 4 2 11" xfId="7765" xr:uid="{00000000-0005-0000-0000-00004D1E0000}"/>
    <cellStyle name="Calculation 2 4 2 12" xfId="7766" xr:uid="{00000000-0005-0000-0000-00004E1E0000}"/>
    <cellStyle name="Calculation 2 4 2 13" xfId="7767" xr:uid="{00000000-0005-0000-0000-00004F1E0000}"/>
    <cellStyle name="Calculation 2 4 2 14" xfId="7768" xr:uid="{00000000-0005-0000-0000-0000501E0000}"/>
    <cellStyle name="Calculation 2 4 2 2" xfId="7769" xr:uid="{00000000-0005-0000-0000-0000511E0000}"/>
    <cellStyle name="Calculation 2 4 2 2 2" xfId="7770" xr:uid="{00000000-0005-0000-0000-0000521E0000}"/>
    <cellStyle name="Calculation 2 4 2 2 2 2" xfId="7771" xr:uid="{00000000-0005-0000-0000-0000531E0000}"/>
    <cellStyle name="Calculation 2 4 2 2 2 2 2" xfId="7772" xr:uid="{00000000-0005-0000-0000-0000541E0000}"/>
    <cellStyle name="Calculation 2 4 2 2 2 2 3" xfId="7773" xr:uid="{00000000-0005-0000-0000-0000551E0000}"/>
    <cellStyle name="Calculation 2 4 2 2 2 2 4" xfId="7774" xr:uid="{00000000-0005-0000-0000-0000561E0000}"/>
    <cellStyle name="Calculation 2 4 2 2 2 2 5" xfId="7775" xr:uid="{00000000-0005-0000-0000-0000571E0000}"/>
    <cellStyle name="Calculation 2 4 2 2 2 2 6" xfId="7776" xr:uid="{00000000-0005-0000-0000-0000581E0000}"/>
    <cellStyle name="Calculation 2 4 2 2 2 3" xfId="7777" xr:uid="{00000000-0005-0000-0000-0000591E0000}"/>
    <cellStyle name="Calculation 2 4 2 2 2 4" xfId="7778" xr:uid="{00000000-0005-0000-0000-00005A1E0000}"/>
    <cellStyle name="Calculation 2 4 2 2 2 5" xfId="7779" xr:uid="{00000000-0005-0000-0000-00005B1E0000}"/>
    <cellStyle name="Calculation 2 4 2 2 2 6" xfId="7780" xr:uid="{00000000-0005-0000-0000-00005C1E0000}"/>
    <cellStyle name="Calculation 2 4 2 2 3" xfId="7781" xr:uid="{00000000-0005-0000-0000-00005D1E0000}"/>
    <cellStyle name="Calculation 2 4 2 2 3 2" xfId="7782" xr:uid="{00000000-0005-0000-0000-00005E1E0000}"/>
    <cellStyle name="Calculation 2 4 2 2 3 2 2" xfId="7783" xr:uid="{00000000-0005-0000-0000-00005F1E0000}"/>
    <cellStyle name="Calculation 2 4 2 2 3 2 3" xfId="7784" xr:uid="{00000000-0005-0000-0000-0000601E0000}"/>
    <cellStyle name="Calculation 2 4 2 2 3 2 4" xfId="7785" xr:uid="{00000000-0005-0000-0000-0000611E0000}"/>
    <cellStyle name="Calculation 2 4 2 2 3 2 5" xfId="7786" xr:uid="{00000000-0005-0000-0000-0000621E0000}"/>
    <cellStyle name="Calculation 2 4 2 2 3 2 6" xfId="7787" xr:uid="{00000000-0005-0000-0000-0000631E0000}"/>
    <cellStyle name="Calculation 2 4 2 2 3 3" xfId="7788" xr:uid="{00000000-0005-0000-0000-0000641E0000}"/>
    <cellStyle name="Calculation 2 4 2 2 3 4" xfId="7789" xr:uid="{00000000-0005-0000-0000-0000651E0000}"/>
    <cellStyle name="Calculation 2 4 2 2 3 5" xfId="7790" xr:uid="{00000000-0005-0000-0000-0000661E0000}"/>
    <cellStyle name="Calculation 2 4 2 2 3 6" xfId="7791" xr:uid="{00000000-0005-0000-0000-0000671E0000}"/>
    <cellStyle name="Calculation 2 4 2 2 4" xfId="7792" xr:uid="{00000000-0005-0000-0000-0000681E0000}"/>
    <cellStyle name="Calculation 2 4 2 2 4 2" xfId="7793" xr:uid="{00000000-0005-0000-0000-0000691E0000}"/>
    <cellStyle name="Calculation 2 4 2 2 4 3" xfId="7794" xr:uid="{00000000-0005-0000-0000-00006A1E0000}"/>
    <cellStyle name="Calculation 2 4 2 2 4 4" xfId="7795" xr:uid="{00000000-0005-0000-0000-00006B1E0000}"/>
    <cellStyle name="Calculation 2 4 2 2 4 5" xfId="7796" xr:uid="{00000000-0005-0000-0000-00006C1E0000}"/>
    <cellStyle name="Calculation 2 4 2 2 4 6" xfId="7797" xr:uid="{00000000-0005-0000-0000-00006D1E0000}"/>
    <cellStyle name="Calculation 2 4 2 2 5" xfId="7798" xr:uid="{00000000-0005-0000-0000-00006E1E0000}"/>
    <cellStyle name="Calculation 2 4 2 2 6" xfId="7799" xr:uid="{00000000-0005-0000-0000-00006F1E0000}"/>
    <cellStyle name="Calculation 2 4 2 2 7" xfId="7800" xr:uid="{00000000-0005-0000-0000-0000701E0000}"/>
    <cellStyle name="Calculation 2 4 2 2 8" xfId="7801" xr:uid="{00000000-0005-0000-0000-0000711E0000}"/>
    <cellStyle name="Calculation 2 4 2 3" xfId="7802" xr:uid="{00000000-0005-0000-0000-0000721E0000}"/>
    <cellStyle name="Calculation 2 4 2 3 2" xfId="7803" xr:uid="{00000000-0005-0000-0000-0000731E0000}"/>
    <cellStyle name="Calculation 2 4 2 3 2 2" xfId="7804" xr:uid="{00000000-0005-0000-0000-0000741E0000}"/>
    <cellStyle name="Calculation 2 4 2 3 2 2 2" xfId="7805" xr:uid="{00000000-0005-0000-0000-0000751E0000}"/>
    <cellStyle name="Calculation 2 4 2 3 2 2 3" xfId="7806" xr:uid="{00000000-0005-0000-0000-0000761E0000}"/>
    <cellStyle name="Calculation 2 4 2 3 2 2 4" xfId="7807" xr:uid="{00000000-0005-0000-0000-0000771E0000}"/>
    <cellStyle name="Calculation 2 4 2 3 2 2 5" xfId="7808" xr:uid="{00000000-0005-0000-0000-0000781E0000}"/>
    <cellStyle name="Calculation 2 4 2 3 2 2 6" xfId="7809" xr:uid="{00000000-0005-0000-0000-0000791E0000}"/>
    <cellStyle name="Calculation 2 4 2 3 2 3" xfId="7810" xr:uid="{00000000-0005-0000-0000-00007A1E0000}"/>
    <cellStyle name="Calculation 2 4 2 3 2 4" xfId="7811" xr:uid="{00000000-0005-0000-0000-00007B1E0000}"/>
    <cellStyle name="Calculation 2 4 2 3 2 5" xfId="7812" xr:uid="{00000000-0005-0000-0000-00007C1E0000}"/>
    <cellStyle name="Calculation 2 4 2 3 2 6" xfId="7813" xr:uid="{00000000-0005-0000-0000-00007D1E0000}"/>
    <cellStyle name="Calculation 2 4 2 3 3" xfId="7814" xr:uid="{00000000-0005-0000-0000-00007E1E0000}"/>
    <cellStyle name="Calculation 2 4 2 3 3 2" xfId="7815" xr:uid="{00000000-0005-0000-0000-00007F1E0000}"/>
    <cellStyle name="Calculation 2 4 2 3 3 2 2" xfId="7816" xr:uid="{00000000-0005-0000-0000-0000801E0000}"/>
    <cellStyle name="Calculation 2 4 2 3 3 2 3" xfId="7817" xr:uid="{00000000-0005-0000-0000-0000811E0000}"/>
    <cellStyle name="Calculation 2 4 2 3 3 2 4" xfId="7818" xr:uid="{00000000-0005-0000-0000-0000821E0000}"/>
    <cellStyle name="Calculation 2 4 2 3 3 2 5" xfId="7819" xr:uid="{00000000-0005-0000-0000-0000831E0000}"/>
    <cellStyle name="Calculation 2 4 2 3 3 2 6" xfId="7820" xr:uid="{00000000-0005-0000-0000-0000841E0000}"/>
    <cellStyle name="Calculation 2 4 2 3 3 3" xfId="7821" xr:uid="{00000000-0005-0000-0000-0000851E0000}"/>
    <cellStyle name="Calculation 2 4 2 3 3 4" xfId="7822" xr:uid="{00000000-0005-0000-0000-0000861E0000}"/>
    <cellStyle name="Calculation 2 4 2 3 3 5" xfId="7823" xr:uid="{00000000-0005-0000-0000-0000871E0000}"/>
    <cellStyle name="Calculation 2 4 2 3 3 6" xfId="7824" xr:uid="{00000000-0005-0000-0000-0000881E0000}"/>
    <cellStyle name="Calculation 2 4 2 3 4" xfId="7825" xr:uid="{00000000-0005-0000-0000-0000891E0000}"/>
    <cellStyle name="Calculation 2 4 2 3 4 2" xfId="7826" xr:uid="{00000000-0005-0000-0000-00008A1E0000}"/>
    <cellStyle name="Calculation 2 4 2 3 4 3" xfId="7827" xr:uid="{00000000-0005-0000-0000-00008B1E0000}"/>
    <cellStyle name="Calculation 2 4 2 3 4 4" xfId="7828" xr:uid="{00000000-0005-0000-0000-00008C1E0000}"/>
    <cellStyle name="Calculation 2 4 2 3 4 5" xfId="7829" xr:uid="{00000000-0005-0000-0000-00008D1E0000}"/>
    <cellStyle name="Calculation 2 4 2 3 4 6" xfId="7830" xr:uid="{00000000-0005-0000-0000-00008E1E0000}"/>
    <cellStyle name="Calculation 2 4 2 3 5" xfId="7831" xr:uid="{00000000-0005-0000-0000-00008F1E0000}"/>
    <cellStyle name="Calculation 2 4 2 3 6" xfId="7832" xr:uid="{00000000-0005-0000-0000-0000901E0000}"/>
    <cellStyle name="Calculation 2 4 2 3 7" xfId="7833" xr:uid="{00000000-0005-0000-0000-0000911E0000}"/>
    <cellStyle name="Calculation 2 4 2 3 8" xfId="7834" xr:uid="{00000000-0005-0000-0000-0000921E0000}"/>
    <cellStyle name="Calculation 2 4 2 4" xfId="7835" xr:uid="{00000000-0005-0000-0000-0000931E0000}"/>
    <cellStyle name="Calculation 2 4 2 4 2" xfId="7836" xr:uid="{00000000-0005-0000-0000-0000941E0000}"/>
    <cellStyle name="Calculation 2 4 2 4 2 2" xfId="7837" xr:uid="{00000000-0005-0000-0000-0000951E0000}"/>
    <cellStyle name="Calculation 2 4 2 4 2 2 2" xfId="7838" xr:uid="{00000000-0005-0000-0000-0000961E0000}"/>
    <cellStyle name="Calculation 2 4 2 4 2 2 3" xfId="7839" xr:uid="{00000000-0005-0000-0000-0000971E0000}"/>
    <cellStyle name="Calculation 2 4 2 4 2 2 4" xfId="7840" xr:uid="{00000000-0005-0000-0000-0000981E0000}"/>
    <cellStyle name="Calculation 2 4 2 4 2 2 5" xfId="7841" xr:uid="{00000000-0005-0000-0000-0000991E0000}"/>
    <cellStyle name="Calculation 2 4 2 4 2 2 6" xfId="7842" xr:uid="{00000000-0005-0000-0000-00009A1E0000}"/>
    <cellStyle name="Calculation 2 4 2 4 2 3" xfId="7843" xr:uid="{00000000-0005-0000-0000-00009B1E0000}"/>
    <cellStyle name="Calculation 2 4 2 4 2 4" xfId="7844" xr:uid="{00000000-0005-0000-0000-00009C1E0000}"/>
    <cellStyle name="Calculation 2 4 2 4 2 5" xfId="7845" xr:uid="{00000000-0005-0000-0000-00009D1E0000}"/>
    <cellStyle name="Calculation 2 4 2 4 2 6" xfId="7846" xr:uid="{00000000-0005-0000-0000-00009E1E0000}"/>
    <cellStyle name="Calculation 2 4 2 4 3" xfId="7847" xr:uid="{00000000-0005-0000-0000-00009F1E0000}"/>
    <cellStyle name="Calculation 2 4 2 4 3 2" xfId="7848" xr:uid="{00000000-0005-0000-0000-0000A01E0000}"/>
    <cellStyle name="Calculation 2 4 2 4 3 2 2" xfId="7849" xr:uid="{00000000-0005-0000-0000-0000A11E0000}"/>
    <cellStyle name="Calculation 2 4 2 4 3 2 3" xfId="7850" xr:uid="{00000000-0005-0000-0000-0000A21E0000}"/>
    <cellStyle name="Calculation 2 4 2 4 3 2 4" xfId="7851" xr:uid="{00000000-0005-0000-0000-0000A31E0000}"/>
    <cellStyle name="Calculation 2 4 2 4 3 2 5" xfId="7852" xr:uid="{00000000-0005-0000-0000-0000A41E0000}"/>
    <cellStyle name="Calculation 2 4 2 4 3 2 6" xfId="7853" xr:uid="{00000000-0005-0000-0000-0000A51E0000}"/>
    <cellStyle name="Calculation 2 4 2 4 3 3" xfId="7854" xr:uid="{00000000-0005-0000-0000-0000A61E0000}"/>
    <cellStyle name="Calculation 2 4 2 4 3 4" xfId="7855" xr:uid="{00000000-0005-0000-0000-0000A71E0000}"/>
    <cellStyle name="Calculation 2 4 2 4 3 5" xfId="7856" xr:uid="{00000000-0005-0000-0000-0000A81E0000}"/>
    <cellStyle name="Calculation 2 4 2 4 3 6" xfId="7857" xr:uid="{00000000-0005-0000-0000-0000A91E0000}"/>
    <cellStyle name="Calculation 2 4 2 4 4" xfId="7858" xr:uid="{00000000-0005-0000-0000-0000AA1E0000}"/>
    <cellStyle name="Calculation 2 4 2 4 4 2" xfId="7859" xr:uid="{00000000-0005-0000-0000-0000AB1E0000}"/>
    <cellStyle name="Calculation 2 4 2 4 4 3" xfId="7860" xr:uid="{00000000-0005-0000-0000-0000AC1E0000}"/>
    <cellStyle name="Calculation 2 4 2 4 4 4" xfId="7861" xr:uid="{00000000-0005-0000-0000-0000AD1E0000}"/>
    <cellStyle name="Calculation 2 4 2 4 4 5" xfId="7862" xr:uid="{00000000-0005-0000-0000-0000AE1E0000}"/>
    <cellStyle name="Calculation 2 4 2 4 4 6" xfId="7863" xr:uid="{00000000-0005-0000-0000-0000AF1E0000}"/>
    <cellStyle name="Calculation 2 4 2 4 5" xfId="7864" xr:uid="{00000000-0005-0000-0000-0000B01E0000}"/>
    <cellStyle name="Calculation 2 4 2 4 6" xfId="7865" xr:uid="{00000000-0005-0000-0000-0000B11E0000}"/>
    <cellStyle name="Calculation 2 4 2 4 7" xfId="7866" xr:uid="{00000000-0005-0000-0000-0000B21E0000}"/>
    <cellStyle name="Calculation 2 4 2 4 8" xfId="7867" xr:uid="{00000000-0005-0000-0000-0000B31E0000}"/>
    <cellStyle name="Calculation 2 4 2 5" xfId="7868" xr:uid="{00000000-0005-0000-0000-0000B41E0000}"/>
    <cellStyle name="Calculation 2 4 2 5 2" xfId="7869" xr:uid="{00000000-0005-0000-0000-0000B51E0000}"/>
    <cellStyle name="Calculation 2 4 2 5 2 2" xfId="7870" xr:uid="{00000000-0005-0000-0000-0000B61E0000}"/>
    <cellStyle name="Calculation 2 4 2 5 2 2 2" xfId="7871" xr:uid="{00000000-0005-0000-0000-0000B71E0000}"/>
    <cellStyle name="Calculation 2 4 2 5 2 2 3" xfId="7872" xr:uid="{00000000-0005-0000-0000-0000B81E0000}"/>
    <cellStyle name="Calculation 2 4 2 5 2 2 4" xfId="7873" xr:uid="{00000000-0005-0000-0000-0000B91E0000}"/>
    <cellStyle name="Calculation 2 4 2 5 2 2 5" xfId="7874" xr:uid="{00000000-0005-0000-0000-0000BA1E0000}"/>
    <cellStyle name="Calculation 2 4 2 5 2 2 6" xfId="7875" xr:uid="{00000000-0005-0000-0000-0000BB1E0000}"/>
    <cellStyle name="Calculation 2 4 2 5 2 3" xfId="7876" xr:uid="{00000000-0005-0000-0000-0000BC1E0000}"/>
    <cellStyle name="Calculation 2 4 2 5 2 4" xfId="7877" xr:uid="{00000000-0005-0000-0000-0000BD1E0000}"/>
    <cellStyle name="Calculation 2 4 2 5 2 5" xfId="7878" xr:uid="{00000000-0005-0000-0000-0000BE1E0000}"/>
    <cellStyle name="Calculation 2 4 2 5 2 6" xfId="7879" xr:uid="{00000000-0005-0000-0000-0000BF1E0000}"/>
    <cellStyle name="Calculation 2 4 2 5 3" xfId="7880" xr:uid="{00000000-0005-0000-0000-0000C01E0000}"/>
    <cellStyle name="Calculation 2 4 2 5 3 2" xfId="7881" xr:uid="{00000000-0005-0000-0000-0000C11E0000}"/>
    <cellStyle name="Calculation 2 4 2 5 3 2 2" xfId="7882" xr:uid="{00000000-0005-0000-0000-0000C21E0000}"/>
    <cellStyle name="Calculation 2 4 2 5 3 2 3" xfId="7883" xr:uid="{00000000-0005-0000-0000-0000C31E0000}"/>
    <cellStyle name="Calculation 2 4 2 5 3 2 4" xfId="7884" xr:uid="{00000000-0005-0000-0000-0000C41E0000}"/>
    <cellStyle name="Calculation 2 4 2 5 3 2 5" xfId="7885" xr:uid="{00000000-0005-0000-0000-0000C51E0000}"/>
    <cellStyle name="Calculation 2 4 2 5 3 2 6" xfId="7886" xr:uid="{00000000-0005-0000-0000-0000C61E0000}"/>
    <cellStyle name="Calculation 2 4 2 5 3 3" xfId="7887" xr:uid="{00000000-0005-0000-0000-0000C71E0000}"/>
    <cellStyle name="Calculation 2 4 2 5 3 4" xfId="7888" xr:uid="{00000000-0005-0000-0000-0000C81E0000}"/>
    <cellStyle name="Calculation 2 4 2 5 3 5" xfId="7889" xr:uid="{00000000-0005-0000-0000-0000C91E0000}"/>
    <cellStyle name="Calculation 2 4 2 5 3 6" xfId="7890" xr:uid="{00000000-0005-0000-0000-0000CA1E0000}"/>
    <cellStyle name="Calculation 2 4 2 5 4" xfId="7891" xr:uid="{00000000-0005-0000-0000-0000CB1E0000}"/>
    <cellStyle name="Calculation 2 4 2 5 4 2" xfId="7892" xr:uid="{00000000-0005-0000-0000-0000CC1E0000}"/>
    <cellStyle name="Calculation 2 4 2 5 4 3" xfId="7893" xr:uid="{00000000-0005-0000-0000-0000CD1E0000}"/>
    <cellStyle name="Calculation 2 4 2 5 4 4" xfId="7894" xr:uid="{00000000-0005-0000-0000-0000CE1E0000}"/>
    <cellStyle name="Calculation 2 4 2 5 4 5" xfId="7895" xr:uid="{00000000-0005-0000-0000-0000CF1E0000}"/>
    <cellStyle name="Calculation 2 4 2 5 4 6" xfId="7896" xr:uid="{00000000-0005-0000-0000-0000D01E0000}"/>
    <cellStyle name="Calculation 2 4 2 5 5" xfId="7897" xr:uid="{00000000-0005-0000-0000-0000D11E0000}"/>
    <cellStyle name="Calculation 2 4 2 5 6" xfId="7898" xr:uid="{00000000-0005-0000-0000-0000D21E0000}"/>
    <cellStyle name="Calculation 2 4 2 5 7" xfId="7899" xr:uid="{00000000-0005-0000-0000-0000D31E0000}"/>
    <cellStyle name="Calculation 2 4 2 5 8" xfId="7900" xr:uid="{00000000-0005-0000-0000-0000D41E0000}"/>
    <cellStyle name="Calculation 2 4 2 6" xfId="7901" xr:uid="{00000000-0005-0000-0000-0000D51E0000}"/>
    <cellStyle name="Calculation 2 4 2 6 2" xfId="7902" xr:uid="{00000000-0005-0000-0000-0000D61E0000}"/>
    <cellStyle name="Calculation 2 4 2 6 2 2" xfId="7903" xr:uid="{00000000-0005-0000-0000-0000D71E0000}"/>
    <cellStyle name="Calculation 2 4 2 6 2 2 2" xfId="7904" xr:uid="{00000000-0005-0000-0000-0000D81E0000}"/>
    <cellStyle name="Calculation 2 4 2 6 2 2 3" xfId="7905" xr:uid="{00000000-0005-0000-0000-0000D91E0000}"/>
    <cellStyle name="Calculation 2 4 2 6 2 2 4" xfId="7906" xr:uid="{00000000-0005-0000-0000-0000DA1E0000}"/>
    <cellStyle name="Calculation 2 4 2 6 2 2 5" xfId="7907" xr:uid="{00000000-0005-0000-0000-0000DB1E0000}"/>
    <cellStyle name="Calculation 2 4 2 6 2 2 6" xfId="7908" xr:uid="{00000000-0005-0000-0000-0000DC1E0000}"/>
    <cellStyle name="Calculation 2 4 2 6 2 3" xfId="7909" xr:uid="{00000000-0005-0000-0000-0000DD1E0000}"/>
    <cellStyle name="Calculation 2 4 2 6 2 4" xfId="7910" xr:uid="{00000000-0005-0000-0000-0000DE1E0000}"/>
    <cellStyle name="Calculation 2 4 2 6 2 5" xfId="7911" xr:uid="{00000000-0005-0000-0000-0000DF1E0000}"/>
    <cellStyle name="Calculation 2 4 2 6 2 6" xfId="7912" xr:uid="{00000000-0005-0000-0000-0000E01E0000}"/>
    <cellStyle name="Calculation 2 4 2 6 3" xfId="7913" xr:uid="{00000000-0005-0000-0000-0000E11E0000}"/>
    <cellStyle name="Calculation 2 4 2 6 3 2" xfId="7914" xr:uid="{00000000-0005-0000-0000-0000E21E0000}"/>
    <cellStyle name="Calculation 2 4 2 6 3 2 2" xfId="7915" xr:uid="{00000000-0005-0000-0000-0000E31E0000}"/>
    <cellStyle name="Calculation 2 4 2 6 3 2 3" xfId="7916" xr:uid="{00000000-0005-0000-0000-0000E41E0000}"/>
    <cellStyle name="Calculation 2 4 2 6 3 2 4" xfId="7917" xr:uid="{00000000-0005-0000-0000-0000E51E0000}"/>
    <cellStyle name="Calculation 2 4 2 6 3 2 5" xfId="7918" xr:uid="{00000000-0005-0000-0000-0000E61E0000}"/>
    <cellStyle name="Calculation 2 4 2 6 3 2 6" xfId="7919" xr:uid="{00000000-0005-0000-0000-0000E71E0000}"/>
    <cellStyle name="Calculation 2 4 2 6 3 3" xfId="7920" xr:uid="{00000000-0005-0000-0000-0000E81E0000}"/>
    <cellStyle name="Calculation 2 4 2 6 3 4" xfId="7921" xr:uid="{00000000-0005-0000-0000-0000E91E0000}"/>
    <cellStyle name="Calculation 2 4 2 6 3 5" xfId="7922" xr:uid="{00000000-0005-0000-0000-0000EA1E0000}"/>
    <cellStyle name="Calculation 2 4 2 6 3 6" xfId="7923" xr:uid="{00000000-0005-0000-0000-0000EB1E0000}"/>
    <cellStyle name="Calculation 2 4 2 6 4" xfId="7924" xr:uid="{00000000-0005-0000-0000-0000EC1E0000}"/>
    <cellStyle name="Calculation 2 4 2 6 4 2" xfId="7925" xr:uid="{00000000-0005-0000-0000-0000ED1E0000}"/>
    <cellStyle name="Calculation 2 4 2 6 4 3" xfId="7926" xr:uid="{00000000-0005-0000-0000-0000EE1E0000}"/>
    <cellStyle name="Calculation 2 4 2 6 4 4" xfId="7927" xr:uid="{00000000-0005-0000-0000-0000EF1E0000}"/>
    <cellStyle name="Calculation 2 4 2 6 4 5" xfId="7928" xr:uid="{00000000-0005-0000-0000-0000F01E0000}"/>
    <cellStyle name="Calculation 2 4 2 6 4 6" xfId="7929" xr:uid="{00000000-0005-0000-0000-0000F11E0000}"/>
    <cellStyle name="Calculation 2 4 2 6 5" xfId="7930" xr:uid="{00000000-0005-0000-0000-0000F21E0000}"/>
    <cellStyle name="Calculation 2 4 2 6 6" xfId="7931" xr:uid="{00000000-0005-0000-0000-0000F31E0000}"/>
    <cellStyle name="Calculation 2 4 2 6 7" xfId="7932" xr:uid="{00000000-0005-0000-0000-0000F41E0000}"/>
    <cellStyle name="Calculation 2 4 2 6 8" xfId="7933" xr:uid="{00000000-0005-0000-0000-0000F51E0000}"/>
    <cellStyle name="Calculation 2 4 2 7" xfId="7934" xr:uid="{00000000-0005-0000-0000-0000F61E0000}"/>
    <cellStyle name="Calculation 2 4 2 7 2" xfId="7935" xr:uid="{00000000-0005-0000-0000-0000F71E0000}"/>
    <cellStyle name="Calculation 2 4 2 7 2 2" xfId="7936" xr:uid="{00000000-0005-0000-0000-0000F81E0000}"/>
    <cellStyle name="Calculation 2 4 2 7 2 3" xfId="7937" xr:uid="{00000000-0005-0000-0000-0000F91E0000}"/>
    <cellStyle name="Calculation 2 4 2 7 2 4" xfId="7938" xr:uid="{00000000-0005-0000-0000-0000FA1E0000}"/>
    <cellStyle name="Calculation 2 4 2 7 2 5" xfId="7939" xr:uid="{00000000-0005-0000-0000-0000FB1E0000}"/>
    <cellStyle name="Calculation 2 4 2 7 2 6" xfId="7940" xr:uid="{00000000-0005-0000-0000-0000FC1E0000}"/>
    <cellStyle name="Calculation 2 4 2 7 3" xfId="7941" xr:uid="{00000000-0005-0000-0000-0000FD1E0000}"/>
    <cellStyle name="Calculation 2 4 2 7 4" xfId="7942" xr:uid="{00000000-0005-0000-0000-0000FE1E0000}"/>
    <cellStyle name="Calculation 2 4 2 7 5" xfId="7943" xr:uid="{00000000-0005-0000-0000-0000FF1E0000}"/>
    <cellStyle name="Calculation 2 4 2 7 6" xfId="7944" xr:uid="{00000000-0005-0000-0000-0000001F0000}"/>
    <cellStyle name="Calculation 2 4 2 8" xfId="7945" xr:uid="{00000000-0005-0000-0000-0000011F0000}"/>
    <cellStyle name="Calculation 2 4 2 8 2" xfId="7946" xr:uid="{00000000-0005-0000-0000-0000021F0000}"/>
    <cellStyle name="Calculation 2 4 2 8 2 2" xfId="7947" xr:uid="{00000000-0005-0000-0000-0000031F0000}"/>
    <cellStyle name="Calculation 2 4 2 8 2 3" xfId="7948" xr:uid="{00000000-0005-0000-0000-0000041F0000}"/>
    <cellStyle name="Calculation 2 4 2 8 2 4" xfId="7949" xr:uid="{00000000-0005-0000-0000-0000051F0000}"/>
    <cellStyle name="Calculation 2 4 2 8 2 5" xfId="7950" xr:uid="{00000000-0005-0000-0000-0000061F0000}"/>
    <cellStyle name="Calculation 2 4 2 8 2 6" xfId="7951" xr:uid="{00000000-0005-0000-0000-0000071F0000}"/>
    <cellStyle name="Calculation 2 4 2 8 3" xfId="7952" xr:uid="{00000000-0005-0000-0000-0000081F0000}"/>
    <cellStyle name="Calculation 2 4 2 8 4" xfId="7953" xr:uid="{00000000-0005-0000-0000-0000091F0000}"/>
    <cellStyle name="Calculation 2 4 2 8 5" xfId="7954" xr:uid="{00000000-0005-0000-0000-00000A1F0000}"/>
    <cellStyle name="Calculation 2 4 2 8 6" xfId="7955" xr:uid="{00000000-0005-0000-0000-00000B1F0000}"/>
    <cellStyle name="Calculation 2 4 2 9" xfId="7956" xr:uid="{00000000-0005-0000-0000-00000C1F0000}"/>
    <cellStyle name="Calculation 2 4 2 9 2" xfId="7957" xr:uid="{00000000-0005-0000-0000-00000D1F0000}"/>
    <cellStyle name="Calculation 2 4 2 9 3" xfId="7958" xr:uid="{00000000-0005-0000-0000-00000E1F0000}"/>
    <cellStyle name="Calculation 2 4 2 9 4" xfId="7959" xr:uid="{00000000-0005-0000-0000-00000F1F0000}"/>
    <cellStyle name="Calculation 2 4 2 9 5" xfId="7960" xr:uid="{00000000-0005-0000-0000-0000101F0000}"/>
    <cellStyle name="Calculation 2 4 2 9 6" xfId="7961" xr:uid="{00000000-0005-0000-0000-0000111F0000}"/>
    <cellStyle name="Calculation 2 4 3" xfId="7962" xr:uid="{00000000-0005-0000-0000-0000121F0000}"/>
    <cellStyle name="Calculation 2 4 3 2" xfId="7963" xr:uid="{00000000-0005-0000-0000-0000131F0000}"/>
    <cellStyle name="Calculation 2 4 3 2 2" xfId="7964" xr:uid="{00000000-0005-0000-0000-0000141F0000}"/>
    <cellStyle name="Calculation 2 4 3 2 2 2" xfId="7965" xr:uid="{00000000-0005-0000-0000-0000151F0000}"/>
    <cellStyle name="Calculation 2 4 3 2 2 3" xfId="7966" xr:uid="{00000000-0005-0000-0000-0000161F0000}"/>
    <cellStyle name="Calculation 2 4 3 2 2 4" xfId="7967" xr:uid="{00000000-0005-0000-0000-0000171F0000}"/>
    <cellStyle name="Calculation 2 4 3 2 2 5" xfId="7968" xr:uid="{00000000-0005-0000-0000-0000181F0000}"/>
    <cellStyle name="Calculation 2 4 3 2 2 6" xfId="7969" xr:uid="{00000000-0005-0000-0000-0000191F0000}"/>
    <cellStyle name="Calculation 2 4 3 2 3" xfId="7970" xr:uid="{00000000-0005-0000-0000-00001A1F0000}"/>
    <cellStyle name="Calculation 2 4 3 2 4" xfId="7971" xr:uid="{00000000-0005-0000-0000-00001B1F0000}"/>
    <cellStyle name="Calculation 2 4 3 2 5" xfId="7972" xr:uid="{00000000-0005-0000-0000-00001C1F0000}"/>
    <cellStyle name="Calculation 2 4 3 2 6" xfId="7973" xr:uid="{00000000-0005-0000-0000-00001D1F0000}"/>
    <cellStyle name="Calculation 2 4 3 3" xfId="7974" xr:uid="{00000000-0005-0000-0000-00001E1F0000}"/>
    <cellStyle name="Calculation 2 4 3 3 2" xfId="7975" xr:uid="{00000000-0005-0000-0000-00001F1F0000}"/>
    <cellStyle name="Calculation 2 4 3 3 2 2" xfId="7976" xr:uid="{00000000-0005-0000-0000-0000201F0000}"/>
    <cellStyle name="Calculation 2 4 3 3 2 3" xfId="7977" xr:uid="{00000000-0005-0000-0000-0000211F0000}"/>
    <cellStyle name="Calculation 2 4 3 3 2 4" xfId="7978" xr:uid="{00000000-0005-0000-0000-0000221F0000}"/>
    <cellStyle name="Calculation 2 4 3 3 2 5" xfId="7979" xr:uid="{00000000-0005-0000-0000-0000231F0000}"/>
    <cellStyle name="Calculation 2 4 3 3 2 6" xfId="7980" xr:uid="{00000000-0005-0000-0000-0000241F0000}"/>
    <cellStyle name="Calculation 2 4 3 3 3" xfId="7981" xr:uid="{00000000-0005-0000-0000-0000251F0000}"/>
    <cellStyle name="Calculation 2 4 3 3 4" xfId="7982" xr:uid="{00000000-0005-0000-0000-0000261F0000}"/>
    <cellStyle name="Calculation 2 4 3 3 5" xfId="7983" xr:uid="{00000000-0005-0000-0000-0000271F0000}"/>
    <cellStyle name="Calculation 2 4 3 3 6" xfId="7984" xr:uid="{00000000-0005-0000-0000-0000281F0000}"/>
    <cellStyle name="Calculation 2 4 3 4" xfId="7985" xr:uid="{00000000-0005-0000-0000-0000291F0000}"/>
    <cellStyle name="Calculation 2 4 3 4 2" xfId="7986" xr:uid="{00000000-0005-0000-0000-00002A1F0000}"/>
    <cellStyle name="Calculation 2 4 3 4 3" xfId="7987" xr:uid="{00000000-0005-0000-0000-00002B1F0000}"/>
    <cellStyle name="Calculation 2 4 3 4 4" xfId="7988" xr:uid="{00000000-0005-0000-0000-00002C1F0000}"/>
    <cellStyle name="Calculation 2 4 3 4 5" xfId="7989" xr:uid="{00000000-0005-0000-0000-00002D1F0000}"/>
    <cellStyle name="Calculation 2 4 3 4 6" xfId="7990" xr:uid="{00000000-0005-0000-0000-00002E1F0000}"/>
    <cellStyle name="Calculation 2 4 3 5" xfId="7991" xr:uid="{00000000-0005-0000-0000-00002F1F0000}"/>
    <cellStyle name="Calculation 2 4 3 6" xfId="7992" xr:uid="{00000000-0005-0000-0000-0000301F0000}"/>
    <cellStyle name="Calculation 2 4 3 7" xfId="7993" xr:uid="{00000000-0005-0000-0000-0000311F0000}"/>
    <cellStyle name="Calculation 2 4 3 8" xfId="7994" xr:uid="{00000000-0005-0000-0000-0000321F0000}"/>
    <cellStyle name="Calculation 2 4 4" xfId="7995" xr:uid="{00000000-0005-0000-0000-0000331F0000}"/>
    <cellStyle name="Calculation 2 4 4 2" xfId="7996" xr:uid="{00000000-0005-0000-0000-0000341F0000}"/>
    <cellStyle name="Calculation 2 4 4 2 2" xfId="7997" xr:uid="{00000000-0005-0000-0000-0000351F0000}"/>
    <cellStyle name="Calculation 2 4 4 2 2 2" xfId="7998" xr:uid="{00000000-0005-0000-0000-0000361F0000}"/>
    <cellStyle name="Calculation 2 4 4 2 2 3" xfId="7999" xr:uid="{00000000-0005-0000-0000-0000371F0000}"/>
    <cellStyle name="Calculation 2 4 4 2 2 4" xfId="8000" xr:uid="{00000000-0005-0000-0000-0000381F0000}"/>
    <cellStyle name="Calculation 2 4 4 2 2 5" xfId="8001" xr:uid="{00000000-0005-0000-0000-0000391F0000}"/>
    <cellStyle name="Calculation 2 4 4 2 2 6" xfId="8002" xr:uid="{00000000-0005-0000-0000-00003A1F0000}"/>
    <cellStyle name="Calculation 2 4 4 2 3" xfId="8003" xr:uid="{00000000-0005-0000-0000-00003B1F0000}"/>
    <cellStyle name="Calculation 2 4 4 2 4" xfId="8004" xr:uid="{00000000-0005-0000-0000-00003C1F0000}"/>
    <cellStyle name="Calculation 2 4 4 2 5" xfId="8005" xr:uid="{00000000-0005-0000-0000-00003D1F0000}"/>
    <cellStyle name="Calculation 2 4 4 2 6" xfId="8006" xr:uid="{00000000-0005-0000-0000-00003E1F0000}"/>
    <cellStyle name="Calculation 2 4 4 3" xfId="8007" xr:uid="{00000000-0005-0000-0000-00003F1F0000}"/>
    <cellStyle name="Calculation 2 4 4 3 2" xfId="8008" xr:uid="{00000000-0005-0000-0000-0000401F0000}"/>
    <cellStyle name="Calculation 2 4 4 3 2 2" xfId="8009" xr:uid="{00000000-0005-0000-0000-0000411F0000}"/>
    <cellStyle name="Calculation 2 4 4 3 2 3" xfId="8010" xr:uid="{00000000-0005-0000-0000-0000421F0000}"/>
    <cellStyle name="Calculation 2 4 4 3 2 4" xfId="8011" xr:uid="{00000000-0005-0000-0000-0000431F0000}"/>
    <cellStyle name="Calculation 2 4 4 3 2 5" xfId="8012" xr:uid="{00000000-0005-0000-0000-0000441F0000}"/>
    <cellStyle name="Calculation 2 4 4 3 2 6" xfId="8013" xr:uid="{00000000-0005-0000-0000-0000451F0000}"/>
    <cellStyle name="Calculation 2 4 4 3 3" xfId="8014" xr:uid="{00000000-0005-0000-0000-0000461F0000}"/>
    <cellStyle name="Calculation 2 4 4 3 4" xfId="8015" xr:uid="{00000000-0005-0000-0000-0000471F0000}"/>
    <cellStyle name="Calculation 2 4 4 3 5" xfId="8016" xr:uid="{00000000-0005-0000-0000-0000481F0000}"/>
    <cellStyle name="Calculation 2 4 4 3 6" xfId="8017" xr:uid="{00000000-0005-0000-0000-0000491F0000}"/>
    <cellStyle name="Calculation 2 4 4 4" xfId="8018" xr:uid="{00000000-0005-0000-0000-00004A1F0000}"/>
    <cellStyle name="Calculation 2 4 4 4 2" xfId="8019" xr:uid="{00000000-0005-0000-0000-00004B1F0000}"/>
    <cellStyle name="Calculation 2 4 4 4 3" xfId="8020" xr:uid="{00000000-0005-0000-0000-00004C1F0000}"/>
    <cellStyle name="Calculation 2 4 4 4 4" xfId="8021" xr:uid="{00000000-0005-0000-0000-00004D1F0000}"/>
    <cellStyle name="Calculation 2 4 4 4 5" xfId="8022" xr:uid="{00000000-0005-0000-0000-00004E1F0000}"/>
    <cellStyle name="Calculation 2 4 4 4 6" xfId="8023" xr:uid="{00000000-0005-0000-0000-00004F1F0000}"/>
    <cellStyle name="Calculation 2 4 4 5" xfId="8024" xr:uid="{00000000-0005-0000-0000-0000501F0000}"/>
    <cellStyle name="Calculation 2 4 4 6" xfId="8025" xr:uid="{00000000-0005-0000-0000-0000511F0000}"/>
    <cellStyle name="Calculation 2 4 4 7" xfId="8026" xr:uid="{00000000-0005-0000-0000-0000521F0000}"/>
    <cellStyle name="Calculation 2 4 4 8" xfId="8027" xr:uid="{00000000-0005-0000-0000-0000531F0000}"/>
    <cellStyle name="Calculation 2 4 5" xfId="8028" xr:uid="{00000000-0005-0000-0000-0000541F0000}"/>
    <cellStyle name="Calculation 2 4 5 2" xfId="8029" xr:uid="{00000000-0005-0000-0000-0000551F0000}"/>
    <cellStyle name="Calculation 2 4 5 2 2" xfId="8030" xr:uid="{00000000-0005-0000-0000-0000561F0000}"/>
    <cellStyle name="Calculation 2 4 5 2 2 2" xfId="8031" xr:uid="{00000000-0005-0000-0000-0000571F0000}"/>
    <cellStyle name="Calculation 2 4 5 2 2 3" xfId="8032" xr:uid="{00000000-0005-0000-0000-0000581F0000}"/>
    <cellStyle name="Calculation 2 4 5 2 2 4" xfId="8033" xr:uid="{00000000-0005-0000-0000-0000591F0000}"/>
    <cellStyle name="Calculation 2 4 5 2 2 5" xfId="8034" xr:uid="{00000000-0005-0000-0000-00005A1F0000}"/>
    <cellStyle name="Calculation 2 4 5 2 2 6" xfId="8035" xr:uid="{00000000-0005-0000-0000-00005B1F0000}"/>
    <cellStyle name="Calculation 2 4 5 2 3" xfId="8036" xr:uid="{00000000-0005-0000-0000-00005C1F0000}"/>
    <cellStyle name="Calculation 2 4 5 2 4" xfId="8037" xr:uid="{00000000-0005-0000-0000-00005D1F0000}"/>
    <cellStyle name="Calculation 2 4 5 2 5" xfId="8038" xr:uid="{00000000-0005-0000-0000-00005E1F0000}"/>
    <cellStyle name="Calculation 2 4 5 2 6" xfId="8039" xr:uid="{00000000-0005-0000-0000-00005F1F0000}"/>
    <cellStyle name="Calculation 2 4 5 3" xfId="8040" xr:uid="{00000000-0005-0000-0000-0000601F0000}"/>
    <cellStyle name="Calculation 2 4 5 3 2" xfId="8041" xr:uid="{00000000-0005-0000-0000-0000611F0000}"/>
    <cellStyle name="Calculation 2 4 5 3 2 2" xfId="8042" xr:uid="{00000000-0005-0000-0000-0000621F0000}"/>
    <cellStyle name="Calculation 2 4 5 3 2 3" xfId="8043" xr:uid="{00000000-0005-0000-0000-0000631F0000}"/>
    <cellStyle name="Calculation 2 4 5 3 2 4" xfId="8044" xr:uid="{00000000-0005-0000-0000-0000641F0000}"/>
    <cellStyle name="Calculation 2 4 5 3 2 5" xfId="8045" xr:uid="{00000000-0005-0000-0000-0000651F0000}"/>
    <cellStyle name="Calculation 2 4 5 3 2 6" xfId="8046" xr:uid="{00000000-0005-0000-0000-0000661F0000}"/>
    <cellStyle name="Calculation 2 4 5 3 3" xfId="8047" xr:uid="{00000000-0005-0000-0000-0000671F0000}"/>
    <cellStyle name="Calculation 2 4 5 3 4" xfId="8048" xr:uid="{00000000-0005-0000-0000-0000681F0000}"/>
    <cellStyle name="Calculation 2 4 5 3 5" xfId="8049" xr:uid="{00000000-0005-0000-0000-0000691F0000}"/>
    <cellStyle name="Calculation 2 4 5 3 6" xfId="8050" xr:uid="{00000000-0005-0000-0000-00006A1F0000}"/>
    <cellStyle name="Calculation 2 4 5 4" xfId="8051" xr:uid="{00000000-0005-0000-0000-00006B1F0000}"/>
    <cellStyle name="Calculation 2 4 5 4 2" xfId="8052" xr:uid="{00000000-0005-0000-0000-00006C1F0000}"/>
    <cellStyle name="Calculation 2 4 5 4 3" xfId="8053" xr:uid="{00000000-0005-0000-0000-00006D1F0000}"/>
    <cellStyle name="Calculation 2 4 5 4 4" xfId="8054" xr:uid="{00000000-0005-0000-0000-00006E1F0000}"/>
    <cellStyle name="Calculation 2 4 5 4 5" xfId="8055" xr:uid="{00000000-0005-0000-0000-00006F1F0000}"/>
    <cellStyle name="Calculation 2 4 5 4 6" xfId="8056" xr:uid="{00000000-0005-0000-0000-0000701F0000}"/>
    <cellStyle name="Calculation 2 4 5 5" xfId="8057" xr:uid="{00000000-0005-0000-0000-0000711F0000}"/>
    <cellStyle name="Calculation 2 4 5 6" xfId="8058" xr:uid="{00000000-0005-0000-0000-0000721F0000}"/>
    <cellStyle name="Calculation 2 4 5 7" xfId="8059" xr:uid="{00000000-0005-0000-0000-0000731F0000}"/>
    <cellStyle name="Calculation 2 4 5 8" xfId="8060" xr:uid="{00000000-0005-0000-0000-0000741F0000}"/>
    <cellStyle name="Calculation 2 4 6" xfId="8061" xr:uid="{00000000-0005-0000-0000-0000751F0000}"/>
    <cellStyle name="Calculation 2 4 6 2" xfId="8062" xr:uid="{00000000-0005-0000-0000-0000761F0000}"/>
    <cellStyle name="Calculation 2 4 6 2 2" xfId="8063" xr:uid="{00000000-0005-0000-0000-0000771F0000}"/>
    <cellStyle name="Calculation 2 4 6 2 2 2" xfId="8064" xr:uid="{00000000-0005-0000-0000-0000781F0000}"/>
    <cellStyle name="Calculation 2 4 6 2 2 3" xfId="8065" xr:uid="{00000000-0005-0000-0000-0000791F0000}"/>
    <cellStyle name="Calculation 2 4 6 2 2 4" xfId="8066" xr:uid="{00000000-0005-0000-0000-00007A1F0000}"/>
    <cellStyle name="Calculation 2 4 6 2 2 5" xfId="8067" xr:uid="{00000000-0005-0000-0000-00007B1F0000}"/>
    <cellStyle name="Calculation 2 4 6 2 2 6" xfId="8068" xr:uid="{00000000-0005-0000-0000-00007C1F0000}"/>
    <cellStyle name="Calculation 2 4 6 2 3" xfId="8069" xr:uid="{00000000-0005-0000-0000-00007D1F0000}"/>
    <cellStyle name="Calculation 2 4 6 2 4" xfId="8070" xr:uid="{00000000-0005-0000-0000-00007E1F0000}"/>
    <cellStyle name="Calculation 2 4 6 2 5" xfId="8071" xr:uid="{00000000-0005-0000-0000-00007F1F0000}"/>
    <cellStyle name="Calculation 2 4 6 2 6" xfId="8072" xr:uid="{00000000-0005-0000-0000-0000801F0000}"/>
    <cellStyle name="Calculation 2 4 6 3" xfId="8073" xr:uid="{00000000-0005-0000-0000-0000811F0000}"/>
    <cellStyle name="Calculation 2 4 6 3 2" xfId="8074" xr:uid="{00000000-0005-0000-0000-0000821F0000}"/>
    <cellStyle name="Calculation 2 4 6 3 2 2" xfId="8075" xr:uid="{00000000-0005-0000-0000-0000831F0000}"/>
    <cellStyle name="Calculation 2 4 6 3 2 3" xfId="8076" xr:uid="{00000000-0005-0000-0000-0000841F0000}"/>
    <cellStyle name="Calculation 2 4 6 3 2 4" xfId="8077" xr:uid="{00000000-0005-0000-0000-0000851F0000}"/>
    <cellStyle name="Calculation 2 4 6 3 2 5" xfId="8078" xr:uid="{00000000-0005-0000-0000-0000861F0000}"/>
    <cellStyle name="Calculation 2 4 6 3 2 6" xfId="8079" xr:uid="{00000000-0005-0000-0000-0000871F0000}"/>
    <cellStyle name="Calculation 2 4 6 3 3" xfId="8080" xr:uid="{00000000-0005-0000-0000-0000881F0000}"/>
    <cellStyle name="Calculation 2 4 6 3 4" xfId="8081" xr:uid="{00000000-0005-0000-0000-0000891F0000}"/>
    <cellStyle name="Calculation 2 4 6 3 5" xfId="8082" xr:uid="{00000000-0005-0000-0000-00008A1F0000}"/>
    <cellStyle name="Calculation 2 4 6 3 6" xfId="8083" xr:uid="{00000000-0005-0000-0000-00008B1F0000}"/>
    <cellStyle name="Calculation 2 4 6 4" xfId="8084" xr:uid="{00000000-0005-0000-0000-00008C1F0000}"/>
    <cellStyle name="Calculation 2 4 6 4 2" xfId="8085" xr:uid="{00000000-0005-0000-0000-00008D1F0000}"/>
    <cellStyle name="Calculation 2 4 6 4 3" xfId="8086" xr:uid="{00000000-0005-0000-0000-00008E1F0000}"/>
    <cellStyle name="Calculation 2 4 6 4 4" xfId="8087" xr:uid="{00000000-0005-0000-0000-00008F1F0000}"/>
    <cellStyle name="Calculation 2 4 6 4 5" xfId="8088" xr:uid="{00000000-0005-0000-0000-0000901F0000}"/>
    <cellStyle name="Calculation 2 4 6 4 6" xfId="8089" xr:uid="{00000000-0005-0000-0000-0000911F0000}"/>
    <cellStyle name="Calculation 2 4 6 5" xfId="8090" xr:uid="{00000000-0005-0000-0000-0000921F0000}"/>
    <cellStyle name="Calculation 2 4 6 6" xfId="8091" xr:uid="{00000000-0005-0000-0000-0000931F0000}"/>
    <cellStyle name="Calculation 2 4 6 7" xfId="8092" xr:uid="{00000000-0005-0000-0000-0000941F0000}"/>
    <cellStyle name="Calculation 2 4 6 8" xfId="8093" xr:uid="{00000000-0005-0000-0000-0000951F0000}"/>
    <cellStyle name="Calculation 2 4 7" xfId="8094" xr:uid="{00000000-0005-0000-0000-0000961F0000}"/>
    <cellStyle name="Calculation 2 4 7 2" xfId="8095" xr:uid="{00000000-0005-0000-0000-0000971F0000}"/>
    <cellStyle name="Calculation 2 4 7 2 2" xfId="8096" xr:uid="{00000000-0005-0000-0000-0000981F0000}"/>
    <cellStyle name="Calculation 2 4 7 2 2 2" xfId="8097" xr:uid="{00000000-0005-0000-0000-0000991F0000}"/>
    <cellStyle name="Calculation 2 4 7 2 2 3" xfId="8098" xr:uid="{00000000-0005-0000-0000-00009A1F0000}"/>
    <cellStyle name="Calculation 2 4 7 2 2 4" xfId="8099" xr:uid="{00000000-0005-0000-0000-00009B1F0000}"/>
    <cellStyle name="Calculation 2 4 7 2 2 5" xfId="8100" xr:uid="{00000000-0005-0000-0000-00009C1F0000}"/>
    <cellStyle name="Calculation 2 4 7 2 2 6" xfId="8101" xr:uid="{00000000-0005-0000-0000-00009D1F0000}"/>
    <cellStyle name="Calculation 2 4 7 2 3" xfId="8102" xr:uid="{00000000-0005-0000-0000-00009E1F0000}"/>
    <cellStyle name="Calculation 2 4 7 2 4" xfId="8103" xr:uid="{00000000-0005-0000-0000-00009F1F0000}"/>
    <cellStyle name="Calculation 2 4 7 2 5" xfId="8104" xr:uid="{00000000-0005-0000-0000-0000A01F0000}"/>
    <cellStyle name="Calculation 2 4 7 2 6" xfId="8105" xr:uid="{00000000-0005-0000-0000-0000A11F0000}"/>
    <cellStyle name="Calculation 2 4 7 3" xfId="8106" xr:uid="{00000000-0005-0000-0000-0000A21F0000}"/>
    <cellStyle name="Calculation 2 4 7 3 2" xfId="8107" xr:uid="{00000000-0005-0000-0000-0000A31F0000}"/>
    <cellStyle name="Calculation 2 4 7 3 2 2" xfId="8108" xr:uid="{00000000-0005-0000-0000-0000A41F0000}"/>
    <cellStyle name="Calculation 2 4 7 3 2 3" xfId="8109" xr:uid="{00000000-0005-0000-0000-0000A51F0000}"/>
    <cellStyle name="Calculation 2 4 7 3 2 4" xfId="8110" xr:uid="{00000000-0005-0000-0000-0000A61F0000}"/>
    <cellStyle name="Calculation 2 4 7 3 2 5" xfId="8111" xr:uid="{00000000-0005-0000-0000-0000A71F0000}"/>
    <cellStyle name="Calculation 2 4 7 3 2 6" xfId="8112" xr:uid="{00000000-0005-0000-0000-0000A81F0000}"/>
    <cellStyle name="Calculation 2 4 7 3 3" xfId="8113" xr:uid="{00000000-0005-0000-0000-0000A91F0000}"/>
    <cellStyle name="Calculation 2 4 7 3 4" xfId="8114" xr:uid="{00000000-0005-0000-0000-0000AA1F0000}"/>
    <cellStyle name="Calculation 2 4 7 3 5" xfId="8115" xr:uid="{00000000-0005-0000-0000-0000AB1F0000}"/>
    <cellStyle name="Calculation 2 4 7 3 6" xfId="8116" xr:uid="{00000000-0005-0000-0000-0000AC1F0000}"/>
    <cellStyle name="Calculation 2 4 7 4" xfId="8117" xr:uid="{00000000-0005-0000-0000-0000AD1F0000}"/>
    <cellStyle name="Calculation 2 4 7 4 2" xfId="8118" xr:uid="{00000000-0005-0000-0000-0000AE1F0000}"/>
    <cellStyle name="Calculation 2 4 7 4 3" xfId="8119" xr:uid="{00000000-0005-0000-0000-0000AF1F0000}"/>
    <cellStyle name="Calculation 2 4 7 4 4" xfId="8120" xr:uid="{00000000-0005-0000-0000-0000B01F0000}"/>
    <cellStyle name="Calculation 2 4 7 4 5" xfId="8121" xr:uid="{00000000-0005-0000-0000-0000B11F0000}"/>
    <cellStyle name="Calculation 2 4 7 4 6" xfId="8122" xr:uid="{00000000-0005-0000-0000-0000B21F0000}"/>
    <cellStyle name="Calculation 2 4 7 5" xfId="8123" xr:uid="{00000000-0005-0000-0000-0000B31F0000}"/>
    <cellStyle name="Calculation 2 4 7 6" xfId="8124" xr:uid="{00000000-0005-0000-0000-0000B41F0000}"/>
    <cellStyle name="Calculation 2 4 7 7" xfId="8125" xr:uid="{00000000-0005-0000-0000-0000B51F0000}"/>
    <cellStyle name="Calculation 2 4 7 8" xfId="8126" xr:uid="{00000000-0005-0000-0000-0000B61F0000}"/>
    <cellStyle name="Calculation 2 4 8" xfId="8127" xr:uid="{00000000-0005-0000-0000-0000B71F0000}"/>
    <cellStyle name="Calculation 2 4 8 2" xfId="8128" xr:uid="{00000000-0005-0000-0000-0000B81F0000}"/>
    <cellStyle name="Calculation 2 4 8 2 2" xfId="8129" xr:uid="{00000000-0005-0000-0000-0000B91F0000}"/>
    <cellStyle name="Calculation 2 4 8 2 3" xfId="8130" xr:uid="{00000000-0005-0000-0000-0000BA1F0000}"/>
    <cellStyle name="Calculation 2 4 8 2 4" xfId="8131" xr:uid="{00000000-0005-0000-0000-0000BB1F0000}"/>
    <cellStyle name="Calculation 2 4 8 2 5" xfId="8132" xr:uid="{00000000-0005-0000-0000-0000BC1F0000}"/>
    <cellStyle name="Calculation 2 4 8 2 6" xfId="8133" xr:uid="{00000000-0005-0000-0000-0000BD1F0000}"/>
    <cellStyle name="Calculation 2 4 8 3" xfId="8134" xr:uid="{00000000-0005-0000-0000-0000BE1F0000}"/>
    <cellStyle name="Calculation 2 4 8 4" xfId="8135" xr:uid="{00000000-0005-0000-0000-0000BF1F0000}"/>
    <cellStyle name="Calculation 2 4 8 5" xfId="8136" xr:uid="{00000000-0005-0000-0000-0000C01F0000}"/>
    <cellStyle name="Calculation 2 4 8 6" xfId="8137" xr:uid="{00000000-0005-0000-0000-0000C11F0000}"/>
    <cellStyle name="Calculation 2 4 9" xfId="8138" xr:uid="{00000000-0005-0000-0000-0000C21F0000}"/>
    <cellStyle name="Calculation 2 4 9 2" xfId="8139" xr:uid="{00000000-0005-0000-0000-0000C31F0000}"/>
    <cellStyle name="Calculation 2 4 9 2 2" xfId="8140" xr:uid="{00000000-0005-0000-0000-0000C41F0000}"/>
    <cellStyle name="Calculation 2 4 9 2 3" xfId="8141" xr:uid="{00000000-0005-0000-0000-0000C51F0000}"/>
    <cellStyle name="Calculation 2 4 9 2 4" xfId="8142" xr:uid="{00000000-0005-0000-0000-0000C61F0000}"/>
    <cellStyle name="Calculation 2 4 9 2 5" xfId="8143" xr:uid="{00000000-0005-0000-0000-0000C71F0000}"/>
    <cellStyle name="Calculation 2 4 9 2 6" xfId="8144" xr:uid="{00000000-0005-0000-0000-0000C81F0000}"/>
    <cellStyle name="Calculation 2 4 9 3" xfId="8145" xr:uid="{00000000-0005-0000-0000-0000C91F0000}"/>
    <cellStyle name="Calculation 2 4 9 4" xfId="8146" xr:uid="{00000000-0005-0000-0000-0000CA1F0000}"/>
    <cellStyle name="Calculation 2 4 9 5" xfId="8147" xr:uid="{00000000-0005-0000-0000-0000CB1F0000}"/>
    <cellStyle name="Calculation 2 4 9 6" xfId="8148" xr:uid="{00000000-0005-0000-0000-0000CC1F0000}"/>
    <cellStyle name="Calculation 2 40" xfId="8149" xr:uid="{00000000-0005-0000-0000-0000CD1F0000}"/>
    <cellStyle name="Calculation 2 40 2" xfId="8150" xr:uid="{00000000-0005-0000-0000-0000CE1F0000}"/>
    <cellStyle name="Calculation 2 40 2 2" xfId="8151" xr:uid="{00000000-0005-0000-0000-0000CF1F0000}"/>
    <cellStyle name="Calculation 2 40 2 3" xfId="8152" xr:uid="{00000000-0005-0000-0000-0000D01F0000}"/>
    <cellStyle name="Calculation 2 40 2 4" xfId="8153" xr:uid="{00000000-0005-0000-0000-0000D11F0000}"/>
    <cellStyle name="Calculation 2 40 2 5" xfId="8154" xr:uid="{00000000-0005-0000-0000-0000D21F0000}"/>
    <cellStyle name="Calculation 2 40 3" xfId="8155" xr:uid="{00000000-0005-0000-0000-0000D31F0000}"/>
    <cellStyle name="Calculation 2 40 4" xfId="8156" xr:uid="{00000000-0005-0000-0000-0000D41F0000}"/>
    <cellStyle name="Calculation 2 40 5" xfId="8157" xr:uid="{00000000-0005-0000-0000-0000D51F0000}"/>
    <cellStyle name="Calculation 2 40 6" xfId="8158" xr:uid="{00000000-0005-0000-0000-0000D61F0000}"/>
    <cellStyle name="Calculation 2 41" xfId="8159" xr:uid="{00000000-0005-0000-0000-0000D71F0000}"/>
    <cellStyle name="Calculation 2 41 2" xfId="8160" xr:uid="{00000000-0005-0000-0000-0000D81F0000}"/>
    <cellStyle name="Calculation 2 41 2 2" xfId="8161" xr:uid="{00000000-0005-0000-0000-0000D91F0000}"/>
    <cellStyle name="Calculation 2 41 2 3" xfId="8162" xr:uid="{00000000-0005-0000-0000-0000DA1F0000}"/>
    <cellStyle name="Calculation 2 41 2 4" xfId="8163" xr:uid="{00000000-0005-0000-0000-0000DB1F0000}"/>
    <cellStyle name="Calculation 2 41 2 5" xfId="8164" xr:uid="{00000000-0005-0000-0000-0000DC1F0000}"/>
    <cellStyle name="Calculation 2 41 3" xfId="8165" xr:uid="{00000000-0005-0000-0000-0000DD1F0000}"/>
    <cellStyle name="Calculation 2 41 4" xfId="8166" xr:uid="{00000000-0005-0000-0000-0000DE1F0000}"/>
    <cellStyle name="Calculation 2 41 5" xfId="8167" xr:uid="{00000000-0005-0000-0000-0000DF1F0000}"/>
    <cellStyle name="Calculation 2 41 6" xfId="8168" xr:uid="{00000000-0005-0000-0000-0000E01F0000}"/>
    <cellStyle name="Calculation 2 42" xfId="8169" xr:uid="{00000000-0005-0000-0000-0000E11F0000}"/>
    <cellStyle name="Calculation 2 42 2" xfId="8170" xr:uid="{00000000-0005-0000-0000-0000E21F0000}"/>
    <cellStyle name="Calculation 2 42 2 2" xfId="8171" xr:uid="{00000000-0005-0000-0000-0000E31F0000}"/>
    <cellStyle name="Calculation 2 42 2 3" xfId="8172" xr:uid="{00000000-0005-0000-0000-0000E41F0000}"/>
    <cellStyle name="Calculation 2 42 2 4" xfId="8173" xr:uid="{00000000-0005-0000-0000-0000E51F0000}"/>
    <cellStyle name="Calculation 2 42 2 5" xfId="8174" xr:uid="{00000000-0005-0000-0000-0000E61F0000}"/>
    <cellStyle name="Calculation 2 42 3" xfId="8175" xr:uid="{00000000-0005-0000-0000-0000E71F0000}"/>
    <cellStyle name="Calculation 2 42 4" xfId="8176" xr:uid="{00000000-0005-0000-0000-0000E81F0000}"/>
    <cellStyle name="Calculation 2 42 5" xfId="8177" xr:uid="{00000000-0005-0000-0000-0000E91F0000}"/>
    <cellStyle name="Calculation 2 42 6" xfId="8178" xr:uid="{00000000-0005-0000-0000-0000EA1F0000}"/>
    <cellStyle name="Calculation 2 43" xfId="8179" xr:uid="{00000000-0005-0000-0000-0000EB1F0000}"/>
    <cellStyle name="Calculation 2 43 2" xfId="8180" xr:uid="{00000000-0005-0000-0000-0000EC1F0000}"/>
    <cellStyle name="Calculation 2 43 2 2" xfId="8181" xr:uid="{00000000-0005-0000-0000-0000ED1F0000}"/>
    <cellStyle name="Calculation 2 43 2 3" xfId="8182" xr:uid="{00000000-0005-0000-0000-0000EE1F0000}"/>
    <cellStyle name="Calculation 2 43 2 4" xfId="8183" xr:uid="{00000000-0005-0000-0000-0000EF1F0000}"/>
    <cellStyle name="Calculation 2 43 2 5" xfId="8184" xr:uid="{00000000-0005-0000-0000-0000F01F0000}"/>
    <cellStyle name="Calculation 2 43 3" xfId="8185" xr:uid="{00000000-0005-0000-0000-0000F11F0000}"/>
    <cellStyle name="Calculation 2 43 4" xfId="8186" xr:uid="{00000000-0005-0000-0000-0000F21F0000}"/>
    <cellStyle name="Calculation 2 43 5" xfId="8187" xr:uid="{00000000-0005-0000-0000-0000F31F0000}"/>
    <cellStyle name="Calculation 2 43 6" xfId="8188" xr:uid="{00000000-0005-0000-0000-0000F41F0000}"/>
    <cellStyle name="Calculation 2 44" xfId="8189" xr:uid="{00000000-0005-0000-0000-0000F51F0000}"/>
    <cellStyle name="Calculation 2 44 2" xfId="8190" xr:uid="{00000000-0005-0000-0000-0000F61F0000}"/>
    <cellStyle name="Calculation 2 44 3" xfId="8191" xr:uid="{00000000-0005-0000-0000-0000F71F0000}"/>
    <cellStyle name="Calculation 2 44 4" xfId="8192" xr:uid="{00000000-0005-0000-0000-0000F81F0000}"/>
    <cellStyle name="Calculation 2 44 5" xfId="8193" xr:uid="{00000000-0005-0000-0000-0000F91F0000}"/>
    <cellStyle name="Calculation 2 45" xfId="8194" xr:uid="{00000000-0005-0000-0000-0000FA1F0000}"/>
    <cellStyle name="Calculation 2 46" xfId="8195" xr:uid="{00000000-0005-0000-0000-0000FB1F0000}"/>
    <cellStyle name="Calculation 2 47" xfId="8196" xr:uid="{00000000-0005-0000-0000-0000FC1F0000}"/>
    <cellStyle name="Calculation 2 48" xfId="8197" xr:uid="{00000000-0005-0000-0000-0000FD1F0000}"/>
    <cellStyle name="Calculation 2 5" xfId="8198" xr:uid="{00000000-0005-0000-0000-0000FE1F0000}"/>
    <cellStyle name="Calculation 2 5 10" xfId="8199" xr:uid="{00000000-0005-0000-0000-0000FF1F0000}"/>
    <cellStyle name="Calculation 2 5 10 2" xfId="8200" xr:uid="{00000000-0005-0000-0000-000000200000}"/>
    <cellStyle name="Calculation 2 5 10 3" xfId="8201" xr:uid="{00000000-0005-0000-0000-000001200000}"/>
    <cellStyle name="Calculation 2 5 10 4" xfId="8202" xr:uid="{00000000-0005-0000-0000-000002200000}"/>
    <cellStyle name="Calculation 2 5 10 5" xfId="8203" xr:uid="{00000000-0005-0000-0000-000003200000}"/>
    <cellStyle name="Calculation 2 5 11" xfId="8204" xr:uid="{00000000-0005-0000-0000-000004200000}"/>
    <cellStyle name="Calculation 2 5 12" xfId="8205" xr:uid="{00000000-0005-0000-0000-000005200000}"/>
    <cellStyle name="Calculation 2 5 13" xfId="8206" xr:uid="{00000000-0005-0000-0000-000006200000}"/>
    <cellStyle name="Calculation 2 5 14" xfId="8207" xr:uid="{00000000-0005-0000-0000-000007200000}"/>
    <cellStyle name="Calculation 2 5 2" xfId="8208" xr:uid="{00000000-0005-0000-0000-000008200000}"/>
    <cellStyle name="Calculation 2 5 2 2" xfId="8209" xr:uid="{00000000-0005-0000-0000-000009200000}"/>
    <cellStyle name="Calculation 2 5 2 2 2" xfId="8210" xr:uid="{00000000-0005-0000-0000-00000A200000}"/>
    <cellStyle name="Calculation 2 5 2 2 2 2" xfId="8211" xr:uid="{00000000-0005-0000-0000-00000B200000}"/>
    <cellStyle name="Calculation 2 5 2 2 2 3" xfId="8212" xr:uid="{00000000-0005-0000-0000-00000C200000}"/>
    <cellStyle name="Calculation 2 5 2 2 2 4" xfId="8213" xr:uid="{00000000-0005-0000-0000-00000D200000}"/>
    <cellStyle name="Calculation 2 5 2 2 2 5" xfId="8214" xr:uid="{00000000-0005-0000-0000-00000E200000}"/>
    <cellStyle name="Calculation 2 5 2 2 2 6" xfId="8215" xr:uid="{00000000-0005-0000-0000-00000F200000}"/>
    <cellStyle name="Calculation 2 5 2 2 3" xfId="8216" xr:uid="{00000000-0005-0000-0000-000010200000}"/>
    <cellStyle name="Calculation 2 5 2 2 4" xfId="8217" xr:uid="{00000000-0005-0000-0000-000011200000}"/>
    <cellStyle name="Calculation 2 5 2 2 5" xfId="8218" xr:uid="{00000000-0005-0000-0000-000012200000}"/>
    <cellStyle name="Calculation 2 5 2 2 6" xfId="8219" xr:uid="{00000000-0005-0000-0000-000013200000}"/>
    <cellStyle name="Calculation 2 5 2 3" xfId="8220" xr:uid="{00000000-0005-0000-0000-000014200000}"/>
    <cellStyle name="Calculation 2 5 2 3 2" xfId="8221" xr:uid="{00000000-0005-0000-0000-000015200000}"/>
    <cellStyle name="Calculation 2 5 2 3 2 2" xfId="8222" xr:uid="{00000000-0005-0000-0000-000016200000}"/>
    <cellStyle name="Calculation 2 5 2 3 2 3" xfId="8223" xr:uid="{00000000-0005-0000-0000-000017200000}"/>
    <cellStyle name="Calculation 2 5 2 3 2 4" xfId="8224" xr:uid="{00000000-0005-0000-0000-000018200000}"/>
    <cellStyle name="Calculation 2 5 2 3 2 5" xfId="8225" xr:uid="{00000000-0005-0000-0000-000019200000}"/>
    <cellStyle name="Calculation 2 5 2 3 2 6" xfId="8226" xr:uid="{00000000-0005-0000-0000-00001A200000}"/>
    <cellStyle name="Calculation 2 5 2 3 3" xfId="8227" xr:uid="{00000000-0005-0000-0000-00001B200000}"/>
    <cellStyle name="Calculation 2 5 2 3 4" xfId="8228" xr:uid="{00000000-0005-0000-0000-00001C200000}"/>
    <cellStyle name="Calculation 2 5 2 3 5" xfId="8229" xr:uid="{00000000-0005-0000-0000-00001D200000}"/>
    <cellStyle name="Calculation 2 5 2 3 6" xfId="8230" xr:uid="{00000000-0005-0000-0000-00001E200000}"/>
    <cellStyle name="Calculation 2 5 2 4" xfId="8231" xr:uid="{00000000-0005-0000-0000-00001F200000}"/>
    <cellStyle name="Calculation 2 5 2 4 2" xfId="8232" xr:uid="{00000000-0005-0000-0000-000020200000}"/>
    <cellStyle name="Calculation 2 5 2 4 3" xfId="8233" xr:uid="{00000000-0005-0000-0000-000021200000}"/>
    <cellStyle name="Calculation 2 5 2 4 4" xfId="8234" xr:uid="{00000000-0005-0000-0000-000022200000}"/>
    <cellStyle name="Calculation 2 5 2 4 5" xfId="8235" xr:uid="{00000000-0005-0000-0000-000023200000}"/>
    <cellStyle name="Calculation 2 5 2 4 6" xfId="8236" xr:uid="{00000000-0005-0000-0000-000024200000}"/>
    <cellStyle name="Calculation 2 5 2 5" xfId="8237" xr:uid="{00000000-0005-0000-0000-000025200000}"/>
    <cellStyle name="Calculation 2 5 2 5 2" xfId="8238" xr:uid="{00000000-0005-0000-0000-000026200000}"/>
    <cellStyle name="Calculation 2 5 2 5 3" xfId="8239" xr:uid="{00000000-0005-0000-0000-000027200000}"/>
    <cellStyle name="Calculation 2 5 2 5 4" xfId="8240" xr:uid="{00000000-0005-0000-0000-000028200000}"/>
    <cellStyle name="Calculation 2 5 2 5 5" xfId="8241" xr:uid="{00000000-0005-0000-0000-000029200000}"/>
    <cellStyle name="Calculation 2 5 2 6" xfId="8242" xr:uid="{00000000-0005-0000-0000-00002A200000}"/>
    <cellStyle name="Calculation 2 5 2 7" xfId="8243" xr:uid="{00000000-0005-0000-0000-00002B200000}"/>
    <cellStyle name="Calculation 2 5 2 8" xfId="8244" xr:uid="{00000000-0005-0000-0000-00002C200000}"/>
    <cellStyle name="Calculation 2 5 2 9" xfId="8245" xr:uid="{00000000-0005-0000-0000-00002D200000}"/>
    <cellStyle name="Calculation 2 5 3" xfId="8246" xr:uid="{00000000-0005-0000-0000-00002E200000}"/>
    <cellStyle name="Calculation 2 5 3 2" xfId="8247" xr:uid="{00000000-0005-0000-0000-00002F200000}"/>
    <cellStyle name="Calculation 2 5 3 2 2" xfId="8248" xr:uid="{00000000-0005-0000-0000-000030200000}"/>
    <cellStyle name="Calculation 2 5 3 2 2 2" xfId="8249" xr:uid="{00000000-0005-0000-0000-000031200000}"/>
    <cellStyle name="Calculation 2 5 3 2 2 3" xfId="8250" xr:uid="{00000000-0005-0000-0000-000032200000}"/>
    <cellStyle name="Calculation 2 5 3 2 2 4" xfId="8251" xr:uid="{00000000-0005-0000-0000-000033200000}"/>
    <cellStyle name="Calculation 2 5 3 2 2 5" xfId="8252" xr:uid="{00000000-0005-0000-0000-000034200000}"/>
    <cellStyle name="Calculation 2 5 3 2 2 6" xfId="8253" xr:uid="{00000000-0005-0000-0000-000035200000}"/>
    <cellStyle name="Calculation 2 5 3 2 3" xfId="8254" xr:uid="{00000000-0005-0000-0000-000036200000}"/>
    <cellStyle name="Calculation 2 5 3 2 4" xfId="8255" xr:uid="{00000000-0005-0000-0000-000037200000}"/>
    <cellStyle name="Calculation 2 5 3 2 5" xfId="8256" xr:uid="{00000000-0005-0000-0000-000038200000}"/>
    <cellStyle name="Calculation 2 5 3 2 6" xfId="8257" xr:uid="{00000000-0005-0000-0000-000039200000}"/>
    <cellStyle name="Calculation 2 5 3 3" xfId="8258" xr:uid="{00000000-0005-0000-0000-00003A200000}"/>
    <cellStyle name="Calculation 2 5 3 3 2" xfId="8259" xr:uid="{00000000-0005-0000-0000-00003B200000}"/>
    <cellStyle name="Calculation 2 5 3 3 2 2" xfId="8260" xr:uid="{00000000-0005-0000-0000-00003C200000}"/>
    <cellStyle name="Calculation 2 5 3 3 2 3" xfId="8261" xr:uid="{00000000-0005-0000-0000-00003D200000}"/>
    <cellStyle name="Calculation 2 5 3 3 2 4" xfId="8262" xr:uid="{00000000-0005-0000-0000-00003E200000}"/>
    <cellStyle name="Calculation 2 5 3 3 2 5" xfId="8263" xr:uid="{00000000-0005-0000-0000-00003F200000}"/>
    <cellStyle name="Calculation 2 5 3 3 2 6" xfId="8264" xr:uid="{00000000-0005-0000-0000-000040200000}"/>
    <cellStyle name="Calculation 2 5 3 3 3" xfId="8265" xr:uid="{00000000-0005-0000-0000-000041200000}"/>
    <cellStyle name="Calculation 2 5 3 3 4" xfId="8266" xr:uid="{00000000-0005-0000-0000-000042200000}"/>
    <cellStyle name="Calculation 2 5 3 3 5" xfId="8267" xr:uid="{00000000-0005-0000-0000-000043200000}"/>
    <cellStyle name="Calculation 2 5 3 3 6" xfId="8268" xr:uid="{00000000-0005-0000-0000-000044200000}"/>
    <cellStyle name="Calculation 2 5 3 4" xfId="8269" xr:uid="{00000000-0005-0000-0000-000045200000}"/>
    <cellStyle name="Calculation 2 5 3 4 2" xfId="8270" xr:uid="{00000000-0005-0000-0000-000046200000}"/>
    <cellStyle name="Calculation 2 5 3 4 3" xfId="8271" xr:uid="{00000000-0005-0000-0000-000047200000}"/>
    <cellStyle name="Calculation 2 5 3 4 4" xfId="8272" xr:uid="{00000000-0005-0000-0000-000048200000}"/>
    <cellStyle name="Calculation 2 5 3 4 5" xfId="8273" xr:uid="{00000000-0005-0000-0000-000049200000}"/>
    <cellStyle name="Calculation 2 5 3 4 6" xfId="8274" xr:uid="{00000000-0005-0000-0000-00004A200000}"/>
    <cellStyle name="Calculation 2 5 3 5" xfId="8275" xr:uid="{00000000-0005-0000-0000-00004B200000}"/>
    <cellStyle name="Calculation 2 5 3 6" xfId="8276" xr:uid="{00000000-0005-0000-0000-00004C200000}"/>
    <cellStyle name="Calculation 2 5 3 7" xfId="8277" xr:uid="{00000000-0005-0000-0000-00004D200000}"/>
    <cellStyle name="Calculation 2 5 3 8" xfId="8278" xr:uid="{00000000-0005-0000-0000-00004E200000}"/>
    <cellStyle name="Calculation 2 5 4" xfId="8279" xr:uid="{00000000-0005-0000-0000-00004F200000}"/>
    <cellStyle name="Calculation 2 5 4 2" xfId="8280" xr:uid="{00000000-0005-0000-0000-000050200000}"/>
    <cellStyle name="Calculation 2 5 4 2 2" xfId="8281" xr:uid="{00000000-0005-0000-0000-000051200000}"/>
    <cellStyle name="Calculation 2 5 4 2 2 2" xfId="8282" xr:uid="{00000000-0005-0000-0000-000052200000}"/>
    <cellStyle name="Calculation 2 5 4 2 2 3" xfId="8283" xr:uid="{00000000-0005-0000-0000-000053200000}"/>
    <cellStyle name="Calculation 2 5 4 2 2 4" xfId="8284" xr:uid="{00000000-0005-0000-0000-000054200000}"/>
    <cellStyle name="Calculation 2 5 4 2 2 5" xfId="8285" xr:uid="{00000000-0005-0000-0000-000055200000}"/>
    <cellStyle name="Calculation 2 5 4 2 2 6" xfId="8286" xr:uid="{00000000-0005-0000-0000-000056200000}"/>
    <cellStyle name="Calculation 2 5 4 2 3" xfId="8287" xr:uid="{00000000-0005-0000-0000-000057200000}"/>
    <cellStyle name="Calculation 2 5 4 2 4" xfId="8288" xr:uid="{00000000-0005-0000-0000-000058200000}"/>
    <cellStyle name="Calculation 2 5 4 2 5" xfId="8289" xr:uid="{00000000-0005-0000-0000-000059200000}"/>
    <cellStyle name="Calculation 2 5 4 2 6" xfId="8290" xr:uid="{00000000-0005-0000-0000-00005A200000}"/>
    <cellStyle name="Calculation 2 5 4 3" xfId="8291" xr:uid="{00000000-0005-0000-0000-00005B200000}"/>
    <cellStyle name="Calculation 2 5 4 3 2" xfId="8292" xr:uid="{00000000-0005-0000-0000-00005C200000}"/>
    <cellStyle name="Calculation 2 5 4 3 2 2" xfId="8293" xr:uid="{00000000-0005-0000-0000-00005D200000}"/>
    <cellStyle name="Calculation 2 5 4 3 2 3" xfId="8294" xr:uid="{00000000-0005-0000-0000-00005E200000}"/>
    <cellStyle name="Calculation 2 5 4 3 2 4" xfId="8295" xr:uid="{00000000-0005-0000-0000-00005F200000}"/>
    <cellStyle name="Calculation 2 5 4 3 2 5" xfId="8296" xr:uid="{00000000-0005-0000-0000-000060200000}"/>
    <cellStyle name="Calculation 2 5 4 3 2 6" xfId="8297" xr:uid="{00000000-0005-0000-0000-000061200000}"/>
    <cellStyle name="Calculation 2 5 4 3 3" xfId="8298" xr:uid="{00000000-0005-0000-0000-000062200000}"/>
    <cellStyle name="Calculation 2 5 4 3 4" xfId="8299" xr:uid="{00000000-0005-0000-0000-000063200000}"/>
    <cellStyle name="Calculation 2 5 4 3 5" xfId="8300" xr:uid="{00000000-0005-0000-0000-000064200000}"/>
    <cellStyle name="Calculation 2 5 4 3 6" xfId="8301" xr:uid="{00000000-0005-0000-0000-000065200000}"/>
    <cellStyle name="Calculation 2 5 4 4" xfId="8302" xr:uid="{00000000-0005-0000-0000-000066200000}"/>
    <cellStyle name="Calculation 2 5 4 4 2" xfId="8303" xr:uid="{00000000-0005-0000-0000-000067200000}"/>
    <cellStyle name="Calculation 2 5 4 4 3" xfId="8304" xr:uid="{00000000-0005-0000-0000-000068200000}"/>
    <cellStyle name="Calculation 2 5 4 4 4" xfId="8305" xr:uid="{00000000-0005-0000-0000-000069200000}"/>
    <cellStyle name="Calculation 2 5 4 4 5" xfId="8306" xr:uid="{00000000-0005-0000-0000-00006A200000}"/>
    <cellStyle name="Calculation 2 5 4 4 6" xfId="8307" xr:uid="{00000000-0005-0000-0000-00006B200000}"/>
    <cellStyle name="Calculation 2 5 4 5" xfId="8308" xr:uid="{00000000-0005-0000-0000-00006C200000}"/>
    <cellStyle name="Calculation 2 5 4 6" xfId="8309" xr:uid="{00000000-0005-0000-0000-00006D200000}"/>
    <cellStyle name="Calculation 2 5 4 7" xfId="8310" xr:uid="{00000000-0005-0000-0000-00006E200000}"/>
    <cellStyle name="Calculation 2 5 4 8" xfId="8311" xr:uid="{00000000-0005-0000-0000-00006F200000}"/>
    <cellStyle name="Calculation 2 5 5" xfId="8312" xr:uid="{00000000-0005-0000-0000-000070200000}"/>
    <cellStyle name="Calculation 2 5 5 2" xfId="8313" xr:uid="{00000000-0005-0000-0000-000071200000}"/>
    <cellStyle name="Calculation 2 5 5 2 2" xfId="8314" xr:uid="{00000000-0005-0000-0000-000072200000}"/>
    <cellStyle name="Calculation 2 5 5 2 2 2" xfId="8315" xr:uid="{00000000-0005-0000-0000-000073200000}"/>
    <cellStyle name="Calculation 2 5 5 2 2 3" xfId="8316" xr:uid="{00000000-0005-0000-0000-000074200000}"/>
    <cellStyle name="Calculation 2 5 5 2 2 4" xfId="8317" xr:uid="{00000000-0005-0000-0000-000075200000}"/>
    <cellStyle name="Calculation 2 5 5 2 2 5" xfId="8318" xr:uid="{00000000-0005-0000-0000-000076200000}"/>
    <cellStyle name="Calculation 2 5 5 2 2 6" xfId="8319" xr:uid="{00000000-0005-0000-0000-000077200000}"/>
    <cellStyle name="Calculation 2 5 5 2 3" xfId="8320" xr:uid="{00000000-0005-0000-0000-000078200000}"/>
    <cellStyle name="Calculation 2 5 5 2 4" xfId="8321" xr:uid="{00000000-0005-0000-0000-000079200000}"/>
    <cellStyle name="Calculation 2 5 5 2 5" xfId="8322" xr:uid="{00000000-0005-0000-0000-00007A200000}"/>
    <cellStyle name="Calculation 2 5 5 2 6" xfId="8323" xr:uid="{00000000-0005-0000-0000-00007B200000}"/>
    <cellStyle name="Calculation 2 5 5 3" xfId="8324" xr:uid="{00000000-0005-0000-0000-00007C200000}"/>
    <cellStyle name="Calculation 2 5 5 3 2" xfId="8325" xr:uid="{00000000-0005-0000-0000-00007D200000}"/>
    <cellStyle name="Calculation 2 5 5 3 2 2" xfId="8326" xr:uid="{00000000-0005-0000-0000-00007E200000}"/>
    <cellStyle name="Calculation 2 5 5 3 2 3" xfId="8327" xr:uid="{00000000-0005-0000-0000-00007F200000}"/>
    <cellStyle name="Calculation 2 5 5 3 2 4" xfId="8328" xr:uid="{00000000-0005-0000-0000-000080200000}"/>
    <cellStyle name="Calculation 2 5 5 3 2 5" xfId="8329" xr:uid="{00000000-0005-0000-0000-000081200000}"/>
    <cellStyle name="Calculation 2 5 5 3 2 6" xfId="8330" xr:uid="{00000000-0005-0000-0000-000082200000}"/>
    <cellStyle name="Calculation 2 5 5 3 3" xfId="8331" xr:uid="{00000000-0005-0000-0000-000083200000}"/>
    <cellStyle name="Calculation 2 5 5 3 4" xfId="8332" xr:uid="{00000000-0005-0000-0000-000084200000}"/>
    <cellStyle name="Calculation 2 5 5 3 5" xfId="8333" xr:uid="{00000000-0005-0000-0000-000085200000}"/>
    <cellStyle name="Calculation 2 5 5 3 6" xfId="8334" xr:uid="{00000000-0005-0000-0000-000086200000}"/>
    <cellStyle name="Calculation 2 5 5 4" xfId="8335" xr:uid="{00000000-0005-0000-0000-000087200000}"/>
    <cellStyle name="Calculation 2 5 5 4 2" xfId="8336" xr:uid="{00000000-0005-0000-0000-000088200000}"/>
    <cellStyle name="Calculation 2 5 5 4 3" xfId="8337" xr:uid="{00000000-0005-0000-0000-000089200000}"/>
    <cellStyle name="Calculation 2 5 5 4 4" xfId="8338" xr:uid="{00000000-0005-0000-0000-00008A200000}"/>
    <cellStyle name="Calculation 2 5 5 4 5" xfId="8339" xr:uid="{00000000-0005-0000-0000-00008B200000}"/>
    <cellStyle name="Calculation 2 5 5 4 6" xfId="8340" xr:uid="{00000000-0005-0000-0000-00008C200000}"/>
    <cellStyle name="Calculation 2 5 5 5" xfId="8341" xr:uid="{00000000-0005-0000-0000-00008D200000}"/>
    <cellStyle name="Calculation 2 5 5 6" xfId="8342" xr:uid="{00000000-0005-0000-0000-00008E200000}"/>
    <cellStyle name="Calculation 2 5 5 7" xfId="8343" xr:uid="{00000000-0005-0000-0000-00008F200000}"/>
    <cellStyle name="Calculation 2 5 5 8" xfId="8344" xr:uid="{00000000-0005-0000-0000-000090200000}"/>
    <cellStyle name="Calculation 2 5 6" xfId="8345" xr:uid="{00000000-0005-0000-0000-000091200000}"/>
    <cellStyle name="Calculation 2 5 6 2" xfId="8346" xr:uid="{00000000-0005-0000-0000-000092200000}"/>
    <cellStyle name="Calculation 2 5 6 2 2" xfId="8347" xr:uid="{00000000-0005-0000-0000-000093200000}"/>
    <cellStyle name="Calculation 2 5 6 2 2 2" xfId="8348" xr:uid="{00000000-0005-0000-0000-000094200000}"/>
    <cellStyle name="Calculation 2 5 6 2 2 3" xfId="8349" xr:uid="{00000000-0005-0000-0000-000095200000}"/>
    <cellStyle name="Calculation 2 5 6 2 2 4" xfId="8350" xr:uid="{00000000-0005-0000-0000-000096200000}"/>
    <cellStyle name="Calculation 2 5 6 2 2 5" xfId="8351" xr:uid="{00000000-0005-0000-0000-000097200000}"/>
    <cellStyle name="Calculation 2 5 6 2 2 6" xfId="8352" xr:uid="{00000000-0005-0000-0000-000098200000}"/>
    <cellStyle name="Calculation 2 5 6 2 3" xfId="8353" xr:uid="{00000000-0005-0000-0000-000099200000}"/>
    <cellStyle name="Calculation 2 5 6 2 4" xfId="8354" xr:uid="{00000000-0005-0000-0000-00009A200000}"/>
    <cellStyle name="Calculation 2 5 6 2 5" xfId="8355" xr:uid="{00000000-0005-0000-0000-00009B200000}"/>
    <cellStyle name="Calculation 2 5 6 2 6" xfId="8356" xr:uid="{00000000-0005-0000-0000-00009C200000}"/>
    <cellStyle name="Calculation 2 5 6 3" xfId="8357" xr:uid="{00000000-0005-0000-0000-00009D200000}"/>
    <cellStyle name="Calculation 2 5 6 3 2" xfId="8358" xr:uid="{00000000-0005-0000-0000-00009E200000}"/>
    <cellStyle name="Calculation 2 5 6 3 2 2" xfId="8359" xr:uid="{00000000-0005-0000-0000-00009F200000}"/>
    <cellStyle name="Calculation 2 5 6 3 2 3" xfId="8360" xr:uid="{00000000-0005-0000-0000-0000A0200000}"/>
    <cellStyle name="Calculation 2 5 6 3 2 4" xfId="8361" xr:uid="{00000000-0005-0000-0000-0000A1200000}"/>
    <cellStyle name="Calculation 2 5 6 3 2 5" xfId="8362" xr:uid="{00000000-0005-0000-0000-0000A2200000}"/>
    <cellStyle name="Calculation 2 5 6 3 2 6" xfId="8363" xr:uid="{00000000-0005-0000-0000-0000A3200000}"/>
    <cellStyle name="Calculation 2 5 6 3 3" xfId="8364" xr:uid="{00000000-0005-0000-0000-0000A4200000}"/>
    <cellStyle name="Calculation 2 5 6 3 4" xfId="8365" xr:uid="{00000000-0005-0000-0000-0000A5200000}"/>
    <cellStyle name="Calculation 2 5 6 3 5" xfId="8366" xr:uid="{00000000-0005-0000-0000-0000A6200000}"/>
    <cellStyle name="Calculation 2 5 6 3 6" xfId="8367" xr:uid="{00000000-0005-0000-0000-0000A7200000}"/>
    <cellStyle name="Calculation 2 5 6 4" xfId="8368" xr:uid="{00000000-0005-0000-0000-0000A8200000}"/>
    <cellStyle name="Calculation 2 5 6 4 2" xfId="8369" xr:uid="{00000000-0005-0000-0000-0000A9200000}"/>
    <cellStyle name="Calculation 2 5 6 4 3" xfId="8370" xr:uid="{00000000-0005-0000-0000-0000AA200000}"/>
    <cellStyle name="Calculation 2 5 6 4 4" xfId="8371" xr:uid="{00000000-0005-0000-0000-0000AB200000}"/>
    <cellStyle name="Calculation 2 5 6 4 5" xfId="8372" xr:uid="{00000000-0005-0000-0000-0000AC200000}"/>
    <cellStyle name="Calculation 2 5 6 4 6" xfId="8373" xr:uid="{00000000-0005-0000-0000-0000AD200000}"/>
    <cellStyle name="Calculation 2 5 6 5" xfId="8374" xr:uid="{00000000-0005-0000-0000-0000AE200000}"/>
    <cellStyle name="Calculation 2 5 6 6" xfId="8375" xr:uid="{00000000-0005-0000-0000-0000AF200000}"/>
    <cellStyle name="Calculation 2 5 6 7" xfId="8376" xr:uid="{00000000-0005-0000-0000-0000B0200000}"/>
    <cellStyle name="Calculation 2 5 6 8" xfId="8377" xr:uid="{00000000-0005-0000-0000-0000B1200000}"/>
    <cellStyle name="Calculation 2 5 7" xfId="8378" xr:uid="{00000000-0005-0000-0000-0000B2200000}"/>
    <cellStyle name="Calculation 2 5 7 2" xfId="8379" xr:uid="{00000000-0005-0000-0000-0000B3200000}"/>
    <cellStyle name="Calculation 2 5 7 2 2" xfId="8380" xr:uid="{00000000-0005-0000-0000-0000B4200000}"/>
    <cellStyle name="Calculation 2 5 7 2 3" xfId="8381" xr:uid="{00000000-0005-0000-0000-0000B5200000}"/>
    <cellStyle name="Calculation 2 5 7 2 4" xfId="8382" xr:uid="{00000000-0005-0000-0000-0000B6200000}"/>
    <cellStyle name="Calculation 2 5 7 2 5" xfId="8383" xr:uid="{00000000-0005-0000-0000-0000B7200000}"/>
    <cellStyle name="Calculation 2 5 7 2 6" xfId="8384" xr:uid="{00000000-0005-0000-0000-0000B8200000}"/>
    <cellStyle name="Calculation 2 5 7 3" xfId="8385" xr:uid="{00000000-0005-0000-0000-0000B9200000}"/>
    <cellStyle name="Calculation 2 5 7 4" xfId="8386" xr:uid="{00000000-0005-0000-0000-0000BA200000}"/>
    <cellStyle name="Calculation 2 5 7 5" xfId="8387" xr:uid="{00000000-0005-0000-0000-0000BB200000}"/>
    <cellStyle name="Calculation 2 5 7 6" xfId="8388" xr:uid="{00000000-0005-0000-0000-0000BC200000}"/>
    <cellStyle name="Calculation 2 5 8" xfId="8389" xr:uid="{00000000-0005-0000-0000-0000BD200000}"/>
    <cellStyle name="Calculation 2 5 8 2" xfId="8390" xr:uid="{00000000-0005-0000-0000-0000BE200000}"/>
    <cellStyle name="Calculation 2 5 8 2 2" xfId="8391" xr:uid="{00000000-0005-0000-0000-0000BF200000}"/>
    <cellStyle name="Calculation 2 5 8 2 3" xfId="8392" xr:uid="{00000000-0005-0000-0000-0000C0200000}"/>
    <cellStyle name="Calculation 2 5 8 2 4" xfId="8393" xr:uid="{00000000-0005-0000-0000-0000C1200000}"/>
    <cellStyle name="Calculation 2 5 8 2 5" xfId="8394" xr:uid="{00000000-0005-0000-0000-0000C2200000}"/>
    <cellStyle name="Calculation 2 5 8 2 6" xfId="8395" xr:uid="{00000000-0005-0000-0000-0000C3200000}"/>
    <cellStyle name="Calculation 2 5 8 3" xfId="8396" xr:uid="{00000000-0005-0000-0000-0000C4200000}"/>
    <cellStyle name="Calculation 2 5 8 4" xfId="8397" xr:uid="{00000000-0005-0000-0000-0000C5200000}"/>
    <cellStyle name="Calculation 2 5 8 5" xfId="8398" xr:uid="{00000000-0005-0000-0000-0000C6200000}"/>
    <cellStyle name="Calculation 2 5 8 6" xfId="8399" xr:uid="{00000000-0005-0000-0000-0000C7200000}"/>
    <cellStyle name="Calculation 2 5 9" xfId="8400" xr:uid="{00000000-0005-0000-0000-0000C8200000}"/>
    <cellStyle name="Calculation 2 5 9 2" xfId="8401" xr:uid="{00000000-0005-0000-0000-0000C9200000}"/>
    <cellStyle name="Calculation 2 5 9 3" xfId="8402" xr:uid="{00000000-0005-0000-0000-0000CA200000}"/>
    <cellStyle name="Calculation 2 5 9 4" xfId="8403" xr:uid="{00000000-0005-0000-0000-0000CB200000}"/>
    <cellStyle name="Calculation 2 5 9 5" xfId="8404" xr:uid="{00000000-0005-0000-0000-0000CC200000}"/>
    <cellStyle name="Calculation 2 5 9 6" xfId="8405" xr:uid="{00000000-0005-0000-0000-0000CD200000}"/>
    <cellStyle name="Calculation 2 6" xfId="8406" xr:uid="{00000000-0005-0000-0000-0000CE200000}"/>
    <cellStyle name="Calculation 2 6 2" xfId="8407" xr:uid="{00000000-0005-0000-0000-0000CF200000}"/>
    <cellStyle name="Calculation 2 6 2 2" xfId="8408" xr:uid="{00000000-0005-0000-0000-0000D0200000}"/>
    <cellStyle name="Calculation 2 6 2 2 2" xfId="8409" xr:uid="{00000000-0005-0000-0000-0000D1200000}"/>
    <cellStyle name="Calculation 2 6 2 2 3" xfId="8410" xr:uid="{00000000-0005-0000-0000-0000D2200000}"/>
    <cellStyle name="Calculation 2 6 2 2 4" xfId="8411" xr:uid="{00000000-0005-0000-0000-0000D3200000}"/>
    <cellStyle name="Calculation 2 6 2 2 5" xfId="8412" xr:uid="{00000000-0005-0000-0000-0000D4200000}"/>
    <cellStyle name="Calculation 2 6 2 2 6" xfId="8413" xr:uid="{00000000-0005-0000-0000-0000D5200000}"/>
    <cellStyle name="Calculation 2 6 2 3" xfId="8414" xr:uid="{00000000-0005-0000-0000-0000D6200000}"/>
    <cellStyle name="Calculation 2 6 2 3 2" xfId="8415" xr:uid="{00000000-0005-0000-0000-0000D7200000}"/>
    <cellStyle name="Calculation 2 6 2 3 3" xfId="8416" xr:uid="{00000000-0005-0000-0000-0000D8200000}"/>
    <cellStyle name="Calculation 2 6 2 3 4" xfId="8417" xr:uid="{00000000-0005-0000-0000-0000D9200000}"/>
    <cellStyle name="Calculation 2 6 2 3 5" xfId="8418" xr:uid="{00000000-0005-0000-0000-0000DA200000}"/>
    <cellStyle name="Calculation 2 6 2 4" xfId="8419" xr:uid="{00000000-0005-0000-0000-0000DB200000}"/>
    <cellStyle name="Calculation 2 6 2 5" xfId="8420" xr:uid="{00000000-0005-0000-0000-0000DC200000}"/>
    <cellStyle name="Calculation 2 6 2 6" xfId="8421" xr:uid="{00000000-0005-0000-0000-0000DD200000}"/>
    <cellStyle name="Calculation 2 6 2 7" xfId="8422" xr:uid="{00000000-0005-0000-0000-0000DE200000}"/>
    <cellStyle name="Calculation 2 6 3" xfId="8423" xr:uid="{00000000-0005-0000-0000-0000DF200000}"/>
    <cellStyle name="Calculation 2 6 3 2" xfId="8424" xr:uid="{00000000-0005-0000-0000-0000E0200000}"/>
    <cellStyle name="Calculation 2 6 3 2 2" xfId="8425" xr:uid="{00000000-0005-0000-0000-0000E1200000}"/>
    <cellStyle name="Calculation 2 6 3 2 3" xfId="8426" xr:uid="{00000000-0005-0000-0000-0000E2200000}"/>
    <cellStyle name="Calculation 2 6 3 2 4" xfId="8427" xr:uid="{00000000-0005-0000-0000-0000E3200000}"/>
    <cellStyle name="Calculation 2 6 3 2 5" xfId="8428" xr:uid="{00000000-0005-0000-0000-0000E4200000}"/>
    <cellStyle name="Calculation 2 6 3 2 6" xfId="8429" xr:uid="{00000000-0005-0000-0000-0000E5200000}"/>
    <cellStyle name="Calculation 2 6 3 3" xfId="8430" xr:uid="{00000000-0005-0000-0000-0000E6200000}"/>
    <cellStyle name="Calculation 2 6 3 4" xfId="8431" xr:uid="{00000000-0005-0000-0000-0000E7200000}"/>
    <cellStyle name="Calculation 2 6 3 5" xfId="8432" xr:uid="{00000000-0005-0000-0000-0000E8200000}"/>
    <cellStyle name="Calculation 2 6 3 6" xfId="8433" xr:uid="{00000000-0005-0000-0000-0000E9200000}"/>
    <cellStyle name="Calculation 2 6 4" xfId="8434" xr:uid="{00000000-0005-0000-0000-0000EA200000}"/>
    <cellStyle name="Calculation 2 6 4 2" xfId="8435" xr:uid="{00000000-0005-0000-0000-0000EB200000}"/>
    <cellStyle name="Calculation 2 6 4 3" xfId="8436" xr:uid="{00000000-0005-0000-0000-0000EC200000}"/>
    <cellStyle name="Calculation 2 6 4 4" xfId="8437" xr:uid="{00000000-0005-0000-0000-0000ED200000}"/>
    <cellStyle name="Calculation 2 6 4 5" xfId="8438" xr:uid="{00000000-0005-0000-0000-0000EE200000}"/>
    <cellStyle name="Calculation 2 6 4 6" xfId="8439" xr:uid="{00000000-0005-0000-0000-0000EF200000}"/>
    <cellStyle name="Calculation 2 6 5" xfId="8440" xr:uid="{00000000-0005-0000-0000-0000F0200000}"/>
    <cellStyle name="Calculation 2 6 5 2" xfId="8441" xr:uid="{00000000-0005-0000-0000-0000F1200000}"/>
    <cellStyle name="Calculation 2 6 5 3" xfId="8442" xr:uid="{00000000-0005-0000-0000-0000F2200000}"/>
    <cellStyle name="Calculation 2 6 5 4" xfId="8443" xr:uid="{00000000-0005-0000-0000-0000F3200000}"/>
    <cellStyle name="Calculation 2 6 5 5" xfId="8444" xr:uid="{00000000-0005-0000-0000-0000F4200000}"/>
    <cellStyle name="Calculation 2 6 6" xfId="8445" xr:uid="{00000000-0005-0000-0000-0000F5200000}"/>
    <cellStyle name="Calculation 2 6 7" xfId="8446" xr:uid="{00000000-0005-0000-0000-0000F6200000}"/>
    <cellStyle name="Calculation 2 6 8" xfId="8447" xr:uid="{00000000-0005-0000-0000-0000F7200000}"/>
    <cellStyle name="Calculation 2 6 9" xfId="8448" xr:uid="{00000000-0005-0000-0000-0000F8200000}"/>
    <cellStyle name="Calculation 2 7" xfId="8449" xr:uid="{00000000-0005-0000-0000-0000F9200000}"/>
    <cellStyle name="Calculation 2 7 2" xfId="8450" xr:uid="{00000000-0005-0000-0000-0000FA200000}"/>
    <cellStyle name="Calculation 2 7 2 2" xfId="8451" xr:uid="{00000000-0005-0000-0000-0000FB200000}"/>
    <cellStyle name="Calculation 2 7 2 2 2" xfId="8452" xr:uid="{00000000-0005-0000-0000-0000FC200000}"/>
    <cellStyle name="Calculation 2 7 2 2 3" xfId="8453" xr:uid="{00000000-0005-0000-0000-0000FD200000}"/>
    <cellStyle name="Calculation 2 7 2 2 4" xfId="8454" xr:uid="{00000000-0005-0000-0000-0000FE200000}"/>
    <cellStyle name="Calculation 2 7 2 2 5" xfId="8455" xr:uid="{00000000-0005-0000-0000-0000FF200000}"/>
    <cellStyle name="Calculation 2 7 2 2 6" xfId="8456" xr:uid="{00000000-0005-0000-0000-000000210000}"/>
    <cellStyle name="Calculation 2 7 2 3" xfId="8457" xr:uid="{00000000-0005-0000-0000-000001210000}"/>
    <cellStyle name="Calculation 2 7 2 3 2" xfId="8458" xr:uid="{00000000-0005-0000-0000-000002210000}"/>
    <cellStyle name="Calculation 2 7 2 3 3" xfId="8459" xr:uid="{00000000-0005-0000-0000-000003210000}"/>
    <cellStyle name="Calculation 2 7 2 3 4" xfId="8460" xr:uid="{00000000-0005-0000-0000-000004210000}"/>
    <cellStyle name="Calculation 2 7 2 3 5" xfId="8461" xr:uid="{00000000-0005-0000-0000-000005210000}"/>
    <cellStyle name="Calculation 2 7 2 4" xfId="8462" xr:uid="{00000000-0005-0000-0000-000006210000}"/>
    <cellStyle name="Calculation 2 7 2 5" xfId="8463" xr:uid="{00000000-0005-0000-0000-000007210000}"/>
    <cellStyle name="Calculation 2 7 2 6" xfId="8464" xr:uid="{00000000-0005-0000-0000-000008210000}"/>
    <cellStyle name="Calculation 2 7 2 7" xfId="8465" xr:uid="{00000000-0005-0000-0000-000009210000}"/>
    <cellStyle name="Calculation 2 7 3" xfId="8466" xr:uid="{00000000-0005-0000-0000-00000A210000}"/>
    <cellStyle name="Calculation 2 7 3 2" xfId="8467" xr:uid="{00000000-0005-0000-0000-00000B210000}"/>
    <cellStyle name="Calculation 2 7 3 2 2" xfId="8468" xr:uid="{00000000-0005-0000-0000-00000C210000}"/>
    <cellStyle name="Calculation 2 7 3 2 3" xfId="8469" xr:uid="{00000000-0005-0000-0000-00000D210000}"/>
    <cellStyle name="Calculation 2 7 3 2 4" xfId="8470" xr:uid="{00000000-0005-0000-0000-00000E210000}"/>
    <cellStyle name="Calculation 2 7 3 2 5" xfId="8471" xr:uid="{00000000-0005-0000-0000-00000F210000}"/>
    <cellStyle name="Calculation 2 7 3 2 6" xfId="8472" xr:uid="{00000000-0005-0000-0000-000010210000}"/>
    <cellStyle name="Calculation 2 7 3 3" xfId="8473" xr:uid="{00000000-0005-0000-0000-000011210000}"/>
    <cellStyle name="Calculation 2 7 3 4" xfId="8474" xr:uid="{00000000-0005-0000-0000-000012210000}"/>
    <cellStyle name="Calculation 2 7 3 5" xfId="8475" xr:uid="{00000000-0005-0000-0000-000013210000}"/>
    <cellStyle name="Calculation 2 7 3 6" xfId="8476" xr:uid="{00000000-0005-0000-0000-000014210000}"/>
    <cellStyle name="Calculation 2 7 4" xfId="8477" xr:uid="{00000000-0005-0000-0000-000015210000}"/>
    <cellStyle name="Calculation 2 7 4 2" xfId="8478" xr:uid="{00000000-0005-0000-0000-000016210000}"/>
    <cellStyle name="Calculation 2 7 4 3" xfId="8479" xr:uid="{00000000-0005-0000-0000-000017210000}"/>
    <cellStyle name="Calculation 2 7 4 4" xfId="8480" xr:uid="{00000000-0005-0000-0000-000018210000}"/>
    <cellStyle name="Calculation 2 7 4 5" xfId="8481" xr:uid="{00000000-0005-0000-0000-000019210000}"/>
    <cellStyle name="Calculation 2 7 4 6" xfId="8482" xr:uid="{00000000-0005-0000-0000-00001A210000}"/>
    <cellStyle name="Calculation 2 7 5" xfId="8483" xr:uid="{00000000-0005-0000-0000-00001B210000}"/>
    <cellStyle name="Calculation 2 7 5 2" xfId="8484" xr:uid="{00000000-0005-0000-0000-00001C210000}"/>
    <cellStyle name="Calculation 2 7 5 3" xfId="8485" xr:uid="{00000000-0005-0000-0000-00001D210000}"/>
    <cellStyle name="Calculation 2 7 5 4" xfId="8486" xr:uid="{00000000-0005-0000-0000-00001E210000}"/>
    <cellStyle name="Calculation 2 7 5 5" xfId="8487" xr:uid="{00000000-0005-0000-0000-00001F210000}"/>
    <cellStyle name="Calculation 2 7 6" xfId="8488" xr:uid="{00000000-0005-0000-0000-000020210000}"/>
    <cellStyle name="Calculation 2 7 7" xfId="8489" xr:uid="{00000000-0005-0000-0000-000021210000}"/>
    <cellStyle name="Calculation 2 7 8" xfId="8490" xr:uid="{00000000-0005-0000-0000-000022210000}"/>
    <cellStyle name="Calculation 2 7 9" xfId="8491" xr:uid="{00000000-0005-0000-0000-000023210000}"/>
    <cellStyle name="Calculation 2 8" xfId="8492" xr:uid="{00000000-0005-0000-0000-000024210000}"/>
    <cellStyle name="Calculation 2 8 2" xfId="8493" xr:uid="{00000000-0005-0000-0000-000025210000}"/>
    <cellStyle name="Calculation 2 8 2 2" xfId="8494" xr:uid="{00000000-0005-0000-0000-000026210000}"/>
    <cellStyle name="Calculation 2 8 2 2 2" xfId="8495" xr:uid="{00000000-0005-0000-0000-000027210000}"/>
    <cellStyle name="Calculation 2 8 2 2 3" xfId="8496" xr:uid="{00000000-0005-0000-0000-000028210000}"/>
    <cellStyle name="Calculation 2 8 2 2 4" xfId="8497" xr:uid="{00000000-0005-0000-0000-000029210000}"/>
    <cellStyle name="Calculation 2 8 2 2 5" xfId="8498" xr:uid="{00000000-0005-0000-0000-00002A210000}"/>
    <cellStyle name="Calculation 2 8 2 2 6" xfId="8499" xr:uid="{00000000-0005-0000-0000-00002B210000}"/>
    <cellStyle name="Calculation 2 8 2 3" xfId="8500" xr:uid="{00000000-0005-0000-0000-00002C210000}"/>
    <cellStyle name="Calculation 2 8 2 3 2" xfId="8501" xr:uid="{00000000-0005-0000-0000-00002D210000}"/>
    <cellStyle name="Calculation 2 8 2 3 3" xfId="8502" xr:uid="{00000000-0005-0000-0000-00002E210000}"/>
    <cellStyle name="Calculation 2 8 2 3 4" xfId="8503" xr:uid="{00000000-0005-0000-0000-00002F210000}"/>
    <cellStyle name="Calculation 2 8 2 3 5" xfId="8504" xr:uid="{00000000-0005-0000-0000-000030210000}"/>
    <cellStyle name="Calculation 2 8 2 4" xfId="8505" xr:uid="{00000000-0005-0000-0000-000031210000}"/>
    <cellStyle name="Calculation 2 8 2 5" xfId="8506" xr:uid="{00000000-0005-0000-0000-000032210000}"/>
    <cellStyle name="Calculation 2 8 2 6" xfId="8507" xr:uid="{00000000-0005-0000-0000-000033210000}"/>
    <cellStyle name="Calculation 2 8 2 7" xfId="8508" xr:uid="{00000000-0005-0000-0000-000034210000}"/>
    <cellStyle name="Calculation 2 8 3" xfId="8509" xr:uid="{00000000-0005-0000-0000-000035210000}"/>
    <cellStyle name="Calculation 2 8 3 2" xfId="8510" xr:uid="{00000000-0005-0000-0000-000036210000}"/>
    <cellStyle name="Calculation 2 8 3 2 2" xfId="8511" xr:uid="{00000000-0005-0000-0000-000037210000}"/>
    <cellStyle name="Calculation 2 8 3 2 3" xfId="8512" xr:uid="{00000000-0005-0000-0000-000038210000}"/>
    <cellStyle name="Calculation 2 8 3 2 4" xfId="8513" xr:uid="{00000000-0005-0000-0000-000039210000}"/>
    <cellStyle name="Calculation 2 8 3 2 5" xfId="8514" xr:uid="{00000000-0005-0000-0000-00003A210000}"/>
    <cellStyle name="Calculation 2 8 3 2 6" xfId="8515" xr:uid="{00000000-0005-0000-0000-00003B210000}"/>
    <cellStyle name="Calculation 2 8 3 3" xfId="8516" xr:uid="{00000000-0005-0000-0000-00003C210000}"/>
    <cellStyle name="Calculation 2 8 3 4" xfId="8517" xr:uid="{00000000-0005-0000-0000-00003D210000}"/>
    <cellStyle name="Calculation 2 8 3 5" xfId="8518" xr:uid="{00000000-0005-0000-0000-00003E210000}"/>
    <cellStyle name="Calculation 2 8 3 6" xfId="8519" xr:uid="{00000000-0005-0000-0000-00003F210000}"/>
    <cellStyle name="Calculation 2 8 4" xfId="8520" xr:uid="{00000000-0005-0000-0000-000040210000}"/>
    <cellStyle name="Calculation 2 8 4 2" xfId="8521" xr:uid="{00000000-0005-0000-0000-000041210000}"/>
    <cellStyle name="Calculation 2 8 4 3" xfId="8522" xr:uid="{00000000-0005-0000-0000-000042210000}"/>
    <cellStyle name="Calculation 2 8 4 4" xfId="8523" xr:uid="{00000000-0005-0000-0000-000043210000}"/>
    <cellStyle name="Calculation 2 8 4 5" xfId="8524" xr:uid="{00000000-0005-0000-0000-000044210000}"/>
    <cellStyle name="Calculation 2 8 4 6" xfId="8525" xr:uid="{00000000-0005-0000-0000-000045210000}"/>
    <cellStyle name="Calculation 2 8 5" xfId="8526" xr:uid="{00000000-0005-0000-0000-000046210000}"/>
    <cellStyle name="Calculation 2 8 5 2" xfId="8527" xr:uid="{00000000-0005-0000-0000-000047210000}"/>
    <cellStyle name="Calculation 2 8 5 3" xfId="8528" xr:uid="{00000000-0005-0000-0000-000048210000}"/>
    <cellStyle name="Calculation 2 8 5 4" xfId="8529" xr:uid="{00000000-0005-0000-0000-000049210000}"/>
    <cellStyle name="Calculation 2 8 5 5" xfId="8530" xr:uid="{00000000-0005-0000-0000-00004A210000}"/>
    <cellStyle name="Calculation 2 8 6" xfId="8531" xr:uid="{00000000-0005-0000-0000-00004B210000}"/>
    <cellStyle name="Calculation 2 8 7" xfId="8532" xr:uid="{00000000-0005-0000-0000-00004C210000}"/>
    <cellStyle name="Calculation 2 8 8" xfId="8533" xr:uid="{00000000-0005-0000-0000-00004D210000}"/>
    <cellStyle name="Calculation 2 8 9" xfId="8534" xr:uid="{00000000-0005-0000-0000-00004E210000}"/>
    <cellStyle name="Calculation 2 9" xfId="8535" xr:uid="{00000000-0005-0000-0000-00004F210000}"/>
    <cellStyle name="Calculation 2 9 2" xfId="8536" xr:uid="{00000000-0005-0000-0000-000050210000}"/>
    <cellStyle name="Calculation 2 9 2 2" xfId="8537" xr:uid="{00000000-0005-0000-0000-000051210000}"/>
    <cellStyle name="Calculation 2 9 2 2 2" xfId="8538" xr:uid="{00000000-0005-0000-0000-000052210000}"/>
    <cellStyle name="Calculation 2 9 2 2 3" xfId="8539" xr:uid="{00000000-0005-0000-0000-000053210000}"/>
    <cellStyle name="Calculation 2 9 2 2 4" xfId="8540" xr:uid="{00000000-0005-0000-0000-000054210000}"/>
    <cellStyle name="Calculation 2 9 2 2 5" xfId="8541" xr:uid="{00000000-0005-0000-0000-000055210000}"/>
    <cellStyle name="Calculation 2 9 2 3" xfId="8542" xr:uid="{00000000-0005-0000-0000-000056210000}"/>
    <cellStyle name="Calculation 2 9 2 4" xfId="8543" xr:uid="{00000000-0005-0000-0000-000057210000}"/>
    <cellStyle name="Calculation 2 9 2 5" xfId="8544" xr:uid="{00000000-0005-0000-0000-000058210000}"/>
    <cellStyle name="Calculation 2 9 2 6" xfId="8545" xr:uid="{00000000-0005-0000-0000-000059210000}"/>
    <cellStyle name="Calculation 2 9 2 7" xfId="8546" xr:uid="{00000000-0005-0000-0000-00005A210000}"/>
    <cellStyle name="Calculation 2 9 3" xfId="8547" xr:uid="{00000000-0005-0000-0000-00005B210000}"/>
    <cellStyle name="Calculation 2 9 3 2" xfId="8548" xr:uid="{00000000-0005-0000-0000-00005C210000}"/>
    <cellStyle name="Calculation 2 9 3 3" xfId="8549" xr:uid="{00000000-0005-0000-0000-00005D210000}"/>
    <cellStyle name="Calculation 2 9 3 4" xfId="8550" xr:uid="{00000000-0005-0000-0000-00005E210000}"/>
    <cellStyle name="Calculation 2 9 3 5" xfId="8551" xr:uid="{00000000-0005-0000-0000-00005F210000}"/>
    <cellStyle name="Calculation 2 9 4" xfId="8552" xr:uid="{00000000-0005-0000-0000-000060210000}"/>
    <cellStyle name="Calculation 2 9 5" xfId="8553" xr:uid="{00000000-0005-0000-0000-000061210000}"/>
    <cellStyle name="Calculation 2 9 6" xfId="8554" xr:uid="{00000000-0005-0000-0000-000062210000}"/>
    <cellStyle name="Calculation 2 9 7" xfId="8555" xr:uid="{00000000-0005-0000-0000-000063210000}"/>
    <cellStyle name="Calculation 3" xfId="8556" xr:uid="{00000000-0005-0000-0000-000064210000}"/>
    <cellStyle name="Calculation 3 10" xfId="8557" xr:uid="{00000000-0005-0000-0000-000065210000}"/>
    <cellStyle name="Calculation 3 10 2" xfId="8558" xr:uid="{00000000-0005-0000-0000-000066210000}"/>
    <cellStyle name="Calculation 3 10 2 2" xfId="8559" xr:uid="{00000000-0005-0000-0000-000067210000}"/>
    <cellStyle name="Calculation 3 10 2 3" xfId="8560" xr:uid="{00000000-0005-0000-0000-000068210000}"/>
    <cellStyle name="Calculation 3 10 2 4" xfId="8561" xr:uid="{00000000-0005-0000-0000-000069210000}"/>
    <cellStyle name="Calculation 3 10 2 5" xfId="8562" xr:uid="{00000000-0005-0000-0000-00006A210000}"/>
    <cellStyle name="Calculation 3 10 3" xfId="8563" xr:uid="{00000000-0005-0000-0000-00006B210000}"/>
    <cellStyle name="Calculation 3 10 3 2" xfId="8564" xr:uid="{00000000-0005-0000-0000-00006C210000}"/>
    <cellStyle name="Calculation 3 10 3 3" xfId="8565" xr:uid="{00000000-0005-0000-0000-00006D210000}"/>
    <cellStyle name="Calculation 3 10 3 4" xfId="8566" xr:uid="{00000000-0005-0000-0000-00006E210000}"/>
    <cellStyle name="Calculation 3 10 3 5" xfId="8567" xr:uid="{00000000-0005-0000-0000-00006F210000}"/>
    <cellStyle name="Calculation 3 10 4" xfId="8568" xr:uid="{00000000-0005-0000-0000-000070210000}"/>
    <cellStyle name="Calculation 3 10 5" xfId="8569" xr:uid="{00000000-0005-0000-0000-000071210000}"/>
    <cellStyle name="Calculation 3 10 6" xfId="8570" xr:uid="{00000000-0005-0000-0000-000072210000}"/>
    <cellStyle name="Calculation 3 10 7" xfId="8571" xr:uid="{00000000-0005-0000-0000-000073210000}"/>
    <cellStyle name="Calculation 3 10 8" xfId="8572" xr:uid="{00000000-0005-0000-0000-000074210000}"/>
    <cellStyle name="Calculation 3 11" xfId="8573" xr:uid="{00000000-0005-0000-0000-000075210000}"/>
    <cellStyle name="Calculation 3 11 2" xfId="8574" xr:uid="{00000000-0005-0000-0000-000076210000}"/>
    <cellStyle name="Calculation 3 11 2 2" xfId="8575" xr:uid="{00000000-0005-0000-0000-000077210000}"/>
    <cellStyle name="Calculation 3 11 2 3" xfId="8576" xr:uid="{00000000-0005-0000-0000-000078210000}"/>
    <cellStyle name="Calculation 3 11 2 4" xfId="8577" xr:uid="{00000000-0005-0000-0000-000079210000}"/>
    <cellStyle name="Calculation 3 11 2 5" xfId="8578" xr:uid="{00000000-0005-0000-0000-00007A210000}"/>
    <cellStyle name="Calculation 3 11 3" xfId="8579" xr:uid="{00000000-0005-0000-0000-00007B210000}"/>
    <cellStyle name="Calculation 3 11 4" xfId="8580" xr:uid="{00000000-0005-0000-0000-00007C210000}"/>
    <cellStyle name="Calculation 3 11 5" xfId="8581" xr:uid="{00000000-0005-0000-0000-00007D210000}"/>
    <cellStyle name="Calculation 3 11 6" xfId="8582" xr:uid="{00000000-0005-0000-0000-00007E210000}"/>
    <cellStyle name="Calculation 3 12" xfId="8583" xr:uid="{00000000-0005-0000-0000-00007F210000}"/>
    <cellStyle name="Calculation 3 12 2" xfId="8584" xr:uid="{00000000-0005-0000-0000-000080210000}"/>
    <cellStyle name="Calculation 3 12 2 2" xfId="8585" xr:uid="{00000000-0005-0000-0000-000081210000}"/>
    <cellStyle name="Calculation 3 12 2 3" xfId="8586" xr:uid="{00000000-0005-0000-0000-000082210000}"/>
    <cellStyle name="Calculation 3 12 2 4" xfId="8587" xr:uid="{00000000-0005-0000-0000-000083210000}"/>
    <cellStyle name="Calculation 3 12 2 5" xfId="8588" xr:uid="{00000000-0005-0000-0000-000084210000}"/>
    <cellStyle name="Calculation 3 12 3" xfId="8589" xr:uid="{00000000-0005-0000-0000-000085210000}"/>
    <cellStyle name="Calculation 3 12 4" xfId="8590" xr:uid="{00000000-0005-0000-0000-000086210000}"/>
    <cellStyle name="Calculation 3 12 5" xfId="8591" xr:uid="{00000000-0005-0000-0000-000087210000}"/>
    <cellStyle name="Calculation 3 12 6" xfId="8592" xr:uid="{00000000-0005-0000-0000-000088210000}"/>
    <cellStyle name="Calculation 3 13" xfId="8593" xr:uid="{00000000-0005-0000-0000-000089210000}"/>
    <cellStyle name="Calculation 3 13 2" xfId="8594" xr:uid="{00000000-0005-0000-0000-00008A210000}"/>
    <cellStyle name="Calculation 3 13 2 2" xfId="8595" xr:uid="{00000000-0005-0000-0000-00008B210000}"/>
    <cellStyle name="Calculation 3 13 2 3" xfId="8596" xr:uid="{00000000-0005-0000-0000-00008C210000}"/>
    <cellStyle name="Calculation 3 13 2 4" xfId="8597" xr:uid="{00000000-0005-0000-0000-00008D210000}"/>
    <cellStyle name="Calculation 3 13 2 5" xfId="8598" xr:uid="{00000000-0005-0000-0000-00008E210000}"/>
    <cellStyle name="Calculation 3 13 3" xfId="8599" xr:uid="{00000000-0005-0000-0000-00008F210000}"/>
    <cellStyle name="Calculation 3 13 4" xfId="8600" xr:uid="{00000000-0005-0000-0000-000090210000}"/>
    <cellStyle name="Calculation 3 13 5" xfId="8601" xr:uid="{00000000-0005-0000-0000-000091210000}"/>
    <cellStyle name="Calculation 3 13 6" xfId="8602" xr:uid="{00000000-0005-0000-0000-000092210000}"/>
    <cellStyle name="Calculation 3 14" xfId="8603" xr:uid="{00000000-0005-0000-0000-000093210000}"/>
    <cellStyle name="Calculation 3 14 2" xfId="8604" xr:uid="{00000000-0005-0000-0000-000094210000}"/>
    <cellStyle name="Calculation 3 14 2 2" xfId="8605" xr:uid="{00000000-0005-0000-0000-000095210000}"/>
    <cellStyle name="Calculation 3 14 2 3" xfId="8606" xr:uid="{00000000-0005-0000-0000-000096210000}"/>
    <cellStyle name="Calculation 3 14 2 4" xfId="8607" xr:uid="{00000000-0005-0000-0000-000097210000}"/>
    <cellStyle name="Calculation 3 14 2 5" xfId="8608" xr:uid="{00000000-0005-0000-0000-000098210000}"/>
    <cellStyle name="Calculation 3 14 3" xfId="8609" xr:uid="{00000000-0005-0000-0000-000099210000}"/>
    <cellStyle name="Calculation 3 14 4" xfId="8610" xr:uid="{00000000-0005-0000-0000-00009A210000}"/>
    <cellStyle name="Calculation 3 14 5" xfId="8611" xr:uid="{00000000-0005-0000-0000-00009B210000}"/>
    <cellStyle name="Calculation 3 14 6" xfId="8612" xr:uid="{00000000-0005-0000-0000-00009C210000}"/>
    <cellStyle name="Calculation 3 15" xfId="8613" xr:uid="{00000000-0005-0000-0000-00009D210000}"/>
    <cellStyle name="Calculation 3 15 2" xfId="8614" xr:uid="{00000000-0005-0000-0000-00009E210000}"/>
    <cellStyle name="Calculation 3 15 2 2" xfId="8615" xr:uid="{00000000-0005-0000-0000-00009F210000}"/>
    <cellStyle name="Calculation 3 15 2 3" xfId="8616" xr:uid="{00000000-0005-0000-0000-0000A0210000}"/>
    <cellStyle name="Calculation 3 15 2 4" xfId="8617" xr:uid="{00000000-0005-0000-0000-0000A1210000}"/>
    <cellStyle name="Calculation 3 15 2 5" xfId="8618" xr:uid="{00000000-0005-0000-0000-0000A2210000}"/>
    <cellStyle name="Calculation 3 15 3" xfId="8619" xr:uid="{00000000-0005-0000-0000-0000A3210000}"/>
    <cellStyle name="Calculation 3 15 4" xfId="8620" xr:uid="{00000000-0005-0000-0000-0000A4210000}"/>
    <cellStyle name="Calculation 3 15 5" xfId="8621" xr:uid="{00000000-0005-0000-0000-0000A5210000}"/>
    <cellStyle name="Calculation 3 15 6" xfId="8622" xr:uid="{00000000-0005-0000-0000-0000A6210000}"/>
    <cellStyle name="Calculation 3 16" xfId="8623" xr:uid="{00000000-0005-0000-0000-0000A7210000}"/>
    <cellStyle name="Calculation 3 16 2" xfId="8624" xr:uid="{00000000-0005-0000-0000-0000A8210000}"/>
    <cellStyle name="Calculation 3 16 2 2" xfId="8625" xr:uid="{00000000-0005-0000-0000-0000A9210000}"/>
    <cellStyle name="Calculation 3 16 2 3" xfId="8626" xr:uid="{00000000-0005-0000-0000-0000AA210000}"/>
    <cellStyle name="Calculation 3 16 2 4" xfId="8627" xr:uid="{00000000-0005-0000-0000-0000AB210000}"/>
    <cellStyle name="Calculation 3 16 2 5" xfId="8628" xr:uid="{00000000-0005-0000-0000-0000AC210000}"/>
    <cellStyle name="Calculation 3 16 3" xfId="8629" xr:uid="{00000000-0005-0000-0000-0000AD210000}"/>
    <cellStyle name="Calculation 3 16 4" xfId="8630" xr:uid="{00000000-0005-0000-0000-0000AE210000}"/>
    <cellStyle name="Calculation 3 16 5" xfId="8631" xr:uid="{00000000-0005-0000-0000-0000AF210000}"/>
    <cellStyle name="Calculation 3 16 6" xfId="8632" xr:uid="{00000000-0005-0000-0000-0000B0210000}"/>
    <cellStyle name="Calculation 3 17" xfId="8633" xr:uid="{00000000-0005-0000-0000-0000B1210000}"/>
    <cellStyle name="Calculation 3 17 2" xfId="8634" xr:uid="{00000000-0005-0000-0000-0000B2210000}"/>
    <cellStyle name="Calculation 3 17 2 2" xfId="8635" xr:uid="{00000000-0005-0000-0000-0000B3210000}"/>
    <cellStyle name="Calculation 3 17 2 3" xfId="8636" xr:uid="{00000000-0005-0000-0000-0000B4210000}"/>
    <cellStyle name="Calculation 3 17 2 4" xfId="8637" xr:uid="{00000000-0005-0000-0000-0000B5210000}"/>
    <cellStyle name="Calculation 3 17 2 5" xfId="8638" xr:uid="{00000000-0005-0000-0000-0000B6210000}"/>
    <cellStyle name="Calculation 3 17 3" xfId="8639" xr:uid="{00000000-0005-0000-0000-0000B7210000}"/>
    <cellStyle name="Calculation 3 17 4" xfId="8640" xr:uid="{00000000-0005-0000-0000-0000B8210000}"/>
    <cellStyle name="Calculation 3 17 5" xfId="8641" xr:uid="{00000000-0005-0000-0000-0000B9210000}"/>
    <cellStyle name="Calculation 3 17 6" xfId="8642" xr:uid="{00000000-0005-0000-0000-0000BA210000}"/>
    <cellStyle name="Calculation 3 18" xfId="8643" xr:uid="{00000000-0005-0000-0000-0000BB210000}"/>
    <cellStyle name="Calculation 3 18 2" xfId="8644" xr:uid="{00000000-0005-0000-0000-0000BC210000}"/>
    <cellStyle name="Calculation 3 18 2 2" xfId="8645" xr:uid="{00000000-0005-0000-0000-0000BD210000}"/>
    <cellStyle name="Calculation 3 18 2 3" xfId="8646" xr:uid="{00000000-0005-0000-0000-0000BE210000}"/>
    <cellStyle name="Calculation 3 18 2 4" xfId="8647" xr:uid="{00000000-0005-0000-0000-0000BF210000}"/>
    <cellStyle name="Calculation 3 18 2 5" xfId="8648" xr:uid="{00000000-0005-0000-0000-0000C0210000}"/>
    <cellStyle name="Calculation 3 18 3" xfId="8649" xr:uid="{00000000-0005-0000-0000-0000C1210000}"/>
    <cellStyle name="Calculation 3 18 4" xfId="8650" xr:uid="{00000000-0005-0000-0000-0000C2210000}"/>
    <cellStyle name="Calculation 3 18 5" xfId="8651" xr:uid="{00000000-0005-0000-0000-0000C3210000}"/>
    <cellStyle name="Calculation 3 18 6" xfId="8652" xr:uid="{00000000-0005-0000-0000-0000C4210000}"/>
    <cellStyle name="Calculation 3 19" xfId="8653" xr:uid="{00000000-0005-0000-0000-0000C5210000}"/>
    <cellStyle name="Calculation 3 19 2" xfId="8654" xr:uid="{00000000-0005-0000-0000-0000C6210000}"/>
    <cellStyle name="Calculation 3 19 2 2" xfId="8655" xr:uid="{00000000-0005-0000-0000-0000C7210000}"/>
    <cellStyle name="Calculation 3 19 2 3" xfId="8656" xr:uid="{00000000-0005-0000-0000-0000C8210000}"/>
    <cellStyle name="Calculation 3 19 2 4" xfId="8657" xr:uid="{00000000-0005-0000-0000-0000C9210000}"/>
    <cellStyle name="Calculation 3 19 2 5" xfId="8658" xr:uid="{00000000-0005-0000-0000-0000CA210000}"/>
    <cellStyle name="Calculation 3 19 3" xfId="8659" xr:uid="{00000000-0005-0000-0000-0000CB210000}"/>
    <cellStyle name="Calculation 3 19 4" xfId="8660" xr:uid="{00000000-0005-0000-0000-0000CC210000}"/>
    <cellStyle name="Calculation 3 19 5" xfId="8661" xr:uid="{00000000-0005-0000-0000-0000CD210000}"/>
    <cellStyle name="Calculation 3 19 6" xfId="8662" xr:uid="{00000000-0005-0000-0000-0000CE210000}"/>
    <cellStyle name="Calculation 3 2" xfId="8663" xr:uid="{00000000-0005-0000-0000-0000CF210000}"/>
    <cellStyle name="Calculation 3 2 10" xfId="8664" xr:uid="{00000000-0005-0000-0000-0000D0210000}"/>
    <cellStyle name="Calculation 3 2 10 2" xfId="8665" xr:uid="{00000000-0005-0000-0000-0000D1210000}"/>
    <cellStyle name="Calculation 3 2 10 2 2" xfId="8666" xr:uid="{00000000-0005-0000-0000-0000D2210000}"/>
    <cellStyle name="Calculation 3 2 10 2 3" xfId="8667" xr:uid="{00000000-0005-0000-0000-0000D3210000}"/>
    <cellStyle name="Calculation 3 2 10 2 4" xfId="8668" xr:uid="{00000000-0005-0000-0000-0000D4210000}"/>
    <cellStyle name="Calculation 3 2 10 2 5" xfId="8669" xr:uid="{00000000-0005-0000-0000-0000D5210000}"/>
    <cellStyle name="Calculation 3 2 10 3" xfId="8670" xr:uid="{00000000-0005-0000-0000-0000D6210000}"/>
    <cellStyle name="Calculation 3 2 10 4" xfId="8671" xr:uid="{00000000-0005-0000-0000-0000D7210000}"/>
    <cellStyle name="Calculation 3 2 10 5" xfId="8672" xr:uid="{00000000-0005-0000-0000-0000D8210000}"/>
    <cellStyle name="Calculation 3 2 10 6" xfId="8673" xr:uid="{00000000-0005-0000-0000-0000D9210000}"/>
    <cellStyle name="Calculation 3 2 11" xfId="8674" xr:uid="{00000000-0005-0000-0000-0000DA210000}"/>
    <cellStyle name="Calculation 3 2 11 2" xfId="8675" xr:uid="{00000000-0005-0000-0000-0000DB210000}"/>
    <cellStyle name="Calculation 3 2 11 2 2" xfId="8676" xr:uid="{00000000-0005-0000-0000-0000DC210000}"/>
    <cellStyle name="Calculation 3 2 11 2 3" xfId="8677" xr:uid="{00000000-0005-0000-0000-0000DD210000}"/>
    <cellStyle name="Calculation 3 2 11 2 4" xfId="8678" xr:uid="{00000000-0005-0000-0000-0000DE210000}"/>
    <cellStyle name="Calculation 3 2 11 2 5" xfId="8679" xr:uid="{00000000-0005-0000-0000-0000DF210000}"/>
    <cellStyle name="Calculation 3 2 11 3" xfId="8680" xr:uid="{00000000-0005-0000-0000-0000E0210000}"/>
    <cellStyle name="Calculation 3 2 11 4" xfId="8681" xr:uid="{00000000-0005-0000-0000-0000E1210000}"/>
    <cellStyle name="Calculation 3 2 11 5" xfId="8682" xr:uid="{00000000-0005-0000-0000-0000E2210000}"/>
    <cellStyle name="Calculation 3 2 11 6" xfId="8683" xr:uid="{00000000-0005-0000-0000-0000E3210000}"/>
    <cellStyle name="Calculation 3 2 12" xfId="8684" xr:uid="{00000000-0005-0000-0000-0000E4210000}"/>
    <cellStyle name="Calculation 3 2 12 2" xfId="8685" xr:uid="{00000000-0005-0000-0000-0000E5210000}"/>
    <cellStyle name="Calculation 3 2 12 2 2" xfId="8686" xr:uid="{00000000-0005-0000-0000-0000E6210000}"/>
    <cellStyle name="Calculation 3 2 12 2 3" xfId="8687" xr:uid="{00000000-0005-0000-0000-0000E7210000}"/>
    <cellStyle name="Calculation 3 2 12 2 4" xfId="8688" xr:uid="{00000000-0005-0000-0000-0000E8210000}"/>
    <cellStyle name="Calculation 3 2 12 2 5" xfId="8689" xr:uid="{00000000-0005-0000-0000-0000E9210000}"/>
    <cellStyle name="Calculation 3 2 12 3" xfId="8690" xr:uid="{00000000-0005-0000-0000-0000EA210000}"/>
    <cellStyle name="Calculation 3 2 12 4" xfId="8691" xr:uid="{00000000-0005-0000-0000-0000EB210000}"/>
    <cellStyle name="Calculation 3 2 12 5" xfId="8692" xr:uid="{00000000-0005-0000-0000-0000EC210000}"/>
    <cellStyle name="Calculation 3 2 12 6" xfId="8693" xr:uid="{00000000-0005-0000-0000-0000ED210000}"/>
    <cellStyle name="Calculation 3 2 13" xfId="8694" xr:uid="{00000000-0005-0000-0000-0000EE210000}"/>
    <cellStyle name="Calculation 3 2 13 2" xfId="8695" xr:uid="{00000000-0005-0000-0000-0000EF210000}"/>
    <cellStyle name="Calculation 3 2 13 2 2" xfId="8696" xr:uid="{00000000-0005-0000-0000-0000F0210000}"/>
    <cellStyle name="Calculation 3 2 13 2 3" xfId="8697" xr:uid="{00000000-0005-0000-0000-0000F1210000}"/>
    <cellStyle name="Calculation 3 2 13 2 4" xfId="8698" xr:uid="{00000000-0005-0000-0000-0000F2210000}"/>
    <cellStyle name="Calculation 3 2 13 2 5" xfId="8699" xr:uid="{00000000-0005-0000-0000-0000F3210000}"/>
    <cellStyle name="Calculation 3 2 13 3" xfId="8700" xr:uid="{00000000-0005-0000-0000-0000F4210000}"/>
    <cellStyle name="Calculation 3 2 13 4" xfId="8701" xr:uid="{00000000-0005-0000-0000-0000F5210000}"/>
    <cellStyle name="Calculation 3 2 13 5" xfId="8702" xr:uid="{00000000-0005-0000-0000-0000F6210000}"/>
    <cellStyle name="Calculation 3 2 13 6" xfId="8703" xr:uid="{00000000-0005-0000-0000-0000F7210000}"/>
    <cellStyle name="Calculation 3 2 14" xfId="8704" xr:uid="{00000000-0005-0000-0000-0000F8210000}"/>
    <cellStyle name="Calculation 3 2 14 2" xfId="8705" xr:uid="{00000000-0005-0000-0000-0000F9210000}"/>
    <cellStyle name="Calculation 3 2 14 2 2" xfId="8706" xr:uid="{00000000-0005-0000-0000-0000FA210000}"/>
    <cellStyle name="Calculation 3 2 14 2 3" xfId="8707" xr:uid="{00000000-0005-0000-0000-0000FB210000}"/>
    <cellStyle name="Calculation 3 2 14 2 4" xfId="8708" xr:uid="{00000000-0005-0000-0000-0000FC210000}"/>
    <cellStyle name="Calculation 3 2 14 2 5" xfId="8709" xr:uid="{00000000-0005-0000-0000-0000FD210000}"/>
    <cellStyle name="Calculation 3 2 14 3" xfId="8710" xr:uid="{00000000-0005-0000-0000-0000FE210000}"/>
    <cellStyle name="Calculation 3 2 14 4" xfId="8711" xr:uid="{00000000-0005-0000-0000-0000FF210000}"/>
    <cellStyle name="Calculation 3 2 14 5" xfId="8712" xr:uid="{00000000-0005-0000-0000-000000220000}"/>
    <cellStyle name="Calculation 3 2 14 6" xfId="8713" xr:uid="{00000000-0005-0000-0000-000001220000}"/>
    <cellStyle name="Calculation 3 2 15" xfId="8714" xr:uid="{00000000-0005-0000-0000-000002220000}"/>
    <cellStyle name="Calculation 3 2 15 2" xfId="8715" xr:uid="{00000000-0005-0000-0000-000003220000}"/>
    <cellStyle name="Calculation 3 2 15 2 2" xfId="8716" xr:uid="{00000000-0005-0000-0000-000004220000}"/>
    <cellStyle name="Calculation 3 2 15 2 3" xfId="8717" xr:uid="{00000000-0005-0000-0000-000005220000}"/>
    <cellStyle name="Calculation 3 2 15 2 4" xfId="8718" xr:uid="{00000000-0005-0000-0000-000006220000}"/>
    <cellStyle name="Calculation 3 2 15 2 5" xfId="8719" xr:uid="{00000000-0005-0000-0000-000007220000}"/>
    <cellStyle name="Calculation 3 2 15 3" xfId="8720" xr:uid="{00000000-0005-0000-0000-000008220000}"/>
    <cellStyle name="Calculation 3 2 15 4" xfId="8721" xr:uid="{00000000-0005-0000-0000-000009220000}"/>
    <cellStyle name="Calculation 3 2 15 5" xfId="8722" xr:uid="{00000000-0005-0000-0000-00000A220000}"/>
    <cellStyle name="Calculation 3 2 15 6" xfId="8723" xr:uid="{00000000-0005-0000-0000-00000B220000}"/>
    <cellStyle name="Calculation 3 2 16" xfId="8724" xr:uid="{00000000-0005-0000-0000-00000C220000}"/>
    <cellStyle name="Calculation 3 2 16 2" xfId="8725" xr:uid="{00000000-0005-0000-0000-00000D220000}"/>
    <cellStyle name="Calculation 3 2 16 2 2" xfId="8726" xr:uid="{00000000-0005-0000-0000-00000E220000}"/>
    <cellStyle name="Calculation 3 2 16 2 3" xfId="8727" xr:uid="{00000000-0005-0000-0000-00000F220000}"/>
    <cellStyle name="Calculation 3 2 16 2 4" xfId="8728" xr:uid="{00000000-0005-0000-0000-000010220000}"/>
    <cellStyle name="Calculation 3 2 16 2 5" xfId="8729" xr:uid="{00000000-0005-0000-0000-000011220000}"/>
    <cellStyle name="Calculation 3 2 16 3" xfId="8730" xr:uid="{00000000-0005-0000-0000-000012220000}"/>
    <cellStyle name="Calculation 3 2 16 4" xfId="8731" xr:uid="{00000000-0005-0000-0000-000013220000}"/>
    <cellStyle name="Calculation 3 2 16 5" xfId="8732" xr:uid="{00000000-0005-0000-0000-000014220000}"/>
    <cellStyle name="Calculation 3 2 16 6" xfId="8733" xr:uid="{00000000-0005-0000-0000-000015220000}"/>
    <cellStyle name="Calculation 3 2 17" xfId="8734" xr:uid="{00000000-0005-0000-0000-000016220000}"/>
    <cellStyle name="Calculation 3 2 17 2" xfId="8735" xr:uid="{00000000-0005-0000-0000-000017220000}"/>
    <cellStyle name="Calculation 3 2 17 2 2" xfId="8736" xr:uid="{00000000-0005-0000-0000-000018220000}"/>
    <cellStyle name="Calculation 3 2 17 2 3" xfId="8737" xr:uid="{00000000-0005-0000-0000-000019220000}"/>
    <cellStyle name="Calculation 3 2 17 2 4" xfId="8738" xr:uid="{00000000-0005-0000-0000-00001A220000}"/>
    <cellStyle name="Calculation 3 2 17 2 5" xfId="8739" xr:uid="{00000000-0005-0000-0000-00001B220000}"/>
    <cellStyle name="Calculation 3 2 17 3" xfId="8740" xr:uid="{00000000-0005-0000-0000-00001C220000}"/>
    <cellStyle name="Calculation 3 2 17 4" xfId="8741" xr:uid="{00000000-0005-0000-0000-00001D220000}"/>
    <cellStyle name="Calculation 3 2 17 5" xfId="8742" xr:uid="{00000000-0005-0000-0000-00001E220000}"/>
    <cellStyle name="Calculation 3 2 17 6" xfId="8743" xr:uid="{00000000-0005-0000-0000-00001F220000}"/>
    <cellStyle name="Calculation 3 2 18" xfId="8744" xr:uid="{00000000-0005-0000-0000-000020220000}"/>
    <cellStyle name="Calculation 3 2 18 2" xfId="8745" xr:uid="{00000000-0005-0000-0000-000021220000}"/>
    <cellStyle name="Calculation 3 2 18 2 2" xfId="8746" xr:uid="{00000000-0005-0000-0000-000022220000}"/>
    <cellStyle name="Calculation 3 2 18 2 3" xfId="8747" xr:uid="{00000000-0005-0000-0000-000023220000}"/>
    <cellStyle name="Calculation 3 2 18 2 4" xfId="8748" xr:uid="{00000000-0005-0000-0000-000024220000}"/>
    <cellStyle name="Calculation 3 2 18 2 5" xfId="8749" xr:uid="{00000000-0005-0000-0000-000025220000}"/>
    <cellStyle name="Calculation 3 2 18 3" xfId="8750" xr:uid="{00000000-0005-0000-0000-000026220000}"/>
    <cellStyle name="Calculation 3 2 18 4" xfId="8751" xr:uid="{00000000-0005-0000-0000-000027220000}"/>
    <cellStyle name="Calculation 3 2 18 5" xfId="8752" xr:uid="{00000000-0005-0000-0000-000028220000}"/>
    <cellStyle name="Calculation 3 2 18 6" xfId="8753" xr:uid="{00000000-0005-0000-0000-000029220000}"/>
    <cellStyle name="Calculation 3 2 19" xfId="8754" xr:uid="{00000000-0005-0000-0000-00002A220000}"/>
    <cellStyle name="Calculation 3 2 19 2" xfId="8755" xr:uid="{00000000-0005-0000-0000-00002B220000}"/>
    <cellStyle name="Calculation 3 2 19 2 2" xfId="8756" xr:uid="{00000000-0005-0000-0000-00002C220000}"/>
    <cellStyle name="Calculation 3 2 19 2 3" xfId="8757" xr:uid="{00000000-0005-0000-0000-00002D220000}"/>
    <cellStyle name="Calculation 3 2 19 2 4" xfId="8758" xr:uid="{00000000-0005-0000-0000-00002E220000}"/>
    <cellStyle name="Calculation 3 2 19 2 5" xfId="8759" xr:uid="{00000000-0005-0000-0000-00002F220000}"/>
    <cellStyle name="Calculation 3 2 19 3" xfId="8760" xr:uid="{00000000-0005-0000-0000-000030220000}"/>
    <cellStyle name="Calculation 3 2 19 4" xfId="8761" xr:uid="{00000000-0005-0000-0000-000031220000}"/>
    <cellStyle name="Calculation 3 2 19 5" xfId="8762" xr:uid="{00000000-0005-0000-0000-000032220000}"/>
    <cellStyle name="Calculation 3 2 19 6" xfId="8763" xr:uid="{00000000-0005-0000-0000-000033220000}"/>
    <cellStyle name="Calculation 3 2 2" xfId="8764" xr:uid="{00000000-0005-0000-0000-000034220000}"/>
    <cellStyle name="Calculation 3 2 2 10" xfId="8765" xr:uid="{00000000-0005-0000-0000-000035220000}"/>
    <cellStyle name="Calculation 3 2 2 10 2" xfId="8766" xr:uid="{00000000-0005-0000-0000-000036220000}"/>
    <cellStyle name="Calculation 3 2 2 10 3" xfId="8767" xr:uid="{00000000-0005-0000-0000-000037220000}"/>
    <cellStyle name="Calculation 3 2 2 10 4" xfId="8768" xr:uid="{00000000-0005-0000-0000-000038220000}"/>
    <cellStyle name="Calculation 3 2 2 10 5" xfId="8769" xr:uid="{00000000-0005-0000-0000-000039220000}"/>
    <cellStyle name="Calculation 3 2 2 10 6" xfId="8770" xr:uid="{00000000-0005-0000-0000-00003A220000}"/>
    <cellStyle name="Calculation 3 2 2 11" xfId="8771" xr:uid="{00000000-0005-0000-0000-00003B220000}"/>
    <cellStyle name="Calculation 3 2 2 11 2" xfId="8772" xr:uid="{00000000-0005-0000-0000-00003C220000}"/>
    <cellStyle name="Calculation 3 2 2 11 3" xfId="8773" xr:uid="{00000000-0005-0000-0000-00003D220000}"/>
    <cellStyle name="Calculation 3 2 2 11 4" xfId="8774" xr:uid="{00000000-0005-0000-0000-00003E220000}"/>
    <cellStyle name="Calculation 3 2 2 11 5" xfId="8775" xr:uid="{00000000-0005-0000-0000-00003F220000}"/>
    <cellStyle name="Calculation 3 2 2 12" xfId="8776" xr:uid="{00000000-0005-0000-0000-000040220000}"/>
    <cellStyle name="Calculation 3 2 2 13" xfId="8777" xr:uid="{00000000-0005-0000-0000-000041220000}"/>
    <cellStyle name="Calculation 3 2 2 14" xfId="8778" xr:uid="{00000000-0005-0000-0000-000042220000}"/>
    <cellStyle name="Calculation 3 2 2 15" xfId="8779" xr:uid="{00000000-0005-0000-0000-000043220000}"/>
    <cellStyle name="Calculation 3 2 2 2" xfId="8780" xr:uid="{00000000-0005-0000-0000-000044220000}"/>
    <cellStyle name="Calculation 3 2 2 2 10" xfId="8781" xr:uid="{00000000-0005-0000-0000-000045220000}"/>
    <cellStyle name="Calculation 3 2 2 2 10 2" xfId="8782" xr:uid="{00000000-0005-0000-0000-000046220000}"/>
    <cellStyle name="Calculation 3 2 2 2 10 3" xfId="8783" xr:uid="{00000000-0005-0000-0000-000047220000}"/>
    <cellStyle name="Calculation 3 2 2 2 10 4" xfId="8784" xr:uid="{00000000-0005-0000-0000-000048220000}"/>
    <cellStyle name="Calculation 3 2 2 2 10 5" xfId="8785" xr:uid="{00000000-0005-0000-0000-000049220000}"/>
    <cellStyle name="Calculation 3 2 2 2 11" xfId="8786" xr:uid="{00000000-0005-0000-0000-00004A220000}"/>
    <cellStyle name="Calculation 3 2 2 2 12" xfId="8787" xr:uid="{00000000-0005-0000-0000-00004B220000}"/>
    <cellStyle name="Calculation 3 2 2 2 13" xfId="8788" xr:uid="{00000000-0005-0000-0000-00004C220000}"/>
    <cellStyle name="Calculation 3 2 2 2 14" xfId="8789" xr:uid="{00000000-0005-0000-0000-00004D220000}"/>
    <cellStyle name="Calculation 3 2 2 2 2" xfId="8790" xr:uid="{00000000-0005-0000-0000-00004E220000}"/>
    <cellStyle name="Calculation 3 2 2 2 2 2" xfId="8791" xr:uid="{00000000-0005-0000-0000-00004F220000}"/>
    <cellStyle name="Calculation 3 2 2 2 2 2 2" xfId="8792" xr:uid="{00000000-0005-0000-0000-000050220000}"/>
    <cellStyle name="Calculation 3 2 2 2 2 2 2 2" xfId="8793" xr:uid="{00000000-0005-0000-0000-000051220000}"/>
    <cellStyle name="Calculation 3 2 2 2 2 2 2 3" xfId="8794" xr:uid="{00000000-0005-0000-0000-000052220000}"/>
    <cellStyle name="Calculation 3 2 2 2 2 2 2 4" xfId="8795" xr:uid="{00000000-0005-0000-0000-000053220000}"/>
    <cellStyle name="Calculation 3 2 2 2 2 2 2 5" xfId="8796" xr:uid="{00000000-0005-0000-0000-000054220000}"/>
    <cellStyle name="Calculation 3 2 2 2 2 2 2 6" xfId="8797" xr:uid="{00000000-0005-0000-0000-000055220000}"/>
    <cellStyle name="Calculation 3 2 2 2 2 2 3" xfId="8798" xr:uid="{00000000-0005-0000-0000-000056220000}"/>
    <cellStyle name="Calculation 3 2 2 2 2 2 4" xfId="8799" xr:uid="{00000000-0005-0000-0000-000057220000}"/>
    <cellStyle name="Calculation 3 2 2 2 2 2 5" xfId="8800" xr:uid="{00000000-0005-0000-0000-000058220000}"/>
    <cellStyle name="Calculation 3 2 2 2 2 2 6" xfId="8801" xr:uid="{00000000-0005-0000-0000-000059220000}"/>
    <cellStyle name="Calculation 3 2 2 2 2 3" xfId="8802" xr:uid="{00000000-0005-0000-0000-00005A220000}"/>
    <cellStyle name="Calculation 3 2 2 2 2 3 2" xfId="8803" xr:uid="{00000000-0005-0000-0000-00005B220000}"/>
    <cellStyle name="Calculation 3 2 2 2 2 3 2 2" xfId="8804" xr:uid="{00000000-0005-0000-0000-00005C220000}"/>
    <cellStyle name="Calculation 3 2 2 2 2 3 2 3" xfId="8805" xr:uid="{00000000-0005-0000-0000-00005D220000}"/>
    <cellStyle name="Calculation 3 2 2 2 2 3 2 4" xfId="8806" xr:uid="{00000000-0005-0000-0000-00005E220000}"/>
    <cellStyle name="Calculation 3 2 2 2 2 3 2 5" xfId="8807" xr:uid="{00000000-0005-0000-0000-00005F220000}"/>
    <cellStyle name="Calculation 3 2 2 2 2 3 2 6" xfId="8808" xr:uid="{00000000-0005-0000-0000-000060220000}"/>
    <cellStyle name="Calculation 3 2 2 2 2 3 3" xfId="8809" xr:uid="{00000000-0005-0000-0000-000061220000}"/>
    <cellStyle name="Calculation 3 2 2 2 2 3 4" xfId="8810" xr:uid="{00000000-0005-0000-0000-000062220000}"/>
    <cellStyle name="Calculation 3 2 2 2 2 3 5" xfId="8811" xr:uid="{00000000-0005-0000-0000-000063220000}"/>
    <cellStyle name="Calculation 3 2 2 2 2 3 6" xfId="8812" xr:uid="{00000000-0005-0000-0000-000064220000}"/>
    <cellStyle name="Calculation 3 2 2 2 2 4" xfId="8813" xr:uid="{00000000-0005-0000-0000-000065220000}"/>
    <cellStyle name="Calculation 3 2 2 2 2 4 2" xfId="8814" xr:uid="{00000000-0005-0000-0000-000066220000}"/>
    <cellStyle name="Calculation 3 2 2 2 2 4 3" xfId="8815" xr:uid="{00000000-0005-0000-0000-000067220000}"/>
    <cellStyle name="Calculation 3 2 2 2 2 4 4" xfId="8816" xr:uid="{00000000-0005-0000-0000-000068220000}"/>
    <cellStyle name="Calculation 3 2 2 2 2 4 5" xfId="8817" xr:uid="{00000000-0005-0000-0000-000069220000}"/>
    <cellStyle name="Calculation 3 2 2 2 2 4 6" xfId="8818" xr:uid="{00000000-0005-0000-0000-00006A220000}"/>
    <cellStyle name="Calculation 3 2 2 2 2 5" xfId="8819" xr:uid="{00000000-0005-0000-0000-00006B220000}"/>
    <cellStyle name="Calculation 3 2 2 2 2 6" xfId="8820" xr:uid="{00000000-0005-0000-0000-00006C220000}"/>
    <cellStyle name="Calculation 3 2 2 2 2 7" xfId="8821" xr:uid="{00000000-0005-0000-0000-00006D220000}"/>
    <cellStyle name="Calculation 3 2 2 2 2 8" xfId="8822" xr:uid="{00000000-0005-0000-0000-00006E220000}"/>
    <cellStyle name="Calculation 3 2 2 2 3" xfId="8823" xr:uid="{00000000-0005-0000-0000-00006F220000}"/>
    <cellStyle name="Calculation 3 2 2 2 3 2" xfId="8824" xr:uid="{00000000-0005-0000-0000-000070220000}"/>
    <cellStyle name="Calculation 3 2 2 2 3 2 2" xfId="8825" xr:uid="{00000000-0005-0000-0000-000071220000}"/>
    <cellStyle name="Calculation 3 2 2 2 3 2 2 2" xfId="8826" xr:uid="{00000000-0005-0000-0000-000072220000}"/>
    <cellStyle name="Calculation 3 2 2 2 3 2 2 3" xfId="8827" xr:uid="{00000000-0005-0000-0000-000073220000}"/>
    <cellStyle name="Calculation 3 2 2 2 3 2 2 4" xfId="8828" xr:uid="{00000000-0005-0000-0000-000074220000}"/>
    <cellStyle name="Calculation 3 2 2 2 3 2 2 5" xfId="8829" xr:uid="{00000000-0005-0000-0000-000075220000}"/>
    <cellStyle name="Calculation 3 2 2 2 3 2 2 6" xfId="8830" xr:uid="{00000000-0005-0000-0000-000076220000}"/>
    <cellStyle name="Calculation 3 2 2 2 3 2 3" xfId="8831" xr:uid="{00000000-0005-0000-0000-000077220000}"/>
    <cellStyle name="Calculation 3 2 2 2 3 2 4" xfId="8832" xr:uid="{00000000-0005-0000-0000-000078220000}"/>
    <cellStyle name="Calculation 3 2 2 2 3 2 5" xfId="8833" xr:uid="{00000000-0005-0000-0000-000079220000}"/>
    <cellStyle name="Calculation 3 2 2 2 3 2 6" xfId="8834" xr:uid="{00000000-0005-0000-0000-00007A220000}"/>
    <cellStyle name="Calculation 3 2 2 2 3 3" xfId="8835" xr:uid="{00000000-0005-0000-0000-00007B220000}"/>
    <cellStyle name="Calculation 3 2 2 2 3 3 2" xfId="8836" xr:uid="{00000000-0005-0000-0000-00007C220000}"/>
    <cellStyle name="Calculation 3 2 2 2 3 3 2 2" xfId="8837" xr:uid="{00000000-0005-0000-0000-00007D220000}"/>
    <cellStyle name="Calculation 3 2 2 2 3 3 2 3" xfId="8838" xr:uid="{00000000-0005-0000-0000-00007E220000}"/>
    <cellStyle name="Calculation 3 2 2 2 3 3 2 4" xfId="8839" xr:uid="{00000000-0005-0000-0000-00007F220000}"/>
    <cellStyle name="Calculation 3 2 2 2 3 3 2 5" xfId="8840" xr:uid="{00000000-0005-0000-0000-000080220000}"/>
    <cellStyle name="Calculation 3 2 2 2 3 3 2 6" xfId="8841" xr:uid="{00000000-0005-0000-0000-000081220000}"/>
    <cellStyle name="Calculation 3 2 2 2 3 3 3" xfId="8842" xr:uid="{00000000-0005-0000-0000-000082220000}"/>
    <cellStyle name="Calculation 3 2 2 2 3 3 4" xfId="8843" xr:uid="{00000000-0005-0000-0000-000083220000}"/>
    <cellStyle name="Calculation 3 2 2 2 3 3 5" xfId="8844" xr:uid="{00000000-0005-0000-0000-000084220000}"/>
    <cellStyle name="Calculation 3 2 2 2 3 3 6" xfId="8845" xr:uid="{00000000-0005-0000-0000-000085220000}"/>
    <cellStyle name="Calculation 3 2 2 2 3 4" xfId="8846" xr:uid="{00000000-0005-0000-0000-000086220000}"/>
    <cellStyle name="Calculation 3 2 2 2 3 4 2" xfId="8847" xr:uid="{00000000-0005-0000-0000-000087220000}"/>
    <cellStyle name="Calculation 3 2 2 2 3 4 3" xfId="8848" xr:uid="{00000000-0005-0000-0000-000088220000}"/>
    <cellStyle name="Calculation 3 2 2 2 3 4 4" xfId="8849" xr:uid="{00000000-0005-0000-0000-000089220000}"/>
    <cellStyle name="Calculation 3 2 2 2 3 4 5" xfId="8850" xr:uid="{00000000-0005-0000-0000-00008A220000}"/>
    <cellStyle name="Calculation 3 2 2 2 3 4 6" xfId="8851" xr:uid="{00000000-0005-0000-0000-00008B220000}"/>
    <cellStyle name="Calculation 3 2 2 2 3 5" xfId="8852" xr:uid="{00000000-0005-0000-0000-00008C220000}"/>
    <cellStyle name="Calculation 3 2 2 2 3 6" xfId="8853" xr:uid="{00000000-0005-0000-0000-00008D220000}"/>
    <cellStyle name="Calculation 3 2 2 2 3 7" xfId="8854" xr:uid="{00000000-0005-0000-0000-00008E220000}"/>
    <cellStyle name="Calculation 3 2 2 2 3 8" xfId="8855" xr:uid="{00000000-0005-0000-0000-00008F220000}"/>
    <cellStyle name="Calculation 3 2 2 2 4" xfId="8856" xr:uid="{00000000-0005-0000-0000-000090220000}"/>
    <cellStyle name="Calculation 3 2 2 2 4 2" xfId="8857" xr:uid="{00000000-0005-0000-0000-000091220000}"/>
    <cellStyle name="Calculation 3 2 2 2 4 2 2" xfId="8858" xr:uid="{00000000-0005-0000-0000-000092220000}"/>
    <cellStyle name="Calculation 3 2 2 2 4 2 2 2" xfId="8859" xr:uid="{00000000-0005-0000-0000-000093220000}"/>
    <cellStyle name="Calculation 3 2 2 2 4 2 2 3" xfId="8860" xr:uid="{00000000-0005-0000-0000-000094220000}"/>
    <cellStyle name="Calculation 3 2 2 2 4 2 2 4" xfId="8861" xr:uid="{00000000-0005-0000-0000-000095220000}"/>
    <cellStyle name="Calculation 3 2 2 2 4 2 2 5" xfId="8862" xr:uid="{00000000-0005-0000-0000-000096220000}"/>
    <cellStyle name="Calculation 3 2 2 2 4 2 2 6" xfId="8863" xr:uid="{00000000-0005-0000-0000-000097220000}"/>
    <cellStyle name="Calculation 3 2 2 2 4 2 3" xfId="8864" xr:uid="{00000000-0005-0000-0000-000098220000}"/>
    <cellStyle name="Calculation 3 2 2 2 4 2 4" xfId="8865" xr:uid="{00000000-0005-0000-0000-000099220000}"/>
    <cellStyle name="Calculation 3 2 2 2 4 2 5" xfId="8866" xr:uid="{00000000-0005-0000-0000-00009A220000}"/>
    <cellStyle name="Calculation 3 2 2 2 4 2 6" xfId="8867" xr:uid="{00000000-0005-0000-0000-00009B220000}"/>
    <cellStyle name="Calculation 3 2 2 2 4 3" xfId="8868" xr:uid="{00000000-0005-0000-0000-00009C220000}"/>
    <cellStyle name="Calculation 3 2 2 2 4 3 2" xfId="8869" xr:uid="{00000000-0005-0000-0000-00009D220000}"/>
    <cellStyle name="Calculation 3 2 2 2 4 3 2 2" xfId="8870" xr:uid="{00000000-0005-0000-0000-00009E220000}"/>
    <cellStyle name="Calculation 3 2 2 2 4 3 2 3" xfId="8871" xr:uid="{00000000-0005-0000-0000-00009F220000}"/>
    <cellStyle name="Calculation 3 2 2 2 4 3 2 4" xfId="8872" xr:uid="{00000000-0005-0000-0000-0000A0220000}"/>
    <cellStyle name="Calculation 3 2 2 2 4 3 2 5" xfId="8873" xr:uid="{00000000-0005-0000-0000-0000A1220000}"/>
    <cellStyle name="Calculation 3 2 2 2 4 3 2 6" xfId="8874" xr:uid="{00000000-0005-0000-0000-0000A2220000}"/>
    <cellStyle name="Calculation 3 2 2 2 4 3 3" xfId="8875" xr:uid="{00000000-0005-0000-0000-0000A3220000}"/>
    <cellStyle name="Calculation 3 2 2 2 4 3 4" xfId="8876" xr:uid="{00000000-0005-0000-0000-0000A4220000}"/>
    <cellStyle name="Calculation 3 2 2 2 4 3 5" xfId="8877" xr:uid="{00000000-0005-0000-0000-0000A5220000}"/>
    <cellStyle name="Calculation 3 2 2 2 4 3 6" xfId="8878" xr:uid="{00000000-0005-0000-0000-0000A6220000}"/>
    <cellStyle name="Calculation 3 2 2 2 4 4" xfId="8879" xr:uid="{00000000-0005-0000-0000-0000A7220000}"/>
    <cellStyle name="Calculation 3 2 2 2 4 4 2" xfId="8880" xr:uid="{00000000-0005-0000-0000-0000A8220000}"/>
    <cellStyle name="Calculation 3 2 2 2 4 4 3" xfId="8881" xr:uid="{00000000-0005-0000-0000-0000A9220000}"/>
    <cellStyle name="Calculation 3 2 2 2 4 4 4" xfId="8882" xr:uid="{00000000-0005-0000-0000-0000AA220000}"/>
    <cellStyle name="Calculation 3 2 2 2 4 4 5" xfId="8883" xr:uid="{00000000-0005-0000-0000-0000AB220000}"/>
    <cellStyle name="Calculation 3 2 2 2 4 4 6" xfId="8884" xr:uid="{00000000-0005-0000-0000-0000AC220000}"/>
    <cellStyle name="Calculation 3 2 2 2 4 5" xfId="8885" xr:uid="{00000000-0005-0000-0000-0000AD220000}"/>
    <cellStyle name="Calculation 3 2 2 2 4 6" xfId="8886" xr:uid="{00000000-0005-0000-0000-0000AE220000}"/>
    <cellStyle name="Calculation 3 2 2 2 4 7" xfId="8887" xr:uid="{00000000-0005-0000-0000-0000AF220000}"/>
    <cellStyle name="Calculation 3 2 2 2 4 8" xfId="8888" xr:uid="{00000000-0005-0000-0000-0000B0220000}"/>
    <cellStyle name="Calculation 3 2 2 2 5" xfId="8889" xr:uid="{00000000-0005-0000-0000-0000B1220000}"/>
    <cellStyle name="Calculation 3 2 2 2 5 2" xfId="8890" xr:uid="{00000000-0005-0000-0000-0000B2220000}"/>
    <cellStyle name="Calculation 3 2 2 2 5 2 2" xfId="8891" xr:uid="{00000000-0005-0000-0000-0000B3220000}"/>
    <cellStyle name="Calculation 3 2 2 2 5 2 2 2" xfId="8892" xr:uid="{00000000-0005-0000-0000-0000B4220000}"/>
    <cellStyle name="Calculation 3 2 2 2 5 2 2 3" xfId="8893" xr:uid="{00000000-0005-0000-0000-0000B5220000}"/>
    <cellStyle name="Calculation 3 2 2 2 5 2 2 4" xfId="8894" xr:uid="{00000000-0005-0000-0000-0000B6220000}"/>
    <cellStyle name="Calculation 3 2 2 2 5 2 2 5" xfId="8895" xr:uid="{00000000-0005-0000-0000-0000B7220000}"/>
    <cellStyle name="Calculation 3 2 2 2 5 2 2 6" xfId="8896" xr:uid="{00000000-0005-0000-0000-0000B8220000}"/>
    <cellStyle name="Calculation 3 2 2 2 5 2 3" xfId="8897" xr:uid="{00000000-0005-0000-0000-0000B9220000}"/>
    <cellStyle name="Calculation 3 2 2 2 5 2 4" xfId="8898" xr:uid="{00000000-0005-0000-0000-0000BA220000}"/>
    <cellStyle name="Calculation 3 2 2 2 5 2 5" xfId="8899" xr:uid="{00000000-0005-0000-0000-0000BB220000}"/>
    <cellStyle name="Calculation 3 2 2 2 5 2 6" xfId="8900" xr:uid="{00000000-0005-0000-0000-0000BC220000}"/>
    <cellStyle name="Calculation 3 2 2 2 5 3" xfId="8901" xr:uid="{00000000-0005-0000-0000-0000BD220000}"/>
    <cellStyle name="Calculation 3 2 2 2 5 3 2" xfId="8902" xr:uid="{00000000-0005-0000-0000-0000BE220000}"/>
    <cellStyle name="Calculation 3 2 2 2 5 3 2 2" xfId="8903" xr:uid="{00000000-0005-0000-0000-0000BF220000}"/>
    <cellStyle name="Calculation 3 2 2 2 5 3 2 3" xfId="8904" xr:uid="{00000000-0005-0000-0000-0000C0220000}"/>
    <cellStyle name="Calculation 3 2 2 2 5 3 2 4" xfId="8905" xr:uid="{00000000-0005-0000-0000-0000C1220000}"/>
    <cellStyle name="Calculation 3 2 2 2 5 3 2 5" xfId="8906" xr:uid="{00000000-0005-0000-0000-0000C2220000}"/>
    <cellStyle name="Calculation 3 2 2 2 5 3 2 6" xfId="8907" xr:uid="{00000000-0005-0000-0000-0000C3220000}"/>
    <cellStyle name="Calculation 3 2 2 2 5 3 3" xfId="8908" xr:uid="{00000000-0005-0000-0000-0000C4220000}"/>
    <cellStyle name="Calculation 3 2 2 2 5 3 4" xfId="8909" xr:uid="{00000000-0005-0000-0000-0000C5220000}"/>
    <cellStyle name="Calculation 3 2 2 2 5 3 5" xfId="8910" xr:uid="{00000000-0005-0000-0000-0000C6220000}"/>
    <cellStyle name="Calculation 3 2 2 2 5 3 6" xfId="8911" xr:uid="{00000000-0005-0000-0000-0000C7220000}"/>
    <cellStyle name="Calculation 3 2 2 2 5 4" xfId="8912" xr:uid="{00000000-0005-0000-0000-0000C8220000}"/>
    <cellStyle name="Calculation 3 2 2 2 5 4 2" xfId="8913" xr:uid="{00000000-0005-0000-0000-0000C9220000}"/>
    <cellStyle name="Calculation 3 2 2 2 5 4 3" xfId="8914" xr:uid="{00000000-0005-0000-0000-0000CA220000}"/>
    <cellStyle name="Calculation 3 2 2 2 5 4 4" xfId="8915" xr:uid="{00000000-0005-0000-0000-0000CB220000}"/>
    <cellStyle name="Calculation 3 2 2 2 5 4 5" xfId="8916" xr:uid="{00000000-0005-0000-0000-0000CC220000}"/>
    <cellStyle name="Calculation 3 2 2 2 5 4 6" xfId="8917" xr:uid="{00000000-0005-0000-0000-0000CD220000}"/>
    <cellStyle name="Calculation 3 2 2 2 5 5" xfId="8918" xr:uid="{00000000-0005-0000-0000-0000CE220000}"/>
    <cellStyle name="Calculation 3 2 2 2 5 6" xfId="8919" xr:uid="{00000000-0005-0000-0000-0000CF220000}"/>
    <cellStyle name="Calculation 3 2 2 2 5 7" xfId="8920" xr:uid="{00000000-0005-0000-0000-0000D0220000}"/>
    <cellStyle name="Calculation 3 2 2 2 5 8" xfId="8921" xr:uid="{00000000-0005-0000-0000-0000D1220000}"/>
    <cellStyle name="Calculation 3 2 2 2 6" xfId="8922" xr:uid="{00000000-0005-0000-0000-0000D2220000}"/>
    <cellStyle name="Calculation 3 2 2 2 6 2" xfId="8923" xr:uid="{00000000-0005-0000-0000-0000D3220000}"/>
    <cellStyle name="Calculation 3 2 2 2 6 2 2" xfId="8924" xr:uid="{00000000-0005-0000-0000-0000D4220000}"/>
    <cellStyle name="Calculation 3 2 2 2 6 2 2 2" xfId="8925" xr:uid="{00000000-0005-0000-0000-0000D5220000}"/>
    <cellStyle name="Calculation 3 2 2 2 6 2 2 3" xfId="8926" xr:uid="{00000000-0005-0000-0000-0000D6220000}"/>
    <cellStyle name="Calculation 3 2 2 2 6 2 2 4" xfId="8927" xr:uid="{00000000-0005-0000-0000-0000D7220000}"/>
    <cellStyle name="Calculation 3 2 2 2 6 2 2 5" xfId="8928" xr:uid="{00000000-0005-0000-0000-0000D8220000}"/>
    <cellStyle name="Calculation 3 2 2 2 6 2 2 6" xfId="8929" xr:uid="{00000000-0005-0000-0000-0000D9220000}"/>
    <cellStyle name="Calculation 3 2 2 2 6 2 3" xfId="8930" xr:uid="{00000000-0005-0000-0000-0000DA220000}"/>
    <cellStyle name="Calculation 3 2 2 2 6 2 4" xfId="8931" xr:uid="{00000000-0005-0000-0000-0000DB220000}"/>
    <cellStyle name="Calculation 3 2 2 2 6 2 5" xfId="8932" xr:uid="{00000000-0005-0000-0000-0000DC220000}"/>
    <cellStyle name="Calculation 3 2 2 2 6 2 6" xfId="8933" xr:uid="{00000000-0005-0000-0000-0000DD220000}"/>
    <cellStyle name="Calculation 3 2 2 2 6 3" xfId="8934" xr:uid="{00000000-0005-0000-0000-0000DE220000}"/>
    <cellStyle name="Calculation 3 2 2 2 6 3 2" xfId="8935" xr:uid="{00000000-0005-0000-0000-0000DF220000}"/>
    <cellStyle name="Calculation 3 2 2 2 6 3 2 2" xfId="8936" xr:uid="{00000000-0005-0000-0000-0000E0220000}"/>
    <cellStyle name="Calculation 3 2 2 2 6 3 2 3" xfId="8937" xr:uid="{00000000-0005-0000-0000-0000E1220000}"/>
    <cellStyle name="Calculation 3 2 2 2 6 3 2 4" xfId="8938" xr:uid="{00000000-0005-0000-0000-0000E2220000}"/>
    <cellStyle name="Calculation 3 2 2 2 6 3 2 5" xfId="8939" xr:uid="{00000000-0005-0000-0000-0000E3220000}"/>
    <cellStyle name="Calculation 3 2 2 2 6 3 2 6" xfId="8940" xr:uid="{00000000-0005-0000-0000-0000E4220000}"/>
    <cellStyle name="Calculation 3 2 2 2 6 3 3" xfId="8941" xr:uid="{00000000-0005-0000-0000-0000E5220000}"/>
    <cellStyle name="Calculation 3 2 2 2 6 3 4" xfId="8942" xr:uid="{00000000-0005-0000-0000-0000E6220000}"/>
    <cellStyle name="Calculation 3 2 2 2 6 3 5" xfId="8943" xr:uid="{00000000-0005-0000-0000-0000E7220000}"/>
    <cellStyle name="Calculation 3 2 2 2 6 3 6" xfId="8944" xr:uid="{00000000-0005-0000-0000-0000E8220000}"/>
    <cellStyle name="Calculation 3 2 2 2 6 4" xfId="8945" xr:uid="{00000000-0005-0000-0000-0000E9220000}"/>
    <cellStyle name="Calculation 3 2 2 2 6 4 2" xfId="8946" xr:uid="{00000000-0005-0000-0000-0000EA220000}"/>
    <cellStyle name="Calculation 3 2 2 2 6 4 3" xfId="8947" xr:uid="{00000000-0005-0000-0000-0000EB220000}"/>
    <cellStyle name="Calculation 3 2 2 2 6 4 4" xfId="8948" xr:uid="{00000000-0005-0000-0000-0000EC220000}"/>
    <cellStyle name="Calculation 3 2 2 2 6 4 5" xfId="8949" xr:uid="{00000000-0005-0000-0000-0000ED220000}"/>
    <cellStyle name="Calculation 3 2 2 2 6 4 6" xfId="8950" xr:uid="{00000000-0005-0000-0000-0000EE220000}"/>
    <cellStyle name="Calculation 3 2 2 2 6 5" xfId="8951" xr:uid="{00000000-0005-0000-0000-0000EF220000}"/>
    <cellStyle name="Calculation 3 2 2 2 6 6" xfId="8952" xr:uid="{00000000-0005-0000-0000-0000F0220000}"/>
    <cellStyle name="Calculation 3 2 2 2 6 7" xfId="8953" xr:uid="{00000000-0005-0000-0000-0000F1220000}"/>
    <cellStyle name="Calculation 3 2 2 2 6 8" xfId="8954" xr:uid="{00000000-0005-0000-0000-0000F2220000}"/>
    <cellStyle name="Calculation 3 2 2 2 7" xfId="8955" xr:uid="{00000000-0005-0000-0000-0000F3220000}"/>
    <cellStyle name="Calculation 3 2 2 2 7 2" xfId="8956" xr:uid="{00000000-0005-0000-0000-0000F4220000}"/>
    <cellStyle name="Calculation 3 2 2 2 7 2 2" xfId="8957" xr:uid="{00000000-0005-0000-0000-0000F5220000}"/>
    <cellStyle name="Calculation 3 2 2 2 7 2 3" xfId="8958" xr:uid="{00000000-0005-0000-0000-0000F6220000}"/>
    <cellStyle name="Calculation 3 2 2 2 7 2 4" xfId="8959" xr:uid="{00000000-0005-0000-0000-0000F7220000}"/>
    <cellStyle name="Calculation 3 2 2 2 7 2 5" xfId="8960" xr:uid="{00000000-0005-0000-0000-0000F8220000}"/>
    <cellStyle name="Calculation 3 2 2 2 7 2 6" xfId="8961" xr:uid="{00000000-0005-0000-0000-0000F9220000}"/>
    <cellStyle name="Calculation 3 2 2 2 7 3" xfId="8962" xr:uid="{00000000-0005-0000-0000-0000FA220000}"/>
    <cellStyle name="Calculation 3 2 2 2 7 4" xfId="8963" xr:uid="{00000000-0005-0000-0000-0000FB220000}"/>
    <cellStyle name="Calculation 3 2 2 2 7 5" xfId="8964" xr:uid="{00000000-0005-0000-0000-0000FC220000}"/>
    <cellStyle name="Calculation 3 2 2 2 7 6" xfId="8965" xr:uid="{00000000-0005-0000-0000-0000FD220000}"/>
    <cellStyle name="Calculation 3 2 2 2 8" xfId="8966" xr:uid="{00000000-0005-0000-0000-0000FE220000}"/>
    <cellStyle name="Calculation 3 2 2 2 8 2" xfId="8967" xr:uid="{00000000-0005-0000-0000-0000FF220000}"/>
    <cellStyle name="Calculation 3 2 2 2 8 2 2" xfId="8968" xr:uid="{00000000-0005-0000-0000-000000230000}"/>
    <cellStyle name="Calculation 3 2 2 2 8 2 3" xfId="8969" xr:uid="{00000000-0005-0000-0000-000001230000}"/>
    <cellStyle name="Calculation 3 2 2 2 8 2 4" xfId="8970" xr:uid="{00000000-0005-0000-0000-000002230000}"/>
    <cellStyle name="Calculation 3 2 2 2 8 2 5" xfId="8971" xr:uid="{00000000-0005-0000-0000-000003230000}"/>
    <cellStyle name="Calculation 3 2 2 2 8 2 6" xfId="8972" xr:uid="{00000000-0005-0000-0000-000004230000}"/>
    <cellStyle name="Calculation 3 2 2 2 8 3" xfId="8973" xr:uid="{00000000-0005-0000-0000-000005230000}"/>
    <cellStyle name="Calculation 3 2 2 2 8 4" xfId="8974" xr:uid="{00000000-0005-0000-0000-000006230000}"/>
    <cellStyle name="Calculation 3 2 2 2 8 5" xfId="8975" xr:uid="{00000000-0005-0000-0000-000007230000}"/>
    <cellStyle name="Calculation 3 2 2 2 8 6" xfId="8976" xr:uid="{00000000-0005-0000-0000-000008230000}"/>
    <cellStyle name="Calculation 3 2 2 2 9" xfId="8977" xr:uid="{00000000-0005-0000-0000-000009230000}"/>
    <cellStyle name="Calculation 3 2 2 2 9 2" xfId="8978" xr:uid="{00000000-0005-0000-0000-00000A230000}"/>
    <cellStyle name="Calculation 3 2 2 2 9 3" xfId="8979" xr:uid="{00000000-0005-0000-0000-00000B230000}"/>
    <cellStyle name="Calculation 3 2 2 2 9 4" xfId="8980" xr:uid="{00000000-0005-0000-0000-00000C230000}"/>
    <cellStyle name="Calculation 3 2 2 2 9 5" xfId="8981" xr:uid="{00000000-0005-0000-0000-00000D230000}"/>
    <cellStyle name="Calculation 3 2 2 2 9 6" xfId="8982" xr:uid="{00000000-0005-0000-0000-00000E230000}"/>
    <cellStyle name="Calculation 3 2 2 3" xfId="8983" xr:uid="{00000000-0005-0000-0000-00000F230000}"/>
    <cellStyle name="Calculation 3 2 2 3 2" xfId="8984" xr:uid="{00000000-0005-0000-0000-000010230000}"/>
    <cellStyle name="Calculation 3 2 2 3 2 2" xfId="8985" xr:uid="{00000000-0005-0000-0000-000011230000}"/>
    <cellStyle name="Calculation 3 2 2 3 2 2 2" xfId="8986" xr:uid="{00000000-0005-0000-0000-000012230000}"/>
    <cellStyle name="Calculation 3 2 2 3 2 2 3" xfId="8987" xr:uid="{00000000-0005-0000-0000-000013230000}"/>
    <cellStyle name="Calculation 3 2 2 3 2 2 4" xfId="8988" xr:uid="{00000000-0005-0000-0000-000014230000}"/>
    <cellStyle name="Calculation 3 2 2 3 2 2 5" xfId="8989" xr:uid="{00000000-0005-0000-0000-000015230000}"/>
    <cellStyle name="Calculation 3 2 2 3 2 2 6" xfId="8990" xr:uid="{00000000-0005-0000-0000-000016230000}"/>
    <cellStyle name="Calculation 3 2 2 3 2 3" xfId="8991" xr:uid="{00000000-0005-0000-0000-000017230000}"/>
    <cellStyle name="Calculation 3 2 2 3 2 4" xfId="8992" xr:uid="{00000000-0005-0000-0000-000018230000}"/>
    <cellStyle name="Calculation 3 2 2 3 2 5" xfId="8993" xr:uid="{00000000-0005-0000-0000-000019230000}"/>
    <cellStyle name="Calculation 3 2 2 3 2 6" xfId="8994" xr:uid="{00000000-0005-0000-0000-00001A230000}"/>
    <cellStyle name="Calculation 3 2 2 3 3" xfId="8995" xr:uid="{00000000-0005-0000-0000-00001B230000}"/>
    <cellStyle name="Calculation 3 2 2 3 3 2" xfId="8996" xr:uid="{00000000-0005-0000-0000-00001C230000}"/>
    <cellStyle name="Calculation 3 2 2 3 3 2 2" xfId="8997" xr:uid="{00000000-0005-0000-0000-00001D230000}"/>
    <cellStyle name="Calculation 3 2 2 3 3 2 3" xfId="8998" xr:uid="{00000000-0005-0000-0000-00001E230000}"/>
    <cellStyle name="Calculation 3 2 2 3 3 2 4" xfId="8999" xr:uid="{00000000-0005-0000-0000-00001F230000}"/>
    <cellStyle name="Calculation 3 2 2 3 3 2 5" xfId="9000" xr:uid="{00000000-0005-0000-0000-000020230000}"/>
    <cellStyle name="Calculation 3 2 2 3 3 2 6" xfId="9001" xr:uid="{00000000-0005-0000-0000-000021230000}"/>
    <cellStyle name="Calculation 3 2 2 3 3 3" xfId="9002" xr:uid="{00000000-0005-0000-0000-000022230000}"/>
    <cellStyle name="Calculation 3 2 2 3 3 4" xfId="9003" xr:uid="{00000000-0005-0000-0000-000023230000}"/>
    <cellStyle name="Calculation 3 2 2 3 3 5" xfId="9004" xr:uid="{00000000-0005-0000-0000-000024230000}"/>
    <cellStyle name="Calculation 3 2 2 3 3 6" xfId="9005" xr:uid="{00000000-0005-0000-0000-000025230000}"/>
    <cellStyle name="Calculation 3 2 2 3 4" xfId="9006" xr:uid="{00000000-0005-0000-0000-000026230000}"/>
    <cellStyle name="Calculation 3 2 2 3 4 2" xfId="9007" xr:uid="{00000000-0005-0000-0000-000027230000}"/>
    <cellStyle name="Calculation 3 2 2 3 4 3" xfId="9008" xr:uid="{00000000-0005-0000-0000-000028230000}"/>
    <cellStyle name="Calculation 3 2 2 3 4 4" xfId="9009" xr:uid="{00000000-0005-0000-0000-000029230000}"/>
    <cellStyle name="Calculation 3 2 2 3 4 5" xfId="9010" xr:uid="{00000000-0005-0000-0000-00002A230000}"/>
    <cellStyle name="Calculation 3 2 2 3 4 6" xfId="9011" xr:uid="{00000000-0005-0000-0000-00002B230000}"/>
    <cellStyle name="Calculation 3 2 2 3 5" xfId="9012" xr:uid="{00000000-0005-0000-0000-00002C230000}"/>
    <cellStyle name="Calculation 3 2 2 3 6" xfId="9013" xr:uid="{00000000-0005-0000-0000-00002D230000}"/>
    <cellStyle name="Calculation 3 2 2 3 7" xfId="9014" xr:uid="{00000000-0005-0000-0000-00002E230000}"/>
    <cellStyle name="Calculation 3 2 2 3 8" xfId="9015" xr:uid="{00000000-0005-0000-0000-00002F230000}"/>
    <cellStyle name="Calculation 3 2 2 4" xfId="9016" xr:uid="{00000000-0005-0000-0000-000030230000}"/>
    <cellStyle name="Calculation 3 2 2 4 2" xfId="9017" xr:uid="{00000000-0005-0000-0000-000031230000}"/>
    <cellStyle name="Calculation 3 2 2 4 2 2" xfId="9018" xr:uid="{00000000-0005-0000-0000-000032230000}"/>
    <cellStyle name="Calculation 3 2 2 4 2 2 2" xfId="9019" xr:uid="{00000000-0005-0000-0000-000033230000}"/>
    <cellStyle name="Calculation 3 2 2 4 2 2 3" xfId="9020" xr:uid="{00000000-0005-0000-0000-000034230000}"/>
    <cellStyle name="Calculation 3 2 2 4 2 2 4" xfId="9021" xr:uid="{00000000-0005-0000-0000-000035230000}"/>
    <cellStyle name="Calculation 3 2 2 4 2 2 5" xfId="9022" xr:uid="{00000000-0005-0000-0000-000036230000}"/>
    <cellStyle name="Calculation 3 2 2 4 2 2 6" xfId="9023" xr:uid="{00000000-0005-0000-0000-000037230000}"/>
    <cellStyle name="Calculation 3 2 2 4 2 3" xfId="9024" xr:uid="{00000000-0005-0000-0000-000038230000}"/>
    <cellStyle name="Calculation 3 2 2 4 2 4" xfId="9025" xr:uid="{00000000-0005-0000-0000-000039230000}"/>
    <cellStyle name="Calculation 3 2 2 4 2 5" xfId="9026" xr:uid="{00000000-0005-0000-0000-00003A230000}"/>
    <cellStyle name="Calculation 3 2 2 4 2 6" xfId="9027" xr:uid="{00000000-0005-0000-0000-00003B230000}"/>
    <cellStyle name="Calculation 3 2 2 4 3" xfId="9028" xr:uid="{00000000-0005-0000-0000-00003C230000}"/>
    <cellStyle name="Calculation 3 2 2 4 3 2" xfId="9029" xr:uid="{00000000-0005-0000-0000-00003D230000}"/>
    <cellStyle name="Calculation 3 2 2 4 3 2 2" xfId="9030" xr:uid="{00000000-0005-0000-0000-00003E230000}"/>
    <cellStyle name="Calculation 3 2 2 4 3 2 3" xfId="9031" xr:uid="{00000000-0005-0000-0000-00003F230000}"/>
    <cellStyle name="Calculation 3 2 2 4 3 2 4" xfId="9032" xr:uid="{00000000-0005-0000-0000-000040230000}"/>
    <cellStyle name="Calculation 3 2 2 4 3 2 5" xfId="9033" xr:uid="{00000000-0005-0000-0000-000041230000}"/>
    <cellStyle name="Calculation 3 2 2 4 3 2 6" xfId="9034" xr:uid="{00000000-0005-0000-0000-000042230000}"/>
    <cellStyle name="Calculation 3 2 2 4 3 3" xfId="9035" xr:uid="{00000000-0005-0000-0000-000043230000}"/>
    <cellStyle name="Calculation 3 2 2 4 3 4" xfId="9036" xr:uid="{00000000-0005-0000-0000-000044230000}"/>
    <cellStyle name="Calculation 3 2 2 4 3 5" xfId="9037" xr:uid="{00000000-0005-0000-0000-000045230000}"/>
    <cellStyle name="Calculation 3 2 2 4 3 6" xfId="9038" xr:uid="{00000000-0005-0000-0000-000046230000}"/>
    <cellStyle name="Calculation 3 2 2 4 4" xfId="9039" xr:uid="{00000000-0005-0000-0000-000047230000}"/>
    <cellStyle name="Calculation 3 2 2 4 4 2" xfId="9040" xr:uid="{00000000-0005-0000-0000-000048230000}"/>
    <cellStyle name="Calculation 3 2 2 4 4 3" xfId="9041" xr:uid="{00000000-0005-0000-0000-000049230000}"/>
    <cellStyle name="Calculation 3 2 2 4 4 4" xfId="9042" xr:uid="{00000000-0005-0000-0000-00004A230000}"/>
    <cellStyle name="Calculation 3 2 2 4 4 5" xfId="9043" xr:uid="{00000000-0005-0000-0000-00004B230000}"/>
    <cellStyle name="Calculation 3 2 2 4 4 6" xfId="9044" xr:uid="{00000000-0005-0000-0000-00004C230000}"/>
    <cellStyle name="Calculation 3 2 2 4 5" xfId="9045" xr:uid="{00000000-0005-0000-0000-00004D230000}"/>
    <cellStyle name="Calculation 3 2 2 4 6" xfId="9046" xr:uid="{00000000-0005-0000-0000-00004E230000}"/>
    <cellStyle name="Calculation 3 2 2 4 7" xfId="9047" xr:uid="{00000000-0005-0000-0000-00004F230000}"/>
    <cellStyle name="Calculation 3 2 2 4 8" xfId="9048" xr:uid="{00000000-0005-0000-0000-000050230000}"/>
    <cellStyle name="Calculation 3 2 2 5" xfId="9049" xr:uid="{00000000-0005-0000-0000-000051230000}"/>
    <cellStyle name="Calculation 3 2 2 5 2" xfId="9050" xr:uid="{00000000-0005-0000-0000-000052230000}"/>
    <cellStyle name="Calculation 3 2 2 5 2 2" xfId="9051" xr:uid="{00000000-0005-0000-0000-000053230000}"/>
    <cellStyle name="Calculation 3 2 2 5 2 2 2" xfId="9052" xr:uid="{00000000-0005-0000-0000-000054230000}"/>
    <cellStyle name="Calculation 3 2 2 5 2 2 3" xfId="9053" xr:uid="{00000000-0005-0000-0000-000055230000}"/>
    <cellStyle name="Calculation 3 2 2 5 2 2 4" xfId="9054" xr:uid="{00000000-0005-0000-0000-000056230000}"/>
    <cellStyle name="Calculation 3 2 2 5 2 2 5" xfId="9055" xr:uid="{00000000-0005-0000-0000-000057230000}"/>
    <cellStyle name="Calculation 3 2 2 5 2 2 6" xfId="9056" xr:uid="{00000000-0005-0000-0000-000058230000}"/>
    <cellStyle name="Calculation 3 2 2 5 2 3" xfId="9057" xr:uid="{00000000-0005-0000-0000-000059230000}"/>
    <cellStyle name="Calculation 3 2 2 5 2 4" xfId="9058" xr:uid="{00000000-0005-0000-0000-00005A230000}"/>
    <cellStyle name="Calculation 3 2 2 5 2 5" xfId="9059" xr:uid="{00000000-0005-0000-0000-00005B230000}"/>
    <cellStyle name="Calculation 3 2 2 5 2 6" xfId="9060" xr:uid="{00000000-0005-0000-0000-00005C230000}"/>
    <cellStyle name="Calculation 3 2 2 5 3" xfId="9061" xr:uid="{00000000-0005-0000-0000-00005D230000}"/>
    <cellStyle name="Calculation 3 2 2 5 3 2" xfId="9062" xr:uid="{00000000-0005-0000-0000-00005E230000}"/>
    <cellStyle name="Calculation 3 2 2 5 3 2 2" xfId="9063" xr:uid="{00000000-0005-0000-0000-00005F230000}"/>
    <cellStyle name="Calculation 3 2 2 5 3 2 3" xfId="9064" xr:uid="{00000000-0005-0000-0000-000060230000}"/>
    <cellStyle name="Calculation 3 2 2 5 3 2 4" xfId="9065" xr:uid="{00000000-0005-0000-0000-000061230000}"/>
    <cellStyle name="Calculation 3 2 2 5 3 2 5" xfId="9066" xr:uid="{00000000-0005-0000-0000-000062230000}"/>
    <cellStyle name="Calculation 3 2 2 5 3 2 6" xfId="9067" xr:uid="{00000000-0005-0000-0000-000063230000}"/>
    <cellStyle name="Calculation 3 2 2 5 3 3" xfId="9068" xr:uid="{00000000-0005-0000-0000-000064230000}"/>
    <cellStyle name="Calculation 3 2 2 5 3 4" xfId="9069" xr:uid="{00000000-0005-0000-0000-000065230000}"/>
    <cellStyle name="Calculation 3 2 2 5 3 5" xfId="9070" xr:uid="{00000000-0005-0000-0000-000066230000}"/>
    <cellStyle name="Calculation 3 2 2 5 3 6" xfId="9071" xr:uid="{00000000-0005-0000-0000-000067230000}"/>
    <cellStyle name="Calculation 3 2 2 5 4" xfId="9072" xr:uid="{00000000-0005-0000-0000-000068230000}"/>
    <cellStyle name="Calculation 3 2 2 5 4 2" xfId="9073" xr:uid="{00000000-0005-0000-0000-000069230000}"/>
    <cellStyle name="Calculation 3 2 2 5 4 3" xfId="9074" xr:uid="{00000000-0005-0000-0000-00006A230000}"/>
    <cellStyle name="Calculation 3 2 2 5 4 4" xfId="9075" xr:uid="{00000000-0005-0000-0000-00006B230000}"/>
    <cellStyle name="Calculation 3 2 2 5 4 5" xfId="9076" xr:uid="{00000000-0005-0000-0000-00006C230000}"/>
    <cellStyle name="Calculation 3 2 2 5 4 6" xfId="9077" xr:uid="{00000000-0005-0000-0000-00006D230000}"/>
    <cellStyle name="Calculation 3 2 2 5 5" xfId="9078" xr:uid="{00000000-0005-0000-0000-00006E230000}"/>
    <cellStyle name="Calculation 3 2 2 5 6" xfId="9079" xr:uid="{00000000-0005-0000-0000-00006F230000}"/>
    <cellStyle name="Calculation 3 2 2 5 7" xfId="9080" xr:uid="{00000000-0005-0000-0000-000070230000}"/>
    <cellStyle name="Calculation 3 2 2 5 8" xfId="9081" xr:uid="{00000000-0005-0000-0000-000071230000}"/>
    <cellStyle name="Calculation 3 2 2 6" xfId="9082" xr:uid="{00000000-0005-0000-0000-000072230000}"/>
    <cellStyle name="Calculation 3 2 2 6 2" xfId="9083" xr:uid="{00000000-0005-0000-0000-000073230000}"/>
    <cellStyle name="Calculation 3 2 2 6 2 2" xfId="9084" xr:uid="{00000000-0005-0000-0000-000074230000}"/>
    <cellStyle name="Calculation 3 2 2 6 2 2 2" xfId="9085" xr:uid="{00000000-0005-0000-0000-000075230000}"/>
    <cellStyle name="Calculation 3 2 2 6 2 2 3" xfId="9086" xr:uid="{00000000-0005-0000-0000-000076230000}"/>
    <cellStyle name="Calculation 3 2 2 6 2 2 4" xfId="9087" xr:uid="{00000000-0005-0000-0000-000077230000}"/>
    <cellStyle name="Calculation 3 2 2 6 2 2 5" xfId="9088" xr:uid="{00000000-0005-0000-0000-000078230000}"/>
    <cellStyle name="Calculation 3 2 2 6 2 2 6" xfId="9089" xr:uid="{00000000-0005-0000-0000-000079230000}"/>
    <cellStyle name="Calculation 3 2 2 6 2 3" xfId="9090" xr:uid="{00000000-0005-0000-0000-00007A230000}"/>
    <cellStyle name="Calculation 3 2 2 6 2 4" xfId="9091" xr:uid="{00000000-0005-0000-0000-00007B230000}"/>
    <cellStyle name="Calculation 3 2 2 6 2 5" xfId="9092" xr:uid="{00000000-0005-0000-0000-00007C230000}"/>
    <cellStyle name="Calculation 3 2 2 6 2 6" xfId="9093" xr:uid="{00000000-0005-0000-0000-00007D230000}"/>
    <cellStyle name="Calculation 3 2 2 6 3" xfId="9094" xr:uid="{00000000-0005-0000-0000-00007E230000}"/>
    <cellStyle name="Calculation 3 2 2 6 3 2" xfId="9095" xr:uid="{00000000-0005-0000-0000-00007F230000}"/>
    <cellStyle name="Calculation 3 2 2 6 3 2 2" xfId="9096" xr:uid="{00000000-0005-0000-0000-000080230000}"/>
    <cellStyle name="Calculation 3 2 2 6 3 2 3" xfId="9097" xr:uid="{00000000-0005-0000-0000-000081230000}"/>
    <cellStyle name="Calculation 3 2 2 6 3 2 4" xfId="9098" xr:uid="{00000000-0005-0000-0000-000082230000}"/>
    <cellStyle name="Calculation 3 2 2 6 3 2 5" xfId="9099" xr:uid="{00000000-0005-0000-0000-000083230000}"/>
    <cellStyle name="Calculation 3 2 2 6 3 2 6" xfId="9100" xr:uid="{00000000-0005-0000-0000-000084230000}"/>
    <cellStyle name="Calculation 3 2 2 6 3 3" xfId="9101" xr:uid="{00000000-0005-0000-0000-000085230000}"/>
    <cellStyle name="Calculation 3 2 2 6 3 4" xfId="9102" xr:uid="{00000000-0005-0000-0000-000086230000}"/>
    <cellStyle name="Calculation 3 2 2 6 3 5" xfId="9103" xr:uid="{00000000-0005-0000-0000-000087230000}"/>
    <cellStyle name="Calculation 3 2 2 6 3 6" xfId="9104" xr:uid="{00000000-0005-0000-0000-000088230000}"/>
    <cellStyle name="Calculation 3 2 2 6 4" xfId="9105" xr:uid="{00000000-0005-0000-0000-000089230000}"/>
    <cellStyle name="Calculation 3 2 2 6 4 2" xfId="9106" xr:uid="{00000000-0005-0000-0000-00008A230000}"/>
    <cellStyle name="Calculation 3 2 2 6 4 3" xfId="9107" xr:uid="{00000000-0005-0000-0000-00008B230000}"/>
    <cellStyle name="Calculation 3 2 2 6 4 4" xfId="9108" xr:uid="{00000000-0005-0000-0000-00008C230000}"/>
    <cellStyle name="Calculation 3 2 2 6 4 5" xfId="9109" xr:uid="{00000000-0005-0000-0000-00008D230000}"/>
    <cellStyle name="Calculation 3 2 2 6 4 6" xfId="9110" xr:uid="{00000000-0005-0000-0000-00008E230000}"/>
    <cellStyle name="Calculation 3 2 2 6 5" xfId="9111" xr:uid="{00000000-0005-0000-0000-00008F230000}"/>
    <cellStyle name="Calculation 3 2 2 6 6" xfId="9112" xr:uid="{00000000-0005-0000-0000-000090230000}"/>
    <cellStyle name="Calculation 3 2 2 6 7" xfId="9113" xr:uid="{00000000-0005-0000-0000-000091230000}"/>
    <cellStyle name="Calculation 3 2 2 6 8" xfId="9114" xr:uid="{00000000-0005-0000-0000-000092230000}"/>
    <cellStyle name="Calculation 3 2 2 7" xfId="9115" xr:uid="{00000000-0005-0000-0000-000093230000}"/>
    <cellStyle name="Calculation 3 2 2 7 2" xfId="9116" xr:uid="{00000000-0005-0000-0000-000094230000}"/>
    <cellStyle name="Calculation 3 2 2 7 2 2" xfId="9117" xr:uid="{00000000-0005-0000-0000-000095230000}"/>
    <cellStyle name="Calculation 3 2 2 7 2 2 2" xfId="9118" xr:uid="{00000000-0005-0000-0000-000096230000}"/>
    <cellStyle name="Calculation 3 2 2 7 2 2 3" xfId="9119" xr:uid="{00000000-0005-0000-0000-000097230000}"/>
    <cellStyle name="Calculation 3 2 2 7 2 2 4" xfId="9120" xr:uid="{00000000-0005-0000-0000-000098230000}"/>
    <cellStyle name="Calculation 3 2 2 7 2 2 5" xfId="9121" xr:uid="{00000000-0005-0000-0000-000099230000}"/>
    <cellStyle name="Calculation 3 2 2 7 2 2 6" xfId="9122" xr:uid="{00000000-0005-0000-0000-00009A230000}"/>
    <cellStyle name="Calculation 3 2 2 7 2 3" xfId="9123" xr:uid="{00000000-0005-0000-0000-00009B230000}"/>
    <cellStyle name="Calculation 3 2 2 7 2 4" xfId="9124" xr:uid="{00000000-0005-0000-0000-00009C230000}"/>
    <cellStyle name="Calculation 3 2 2 7 2 5" xfId="9125" xr:uid="{00000000-0005-0000-0000-00009D230000}"/>
    <cellStyle name="Calculation 3 2 2 7 2 6" xfId="9126" xr:uid="{00000000-0005-0000-0000-00009E230000}"/>
    <cellStyle name="Calculation 3 2 2 7 3" xfId="9127" xr:uid="{00000000-0005-0000-0000-00009F230000}"/>
    <cellStyle name="Calculation 3 2 2 7 3 2" xfId="9128" xr:uid="{00000000-0005-0000-0000-0000A0230000}"/>
    <cellStyle name="Calculation 3 2 2 7 3 2 2" xfId="9129" xr:uid="{00000000-0005-0000-0000-0000A1230000}"/>
    <cellStyle name="Calculation 3 2 2 7 3 2 3" xfId="9130" xr:uid="{00000000-0005-0000-0000-0000A2230000}"/>
    <cellStyle name="Calculation 3 2 2 7 3 2 4" xfId="9131" xr:uid="{00000000-0005-0000-0000-0000A3230000}"/>
    <cellStyle name="Calculation 3 2 2 7 3 2 5" xfId="9132" xr:uid="{00000000-0005-0000-0000-0000A4230000}"/>
    <cellStyle name="Calculation 3 2 2 7 3 2 6" xfId="9133" xr:uid="{00000000-0005-0000-0000-0000A5230000}"/>
    <cellStyle name="Calculation 3 2 2 7 3 3" xfId="9134" xr:uid="{00000000-0005-0000-0000-0000A6230000}"/>
    <cellStyle name="Calculation 3 2 2 7 3 4" xfId="9135" xr:uid="{00000000-0005-0000-0000-0000A7230000}"/>
    <cellStyle name="Calculation 3 2 2 7 3 5" xfId="9136" xr:uid="{00000000-0005-0000-0000-0000A8230000}"/>
    <cellStyle name="Calculation 3 2 2 7 3 6" xfId="9137" xr:uid="{00000000-0005-0000-0000-0000A9230000}"/>
    <cellStyle name="Calculation 3 2 2 7 4" xfId="9138" xr:uid="{00000000-0005-0000-0000-0000AA230000}"/>
    <cellStyle name="Calculation 3 2 2 7 4 2" xfId="9139" xr:uid="{00000000-0005-0000-0000-0000AB230000}"/>
    <cellStyle name="Calculation 3 2 2 7 4 3" xfId="9140" xr:uid="{00000000-0005-0000-0000-0000AC230000}"/>
    <cellStyle name="Calculation 3 2 2 7 4 4" xfId="9141" xr:uid="{00000000-0005-0000-0000-0000AD230000}"/>
    <cellStyle name="Calculation 3 2 2 7 4 5" xfId="9142" xr:uid="{00000000-0005-0000-0000-0000AE230000}"/>
    <cellStyle name="Calculation 3 2 2 7 4 6" xfId="9143" xr:uid="{00000000-0005-0000-0000-0000AF230000}"/>
    <cellStyle name="Calculation 3 2 2 7 5" xfId="9144" xr:uid="{00000000-0005-0000-0000-0000B0230000}"/>
    <cellStyle name="Calculation 3 2 2 7 6" xfId="9145" xr:uid="{00000000-0005-0000-0000-0000B1230000}"/>
    <cellStyle name="Calculation 3 2 2 7 7" xfId="9146" xr:uid="{00000000-0005-0000-0000-0000B2230000}"/>
    <cellStyle name="Calculation 3 2 2 7 8" xfId="9147" xr:uid="{00000000-0005-0000-0000-0000B3230000}"/>
    <cellStyle name="Calculation 3 2 2 8" xfId="9148" xr:uid="{00000000-0005-0000-0000-0000B4230000}"/>
    <cellStyle name="Calculation 3 2 2 8 2" xfId="9149" xr:uid="{00000000-0005-0000-0000-0000B5230000}"/>
    <cellStyle name="Calculation 3 2 2 8 2 2" xfId="9150" xr:uid="{00000000-0005-0000-0000-0000B6230000}"/>
    <cellStyle name="Calculation 3 2 2 8 2 3" xfId="9151" xr:uid="{00000000-0005-0000-0000-0000B7230000}"/>
    <cellStyle name="Calculation 3 2 2 8 2 4" xfId="9152" xr:uid="{00000000-0005-0000-0000-0000B8230000}"/>
    <cellStyle name="Calculation 3 2 2 8 2 5" xfId="9153" xr:uid="{00000000-0005-0000-0000-0000B9230000}"/>
    <cellStyle name="Calculation 3 2 2 8 2 6" xfId="9154" xr:uid="{00000000-0005-0000-0000-0000BA230000}"/>
    <cellStyle name="Calculation 3 2 2 8 3" xfId="9155" xr:uid="{00000000-0005-0000-0000-0000BB230000}"/>
    <cellStyle name="Calculation 3 2 2 8 4" xfId="9156" xr:uid="{00000000-0005-0000-0000-0000BC230000}"/>
    <cellStyle name="Calculation 3 2 2 8 5" xfId="9157" xr:uid="{00000000-0005-0000-0000-0000BD230000}"/>
    <cellStyle name="Calculation 3 2 2 8 6" xfId="9158" xr:uid="{00000000-0005-0000-0000-0000BE230000}"/>
    <cellStyle name="Calculation 3 2 2 9" xfId="9159" xr:uid="{00000000-0005-0000-0000-0000BF230000}"/>
    <cellStyle name="Calculation 3 2 2 9 2" xfId="9160" xr:uid="{00000000-0005-0000-0000-0000C0230000}"/>
    <cellStyle name="Calculation 3 2 2 9 2 2" xfId="9161" xr:uid="{00000000-0005-0000-0000-0000C1230000}"/>
    <cellStyle name="Calculation 3 2 2 9 2 3" xfId="9162" xr:uid="{00000000-0005-0000-0000-0000C2230000}"/>
    <cellStyle name="Calculation 3 2 2 9 2 4" xfId="9163" xr:uid="{00000000-0005-0000-0000-0000C3230000}"/>
    <cellStyle name="Calculation 3 2 2 9 2 5" xfId="9164" xr:uid="{00000000-0005-0000-0000-0000C4230000}"/>
    <cellStyle name="Calculation 3 2 2 9 2 6" xfId="9165" xr:uid="{00000000-0005-0000-0000-0000C5230000}"/>
    <cellStyle name="Calculation 3 2 2 9 3" xfId="9166" xr:uid="{00000000-0005-0000-0000-0000C6230000}"/>
    <cellStyle name="Calculation 3 2 2 9 4" xfId="9167" xr:uid="{00000000-0005-0000-0000-0000C7230000}"/>
    <cellStyle name="Calculation 3 2 2 9 5" xfId="9168" xr:uid="{00000000-0005-0000-0000-0000C8230000}"/>
    <cellStyle name="Calculation 3 2 2 9 6" xfId="9169" xr:uid="{00000000-0005-0000-0000-0000C9230000}"/>
    <cellStyle name="Calculation 3 2 20" xfId="9170" xr:uid="{00000000-0005-0000-0000-0000CA230000}"/>
    <cellStyle name="Calculation 3 2 20 2" xfId="9171" xr:uid="{00000000-0005-0000-0000-0000CB230000}"/>
    <cellStyle name="Calculation 3 2 20 2 2" xfId="9172" xr:uid="{00000000-0005-0000-0000-0000CC230000}"/>
    <cellStyle name="Calculation 3 2 20 2 3" xfId="9173" xr:uid="{00000000-0005-0000-0000-0000CD230000}"/>
    <cellStyle name="Calculation 3 2 20 2 4" xfId="9174" xr:uid="{00000000-0005-0000-0000-0000CE230000}"/>
    <cellStyle name="Calculation 3 2 20 2 5" xfId="9175" xr:uid="{00000000-0005-0000-0000-0000CF230000}"/>
    <cellStyle name="Calculation 3 2 20 3" xfId="9176" xr:uid="{00000000-0005-0000-0000-0000D0230000}"/>
    <cellStyle name="Calculation 3 2 20 4" xfId="9177" xr:uid="{00000000-0005-0000-0000-0000D1230000}"/>
    <cellStyle name="Calculation 3 2 20 5" xfId="9178" xr:uid="{00000000-0005-0000-0000-0000D2230000}"/>
    <cellStyle name="Calculation 3 2 20 6" xfId="9179" xr:uid="{00000000-0005-0000-0000-0000D3230000}"/>
    <cellStyle name="Calculation 3 2 21" xfId="9180" xr:uid="{00000000-0005-0000-0000-0000D4230000}"/>
    <cellStyle name="Calculation 3 2 21 2" xfId="9181" xr:uid="{00000000-0005-0000-0000-0000D5230000}"/>
    <cellStyle name="Calculation 3 2 21 2 2" xfId="9182" xr:uid="{00000000-0005-0000-0000-0000D6230000}"/>
    <cellStyle name="Calculation 3 2 21 2 3" xfId="9183" xr:uid="{00000000-0005-0000-0000-0000D7230000}"/>
    <cellStyle name="Calculation 3 2 21 2 4" xfId="9184" xr:uid="{00000000-0005-0000-0000-0000D8230000}"/>
    <cellStyle name="Calculation 3 2 21 2 5" xfId="9185" xr:uid="{00000000-0005-0000-0000-0000D9230000}"/>
    <cellStyle name="Calculation 3 2 21 3" xfId="9186" xr:uid="{00000000-0005-0000-0000-0000DA230000}"/>
    <cellStyle name="Calculation 3 2 21 4" xfId="9187" xr:uid="{00000000-0005-0000-0000-0000DB230000}"/>
    <cellStyle name="Calculation 3 2 21 5" xfId="9188" xr:uid="{00000000-0005-0000-0000-0000DC230000}"/>
    <cellStyle name="Calculation 3 2 21 6" xfId="9189" xr:uid="{00000000-0005-0000-0000-0000DD230000}"/>
    <cellStyle name="Calculation 3 2 22" xfId="9190" xr:uid="{00000000-0005-0000-0000-0000DE230000}"/>
    <cellStyle name="Calculation 3 2 22 2" xfId="9191" xr:uid="{00000000-0005-0000-0000-0000DF230000}"/>
    <cellStyle name="Calculation 3 2 22 2 2" xfId="9192" xr:uid="{00000000-0005-0000-0000-0000E0230000}"/>
    <cellStyle name="Calculation 3 2 22 2 3" xfId="9193" xr:uid="{00000000-0005-0000-0000-0000E1230000}"/>
    <cellStyle name="Calculation 3 2 22 2 4" xfId="9194" xr:uid="{00000000-0005-0000-0000-0000E2230000}"/>
    <cellStyle name="Calculation 3 2 22 2 5" xfId="9195" xr:uid="{00000000-0005-0000-0000-0000E3230000}"/>
    <cellStyle name="Calculation 3 2 22 3" xfId="9196" xr:uid="{00000000-0005-0000-0000-0000E4230000}"/>
    <cellStyle name="Calculation 3 2 22 4" xfId="9197" xr:uid="{00000000-0005-0000-0000-0000E5230000}"/>
    <cellStyle name="Calculation 3 2 22 5" xfId="9198" xr:uid="{00000000-0005-0000-0000-0000E6230000}"/>
    <cellStyle name="Calculation 3 2 22 6" xfId="9199" xr:uid="{00000000-0005-0000-0000-0000E7230000}"/>
    <cellStyle name="Calculation 3 2 23" xfId="9200" xr:uid="{00000000-0005-0000-0000-0000E8230000}"/>
    <cellStyle name="Calculation 3 2 23 2" xfId="9201" xr:uid="{00000000-0005-0000-0000-0000E9230000}"/>
    <cellStyle name="Calculation 3 2 23 2 2" xfId="9202" xr:uid="{00000000-0005-0000-0000-0000EA230000}"/>
    <cellStyle name="Calculation 3 2 23 2 3" xfId="9203" xr:uid="{00000000-0005-0000-0000-0000EB230000}"/>
    <cellStyle name="Calculation 3 2 23 2 4" xfId="9204" xr:uid="{00000000-0005-0000-0000-0000EC230000}"/>
    <cellStyle name="Calculation 3 2 23 2 5" xfId="9205" xr:uid="{00000000-0005-0000-0000-0000ED230000}"/>
    <cellStyle name="Calculation 3 2 23 3" xfId="9206" xr:uid="{00000000-0005-0000-0000-0000EE230000}"/>
    <cellStyle name="Calculation 3 2 23 4" xfId="9207" xr:uid="{00000000-0005-0000-0000-0000EF230000}"/>
    <cellStyle name="Calculation 3 2 23 5" xfId="9208" xr:uid="{00000000-0005-0000-0000-0000F0230000}"/>
    <cellStyle name="Calculation 3 2 23 6" xfId="9209" xr:uid="{00000000-0005-0000-0000-0000F1230000}"/>
    <cellStyle name="Calculation 3 2 24" xfId="9210" xr:uid="{00000000-0005-0000-0000-0000F2230000}"/>
    <cellStyle name="Calculation 3 2 24 2" xfId="9211" xr:uid="{00000000-0005-0000-0000-0000F3230000}"/>
    <cellStyle name="Calculation 3 2 24 2 2" xfId="9212" xr:uid="{00000000-0005-0000-0000-0000F4230000}"/>
    <cellStyle name="Calculation 3 2 24 2 3" xfId="9213" xr:uid="{00000000-0005-0000-0000-0000F5230000}"/>
    <cellStyle name="Calculation 3 2 24 2 4" xfId="9214" xr:uid="{00000000-0005-0000-0000-0000F6230000}"/>
    <cellStyle name="Calculation 3 2 24 2 5" xfId="9215" xr:uid="{00000000-0005-0000-0000-0000F7230000}"/>
    <cellStyle name="Calculation 3 2 24 3" xfId="9216" xr:uid="{00000000-0005-0000-0000-0000F8230000}"/>
    <cellStyle name="Calculation 3 2 24 4" xfId="9217" xr:uid="{00000000-0005-0000-0000-0000F9230000}"/>
    <cellStyle name="Calculation 3 2 24 5" xfId="9218" xr:uid="{00000000-0005-0000-0000-0000FA230000}"/>
    <cellStyle name="Calculation 3 2 24 6" xfId="9219" xr:uid="{00000000-0005-0000-0000-0000FB230000}"/>
    <cellStyle name="Calculation 3 2 25" xfId="9220" xr:uid="{00000000-0005-0000-0000-0000FC230000}"/>
    <cellStyle name="Calculation 3 2 25 2" xfId="9221" xr:uid="{00000000-0005-0000-0000-0000FD230000}"/>
    <cellStyle name="Calculation 3 2 25 2 2" xfId="9222" xr:uid="{00000000-0005-0000-0000-0000FE230000}"/>
    <cellStyle name="Calculation 3 2 25 2 3" xfId="9223" xr:uid="{00000000-0005-0000-0000-0000FF230000}"/>
    <cellStyle name="Calculation 3 2 25 2 4" xfId="9224" xr:uid="{00000000-0005-0000-0000-000000240000}"/>
    <cellStyle name="Calculation 3 2 25 2 5" xfId="9225" xr:uid="{00000000-0005-0000-0000-000001240000}"/>
    <cellStyle name="Calculation 3 2 25 3" xfId="9226" xr:uid="{00000000-0005-0000-0000-000002240000}"/>
    <cellStyle name="Calculation 3 2 25 4" xfId="9227" xr:uid="{00000000-0005-0000-0000-000003240000}"/>
    <cellStyle name="Calculation 3 2 25 5" xfId="9228" xr:uid="{00000000-0005-0000-0000-000004240000}"/>
    <cellStyle name="Calculation 3 2 25 6" xfId="9229" xr:uid="{00000000-0005-0000-0000-000005240000}"/>
    <cellStyle name="Calculation 3 2 26" xfId="9230" xr:uid="{00000000-0005-0000-0000-000006240000}"/>
    <cellStyle name="Calculation 3 2 26 2" xfId="9231" xr:uid="{00000000-0005-0000-0000-000007240000}"/>
    <cellStyle name="Calculation 3 2 26 2 2" xfId="9232" xr:uid="{00000000-0005-0000-0000-000008240000}"/>
    <cellStyle name="Calculation 3 2 26 2 3" xfId="9233" xr:uid="{00000000-0005-0000-0000-000009240000}"/>
    <cellStyle name="Calculation 3 2 26 2 4" xfId="9234" xr:uid="{00000000-0005-0000-0000-00000A240000}"/>
    <cellStyle name="Calculation 3 2 26 2 5" xfId="9235" xr:uid="{00000000-0005-0000-0000-00000B240000}"/>
    <cellStyle name="Calculation 3 2 26 3" xfId="9236" xr:uid="{00000000-0005-0000-0000-00000C240000}"/>
    <cellStyle name="Calculation 3 2 26 4" xfId="9237" xr:uid="{00000000-0005-0000-0000-00000D240000}"/>
    <cellStyle name="Calculation 3 2 26 5" xfId="9238" xr:uid="{00000000-0005-0000-0000-00000E240000}"/>
    <cellStyle name="Calculation 3 2 26 6" xfId="9239" xr:uid="{00000000-0005-0000-0000-00000F240000}"/>
    <cellStyle name="Calculation 3 2 27" xfId="9240" xr:uid="{00000000-0005-0000-0000-000010240000}"/>
    <cellStyle name="Calculation 3 2 27 2" xfId="9241" xr:uid="{00000000-0005-0000-0000-000011240000}"/>
    <cellStyle name="Calculation 3 2 27 2 2" xfId="9242" xr:uid="{00000000-0005-0000-0000-000012240000}"/>
    <cellStyle name="Calculation 3 2 27 2 3" xfId="9243" xr:uid="{00000000-0005-0000-0000-000013240000}"/>
    <cellStyle name="Calculation 3 2 27 2 4" xfId="9244" xr:uid="{00000000-0005-0000-0000-000014240000}"/>
    <cellStyle name="Calculation 3 2 27 2 5" xfId="9245" xr:uid="{00000000-0005-0000-0000-000015240000}"/>
    <cellStyle name="Calculation 3 2 27 3" xfId="9246" xr:uid="{00000000-0005-0000-0000-000016240000}"/>
    <cellStyle name="Calculation 3 2 27 4" xfId="9247" xr:uid="{00000000-0005-0000-0000-000017240000}"/>
    <cellStyle name="Calculation 3 2 27 5" xfId="9248" xr:uid="{00000000-0005-0000-0000-000018240000}"/>
    <cellStyle name="Calculation 3 2 27 6" xfId="9249" xr:uid="{00000000-0005-0000-0000-000019240000}"/>
    <cellStyle name="Calculation 3 2 28" xfId="9250" xr:uid="{00000000-0005-0000-0000-00001A240000}"/>
    <cellStyle name="Calculation 3 2 28 2" xfId="9251" xr:uid="{00000000-0005-0000-0000-00001B240000}"/>
    <cellStyle name="Calculation 3 2 28 2 2" xfId="9252" xr:uid="{00000000-0005-0000-0000-00001C240000}"/>
    <cellStyle name="Calculation 3 2 28 2 3" xfId="9253" xr:uid="{00000000-0005-0000-0000-00001D240000}"/>
    <cellStyle name="Calculation 3 2 28 2 4" xfId="9254" xr:uid="{00000000-0005-0000-0000-00001E240000}"/>
    <cellStyle name="Calculation 3 2 28 2 5" xfId="9255" xr:uid="{00000000-0005-0000-0000-00001F240000}"/>
    <cellStyle name="Calculation 3 2 28 3" xfId="9256" xr:uid="{00000000-0005-0000-0000-000020240000}"/>
    <cellStyle name="Calculation 3 2 28 4" xfId="9257" xr:uid="{00000000-0005-0000-0000-000021240000}"/>
    <cellStyle name="Calculation 3 2 28 5" xfId="9258" xr:uid="{00000000-0005-0000-0000-000022240000}"/>
    <cellStyle name="Calculation 3 2 28 6" xfId="9259" xr:uid="{00000000-0005-0000-0000-000023240000}"/>
    <cellStyle name="Calculation 3 2 29" xfId="9260" xr:uid="{00000000-0005-0000-0000-000024240000}"/>
    <cellStyle name="Calculation 3 2 29 2" xfId="9261" xr:uid="{00000000-0005-0000-0000-000025240000}"/>
    <cellStyle name="Calculation 3 2 29 2 2" xfId="9262" xr:uid="{00000000-0005-0000-0000-000026240000}"/>
    <cellStyle name="Calculation 3 2 29 2 3" xfId="9263" xr:uid="{00000000-0005-0000-0000-000027240000}"/>
    <cellStyle name="Calculation 3 2 29 2 4" xfId="9264" xr:uid="{00000000-0005-0000-0000-000028240000}"/>
    <cellStyle name="Calculation 3 2 29 2 5" xfId="9265" xr:uid="{00000000-0005-0000-0000-000029240000}"/>
    <cellStyle name="Calculation 3 2 29 3" xfId="9266" xr:uid="{00000000-0005-0000-0000-00002A240000}"/>
    <cellStyle name="Calculation 3 2 29 4" xfId="9267" xr:uid="{00000000-0005-0000-0000-00002B240000}"/>
    <cellStyle name="Calculation 3 2 29 5" xfId="9268" xr:uid="{00000000-0005-0000-0000-00002C240000}"/>
    <cellStyle name="Calculation 3 2 29 6" xfId="9269" xr:uid="{00000000-0005-0000-0000-00002D240000}"/>
    <cellStyle name="Calculation 3 2 3" xfId="9270" xr:uid="{00000000-0005-0000-0000-00002E240000}"/>
    <cellStyle name="Calculation 3 2 3 10" xfId="9271" xr:uid="{00000000-0005-0000-0000-00002F240000}"/>
    <cellStyle name="Calculation 3 2 3 10 2" xfId="9272" xr:uid="{00000000-0005-0000-0000-000030240000}"/>
    <cellStyle name="Calculation 3 2 3 10 3" xfId="9273" xr:uid="{00000000-0005-0000-0000-000031240000}"/>
    <cellStyle name="Calculation 3 2 3 10 4" xfId="9274" xr:uid="{00000000-0005-0000-0000-000032240000}"/>
    <cellStyle name="Calculation 3 2 3 10 5" xfId="9275" xr:uid="{00000000-0005-0000-0000-000033240000}"/>
    <cellStyle name="Calculation 3 2 3 11" xfId="9276" xr:uid="{00000000-0005-0000-0000-000034240000}"/>
    <cellStyle name="Calculation 3 2 3 12" xfId="9277" xr:uid="{00000000-0005-0000-0000-000035240000}"/>
    <cellStyle name="Calculation 3 2 3 13" xfId="9278" xr:uid="{00000000-0005-0000-0000-000036240000}"/>
    <cellStyle name="Calculation 3 2 3 14" xfId="9279" xr:uid="{00000000-0005-0000-0000-000037240000}"/>
    <cellStyle name="Calculation 3 2 3 2" xfId="9280" xr:uid="{00000000-0005-0000-0000-000038240000}"/>
    <cellStyle name="Calculation 3 2 3 2 2" xfId="9281" xr:uid="{00000000-0005-0000-0000-000039240000}"/>
    <cellStyle name="Calculation 3 2 3 2 2 2" xfId="9282" xr:uid="{00000000-0005-0000-0000-00003A240000}"/>
    <cellStyle name="Calculation 3 2 3 2 2 2 2" xfId="9283" xr:uid="{00000000-0005-0000-0000-00003B240000}"/>
    <cellStyle name="Calculation 3 2 3 2 2 2 3" xfId="9284" xr:uid="{00000000-0005-0000-0000-00003C240000}"/>
    <cellStyle name="Calculation 3 2 3 2 2 2 4" xfId="9285" xr:uid="{00000000-0005-0000-0000-00003D240000}"/>
    <cellStyle name="Calculation 3 2 3 2 2 2 5" xfId="9286" xr:uid="{00000000-0005-0000-0000-00003E240000}"/>
    <cellStyle name="Calculation 3 2 3 2 2 2 6" xfId="9287" xr:uid="{00000000-0005-0000-0000-00003F240000}"/>
    <cellStyle name="Calculation 3 2 3 2 2 3" xfId="9288" xr:uid="{00000000-0005-0000-0000-000040240000}"/>
    <cellStyle name="Calculation 3 2 3 2 2 4" xfId="9289" xr:uid="{00000000-0005-0000-0000-000041240000}"/>
    <cellStyle name="Calculation 3 2 3 2 2 5" xfId="9290" xr:uid="{00000000-0005-0000-0000-000042240000}"/>
    <cellStyle name="Calculation 3 2 3 2 2 6" xfId="9291" xr:uid="{00000000-0005-0000-0000-000043240000}"/>
    <cellStyle name="Calculation 3 2 3 2 3" xfId="9292" xr:uid="{00000000-0005-0000-0000-000044240000}"/>
    <cellStyle name="Calculation 3 2 3 2 3 2" xfId="9293" xr:uid="{00000000-0005-0000-0000-000045240000}"/>
    <cellStyle name="Calculation 3 2 3 2 3 2 2" xfId="9294" xr:uid="{00000000-0005-0000-0000-000046240000}"/>
    <cellStyle name="Calculation 3 2 3 2 3 2 3" xfId="9295" xr:uid="{00000000-0005-0000-0000-000047240000}"/>
    <cellStyle name="Calculation 3 2 3 2 3 2 4" xfId="9296" xr:uid="{00000000-0005-0000-0000-000048240000}"/>
    <cellStyle name="Calculation 3 2 3 2 3 2 5" xfId="9297" xr:uid="{00000000-0005-0000-0000-000049240000}"/>
    <cellStyle name="Calculation 3 2 3 2 3 2 6" xfId="9298" xr:uid="{00000000-0005-0000-0000-00004A240000}"/>
    <cellStyle name="Calculation 3 2 3 2 3 3" xfId="9299" xr:uid="{00000000-0005-0000-0000-00004B240000}"/>
    <cellStyle name="Calculation 3 2 3 2 3 4" xfId="9300" xr:uid="{00000000-0005-0000-0000-00004C240000}"/>
    <cellStyle name="Calculation 3 2 3 2 3 5" xfId="9301" xr:uid="{00000000-0005-0000-0000-00004D240000}"/>
    <cellStyle name="Calculation 3 2 3 2 3 6" xfId="9302" xr:uid="{00000000-0005-0000-0000-00004E240000}"/>
    <cellStyle name="Calculation 3 2 3 2 4" xfId="9303" xr:uid="{00000000-0005-0000-0000-00004F240000}"/>
    <cellStyle name="Calculation 3 2 3 2 4 2" xfId="9304" xr:uid="{00000000-0005-0000-0000-000050240000}"/>
    <cellStyle name="Calculation 3 2 3 2 4 3" xfId="9305" xr:uid="{00000000-0005-0000-0000-000051240000}"/>
    <cellStyle name="Calculation 3 2 3 2 4 4" xfId="9306" xr:uid="{00000000-0005-0000-0000-000052240000}"/>
    <cellStyle name="Calculation 3 2 3 2 4 5" xfId="9307" xr:uid="{00000000-0005-0000-0000-000053240000}"/>
    <cellStyle name="Calculation 3 2 3 2 4 6" xfId="9308" xr:uid="{00000000-0005-0000-0000-000054240000}"/>
    <cellStyle name="Calculation 3 2 3 2 5" xfId="9309" xr:uid="{00000000-0005-0000-0000-000055240000}"/>
    <cellStyle name="Calculation 3 2 3 2 5 2" xfId="9310" xr:uid="{00000000-0005-0000-0000-000056240000}"/>
    <cellStyle name="Calculation 3 2 3 2 5 3" xfId="9311" xr:uid="{00000000-0005-0000-0000-000057240000}"/>
    <cellStyle name="Calculation 3 2 3 2 5 4" xfId="9312" xr:uid="{00000000-0005-0000-0000-000058240000}"/>
    <cellStyle name="Calculation 3 2 3 2 5 5" xfId="9313" xr:uid="{00000000-0005-0000-0000-000059240000}"/>
    <cellStyle name="Calculation 3 2 3 2 6" xfId="9314" xr:uid="{00000000-0005-0000-0000-00005A240000}"/>
    <cellStyle name="Calculation 3 2 3 2 7" xfId="9315" xr:uid="{00000000-0005-0000-0000-00005B240000}"/>
    <cellStyle name="Calculation 3 2 3 2 8" xfId="9316" xr:uid="{00000000-0005-0000-0000-00005C240000}"/>
    <cellStyle name="Calculation 3 2 3 2 9" xfId="9317" xr:uid="{00000000-0005-0000-0000-00005D240000}"/>
    <cellStyle name="Calculation 3 2 3 3" xfId="9318" xr:uid="{00000000-0005-0000-0000-00005E240000}"/>
    <cellStyle name="Calculation 3 2 3 3 2" xfId="9319" xr:uid="{00000000-0005-0000-0000-00005F240000}"/>
    <cellStyle name="Calculation 3 2 3 3 2 2" xfId="9320" xr:uid="{00000000-0005-0000-0000-000060240000}"/>
    <cellStyle name="Calculation 3 2 3 3 2 2 2" xfId="9321" xr:uid="{00000000-0005-0000-0000-000061240000}"/>
    <cellStyle name="Calculation 3 2 3 3 2 2 3" xfId="9322" xr:uid="{00000000-0005-0000-0000-000062240000}"/>
    <cellStyle name="Calculation 3 2 3 3 2 2 4" xfId="9323" xr:uid="{00000000-0005-0000-0000-000063240000}"/>
    <cellStyle name="Calculation 3 2 3 3 2 2 5" xfId="9324" xr:uid="{00000000-0005-0000-0000-000064240000}"/>
    <cellStyle name="Calculation 3 2 3 3 2 2 6" xfId="9325" xr:uid="{00000000-0005-0000-0000-000065240000}"/>
    <cellStyle name="Calculation 3 2 3 3 2 3" xfId="9326" xr:uid="{00000000-0005-0000-0000-000066240000}"/>
    <cellStyle name="Calculation 3 2 3 3 2 4" xfId="9327" xr:uid="{00000000-0005-0000-0000-000067240000}"/>
    <cellStyle name="Calculation 3 2 3 3 2 5" xfId="9328" xr:uid="{00000000-0005-0000-0000-000068240000}"/>
    <cellStyle name="Calculation 3 2 3 3 2 6" xfId="9329" xr:uid="{00000000-0005-0000-0000-000069240000}"/>
    <cellStyle name="Calculation 3 2 3 3 3" xfId="9330" xr:uid="{00000000-0005-0000-0000-00006A240000}"/>
    <cellStyle name="Calculation 3 2 3 3 3 2" xfId="9331" xr:uid="{00000000-0005-0000-0000-00006B240000}"/>
    <cellStyle name="Calculation 3 2 3 3 3 2 2" xfId="9332" xr:uid="{00000000-0005-0000-0000-00006C240000}"/>
    <cellStyle name="Calculation 3 2 3 3 3 2 3" xfId="9333" xr:uid="{00000000-0005-0000-0000-00006D240000}"/>
    <cellStyle name="Calculation 3 2 3 3 3 2 4" xfId="9334" xr:uid="{00000000-0005-0000-0000-00006E240000}"/>
    <cellStyle name="Calculation 3 2 3 3 3 2 5" xfId="9335" xr:uid="{00000000-0005-0000-0000-00006F240000}"/>
    <cellStyle name="Calculation 3 2 3 3 3 2 6" xfId="9336" xr:uid="{00000000-0005-0000-0000-000070240000}"/>
    <cellStyle name="Calculation 3 2 3 3 3 3" xfId="9337" xr:uid="{00000000-0005-0000-0000-000071240000}"/>
    <cellStyle name="Calculation 3 2 3 3 3 4" xfId="9338" xr:uid="{00000000-0005-0000-0000-000072240000}"/>
    <cellStyle name="Calculation 3 2 3 3 3 5" xfId="9339" xr:uid="{00000000-0005-0000-0000-000073240000}"/>
    <cellStyle name="Calculation 3 2 3 3 3 6" xfId="9340" xr:uid="{00000000-0005-0000-0000-000074240000}"/>
    <cellStyle name="Calculation 3 2 3 3 4" xfId="9341" xr:uid="{00000000-0005-0000-0000-000075240000}"/>
    <cellStyle name="Calculation 3 2 3 3 4 2" xfId="9342" xr:uid="{00000000-0005-0000-0000-000076240000}"/>
    <cellStyle name="Calculation 3 2 3 3 4 3" xfId="9343" xr:uid="{00000000-0005-0000-0000-000077240000}"/>
    <cellStyle name="Calculation 3 2 3 3 4 4" xfId="9344" xr:uid="{00000000-0005-0000-0000-000078240000}"/>
    <cellStyle name="Calculation 3 2 3 3 4 5" xfId="9345" xr:uid="{00000000-0005-0000-0000-000079240000}"/>
    <cellStyle name="Calculation 3 2 3 3 4 6" xfId="9346" xr:uid="{00000000-0005-0000-0000-00007A240000}"/>
    <cellStyle name="Calculation 3 2 3 3 5" xfId="9347" xr:uid="{00000000-0005-0000-0000-00007B240000}"/>
    <cellStyle name="Calculation 3 2 3 3 6" xfId="9348" xr:uid="{00000000-0005-0000-0000-00007C240000}"/>
    <cellStyle name="Calculation 3 2 3 3 7" xfId="9349" xr:uid="{00000000-0005-0000-0000-00007D240000}"/>
    <cellStyle name="Calculation 3 2 3 3 8" xfId="9350" xr:uid="{00000000-0005-0000-0000-00007E240000}"/>
    <cellStyle name="Calculation 3 2 3 4" xfId="9351" xr:uid="{00000000-0005-0000-0000-00007F240000}"/>
    <cellStyle name="Calculation 3 2 3 4 2" xfId="9352" xr:uid="{00000000-0005-0000-0000-000080240000}"/>
    <cellStyle name="Calculation 3 2 3 4 2 2" xfId="9353" xr:uid="{00000000-0005-0000-0000-000081240000}"/>
    <cellStyle name="Calculation 3 2 3 4 2 2 2" xfId="9354" xr:uid="{00000000-0005-0000-0000-000082240000}"/>
    <cellStyle name="Calculation 3 2 3 4 2 2 3" xfId="9355" xr:uid="{00000000-0005-0000-0000-000083240000}"/>
    <cellStyle name="Calculation 3 2 3 4 2 2 4" xfId="9356" xr:uid="{00000000-0005-0000-0000-000084240000}"/>
    <cellStyle name="Calculation 3 2 3 4 2 2 5" xfId="9357" xr:uid="{00000000-0005-0000-0000-000085240000}"/>
    <cellStyle name="Calculation 3 2 3 4 2 2 6" xfId="9358" xr:uid="{00000000-0005-0000-0000-000086240000}"/>
    <cellStyle name="Calculation 3 2 3 4 2 3" xfId="9359" xr:uid="{00000000-0005-0000-0000-000087240000}"/>
    <cellStyle name="Calculation 3 2 3 4 2 4" xfId="9360" xr:uid="{00000000-0005-0000-0000-000088240000}"/>
    <cellStyle name="Calculation 3 2 3 4 2 5" xfId="9361" xr:uid="{00000000-0005-0000-0000-000089240000}"/>
    <cellStyle name="Calculation 3 2 3 4 2 6" xfId="9362" xr:uid="{00000000-0005-0000-0000-00008A240000}"/>
    <cellStyle name="Calculation 3 2 3 4 3" xfId="9363" xr:uid="{00000000-0005-0000-0000-00008B240000}"/>
    <cellStyle name="Calculation 3 2 3 4 3 2" xfId="9364" xr:uid="{00000000-0005-0000-0000-00008C240000}"/>
    <cellStyle name="Calculation 3 2 3 4 3 2 2" xfId="9365" xr:uid="{00000000-0005-0000-0000-00008D240000}"/>
    <cellStyle name="Calculation 3 2 3 4 3 2 3" xfId="9366" xr:uid="{00000000-0005-0000-0000-00008E240000}"/>
    <cellStyle name="Calculation 3 2 3 4 3 2 4" xfId="9367" xr:uid="{00000000-0005-0000-0000-00008F240000}"/>
    <cellStyle name="Calculation 3 2 3 4 3 2 5" xfId="9368" xr:uid="{00000000-0005-0000-0000-000090240000}"/>
    <cellStyle name="Calculation 3 2 3 4 3 2 6" xfId="9369" xr:uid="{00000000-0005-0000-0000-000091240000}"/>
    <cellStyle name="Calculation 3 2 3 4 3 3" xfId="9370" xr:uid="{00000000-0005-0000-0000-000092240000}"/>
    <cellStyle name="Calculation 3 2 3 4 3 4" xfId="9371" xr:uid="{00000000-0005-0000-0000-000093240000}"/>
    <cellStyle name="Calculation 3 2 3 4 3 5" xfId="9372" xr:uid="{00000000-0005-0000-0000-000094240000}"/>
    <cellStyle name="Calculation 3 2 3 4 3 6" xfId="9373" xr:uid="{00000000-0005-0000-0000-000095240000}"/>
    <cellStyle name="Calculation 3 2 3 4 4" xfId="9374" xr:uid="{00000000-0005-0000-0000-000096240000}"/>
    <cellStyle name="Calculation 3 2 3 4 4 2" xfId="9375" xr:uid="{00000000-0005-0000-0000-000097240000}"/>
    <cellStyle name="Calculation 3 2 3 4 4 3" xfId="9376" xr:uid="{00000000-0005-0000-0000-000098240000}"/>
    <cellStyle name="Calculation 3 2 3 4 4 4" xfId="9377" xr:uid="{00000000-0005-0000-0000-000099240000}"/>
    <cellStyle name="Calculation 3 2 3 4 4 5" xfId="9378" xr:uid="{00000000-0005-0000-0000-00009A240000}"/>
    <cellStyle name="Calculation 3 2 3 4 4 6" xfId="9379" xr:uid="{00000000-0005-0000-0000-00009B240000}"/>
    <cellStyle name="Calculation 3 2 3 4 5" xfId="9380" xr:uid="{00000000-0005-0000-0000-00009C240000}"/>
    <cellStyle name="Calculation 3 2 3 4 6" xfId="9381" xr:uid="{00000000-0005-0000-0000-00009D240000}"/>
    <cellStyle name="Calculation 3 2 3 4 7" xfId="9382" xr:uid="{00000000-0005-0000-0000-00009E240000}"/>
    <cellStyle name="Calculation 3 2 3 4 8" xfId="9383" xr:uid="{00000000-0005-0000-0000-00009F240000}"/>
    <cellStyle name="Calculation 3 2 3 5" xfId="9384" xr:uid="{00000000-0005-0000-0000-0000A0240000}"/>
    <cellStyle name="Calculation 3 2 3 5 2" xfId="9385" xr:uid="{00000000-0005-0000-0000-0000A1240000}"/>
    <cellStyle name="Calculation 3 2 3 5 2 2" xfId="9386" xr:uid="{00000000-0005-0000-0000-0000A2240000}"/>
    <cellStyle name="Calculation 3 2 3 5 2 2 2" xfId="9387" xr:uid="{00000000-0005-0000-0000-0000A3240000}"/>
    <cellStyle name="Calculation 3 2 3 5 2 2 3" xfId="9388" xr:uid="{00000000-0005-0000-0000-0000A4240000}"/>
    <cellStyle name="Calculation 3 2 3 5 2 2 4" xfId="9389" xr:uid="{00000000-0005-0000-0000-0000A5240000}"/>
    <cellStyle name="Calculation 3 2 3 5 2 2 5" xfId="9390" xr:uid="{00000000-0005-0000-0000-0000A6240000}"/>
    <cellStyle name="Calculation 3 2 3 5 2 2 6" xfId="9391" xr:uid="{00000000-0005-0000-0000-0000A7240000}"/>
    <cellStyle name="Calculation 3 2 3 5 2 3" xfId="9392" xr:uid="{00000000-0005-0000-0000-0000A8240000}"/>
    <cellStyle name="Calculation 3 2 3 5 2 4" xfId="9393" xr:uid="{00000000-0005-0000-0000-0000A9240000}"/>
    <cellStyle name="Calculation 3 2 3 5 2 5" xfId="9394" xr:uid="{00000000-0005-0000-0000-0000AA240000}"/>
    <cellStyle name="Calculation 3 2 3 5 2 6" xfId="9395" xr:uid="{00000000-0005-0000-0000-0000AB240000}"/>
    <cellStyle name="Calculation 3 2 3 5 3" xfId="9396" xr:uid="{00000000-0005-0000-0000-0000AC240000}"/>
    <cellStyle name="Calculation 3 2 3 5 3 2" xfId="9397" xr:uid="{00000000-0005-0000-0000-0000AD240000}"/>
    <cellStyle name="Calculation 3 2 3 5 3 2 2" xfId="9398" xr:uid="{00000000-0005-0000-0000-0000AE240000}"/>
    <cellStyle name="Calculation 3 2 3 5 3 2 3" xfId="9399" xr:uid="{00000000-0005-0000-0000-0000AF240000}"/>
    <cellStyle name="Calculation 3 2 3 5 3 2 4" xfId="9400" xr:uid="{00000000-0005-0000-0000-0000B0240000}"/>
    <cellStyle name="Calculation 3 2 3 5 3 2 5" xfId="9401" xr:uid="{00000000-0005-0000-0000-0000B1240000}"/>
    <cellStyle name="Calculation 3 2 3 5 3 2 6" xfId="9402" xr:uid="{00000000-0005-0000-0000-0000B2240000}"/>
    <cellStyle name="Calculation 3 2 3 5 3 3" xfId="9403" xr:uid="{00000000-0005-0000-0000-0000B3240000}"/>
    <cellStyle name="Calculation 3 2 3 5 3 4" xfId="9404" xr:uid="{00000000-0005-0000-0000-0000B4240000}"/>
    <cellStyle name="Calculation 3 2 3 5 3 5" xfId="9405" xr:uid="{00000000-0005-0000-0000-0000B5240000}"/>
    <cellStyle name="Calculation 3 2 3 5 3 6" xfId="9406" xr:uid="{00000000-0005-0000-0000-0000B6240000}"/>
    <cellStyle name="Calculation 3 2 3 5 4" xfId="9407" xr:uid="{00000000-0005-0000-0000-0000B7240000}"/>
    <cellStyle name="Calculation 3 2 3 5 4 2" xfId="9408" xr:uid="{00000000-0005-0000-0000-0000B8240000}"/>
    <cellStyle name="Calculation 3 2 3 5 4 3" xfId="9409" xr:uid="{00000000-0005-0000-0000-0000B9240000}"/>
    <cellStyle name="Calculation 3 2 3 5 4 4" xfId="9410" xr:uid="{00000000-0005-0000-0000-0000BA240000}"/>
    <cellStyle name="Calculation 3 2 3 5 4 5" xfId="9411" xr:uid="{00000000-0005-0000-0000-0000BB240000}"/>
    <cellStyle name="Calculation 3 2 3 5 4 6" xfId="9412" xr:uid="{00000000-0005-0000-0000-0000BC240000}"/>
    <cellStyle name="Calculation 3 2 3 5 5" xfId="9413" xr:uid="{00000000-0005-0000-0000-0000BD240000}"/>
    <cellStyle name="Calculation 3 2 3 5 6" xfId="9414" xr:uid="{00000000-0005-0000-0000-0000BE240000}"/>
    <cellStyle name="Calculation 3 2 3 5 7" xfId="9415" xr:uid="{00000000-0005-0000-0000-0000BF240000}"/>
    <cellStyle name="Calculation 3 2 3 5 8" xfId="9416" xr:uid="{00000000-0005-0000-0000-0000C0240000}"/>
    <cellStyle name="Calculation 3 2 3 6" xfId="9417" xr:uid="{00000000-0005-0000-0000-0000C1240000}"/>
    <cellStyle name="Calculation 3 2 3 6 2" xfId="9418" xr:uid="{00000000-0005-0000-0000-0000C2240000}"/>
    <cellStyle name="Calculation 3 2 3 6 2 2" xfId="9419" xr:uid="{00000000-0005-0000-0000-0000C3240000}"/>
    <cellStyle name="Calculation 3 2 3 6 2 2 2" xfId="9420" xr:uid="{00000000-0005-0000-0000-0000C4240000}"/>
    <cellStyle name="Calculation 3 2 3 6 2 2 3" xfId="9421" xr:uid="{00000000-0005-0000-0000-0000C5240000}"/>
    <cellStyle name="Calculation 3 2 3 6 2 2 4" xfId="9422" xr:uid="{00000000-0005-0000-0000-0000C6240000}"/>
    <cellStyle name="Calculation 3 2 3 6 2 2 5" xfId="9423" xr:uid="{00000000-0005-0000-0000-0000C7240000}"/>
    <cellStyle name="Calculation 3 2 3 6 2 2 6" xfId="9424" xr:uid="{00000000-0005-0000-0000-0000C8240000}"/>
    <cellStyle name="Calculation 3 2 3 6 2 3" xfId="9425" xr:uid="{00000000-0005-0000-0000-0000C9240000}"/>
    <cellStyle name="Calculation 3 2 3 6 2 4" xfId="9426" xr:uid="{00000000-0005-0000-0000-0000CA240000}"/>
    <cellStyle name="Calculation 3 2 3 6 2 5" xfId="9427" xr:uid="{00000000-0005-0000-0000-0000CB240000}"/>
    <cellStyle name="Calculation 3 2 3 6 2 6" xfId="9428" xr:uid="{00000000-0005-0000-0000-0000CC240000}"/>
    <cellStyle name="Calculation 3 2 3 6 3" xfId="9429" xr:uid="{00000000-0005-0000-0000-0000CD240000}"/>
    <cellStyle name="Calculation 3 2 3 6 3 2" xfId="9430" xr:uid="{00000000-0005-0000-0000-0000CE240000}"/>
    <cellStyle name="Calculation 3 2 3 6 3 2 2" xfId="9431" xr:uid="{00000000-0005-0000-0000-0000CF240000}"/>
    <cellStyle name="Calculation 3 2 3 6 3 2 3" xfId="9432" xr:uid="{00000000-0005-0000-0000-0000D0240000}"/>
    <cellStyle name="Calculation 3 2 3 6 3 2 4" xfId="9433" xr:uid="{00000000-0005-0000-0000-0000D1240000}"/>
    <cellStyle name="Calculation 3 2 3 6 3 2 5" xfId="9434" xr:uid="{00000000-0005-0000-0000-0000D2240000}"/>
    <cellStyle name="Calculation 3 2 3 6 3 2 6" xfId="9435" xr:uid="{00000000-0005-0000-0000-0000D3240000}"/>
    <cellStyle name="Calculation 3 2 3 6 3 3" xfId="9436" xr:uid="{00000000-0005-0000-0000-0000D4240000}"/>
    <cellStyle name="Calculation 3 2 3 6 3 4" xfId="9437" xr:uid="{00000000-0005-0000-0000-0000D5240000}"/>
    <cellStyle name="Calculation 3 2 3 6 3 5" xfId="9438" xr:uid="{00000000-0005-0000-0000-0000D6240000}"/>
    <cellStyle name="Calculation 3 2 3 6 3 6" xfId="9439" xr:uid="{00000000-0005-0000-0000-0000D7240000}"/>
    <cellStyle name="Calculation 3 2 3 6 4" xfId="9440" xr:uid="{00000000-0005-0000-0000-0000D8240000}"/>
    <cellStyle name="Calculation 3 2 3 6 4 2" xfId="9441" xr:uid="{00000000-0005-0000-0000-0000D9240000}"/>
    <cellStyle name="Calculation 3 2 3 6 4 3" xfId="9442" xr:uid="{00000000-0005-0000-0000-0000DA240000}"/>
    <cellStyle name="Calculation 3 2 3 6 4 4" xfId="9443" xr:uid="{00000000-0005-0000-0000-0000DB240000}"/>
    <cellStyle name="Calculation 3 2 3 6 4 5" xfId="9444" xr:uid="{00000000-0005-0000-0000-0000DC240000}"/>
    <cellStyle name="Calculation 3 2 3 6 4 6" xfId="9445" xr:uid="{00000000-0005-0000-0000-0000DD240000}"/>
    <cellStyle name="Calculation 3 2 3 6 5" xfId="9446" xr:uid="{00000000-0005-0000-0000-0000DE240000}"/>
    <cellStyle name="Calculation 3 2 3 6 6" xfId="9447" xr:uid="{00000000-0005-0000-0000-0000DF240000}"/>
    <cellStyle name="Calculation 3 2 3 6 7" xfId="9448" xr:uid="{00000000-0005-0000-0000-0000E0240000}"/>
    <cellStyle name="Calculation 3 2 3 6 8" xfId="9449" xr:uid="{00000000-0005-0000-0000-0000E1240000}"/>
    <cellStyle name="Calculation 3 2 3 7" xfId="9450" xr:uid="{00000000-0005-0000-0000-0000E2240000}"/>
    <cellStyle name="Calculation 3 2 3 7 2" xfId="9451" xr:uid="{00000000-0005-0000-0000-0000E3240000}"/>
    <cellStyle name="Calculation 3 2 3 7 2 2" xfId="9452" xr:uid="{00000000-0005-0000-0000-0000E4240000}"/>
    <cellStyle name="Calculation 3 2 3 7 2 3" xfId="9453" xr:uid="{00000000-0005-0000-0000-0000E5240000}"/>
    <cellStyle name="Calculation 3 2 3 7 2 4" xfId="9454" xr:uid="{00000000-0005-0000-0000-0000E6240000}"/>
    <cellStyle name="Calculation 3 2 3 7 2 5" xfId="9455" xr:uid="{00000000-0005-0000-0000-0000E7240000}"/>
    <cellStyle name="Calculation 3 2 3 7 2 6" xfId="9456" xr:uid="{00000000-0005-0000-0000-0000E8240000}"/>
    <cellStyle name="Calculation 3 2 3 7 3" xfId="9457" xr:uid="{00000000-0005-0000-0000-0000E9240000}"/>
    <cellStyle name="Calculation 3 2 3 7 4" xfId="9458" xr:uid="{00000000-0005-0000-0000-0000EA240000}"/>
    <cellStyle name="Calculation 3 2 3 7 5" xfId="9459" xr:uid="{00000000-0005-0000-0000-0000EB240000}"/>
    <cellStyle name="Calculation 3 2 3 7 6" xfId="9460" xr:uid="{00000000-0005-0000-0000-0000EC240000}"/>
    <cellStyle name="Calculation 3 2 3 8" xfId="9461" xr:uid="{00000000-0005-0000-0000-0000ED240000}"/>
    <cellStyle name="Calculation 3 2 3 8 2" xfId="9462" xr:uid="{00000000-0005-0000-0000-0000EE240000}"/>
    <cellStyle name="Calculation 3 2 3 8 2 2" xfId="9463" xr:uid="{00000000-0005-0000-0000-0000EF240000}"/>
    <cellStyle name="Calculation 3 2 3 8 2 3" xfId="9464" xr:uid="{00000000-0005-0000-0000-0000F0240000}"/>
    <cellStyle name="Calculation 3 2 3 8 2 4" xfId="9465" xr:uid="{00000000-0005-0000-0000-0000F1240000}"/>
    <cellStyle name="Calculation 3 2 3 8 2 5" xfId="9466" xr:uid="{00000000-0005-0000-0000-0000F2240000}"/>
    <cellStyle name="Calculation 3 2 3 8 2 6" xfId="9467" xr:uid="{00000000-0005-0000-0000-0000F3240000}"/>
    <cellStyle name="Calculation 3 2 3 8 3" xfId="9468" xr:uid="{00000000-0005-0000-0000-0000F4240000}"/>
    <cellStyle name="Calculation 3 2 3 8 4" xfId="9469" xr:uid="{00000000-0005-0000-0000-0000F5240000}"/>
    <cellStyle name="Calculation 3 2 3 8 5" xfId="9470" xr:uid="{00000000-0005-0000-0000-0000F6240000}"/>
    <cellStyle name="Calculation 3 2 3 8 6" xfId="9471" xr:uid="{00000000-0005-0000-0000-0000F7240000}"/>
    <cellStyle name="Calculation 3 2 3 9" xfId="9472" xr:uid="{00000000-0005-0000-0000-0000F8240000}"/>
    <cellStyle name="Calculation 3 2 3 9 2" xfId="9473" xr:uid="{00000000-0005-0000-0000-0000F9240000}"/>
    <cellStyle name="Calculation 3 2 3 9 3" xfId="9474" xr:uid="{00000000-0005-0000-0000-0000FA240000}"/>
    <cellStyle name="Calculation 3 2 3 9 4" xfId="9475" xr:uid="{00000000-0005-0000-0000-0000FB240000}"/>
    <cellStyle name="Calculation 3 2 3 9 5" xfId="9476" xr:uid="{00000000-0005-0000-0000-0000FC240000}"/>
    <cellStyle name="Calculation 3 2 3 9 6" xfId="9477" xr:uid="{00000000-0005-0000-0000-0000FD240000}"/>
    <cellStyle name="Calculation 3 2 30" xfId="9478" xr:uid="{00000000-0005-0000-0000-0000FE240000}"/>
    <cellStyle name="Calculation 3 2 30 2" xfId="9479" xr:uid="{00000000-0005-0000-0000-0000FF240000}"/>
    <cellStyle name="Calculation 3 2 30 2 2" xfId="9480" xr:uid="{00000000-0005-0000-0000-000000250000}"/>
    <cellStyle name="Calculation 3 2 30 2 3" xfId="9481" xr:uid="{00000000-0005-0000-0000-000001250000}"/>
    <cellStyle name="Calculation 3 2 30 2 4" xfId="9482" xr:uid="{00000000-0005-0000-0000-000002250000}"/>
    <cellStyle name="Calculation 3 2 30 2 5" xfId="9483" xr:uid="{00000000-0005-0000-0000-000003250000}"/>
    <cellStyle name="Calculation 3 2 30 3" xfId="9484" xr:uid="{00000000-0005-0000-0000-000004250000}"/>
    <cellStyle name="Calculation 3 2 30 4" xfId="9485" xr:uid="{00000000-0005-0000-0000-000005250000}"/>
    <cellStyle name="Calculation 3 2 30 5" xfId="9486" xr:uid="{00000000-0005-0000-0000-000006250000}"/>
    <cellStyle name="Calculation 3 2 30 6" xfId="9487" xr:uid="{00000000-0005-0000-0000-000007250000}"/>
    <cellStyle name="Calculation 3 2 31" xfId="9488" xr:uid="{00000000-0005-0000-0000-000008250000}"/>
    <cellStyle name="Calculation 3 2 31 2" xfId="9489" xr:uid="{00000000-0005-0000-0000-000009250000}"/>
    <cellStyle name="Calculation 3 2 31 2 2" xfId="9490" xr:uid="{00000000-0005-0000-0000-00000A250000}"/>
    <cellStyle name="Calculation 3 2 31 2 3" xfId="9491" xr:uid="{00000000-0005-0000-0000-00000B250000}"/>
    <cellStyle name="Calculation 3 2 31 2 4" xfId="9492" xr:uid="{00000000-0005-0000-0000-00000C250000}"/>
    <cellStyle name="Calculation 3 2 31 2 5" xfId="9493" xr:uid="{00000000-0005-0000-0000-00000D250000}"/>
    <cellStyle name="Calculation 3 2 31 3" xfId="9494" xr:uid="{00000000-0005-0000-0000-00000E250000}"/>
    <cellStyle name="Calculation 3 2 31 4" xfId="9495" xr:uid="{00000000-0005-0000-0000-00000F250000}"/>
    <cellStyle name="Calculation 3 2 31 5" xfId="9496" xr:uid="{00000000-0005-0000-0000-000010250000}"/>
    <cellStyle name="Calculation 3 2 31 6" xfId="9497" xr:uid="{00000000-0005-0000-0000-000011250000}"/>
    <cellStyle name="Calculation 3 2 32" xfId="9498" xr:uid="{00000000-0005-0000-0000-000012250000}"/>
    <cellStyle name="Calculation 3 2 32 2" xfId="9499" xr:uid="{00000000-0005-0000-0000-000013250000}"/>
    <cellStyle name="Calculation 3 2 32 2 2" xfId="9500" xr:uid="{00000000-0005-0000-0000-000014250000}"/>
    <cellStyle name="Calculation 3 2 32 2 3" xfId="9501" xr:uid="{00000000-0005-0000-0000-000015250000}"/>
    <cellStyle name="Calculation 3 2 32 2 4" xfId="9502" xr:uid="{00000000-0005-0000-0000-000016250000}"/>
    <cellStyle name="Calculation 3 2 32 2 5" xfId="9503" xr:uid="{00000000-0005-0000-0000-000017250000}"/>
    <cellStyle name="Calculation 3 2 32 3" xfId="9504" xr:uid="{00000000-0005-0000-0000-000018250000}"/>
    <cellStyle name="Calculation 3 2 32 4" xfId="9505" xr:uid="{00000000-0005-0000-0000-000019250000}"/>
    <cellStyle name="Calculation 3 2 32 5" xfId="9506" xr:uid="{00000000-0005-0000-0000-00001A250000}"/>
    <cellStyle name="Calculation 3 2 32 6" xfId="9507" xr:uid="{00000000-0005-0000-0000-00001B250000}"/>
    <cellStyle name="Calculation 3 2 33" xfId="9508" xr:uid="{00000000-0005-0000-0000-00001C250000}"/>
    <cellStyle name="Calculation 3 2 33 2" xfId="9509" xr:uid="{00000000-0005-0000-0000-00001D250000}"/>
    <cellStyle name="Calculation 3 2 33 2 2" xfId="9510" xr:uid="{00000000-0005-0000-0000-00001E250000}"/>
    <cellStyle name="Calculation 3 2 33 2 3" xfId="9511" xr:uid="{00000000-0005-0000-0000-00001F250000}"/>
    <cellStyle name="Calculation 3 2 33 2 4" xfId="9512" xr:uid="{00000000-0005-0000-0000-000020250000}"/>
    <cellStyle name="Calculation 3 2 33 2 5" xfId="9513" xr:uid="{00000000-0005-0000-0000-000021250000}"/>
    <cellStyle name="Calculation 3 2 33 3" xfId="9514" xr:uid="{00000000-0005-0000-0000-000022250000}"/>
    <cellStyle name="Calculation 3 2 33 4" xfId="9515" xr:uid="{00000000-0005-0000-0000-000023250000}"/>
    <cellStyle name="Calculation 3 2 33 5" xfId="9516" xr:uid="{00000000-0005-0000-0000-000024250000}"/>
    <cellStyle name="Calculation 3 2 33 6" xfId="9517" xr:uid="{00000000-0005-0000-0000-000025250000}"/>
    <cellStyle name="Calculation 3 2 34" xfId="9518" xr:uid="{00000000-0005-0000-0000-000026250000}"/>
    <cellStyle name="Calculation 3 2 34 2" xfId="9519" xr:uid="{00000000-0005-0000-0000-000027250000}"/>
    <cellStyle name="Calculation 3 2 34 2 2" xfId="9520" xr:uid="{00000000-0005-0000-0000-000028250000}"/>
    <cellStyle name="Calculation 3 2 34 2 3" xfId="9521" xr:uid="{00000000-0005-0000-0000-000029250000}"/>
    <cellStyle name="Calculation 3 2 34 2 4" xfId="9522" xr:uid="{00000000-0005-0000-0000-00002A250000}"/>
    <cellStyle name="Calculation 3 2 34 2 5" xfId="9523" xr:uid="{00000000-0005-0000-0000-00002B250000}"/>
    <cellStyle name="Calculation 3 2 34 3" xfId="9524" xr:uid="{00000000-0005-0000-0000-00002C250000}"/>
    <cellStyle name="Calculation 3 2 34 4" xfId="9525" xr:uid="{00000000-0005-0000-0000-00002D250000}"/>
    <cellStyle name="Calculation 3 2 34 5" xfId="9526" xr:uid="{00000000-0005-0000-0000-00002E250000}"/>
    <cellStyle name="Calculation 3 2 34 6" xfId="9527" xr:uid="{00000000-0005-0000-0000-00002F250000}"/>
    <cellStyle name="Calculation 3 2 35" xfId="9528" xr:uid="{00000000-0005-0000-0000-000030250000}"/>
    <cellStyle name="Calculation 3 2 35 2" xfId="9529" xr:uid="{00000000-0005-0000-0000-000031250000}"/>
    <cellStyle name="Calculation 3 2 35 2 2" xfId="9530" xr:uid="{00000000-0005-0000-0000-000032250000}"/>
    <cellStyle name="Calculation 3 2 35 2 3" xfId="9531" xr:uid="{00000000-0005-0000-0000-000033250000}"/>
    <cellStyle name="Calculation 3 2 35 2 4" xfId="9532" xr:uid="{00000000-0005-0000-0000-000034250000}"/>
    <cellStyle name="Calculation 3 2 35 2 5" xfId="9533" xr:uid="{00000000-0005-0000-0000-000035250000}"/>
    <cellStyle name="Calculation 3 2 35 3" xfId="9534" xr:uid="{00000000-0005-0000-0000-000036250000}"/>
    <cellStyle name="Calculation 3 2 35 4" xfId="9535" xr:uid="{00000000-0005-0000-0000-000037250000}"/>
    <cellStyle name="Calculation 3 2 35 5" xfId="9536" xr:uid="{00000000-0005-0000-0000-000038250000}"/>
    <cellStyle name="Calculation 3 2 35 6" xfId="9537" xr:uid="{00000000-0005-0000-0000-000039250000}"/>
    <cellStyle name="Calculation 3 2 36" xfId="9538" xr:uid="{00000000-0005-0000-0000-00003A250000}"/>
    <cellStyle name="Calculation 3 2 36 2" xfId="9539" xr:uid="{00000000-0005-0000-0000-00003B250000}"/>
    <cellStyle name="Calculation 3 2 36 2 2" xfId="9540" xr:uid="{00000000-0005-0000-0000-00003C250000}"/>
    <cellStyle name="Calculation 3 2 36 2 3" xfId="9541" xr:uid="{00000000-0005-0000-0000-00003D250000}"/>
    <cellStyle name="Calculation 3 2 36 2 4" xfId="9542" xr:uid="{00000000-0005-0000-0000-00003E250000}"/>
    <cellStyle name="Calculation 3 2 36 2 5" xfId="9543" xr:uid="{00000000-0005-0000-0000-00003F250000}"/>
    <cellStyle name="Calculation 3 2 36 3" xfId="9544" xr:uid="{00000000-0005-0000-0000-000040250000}"/>
    <cellStyle name="Calculation 3 2 36 4" xfId="9545" xr:uid="{00000000-0005-0000-0000-000041250000}"/>
    <cellStyle name="Calculation 3 2 36 5" xfId="9546" xr:uid="{00000000-0005-0000-0000-000042250000}"/>
    <cellStyle name="Calculation 3 2 36 6" xfId="9547" xr:uid="{00000000-0005-0000-0000-000043250000}"/>
    <cellStyle name="Calculation 3 2 37" xfId="9548" xr:uid="{00000000-0005-0000-0000-000044250000}"/>
    <cellStyle name="Calculation 3 2 37 2" xfId="9549" xr:uid="{00000000-0005-0000-0000-000045250000}"/>
    <cellStyle name="Calculation 3 2 37 2 2" xfId="9550" xr:uid="{00000000-0005-0000-0000-000046250000}"/>
    <cellStyle name="Calculation 3 2 37 2 3" xfId="9551" xr:uid="{00000000-0005-0000-0000-000047250000}"/>
    <cellStyle name="Calculation 3 2 37 2 4" xfId="9552" xr:uid="{00000000-0005-0000-0000-000048250000}"/>
    <cellStyle name="Calculation 3 2 37 2 5" xfId="9553" xr:uid="{00000000-0005-0000-0000-000049250000}"/>
    <cellStyle name="Calculation 3 2 37 3" xfId="9554" xr:uid="{00000000-0005-0000-0000-00004A250000}"/>
    <cellStyle name="Calculation 3 2 37 4" xfId="9555" xr:uid="{00000000-0005-0000-0000-00004B250000}"/>
    <cellStyle name="Calculation 3 2 37 5" xfId="9556" xr:uid="{00000000-0005-0000-0000-00004C250000}"/>
    <cellStyle name="Calculation 3 2 37 6" xfId="9557" xr:uid="{00000000-0005-0000-0000-00004D250000}"/>
    <cellStyle name="Calculation 3 2 38" xfId="9558" xr:uid="{00000000-0005-0000-0000-00004E250000}"/>
    <cellStyle name="Calculation 3 2 38 2" xfId="9559" xr:uid="{00000000-0005-0000-0000-00004F250000}"/>
    <cellStyle name="Calculation 3 2 38 2 2" xfId="9560" xr:uid="{00000000-0005-0000-0000-000050250000}"/>
    <cellStyle name="Calculation 3 2 38 2 3" xfId="9561" xr:uid="{00000000-0005-0000-0000-000051250000}"/>
    <cellStyle name="Calculation 3 2 38 2 4" xfId="9562" xr:uid="{00000000-0005-0000-0000-000052250000}"/>
    <cellStyle name="Calculation 3 2 38 2 5" xfId="9563" xr:uid="{00000000-0005-0000-0000-000053250000}"/>
    <cellStyle name="Calculation 3 2 38 3" xfId="9564" xr:uid="{00000000-0005-0000-0000-000054250000}"/>
    <cellStyle name="Calculation 3 2 38 4" xfId="9565" xr:uid="{00000000-0005-0000-0000-000055250000}"/>
    <cellStyle name="Calculation 3 2 38 5" xfId="9566" xr:uid="{00000000-0005-0000-0000-000056250000}"/>
    <cellStyle name="Calculation 3 2 38 6" xfId="9567" xr:uid="{00000000-0005-0000-0000-000057250000}"/>
    <cellStyle name="Calculation 3 2 39" xfId="9568" xr:uid="{00000000-0005-0000-0000-000058250000}"/>
    <cellStyle name="Calculation 3 2 39 2" xfId="9569" xr:uid="{00000000-0005-0000-0000-000059250000}"/>
    <cellStyle name="Calculation 3 2 39 2 2" xfId="9570" xr:uid="{00000000-0005-0000-0000-00005A250000}"/>
    <cellStyle name="Calculation 3 2 39 2 3" xfId="9571" xr:uid="{00000000-0005-0000-0000-00005B250000}"/>
    <cellStyle name="Calculation 3 2 39 2 4" xfId="9572" xr:uid="{00000000-0005-0000-0000-00005C250000}"/>
    <cellStyle name="Calculation 3 2 39 2 5" xfId="9573" xr:uid="{00000000-0005-0000-0000-00005D250000}"/>
    <cellStyle name="Calculation 3 2 39 3" xfId="9574" xr:uid="{00000000-0005-0000-0000-00005E250000}"/>
    <cellStyle name="Calculation 3 2 39 4" xfId="9575" xr:uid="{00000000-0005-0000-0000-00005F250000}"/>
    <cellStyle name="Calculation 3 2 39 5" xfId="9576" xr:uid="{00000000-0005-0000-0000-000060250000}"/>
    <cellStyle name="Calculation 3 2 39 6" xfId="9577" xr:uid="{00000000-0005-0000-0000-000061250000}"/>
    <cellStyle name="Calculation 3 2 4" xfId="9578" xr:uid="{00000000-0005-0000-0000-000062250000}"/>
    <cellStyle name="Calculation 3 2 4 2" xfId="9579" xr:uid="{00000000-0005-0000-0000-000063250000}"/>
    <cellStyle name="Calculation 3 2 4 2 2" xfId="9580" xr:uid="{00000000-0005-0000-0000-000064250000}"/>
    <cellStyle name="Calculation 3 2 4 2 2 2" xfId="9581" xr:uid="{00000000-0005-0000-0000-000065250000}"/>
    <cellStyle name="Calculation 3 2 4 2 2 3" xfId="9582" xr:uid="{00000000-0005-0000-0000-000066250000}"/>
    <cellStyle name="Calculation 3 2 4 2 2 4" xfId="9583" xr:uid="{00000000-0005-0000-0000-000067250000}"/>
    <cellStyle name="Calculation 3 2 4 2 2 5" xfId="9584" xr:uid="{00000000-0005-0000-0000-000068250000}"/>
    <cellStyle name="Calculation 3 2 4 2 2 6" xfId="9585" xr:uid="{00000000-0005-0000-0000-000069250000}"/>
    <cellStyle name="Calculation 3 2 4 2 3" xfId="9586" xr:uid="{00000000-0005-0000-0000-00006A250000}"/>
    <cellStyle name="Calculation 3 2 4 2 3 2" xfId="9587" xr:uid="{00000000-0005-0000-0000-00006B250000}"/>
    <cellStyle name="Calculation 3 2 4 2 3 3" xfId="9588" xr:uid="{00000000-0005-0000-0000-00006C250000}"/>
    <cellStyle name="Calculation 3 2 4 2 3 4" xfId="9589" xr:uid="{00000000-0005-0000-0000-00006D250000}"/>
    <cellStyle name="Calculation 3 2 4 2 3 5" xfId="9590" xr:uid="{00000000-0005-0000-0000-00006E250000}"/>
    <cellStyle name="Calculation 3 2 4 2 4" xfId="9591" xr:uid="{00000000-0005-0000-0000-00006F250000}"/>
    <cellStyle name="Calculation 3 2 4 2 5" xfId="9592" xr:uid="{00000000-0005-0000-0000-000070250000}"/>
    <cellStyle name="Calculation 3 2 4 2 6" xfId="9593" xr:uid="{00000000-0005-0000-0000-000071250000}"/>
    <cellStyle name="Calculation 3 2 4 2 7" xfId="9594" xr:uid="{00000000-0005-0000-0000-000072250000}"/>
    <cellStyle name="Calculation 3 2 4 3" xfId="9595" xr:uid="{00000000-0005-0000-0000-000073250000}"/>
    <cellStyle name="Calculation 3 2 4 3 2" xfId="9596" xr:uid="{00000000-0005-0000-0000-000074250000}"/>
    <cellStyle name="Calculation 3 2 4 3 2 2" xfId="9597" xr:uid="{00000000-0005-0000-0000-000075250000}"/>
    <cellStyle name="Calculation 3 2 4 3 2 3" xfId="9598" xr:uid="{00000000-0005-0000-0000-000076250000}"/>
    <cellStyle name="Calculation 3 2 4 3 2 4" xfId="9599" xr:uid="{00000000-0005-0000-0000-000077250000}"/>
    <cellStyle name="Calculation 3 2 4 3 2 5" xfId="9600" xr:uid="{00000000-0005-0000-0000-000078250000}"/>
    <cellStyle name="Calculation 3 2 4 3 2 6" xfId="9601" xr:uid="{00000000-0005-0000-0000-000079250000}"/>
    <cellStyle name="Calculation 3 2 4 3 3" xfId="9602" xr:uid="{00000000-0005-0000-0000-00007A250000}"/>
    <cellStyle name="Calculation 3 2 4 3 4" xfId="9603" xr:uid="{00000000-0005-0000-0000-00007B250000}"/>
    <cellStyle name="Calculation 3 2 4 3 5" xfId="9604" xr:uid="{00000000-0005-0000-0000-00007C250000}"/>
    <cellStyle name="Calculation 3 2 4 3 6" xfId="9605" xr:uid="{00000000-0005-0000-0000-00007D250000}"/>
    <cellStyle name="Calculation 3 2 4 4" xfId="9606" xr:uid="{00000000-0005-0000-0000-00007E250000}"/>
    <cellStyle name="Calculation 3 2 4 4 2" xfId="9607" xr:uid="{00000000-0005-0000-0000-00007F250000}"/>
    <cellStyle name="Calculation 3 2 4 4 3" xfId="9608" xr:uid="{00000000-0005-0000-0000-000080250000}"/>
    <cellStyle name="Calculation 3 2 4 4 4" xfId="9609" xr:uid="{00000000-0005-0000-0000-000081250000}"/>
    <cellStyle name="Calculation 3 2 4 4 5" xfId="9610" xr:uid="{00000000-0005-0000-0000-000082250000}"/>
    <cellStyle name="Calculation 3 2 4 4 6" xfId="9611" xr:uid="{00000000-0005-0000-0000-000083250000}"/>
    <cellStyle name="Calculation 3 2 4 5" xfId="9612" xr:uid="{00000000-0005-0000-0000-000084250000}"/>
    <cellStyle name="Calculation 3 2 4 5 2" xfId="9613" xr:uid="{00000000-0005-0000-0000-000085250000}"/>
    <cellStyle name="Calculation 3 2 4 5 3" xfId="9614" xr:uid="{00000000-0005-0000-0000-000086250000}"/>
    <cellStyle name="Calculation 3 2 4 5 4" xfId="9615" xr:uid="{00000000-0005-0000-0000-000087250000}"/>
    <cellStyle name="Calculation 3 2 4 5 5" xfId="9616" xr:uid="{00000000-0005-0000-0000-000088250000}"/>
    <cellStyle name="Calculation 3 2 4 6" xfId="9617" xr:uid="{00000000-0005-0000-0000-000089250000}"/>
    <cellStyle name="Calculation 3 2 4 7" xfId="9618" xr:uid="{00000000-0005-0000-0000-00008A250000}"/>
    <cellStyle name="Calculation 3 2 4 8" xfId="9619" xr:uid="{00000000-0005-0000-0000-00008B250000}"/>
    <cellStyle name="Calculation 3 2 4 9" xfId="9620" xr:uid="{00000000-0005-0000-0000-00008C250000}"/>
    <cellStyle name="Calculation 3 2 40" xfId="9621" xr:uid="{00000000-0005-0000-0000-00008D250000}"/>
    <cellStyle name="Calculation 3 2 40 2" xfId="9622" xr:uid="{00000000-0005-0000-0000-00008E250000}"/>
    <cellStyle name="Calculation 3 2 40 2 2" xfId="9623" xr:uid="{00000000-0005-0000-0000-00008F250000}"/>
    <cellStyle name="Calculation 3 2 40 2 3" xfId="9624" xr:uid="{00000000-0005-0000-0000-000090250000}"/>
    <cellStyle name="Calculation 3 2 40 2 4" xfId="9625" xr:uid="{00000000-0005-0000-0000-000091250000}"/>
    <cellStyle name="Calculation 3 2 40 2 5" xfId="9626" xr:uid="{00000000-0005-0000-0000-000092250000}"/>
    <cellStyle name="Calculation 3 2 40 3" xfId="9627" xr:uid="{00000000-0005-0000-0000-000093250000}"/>
    <cellStyle name="Calculation 3 2 40 4" xfId="9628" xr:uid="{00000000-0005-0000-0000-000094250000}"/>
    <cellStyle name="Calculation 3 2 40 5" xfId="9629" xr:uid="{00000000-0005-0000-0000-000095250000}"/>
    <cellStyle name="Calculation 3 2 40 6" xfId="9630" xr:uid="{00000000-0005-0000-0000-000096250000}"/>
    <cellStyle name="Calculation 3 2 41" xfId="9631" xr:uid="{00000000-0005-0000-0000-000097250000}"/>
    <cellStyle name="Calculation 3 2 41 2" xfId="9632" xr:uid="{00000000-0005-0000-0000-000098250000}"/>
    <cellStyle name="Calculation 3 2 41 2 2" xfId="9633" xr:uid="{00000000-0005-0000-0000-000099250000}"/>
    <cellStyle name="Calculation 3 2 41 2 3" xfId="9634" xr:uid="{00000000-0005-0000-0000-00009A250000}"/>
    <cellStyle name="Calculation 3 2 41 2 4" xfId="9635" xr:uid="{00000000-0005-0000-0000-00009B250000}"/>
    <cellStyle name="Calculation 3 2 41 2 5" xfId="9636" xr:uid="{00000000-0005-0000-0000-00009C250000}"/>
    <cellStyle name="Calculation 3 2 41 3" xfId="9637" xr:uid="{00000000-0005-0000-0000-00009D250000}"/>
    <cellStyle name="Calculation 3 2 41 4" xfId="9638" xr:uid="{00000000-0005-0000-0000-00009E250000}"/>
    <cellStyle name="Calculation 3 2 41 5" xfId="9639" xr:uid="{00000000-0005-0000-0000-00009F250000}"/>
    <cellStyle name="Calculation 3 2 41 6" xfId="9640" xr:uid="{00000000-0005-0000-0000-0000A0250000}"/>
    <cellStyle name="Calculation 3 2 42" xfId="9641" xr:uid="{00000000-0005-0000-0000-0000A1250000}"/>
    <cellStyle name="Calculation 3 2 42 2" xfId="9642" xr:uid="{00000000-0005-0000-0000-0000A2250000}"/>
    <cellStyle name="Calculation 3 2 42 3" xfId="9643" xr:uid="{00000000-0005-0000-0000-0000A3250000}"/>
    <cellStyle name="Calculation 3 2 42 4" xfId="9644" xr:uid="{00000000-0005-0000-0000-0000A4250000}"/>
    <cellStyle name="Calculation 3 2 42 5" xfId="9645" xr:uid="{00000000-0005-0000-0000-0000A5250000}"/>
    <cellStyle name="Calculation 3 2 43" xfId="9646" xr:uid="{00000000-0005-0000-0000-0000A6250000}"/>
    <cellStyle name="Calculation 3 2 43 2" xfId="9647" xr:uid="{00000000-0005-0000-0000-0000A7250000}"/>
    <cellStyle name="Calculation 3 2 43 3" xfId="9648" xr:uid="{00000000-0005-0000-0000-0000A8250000}"/>
    <cellStyle name="Calculation 3 2 43 4" xfId="9649" xr:uid="{00000000-0005-0000-0000-0000A9250000}"/>
    <cellStyle name="Calculation 3 2 43 5" xfId="9650" xr:uid="{00000000-0005-0000-0000-0000AA250000}"/>
    <cellStyle name="Calculation 3 2 44" xfId="9651" xr:uid="{00000000-0005-0000-0000-0000AB250000}"/>
    <cellStyle name="Calculation 3 2 45" xfId="9652" xr:uid="{00000000-0005-0000-0000-0000AC250000}"/>
    <cellStyle name="Calculation 3 2 46" xfId="9653" xr:uid="{00000000-0005-0000-0000-0000AD250000}"/>
    <cellStyle name="Calculation 3 2 47" xfId="9654" xr:uid="{00000000-0005-0000-0000-0000AE250000}"/>
    <cellStyle name="Calculation 3 2 48" xfId="9655" xr:uid="{00000000-0005-0000-0000-0000AF250000}"/>
    <cellStyle name="Calculation 3 2 5" xfId="9656" xr:uid="{00000000-0005-0000-0000-0000B0250000}"/>
    <cellStyle name="Calculation 3 2 5 2" xfId="9657" xr:uid="{00000000-0005-0000-0000-0000B1250000}"/>
    <cellStyle name="Calculation 3 2 5 2 2" xfId="9658" xr:uid="{00000000-0005-0000-0000-0000B2250000}"/>
    <cellStyle name="Calculation 3 2 5 2 2 2" xfId="9659" xr:uid="{00000000-0005-0000-0000-0000B3250000}"/>
    <cellStyle name="Calculation 3 2 5 2 2 3" xfId="9660" xr:uid="{00000000-0005-0000-0000-0000B4250000}"/>
    <cellStyle name="Calculation 3 2 5 2 2 4" xfId="9661" xr:uid="{00000000-0005-0000-0000-0000B5250000}"/>
    <cellStyle name="Calculation 3 2 5 2 2 5" xfId="9662" xr:uid="{00000000-0005-0000-0000-0000B6250000}"/>
    <cellStyle name="Calculation 3 2 5 2 2 6" xfId="9663" xr:uid="{00000000-0005-0000-0000-0000B7250000}"/>
    <cellStyle name="Calculation 3 2 5 2 3" xfId="9664" xr:uid="{00000000-0005-0000-0000-0000B8250000}"/>
    <cellStyle name="Calculation 3 2 5 2 3 2" xfId="9665" xr:uid="{00000000-0005-0000-0000-0000B9250000}"/>
    <cellStyle name="Calculation 3 2 5 2 3 3" xfId="9666" xr:uid="{00000000-0005-0000-0000-0000BA250000}"/>
    <cellStyle name="Calculation 3 2 5 2 3 4" xfId="9667" xr:uid="{00000000-0005-0000-0000-0000BB250000}"/>
    <cellStyle name="Calculation 3 2 5 2 3 5" xfId="9668" xr:uid="{00000000-0005-0000-0000-0000BC250000}"/>
    <cellStyle name="Calculation 3 2 5 2 4" xfId="9669" xr:uid="{00000000-0005-0000-0000-0000BD250000}"/>
    <cellStyle name="Calculation 3 2 5 2 5" xfId="9670" xr:uid="{00000000-0005-0000-0000-0000BE250000}"/>
    <cellStyle name="Calculation 3 2 5 2 6" xfId="9671" xr:uid="{00000000-0005-0000-0000-0000BF250000}"/>
    <cellStyle name="Calculation 3 2 5 2 7" xfId="9672" xr:uid="{00000000-0005-0000-0000-0000C0250000}"/>
    <cellStyle name="Calculation 3 2 5 3" xfId="9673" xr:uid="{00000000-0005-0000-0000-0000C1250000}"/>
    <cellStyle name="Calculation 3 2 5 3 2" xfId="9674" xr:uid="{00000000-0005-0000-0000-0000C2250000}"/>
    <cellStyle name="Calculation 3 2 5 3 2 2" xfId="9675" xr:uid="{00000000-0005-0000-0000-0000C3250000}"/>
    <cellStyle name="Calculation 3 2 5 3 2 3" xfId="9676" xr:uid="{00000000-0005-0000-0000-0000C4250000}"/>
    <cellStyle name="Calculation 3 2 5 3 2 4" xfId="9677" xr:uid="{00000000-0005-0000-0000-0000C5250000}"/>
    <cellStyle name="Calculation 3 2 5 3 2 5" xfId="9678" xr:uid="{00000000-0005-0000-0000-0000C6250000}"/>
    <cellStyle name="Calculation 3 2 5 3 2 6" xfId="9679" xr:uid="{00000000-0005-0000-0000-0000C7250000}"/>
    <cellStyle name="Calculation 3 2 5 3 3" xfId="9680" xr:uid="{00000000-0005-0000-0000-0000C8250000}"/>
    <cellStyle name="Calculation 3 2 5 3 4" xfId="9681" xr:uid="{00000000-0005-0000-0000-0000C9250000}"/>
    <cellStyle name="Calculation 3 2 5 3 5" xfId="9682" xr:uid="{00000000-0005-0000-0000-0000CA250000}"/>
    <cellStyle name="Calculation 3 2 5 3 6" xfId="9683" xr:uid="{00000000-0005-0000-0000-0000CB250000}"/>
    <cellStyle name="Calculation 3 2 5 4" xfId="9684" xr:uid="{00000000-0005-0000-0000-0000CC250000}"/>
    <cellStyle name="Calculation 3 2 5 4 2" xfId="9685" xr:uid="{00000000-0005-0000-0000-0000CD250000}"/>
    <cellStyle name="Calculation 3 2 5 4 3" xfId="9686" xr:uid="{00000000-0005-0000-0000-0000CE250000}"/>
    <cellStyle name="Calculation 3 2 5 4 4" xfId="9687" xr:uid="{00000000-0005-0000-0000-0000CF250000}"/>
    <cellStyle name="Calculation 3 2 5 4 5" xfId="9688" xr:uid="{00000000-0005-0000-0000-0000D0250000}"/>
    <cellStyle name="Calculation 3 2 5 4 6" xfId="9689" xr:uid="{00000000-0005-0000-0000-0000D1250000}"/>
    <cellStyle name="Calculation 3 2 5 5" xfId="9690" xr:uid="{00000000-0005-0000-0000-0000D2250000}"/>
    <cellStyle name="Calculation 3 2 5 5 2" xfId="9691" xr:uid="{00000000-0005-0000-0000-0000D3250000}"/>
    <cellStyle name="Calculation 3 2 5 5 3" xfId="9692" xr:uid="{00000000-0005-0000-0000-0000D4250000}"/>
    <cellStyle name="Calculation 3 2 5 5 4" xfId="9693" xr:uid="{00000000-0005-0000-0000-0000D5250000}"/>
    <cellStyle name="Calculation 3 2 5 5 5" xfId="9694" xr:uid="{00000000-0005-0000-0000-0000D6250000}"/>
    <cellStyle name="Calculation 3 2 5 6" xfId="9695" xr:uid="{00000000-0005-0000-0000-0000D7250000}"/>
    <cellStyle name="Calculation 3 2 5 7" xfId="9696" xr:uid="{00000000-0005-0000-0000-0000D8250000}"/>
    <cellStyle name="Calculation 3 2 5 8" xfId="9697" xr:uid="{00000000-0005-0000-0000-0000D9250000}"/>
    <cellStyle name="Calculation 3 2 5 9" xfId="9698" xr:uid="{00000000-0005-0000-0000-0000DA250000}"/>
    <cellStyle name="Calculation 3 2 6" xfId="9699" xr:uid="{00000000-0005-0000-0000-0000DB250000}"/>
    <cellStyle name="Calculation 3 2 6 2" xfId="9700" xr:uid="{00000000-0005-0000-0000-0000DC250000}"/>
    <cellStyle name="Calculation 3 2 6 2 2" xfId="9701" xr:uid="{00000000-0005-0000-0000-0000DD250000}"/>
    <cellStyle name="Calculation 3 2 6 2 2 2" xfId="9702" xr:uid="{00000000-0005-0000-0000-0000DE250000}"/>
    <cellStyle name="Calculation 3 2 6 2 2 3" xfId="9703" xr:uid="{00000000-0005-0000-0000-0000DF250000}"/>
    <cellStyle name="Calculation 3 2 6 2 2 4" xfId="9704" xr:uid="{00000000-0005-0000-0000-0000E0250000}"/>
    <cellStyle name="Calculation 3 2 6 2 2 5" xfId="9705" xr:uid="{00000000-0005-0000-0000-0000E1250000}"/>
    <cellStyle name="Calculation 3 2 6 2 2 6" xfId="9706" xr:uid="{00000000-0005-0000-0000-0000E2250000}"/>
    <cellStyle name="Calculation 3 2 6 2 3" xfId="9707" xr:uid="{00000000-0005-0000-0000-0000E3250000}"/>
    <cellStyle name="Calculation 3 2 6 2 3 2" xfId="9708" xr:uid="{00000000-0005-0000-0000-0000E4250000}"/>
    <cellStyle name="Calculation 3 2 6 2 3 3" xfId="9709" xr:uid="{00000000-0005-0000-0000-0000E5250000}"/>
    <cellStyle name="Calculation 3 2 6 2 3 4" xfId="9710" xr:uid="{00000000-0005-0000-0000-0000E6250000}"/>
    <cellStyle name="Calculation 3 2 6 2 3 5" xfId="9711" xr:uid="{00000000-0005-0000-0000-0000E7250000}"/>
    <cellStyle name="Calculation 3 2 6 2 4" xfId="9712" xr:uid="{00000000-0005-0000-0000-0000E8250000}"/>
    <cellStyle name="Calculation 3 2 6 2 5" xfId="9713" xr:uid="{00000000-0005-0000-0000-0000E9250000}"/>
    <cellStyle name="Calculation 3 2 6 2 6" xfId="9714" xr:uid="{00000000-0005-0000-0000-0000EA250000}"/>
    <cellStyle name="Calculation 3 2 6 2 7" xfId="9715" xr:uid="{00000000-0005-0000-0000-0000EB250000}"/>
    <cellStyle name="Calculation 3 2 6 3" xfId="9716" xr:uid="{00000000-0005-0000-0000-0000EC250000}"/>
    <cellStyle name="Calculation 3 2 6 3 2" xfId="9717" xr:uid="{00000000-0005-0000-0000-0000ED250000}"/>
    <cellStyle name="Calculation 3 2 6 3 2 2" xfId="9718" xr:uid="{00000000-0005-0000-0000-0000EE250000}"/>
    <cellStyle name="Calculation 3 2 6 3 2 3" xfId="9719" xr:uid="{00000000-0005-0000-0000-0000EF250000}"/>
    <cellStyle name="Calculation 3 2 6 3 2 4" xfId="9720" xr:uid="{00000000-0005-0000-0000-0000F0250000}"/>
    <cellStyle name="Calculation 3 2 6 3 2 5" xfId="9721" xr:uid="{00000000-0005-0000-0000-0000F1250000}"/>
    <cellStyle name="Calculation 3 2 6 3 2 6" xfId="9722" xr:uid="{00000000-0005-0000-0000-0000F2250000}"/>
    <cellStyle name="Calculation 3 2 6 3 3" xfId="9723" xr:uid="{00000000-0005-0000-0000-0000F3250000}"/>
    <cellStyle name="Calculation 3 2 6 3 4" xfId="9724" xr:uid="{00000000-0005-0000-0000-0000F4250000}"/>
    <cellStyle name="Calculation 3 2 6 3 5" xfId="9725" xr:uid="{00000000-0005-0000-0000-0000F5250000}"/>
    <cellStyle name="Calculation 3 2 6 3 6" xfId="9726" xr:uid="{00000000-0005-0000-0000-0000F6250000}"/>
    <cellStyle name="Calculation 3 2 6 4" xfId="9727" xr:uid="{00000000-0005-0000-0000-0000F7250000}"/>
    <cellStyle name="Calculation 3 2 6 4 2" xfId="9728" xr:uid="{00000000-0005-0000-0000-0000F8250000}"/>
    <cellStyle name="Calculation 3 2 6 4 3" xfId="9729" xr:uid="{00000000-0005-0000-0000-0000F9250000}"/>
    <cellStyle name="Calculation 3 2 6 4 4" xfId="9730" xr:uid="{00000000-0005-0000-0000-0000FA250000}"/>
    <cellStyle name="Calculation 3 2 6 4 5" xfId="9731" xr:uid="{00000000-0005-0000-0000-0000FB250000}"/>
    <cellStyle name="Calculation 3 2 6 4 6" xfId="9732" xr:uid="{00000000-0005-0000-0000-0000FC250000}"/>
    <cellStyle name="Calculation 3 2 6 5" xfId="9733" xr:uid="{00000000-0005-0000-0000-0000FD250000}"/>
    <cellStyle name="Calculation 3 2 6 5 2" xfId="9734" xr:uid="{00000000-0005-0000-0000-0000FE250000}"/>
    <cellStyle name="Calculation 3 2 6 5 3" xfId="9735" xr:uid="{00000000-0005-0000-0000-0000FF250000}"/>
    <cellStyle name="Calculation 3 2 6 5 4" xfId="9736" xr:uid="{00000000-0005-0000-0000-000000260000}"/>
    <cellStyle name="Calculation 3 2 6 5 5" xfId="9737" xr:uid="{00000000-0005-0000-0000-000001260000}"/>
    <cellStyle name="Calculation 3 2 6 6" xfId="9738" xr:uid="{00000000-0005-0000-0000-000002260000}"/>
    <cellStyle name="Calculation 3 2 6 7" xfId="9739" xr:uid="{00000000-0005-0000-0000-000003260000}"/>
    <cellStyle name="Calculation 3 2 6 8" xfId="9740" xr:uid="{00000000-0005-0000-0000-000004260000}"/>
    <cellStyle name="Calculation 3 2 6 9" xfId="9741" xr:uid="{00000000-0005-0000-0000-000005260000}"/>
    <cellStyle name="Calculation 3 2 7" xfId="9742" xr:uid="{00000000-0005-0000-0000-000006260000}"/>
    <cellStyle name="Calculation 3 2 7 2" xfId="9743" xr:uid="{00000000-0005-0000-0000-000007260000}"/>
    <cellStyle name="Calculation 3 2 7 2 2" xfId="9744" xr:uid="{00000000-0005-0000-0000-000008260000}"/>
    <cellStyle name="Calculation 3 2 7 2 2 2" xfId="9745" xr:uid="{00000000-0005-0000-0000-000009260000}"/>
    <cellStyle name="Calculation 3 2 7 2 2 3" xfId="9746" xr:uid="{00000000-0005-0000-0000-00000A260000}"/>
    <cellStyle name="Calculation 3 2 7 2 2 4" xfId="9747" xr:uid="{00000000-0005-0000-0000-00000B260000}"/>
    <cellStyle name="Calculation 3 2 7 2 2 5" xfId="9748" xr:uid="{00000000-0005-0000-0000-00000C260000}"/>
    <cellStyle name="Calculation 3 2 7 2 3" xfId="9749" xr:uid="{00000000-0005-0000-0000-00000D260000}"/>
    <cellStyle name="Calculation 3 2 7 2 4" xfId="9750" xr:uid="{00000000-0005-0000-0000-00000E260000}"/>
    <cellStyle name="Calculation 3 2 7 2 5" xfId="9751" xr:uid="{00000000-0005-0000-0000-00000F260000}"/>
    <cellStyle name="Calculation 3 2 7 2 6" xfId="9752" xr:uid="{00000000-0005-0000-0000-000010260000}"/>
    <cellStyle name="Calculation 3 2 7 2 7" xfId="9753" xr:uid="{00000000-0005-0000-0000-000011260000}"/>
    <cellStyle name="Calculation 3 2 7 3" xfId="9754" xr:uid="{00000000-0005-0000-0000-000012260000}"/>
    <cellStyle name="Calculation 3 2 7 3 2" xfId="9755" xr:uid="{00000000-0005-0000-0000-000013260000}"/>
    <cellStyle name="Calculation 3 2 7 3 3" xfId="9756" xr:uid="{00000000-0005-0000-0000-000014260000}"/>
    <cellStyle name="Calculation 3 2 7 3 4" xfId="9757" xr:uid="{00000000-0005-0000-0000-000015260000}"/>
    <cellStyle name="Calculation 3 2 7 3 5" xfId="9758" xr:uid="{00000000-0005-0000-0000-000016260000}"/>
    <cellStyle name="Calculation 3 2 7 4" xfId="9759" xr:uid="{00000000-0005-0000-0000-000017260000}"/>
    <cellStyle name="Calculation 3 2 7 5" xfId="9760" xr:uid="{00000000-0005-0000-0000-000018260000}"/>
    <cellStyle name="Calculation 3 2 7 6" xfId="9761" xr:uid="{00000000-0005-0000-0000-000019260000}"/>
    <cellStyle name="Calculation 3 2 7 7" xfId="9762" xr:uid="{00000000-0005-0000-0000-00001A260000}"/>
    <cellStyle name="Calculation 3 2 8" xfId="9763" xr:uid="{00000000-0005-0000-0000-00001B260000}"/>
    <cellStyle name="Calculation 3 2 8 2" xfId="9764" xr:uid="{00000000-0005-0000-0000-00001C260000}"/>
    <cellStyle name="Calculation 3 2 8 2 2" xfId="9765" xr:uid="{00000000-0005-0000-0000-00001D260000}"/>
    <cellStyle name="Calculation 3 2 8 2 2 2" xfId="9766" xr:uid="{00000000-0005-0000-0000-00001E260000}"/>
    <cellStyle name="Calculation 3 2 8 2 2 3" xfId="9767" xr:uid="{00000000-0005-0000-0000-00001F260000}"/>
    <cellStyle name="Calculation 3 2 8 2 2 4" xfId="9768" xr:uid="{00000000-0005-0000-0000-000020260000}"/>
    <cellStyle name="Calculation 3 2 8 2 2 5" xfId="9769" xr:uid="{00000000-0005-0000-0000-000021260000}"/>
    <cellStyle name="Calculation 3 2 8 2 3" xfId="9770" xr:uid="{00000000-0005-0000-0000-000022260000}"/>
    <cellStyle name="Calculation 3 2 8 2 4" xfId="9771" xr:uid="{00000000-0005-0000-0000-000023260000}"/>
    <cellStyle name="Calculation 3 2 8 2 5" xfId="9772" xr:uid="{00000000-0005-0000-0000-000024260000}"/>
    <cellStyle name="Calculation 3 2 8 2 6" xfId="9773" xr:uid="{00000000-0005-0000-0000-000025260000}"/>
    <cellStyle name="Calculation 3 2 8 2 7" xfId="9774" xr:uid="{00000000-0005-0000-0000-000026260000}"/>
    <cellStyle name="Calculation 3 2 8 3" xfId="9775" xr:uid="{00000000-0005-0000-0000-000027260000}"/>
    <cellStyle name="Calculation 3 2 8 3 2" xfId="9776" xr:uid="{00000000-0005-0000-0000-000028260000}"/>
    <cellStyle name="Calculation 3 2 8 3 3" xfId="9777" xr:uid="{00000000-0005-0000-0000-000029260000}"/>
    <cellStyle name="Calculation 3 2 8 3 4" xfId="9778" xr:uid="{00000000-0005-0000-0000-00002A260000}"/>
    <cellStyle name="Calculation 3 2 8 3 5" xfId="9779" xr:uid="{00000000-0005-0000-0000-00002B260000}"/>
    <cellStyle name="Calculation 3 2 8 4" xfId="9780" xr:uid="{00000000-0005-0000-0000-00002C260000}"/>
    <cellStyle name="Calculation 3 2 8 5" xfId="9781" xr:uid="{00000000-0005-0000-0000-00002D260000}"/>
    <cellStyle name="Calculation 3 2 8 6" xfId="9782" xr:uid="{00000000-0005-0000-0000-00002E260000}"/>
    <cellStyle name="Calculation 3 2 8 7" xfId="9783" xr:uid="{00000000-0005-0000-0000-00002F260000}"/>
    <cellStyle name="Calculation 3 2 9" xfId="9784" xr:uid="{00000000-0005-0000-0000-000030260000}"/>
    <cellStyle name="Calculation 3 2 9 2" xfId="9785" xr:uid="{00000000-0005-0000-0000-000031260000}"/>
    <cellStyle name="Calculation 3 2 9 2 2" xfId="9786" xr:uid="{00000000-0005-0000-0000-000032260000}"/>
    <cellStyle name="Calculation 3 2 9 2 3" xfId="9787" xr:uid="{00000000-0005-0000-0000-000033260000}"/>
    <cellStyle name="Calculation 3 2 9 2 4" xfId="9788" xr:uid="{00000000-0005-0000-0000-000034260000}"/>
    <cellStyle name="Calculation 3 2 9 2 5" xfId="9789" xr:uid="{00000000-0005-0000-0000-000035260000}"/>
    <cellStyle name="Calculation 3 2 9 3" xfId="9790" xr:uid="{00000000-0005-0000-0000-000036260000}"/>
    <cellStyle name="Calculation 3 2 9 3 2" xfId="9791" xr:uid="{00000000-0005-0000-0000-000037260000}"/>
    <cellStyle name="Calculation 3 2 9 3 3" xfId="9792" xr:uid="{00000000-0005-0000-0000-000038260000}"/>
    <cellStyle name="Calculation 3 2 9 3 4" xfId="9793" xr:uid="{00000000-0005-0000-0000-000039260000}"/>
    <cellStyle name="Calculation 3 2 9 3 5" xfId="9794" xr:uid="{00000000-0005-0000-0000-00003A260000}"/>
    <cellStyle name="Calculation 3 2 9 4" xfId="9795" xr:uid="{00000000-0005-0000-0000-00003B260000}"/>
    <cellStyle name="Calculation 3 2 9 5" xfId="9796" xr:uid="{00000000-0005-0000-0000-00003C260000}"/>
    <cellStyle name="Calculation 3 2 9 6" xfId="9797" xr:uid="{00000000-0005-0000-0000-00003D260000}"/>
    <cellStyle name="Calculation 3 2 9 7" xfId="9798" xr:uid="{00000000-0005-0000-0000-00003E260000}"/>
    <cellStyle name="Calculation 3 2 9 8" xfId="9799" xr:uid="{00000000-0005-0000-0000-00003F260000}"/>
    <cellStyle name="Calculation 3 20" xfId="9800" xr:uid="{00000000-0005-0000-0000-000040260000}"/>
    <cellStyle name="Calculation 3 20 2" xfId="9801" xr:uid="{00000000-0005-0000-0000-000041260000}"/>
    <cellStyle name="Calculation 3 20 2 2" xfId="9802" xr:uid="{00000000-0005-0000-0000-000042260000}"/>
    <cellStyle name="Calculation 3 20 2 3" xfId="9803" xr:uid="{00000000-0005-0000-0000-000043260000}"/>
    <cellStyle name="Calculation 3 20 2 4" xfId="9804" xr:uid="{00000000-0005-0000-0000-000044260000}"/>
    <cellStyle name="Calculation 3 20 2 5" xfId="9805" xr:uid="{00000000-0005-0000-0000-000045260000}"/>
    <cellStyle name="Calculation 3 20 3" xfId="9806" xr:uid="{00000000-0005-0000-0000-000046260000}"/>
    <cellStyle name="Calculation 3 20 4" xfId="9807" xr:uid="{00000000-0005-0000-0000-000047260000}"/>
    <cellStyle name="Calculation 3 20 5" xfId="9808" xr:uid="{00000000-0005-0000-0000-000048260000}"/>
    <cellStyle name="Calculation 3 20 6" xfId="9809" xr:uid="{00000000-0005-0000-0000-000049260000}"/>
    <cellStyle name="Calculation 3 21" xfId="9810" xr:uid="{00000000-0005-0000-0000-00004A260000}"/>
    <cellStyle name="Calculation 3 21 2" xfId="9811" xr:uid="{00000000-0005-0000-0000-00004B260000}"/>
    <cellStyle name="Calculation 3 21 2 2" xfId="9812" xr:uid="{00000000-0005-0000-0000-00004C260000}"/>
    <cellStyle name="Calculation 3 21 2 3" xfId="9813" xr:uid="{00000000-0005-0000-0000-00004D260000}"/>
    <cellStyle name="Calculation 3 21 2 4" xfId="9814" xr:uid="{00000000-0005-0000-0000-00004E260000}"/>
    <cellStyle name="Calculation 3 21 2 5" xfId="9815" xr:uid="{00000000-0005-0000-0000-00004F260000}"/>
    <cellStyle name="Calculation 3 21 3" xfId="9816" xr:uid="{00000000-0005-0000-0000-000050260000}"/>
    <cellStyle name="Calculation 3 21 4" xfId="9817" xr:uid="{00000000-0005-0000-0000-000051260000}"/>
    <cellStyle name="Calculation 3 21 5" xfId="9818" xr:uid="{00000000-0005-0000-0000-000052260000}"/>
    <cellStyle name="Calculation 3 21 6" xfId="9819" xr:uid="{00000000-0005-0000-0000-000053260000}"/>
    <cellStyle name="Calculation 3 22" xfId="9820" xr:uid="{00000000-0005-0000-0000-000054260000}"/>
    <cellStyle name="Calculation 3 22 2" xfId="9821" xr:uid="{00000000-0005-0000-0000-000055260000}"/>
    <cellStyle name="Calculation 3 22 2 2" xfId="9822" xr:uid="{00000000-0005-0000-0000-000056260000}"/>
    <cellStyle name="Calculation 3 22 2 3" xfId="9823" xr:uid="{00000000-0005-0000-0000-000057260000}"/>
    <cellStyle name="Calculation 3 22 2 4" xfId="9824" xr:uid="{00000000-0005-0000-0000-000058260000}"/>
    <cellStyle name="Calculation 3 22 2 5" xfId="9825" xr:uid="{00000000-0005-0000-0000-000059260000}"/>
    <cellStyle name="Calculation 3 22 3" xfId="9826" xr:uid="{00000000-0005-0000-0000-00005A260000}"/>
    <cellStyle name="Calculation 3 22 4" xfId="9827" xr:uid="{00000000-0005-0000-0000-00005B260000}"/>
    <cellStyle name="Calculation 3 22 5" xfId="9828" xr:uid="{00000000-0005-0000-0000-00005C260000}"/>
    <cellStyle name="Calculation 3 22 6" xfId="9829" xr:uid="{00000000-0005-0000-0000-00005D260000}"/>
    <cellStyle name="Calculation 3 23" xfId="9830" xr:uid="{00000000-0005-0000-0000-00005E260000}"/>
    <cellStyle name="Calculation 3 23 2" xfId="9831" xr:uid="{00000000-0005-0000-0000-00005F260000}"/>
    <cellStyle name="Calculation 3 23 2 2" xfId="9832" xr:uid="{00000000-0005-0000-0000-000060260000}"/>
    <cellStyle name="Calculation 3 23 2 3" xfId="9833" xr:uid="{00000000-0005-0000-0000-000061260000}"/>
    <cellStyle name="Calculation 3 23 2 4" xfId="9834" xr:uid="{00000000-0005-0000-0000-000062260000}"/>
    <cellStyle name="Calculation 3 23 2 5" xfId="9835" xr:uid="{00000000-0005-0000-0000-000063260000}"/>
    <cellStyle name="Calculation 3 23 3" xfId="9836" xr:uid="{00000000-0005-0000-0000-000064260000}"/>
    <cellStyle name="Calculation 3 23 4" xfId="9837" xr:uid="{00000000-0005-0000-0000-000065260000}"/>
    <cellStyle name="Calculation 3 23 5" xfId="9838" xr:uid="{00000000-0005-0000-0000-000066260000}"/>
    <cellStyle name="Calculation 3 23 6" xfId="9839" xr:uid="{00000000-0005-0000-0000-000067260000}"/>
    <cellStyle name="Calculation 3 24" xfId="9840" xr:uid="{00000000-0005-0000-0000-000068260000}"/>
    <cellStyle name="Calculation 3 24 2" xfId="9841" xr:uid="{00000000-0005-0000-0000-000069260000}"/>
    <cellStyle name="Calculation 3 24 2 2" xfId="9842" xr:uid="{00000000-0005-0000-0000-00006A260000}"/>
    <cellStyle name="Calculation 3 24 2 3" xfId="9843" xr:uid="{00000000-0005-0000-0000-00006B260000}"/>
    <cellStyle name="Calculation 3 24 2 4" xfId="9844" xr:uid="{00000000-0005-0000-0000-00006C260000}"/>
    <cellStyle name="Calculation 3 24 2 5" xfId="9845" xr:uid="{00000000-0005-0000-0000-00006D260000}"/>
    <cellStyle name="Calculation 3 24 3" xfId="9846" xr:uid="{00000000-0005-0000-0000-00006E260000}"/>
    <cellStyle name="Calculation 3 24 4" xfId="9847" xr:uid="{00000000-0005-0000-0000-00006F260000}"/>
    <cellStyle name="Calculation 3 24 5" xfId="9848" xr:uid="{00000000-0005-0000-0000-000070260000}"/>
    <cellStyle name="Calculation 3 24 6" xfId="9849" xr:uid="{00000000-0005-0000-0000-000071260000}"/>
    <cellStyle name="Calculation 3 25" xfId="9850" xr:uid="{00000000-0005-0000-0000-000072260000}"/>
    <cellStyle name="Calculation 3 25 2" xfId="9851" xr:uid="{00000000-0005-0000-0000-000073260000}"/>
    <cellStyle name="Calculation 3 25 2 2" xfId="9852" xr:uid="{00000000-0005-0000-0000-000074260000}"/>
    <cellStyle name="Calculation 3 25 2 3" xfId="9853" xr:uid="{00000000-0005-0000-0000-000075260000}"/>
    <cellStyle name="Calculation 3 25 2 4" xfId="9854" xr:uid="{00000000-0005-0000-0000-000076260000}"/>
    <cellStyle name="Calculation 3 25 2 5" xfId="9855" xr:uid="{00000000-0005-0000-0000-000077260000}"/>
    <cellStyle name="Calculation 3 25 3" xfId="9856" xr:uid="{00000000-0005-0000-0000-000078260000}"/>
    <cellStyle name="Calculation 3 25 4" xfId="9857" xr:uid="{00000000-0005-0000-0000-000079260000}"/>
    <cellStyle name="Calculation 3 25 5" xfId="9858" xr:uid="{00000000-0005-0000-0000-00007A260000}"/>
    <cellStyle name="Calculation 3 25 6" xfId="9859" xr:uid="{00000000-0005-0000-0000-00007B260000}"/>
    <cellStyle name="Calculation 3 26" xfId="9860" xr:uid="{00000000-0005-0000-0000-00007C260000}"/>
    <cellStyle name="Calculation 3 26 2" xfId="9861" xr:uid="{00000000-0005-0000-0000-00007D260000}"/>
    <cellStyle name="Calculation 3 26 2 2" xfId="9862" xr:uid="{00000000-0005-0000-0000-00007E260000}"/>
    <cellStyle name="Calculation 3 26 2 3" xfId="9863" xr:uid="{00000000-0005-0000-0000-00007F260000}"/>
    <cellStyle name="Calculation 3 26 2 4" xfId="9864" xr:uid="{00000000-0005-0000-0000-000080260000}"/>
    <cellStyle name="Calculation 3 26 2 5" xfId="9865" xr:uid="{00000000-0005-0000-0000-000081260000}"/>
    <cellStyle name="Calculation 3 26 3" xfId="9866" xr:uid="{00000000-0005-0000-0000-000082260000}"/>
    <cellStyle name="Calculation 3 26 4" xfId="9867" xr:uid="{00000000-0005-0000-0000-000083260000}"/>
    <cellStyle name="Calculation 3 26 5" xfId="9868" xr:uid="{00000000-0005-0000-0000-000084260000}"/>
    <cellStyle name="Calculation 3 26 6" xfId="9869" xr:uid="{00000000-0005-0000-0000-000085260000}"/>
    <cellStyle name="Calculation 3 27" xfId="9870" xr:uid="{00000000-0005-0000-0000-000086260000}"/>
    <cellStyle name="Calculation 3 27 2" xfId="9871" xr:uid="{00000000-0005-0000-0000-000087260000}"/>
    <cellStyle name="Calculation 3 27 2 2" xfId="9872" xr:uid="{00000000-0005-0000-0000-000088260000}"/>
    <cellStyle name="Calculation 3 27 2 3" xfId="9873" xr:uid="{00000000-0005-0000-0000-000089260000}"/>
    <cellStyle name="Calculation 3 27 2 4" xfId="9874" xr:uid="{00000000-0005-0000-0000-00008A260000}"/>
    <cellStyle name="Calculation 3 27 2 5" xfId="9875" xr:uid="{00000000-0005-0000-0000-00008B260000}"/>
    <cellStyle name="Calculation 3 27 3" xfId="9876" xr:uid="{00000000-0005-0000-0000-00008C260000}"/>
    <cellStyle name="Calculation 3 27 4" xfId="9877" xr:uid="{00000000-0005-0000-0000-00008D260000}"/>
    <cellStyle name="Calculation 3 27 5" xfId="9878" xr:uid="{00000000-0005-0000-0000-00008E260000}"/>
    <cellStyle name="Calculation 3 27 6" xfId="9879" xr:uid="{00000000-0005-0000-0000-00008F260000}"/>
    <cellStyle name="Calculation 3 28" xfId="9880" xr:uid="{00000000-0005-0000-0000-000090260000}"/>
    <cellStyle name="Calculation 3 28 2" xfId="9881" xr:uid="{00000000-0005-0000-0000-000091260000}"/>
    <cellStyle name="Calculation 3 28 2 2" xfId="9882" xr:uid="{00000000-0005-0000-0000-000092260000}"/>
    <cellStyle name="Calculation 3 28 2 3" xfId="9883" xr:uid="{00000000-0005-0000-0000-000093260000}"/>
    <cellStyle name="Calculation 3 28 2 4" xfId="9884" xr:uid="{00000000-0005-0000-0000-000094260000}"/>
    <cellStyle name="Calculation 3 28 2 5" xfId="9885" xr:uid="{00000000-0005-0000-0000-000095260000}"/>
    <cellStyle name="Calculation 3 28 3" xfId="9886" xr:uid="{00000000-0005-0000-0000-000096260000}"/>
    <cellStyle name="Calculation 3 28 4" xfId="9887" xr:uid="{00000000-0005-0000-0000-000097260000}"/>
    <cellStyle name="Calculation 3 28 5" xfId="9888" xr:uid="{00000000-0005-0000-0000-000098260000}"/>
    <cellStyle name="Calculation 3 28 6" xfId="9889" xr:uid="{00000000-0005-0000-0000-000099260000}"/>
    <cellStyle name="Calculation 3 29" xfId="9890" xr:uid="{00000000-0005-0000-0000-00009A260000}"/>
    <cellStyle name="Calculation 3 29 2" xfId="9891" xr:uid="{00000000-0005-0000-0000-00009B260000}"/>
    <cellStyle name="Calculation 3 29 2 2" xfId="9892" xr:uid="{00000000-0005-0000-0000-00009C260000}"/>
    <cellStyle name="Calculation 3 29 2 3" xfId="9893" xr:uid="{00000000-0005-0000-0000-00009D260000}"/>
    <cellStyle name="Calculation 3 29 2 4" xfId="9894" xr:uid="{00000000-0005-0000-0000-00009E260000}"/>
    <cellStyle name="Calculation 3 29 2 5" xfId="9895" xr:uid="{00000000-0005-0000-0000-00009F260000}"/>
    <cellStyle name="Calculation 3 29 3" xfId="9896" xr:uid="{00000000-0005-0000-0000-0000A0260000}"/>
    <cellStyle name="Calculation 3 29 4" xfId="9897" xr:uid="{00000000-0005-0000-0000-0000A1260000}"/>
    <cellStyle name="Calculation 3 29 5" xfId="9898" xr:uid="{00000000-0005-0000-0000-0000A2260000}"/>
    <cellStyle name="Calculation 3 29 6" xfId="9899" xr:uid="{00000000-0005-0000-0000-0000A3260000}"/>
    <cellStyle name="Calculation 3 3" xfId="9900" xr:uid="{00000000-0005-0000-0000-0000A4260000}"/>
    <cellStyle name="Calculation 3 3 10" xfId="9901" xr:uid="{00000000-0005-0000-0000-0000A5260000}"/>
    <cellStyle name="Calculation 3 3 10 2" xfId="9902" xr:uid="{00000000-0005-0000-0000-0000A6260000}"/>
    <cellStyle name="Calculation 3 3 10 2 2" xfId="9903" xr:uid="{00000000-0005-0000-0000-0000A7260000}"/>
    <cellStyle name="Calculation 3 3 10 2 3" xfId="9904" xr:uid="{00000000-0005-0000-0000-0000A8260000}"/>
    <cellStyle name="Calculation 3 3 10 2 4" xfId="9905" xr:uid="{00000000-0005-0000-0000-0000A9260000}"/>
    <cellStyle name="Calculation 3 3 10 2 5" xfId="9906" xr:uid="{00000000-0005-0000-0000-0000AA260000}"/>
    <cellStyle name="Calculation 3 3 10 3" xfId="9907" xr:uid="{00000000-0005-0000-0000-0000AB260000}"/>
    <cellStyle name="Calculation 3 3 10 3 2" xfId="9908" xr:uid="{00000000-0005-0000-0000-0000AC260000}"/>
    <cellStyle name="Calculation 3 3 10 3 3" xfId="9909" xr:uid="{00000000-0005-0000-0000-0000AD260000}"/>
    <cellStyle name="Calculation 3 3 10 3 4" xfId="9910" xr:uid="{00000000-0005-0000-0000-0000AE260000}"/>
    <cellStyle name="Calculation 3 3 10 3 5" xfId="9911" xr:uid="{00000000-0005-0000-0000-0000AF260000}"/>
    <cellStyle name="Calculation 3 3 10 4" xfId="9912" xr:uid="{00000000-0005-0000-0000-0000B0260000}"/>
    <cellStyle name="Calculation 3 3 10 5" xfId="9913" xr:uid="{00000000-0005-0000-0000-0000B1260000}"/>
    <cellStyle name="Calculation 3 3 10 6" xfId="9914" xr:uid="{00000000-0005-0000-0000-0000B2260000}"/>
    <cellStyle name="Calculation 3 3 10 7" xfId="9915" xr:uid="{00000000-0005-0000-0000-0000B3260000}"/>
    <cellStyle name="Calculation 3 3 10 8" xfId="9916" xr:uid="{00000000-0005-0000-0000-0000B4260000}"/>
    <cellStyle name="Calculation 3 3 11" xfId="9917" xr:uid="{00000000-0005-0000-0000-0000B5260000}"/>
    <cellStyle name="Calculation 3 3 11 2" xfId="9918" xr:uid="{00000000-0005-0000-0000-0000B6260000}"/>
    <cellStyle name="Calculation 3 3 11 2 2" xfId="9919" xr:uid="{00000000-0005-0000-0000-0000B7260000}"/>
    <cellStyle name="Calculation 3 3 11 2 3" xfId="9920" xr:uid="{00000000-0005-0000-0000-0000B8260000}"/>
    <cellStyle name="Calculation 3 3 11 2 4" xfId="9921" xr:uid="{00000000-0005-0000-0000-0000B9260000}"/>
    <cellStyle name="Calculation 3 3 11 2 5" xfId="9922" xr:uid="{00000000-0005-0000-0000-0000BA260000}"/>
    <cellStyle name="Calculation 3 3 11 3" xfId="9923" xr:uid="{00000000-0005-0000-0000-0000BB260000}"/>
    <cellStyle name="Calculation 3 3 11 4" xfId="9924" xr:uid="{00000000-0005-0000-0000-0000BC260000}"/>
    <cellStyle name="Calculation 3 3 11 5" xfId="9925" xr:uid="{00000000-0005-0000-0000-0000BD260000}"/>
    <cellStyle name="Calculation 3 3 11 6" xfId="9926" xr:uid="{00000000-0005-0000-0000-0000BE260000}"/>
    <cellStyle name="Calculation 3 3 12" xfId="9927" xr:uid="{00000000-0005-0000-0000-0000BF260000}"/>
    <cellStyle name="Calculation 3 3 12 2" xfId="9928" xr:uid="{00000000-0005-0000-0000-0000C0260000}"/>
    <cellStyle name="Calculation 3 3 12 2 2" xfId="9929" xr:uid="{00000000-0005-0000-0000-0000C1260000}"/>
    <cellStyle name="Calculation 3 3 12 2 3" xfId="9930" xr:uid="{00000000-0005-0000-0000-0000C2260000}"/>
    <cellStyle name="Calculation 3 3 12 2 4" xfId="9931" xr:uid="{00000000-0005-0000-0000-0000C3260000}"/>
    <cellStyle name="Calculation 3 3 12 2 5" xfId="9932" xr:uid="{00000000-0005-0000-0000-0000C4260000}"/>
    <cellStyle name="Calculation 3 3 12 3" xfId="9933" xr:uid="{00000000-0005-0000-0000-0000C5260000}"/>
    <cellStyle name="Calculation 3 3 12 4" xfId="9934" xr:uid="{00000000-0005-0000-0000-0000C6260000}"/>
    <cellStyle name="Calculation 3 3 12 5" xfId="9935" xr:uid="{00000000-0005-0000-0000-0000C7260000}"/>
    <cellStyle name="Calculation 3 3 12 6" xfId="9936" xr:uid="{00000000-0005-0000-0000-0000C8260000}"/>
    <cellStyle name="Calculation 3 3 13" xfId="9937" xr:uid="{00000000-0005-0000-0000-0000C9260000}"/>
    <cellStyle name="Calculation 3 3 13 2" xfId="9938" xr:uid="{00000000-0005-0000-0000-0000CA260000}"/>
    <cellStyle name="Calculation 3 3 13 2 2" xfId="9939" xr:uid="{00000000-0005-0000-0000-0000CB260000}"/>
    <cellStyle name="Calculation 3 3 13 2 3" xfId="9940" xr:uid="{00000000-0005-0000-0000-0000CC260000}"/>
    <cellStyle name="Calculation 3 3 13 2 4" xfId="9941" xr:uid="{00000000-0005-0000-0000-0000CD260000}"/>
    <cellStyle name="Calculation 3 3 13 2 5" xfId="9942" xr:uid="{00000000-0005-0000-0000-0000CE260000}"/>
    <cellStyle name="Calculation 3 3 13 3" xfId="9943" xr:uid="{00000000-0005-0000-0000-0000CF260000}"/>
    <cellStyle name="Calculation 3 3 13 4" xfId="9944" xr:uid="{00000000-0005-0000-0000-0000D0260000}"/>
    <cellStyle name="Calculation 3 3 13 5" xfId="9945" xr:uid="{00000000-0005-0000-0000-0000D1260000}"/>
    <cellStyle name="Calculation 3 3 13 6" xfId="9946" xr:uid="{00000000-0005-0000-0000-0000D2260000}"/>
    <cellStyle name="Calculation 3 3 14" xfId="9947" xr:uid="{00000000-0005-0000-0000-0000D3260000}"/>
    <cellStyle name="Calculation 3 3 14 2" xfId="9948" xr:uid="{00000000-0005-0000-0000-0000D4260000}"/>
    <cellStyle name="Calculation 3 3 14 2 2" xfId="9949" xr:uid="{00000000-0005-0000-0000-0000D5260000}"/>
    <cellStyle name="Calculation 3 3 14 2 3" xfId="9950" xr:uid="{00000000-0005-0000-0000-0000D6260000}"/>
    <cellStyle name="Calculation 3 3 14 2 4" xfId="9951" xr:uid="{00000000-0005-0000-0000-0000D7260000}"/>
    <cellStyle name="Calculation 3 3 14 2 5" xfId="9952" xr:uid="{00000000-0005-0000-0000-0000D8260000}"/>
    <cellStyle name="Calculation 3 3 14 3" xfId="9953" xr:uid="{00000000-0005-0000-0000-0000D9260000}"/>
    <cellStyle name="Calculation 3 3 14 4" xfId="9954" xr:uid="{00000000-0005-0000-0000-0000DA260000}"/>
    <cellStyle name="Calculation 3 3 14 5" xfId="9955" xr:uid="{00000000-0005-0000-0000-0000DB260000}"/>
    <cellStyle name="Calculation 3 3 14 6" xfId="9956" xr:uid="{00000000-0005-0000-0000-0000DC260000}"/>
    <cellStyle name="Calculation 3 3 15" xfId="9957" xr:uid="{00000000-0005-0000-0000-0000DD260000}"/>
    <cellStyle name="Calculation 3 3 15 2" xfId="9958" xr:uid="{00000000-0005-0000-0000-0000DE260000}"/>
    <cellStyle name="Calculation 3 3 15 2 2" xfId="9959" xr:uid="{00000000-0005-0000-0000-0000DF260000}"/>
    <cellStyle name="Calculation 3 3 15 2 3" xfId="9960" xr:uid="{00000000-0005-0000-0000-0000E0260000}"/>
    <cellStyle name="Calculation 3 3 15 2 4" xfId="9961" xr:uid="{00000000-0005-0000-0000-0000E1260000}"/>
    <cellStyle name="Calculation 3 3 15 2 5" xfId="9962" xr:uid="{00000000-0005-0000-0000-0000E2260000}"/>
    <cellStyle name="Calculation 3 3 15 3" xfId="9963" xr:uid="{00000000-0005-0000-0000-0000E3260000}"/>
    <cellStyle name="Calculation 3 3 15 4" xfId="9964" xr:uid="{00000000-0005-0000-0000-0000E4260000}"/>
    <cellStyle name="Calculation 3 3 15 5" xfId="9965" xr:uid="{00000000-0005-0000-0000-0000E5260000}"/>
    <cellStyle name="Calculation 3 3 15 6" xfId="9966" xr:uid="{00000000-0005-0000-0000-0000E6260000}"/>
    <cellStyle name="Calculation 3 3 16" xfId="9967" xr:uid="{00000000-0005-0000-0000-0000E7260000}"/>
    <cellStyle name="Calculation 3 3 16 2" xfId="9968" xr:uid="{00000000-0005-0000-0000-0000E8260000}"/>
    <cellStyle name="Calculation 3 3 16 2 2" xfId="9969" xr:uid="{00000000-0005-0000-0000-0000E9260000}"/>
    <cellStyle name="Calculation 3 3 16 2 3" xfId="9970" xr:uid="{00000000-0005-0000-0000-0000EA260000}"/>
    <cellStyle name="Calculation 3 3 16 2 4" xfId="9971" xr:uid="{00000000-0005-0000-0000-0000EB260000}"/>
    <cellStyle name="Calculation 3 3 16 2 5" xfId="9972" xr:uid="{00000000-0005-0000-0000-0000EC260000}"/>
    <cellStyle name="Calculation 3 3 16 3" xfId="9973" xr:uid="{00000000-0005-0000-0000-0000ED260000}"/>
    <cellStyle name="Calculation 3 3 16 4" xfId="9974" xr:uid="{00000000-0005-0000-0000-0000EE260000}"/>
    <cellStyle name="Calculation 3 3 16 5" xfId="9975" xr:uid="{00000000-0005-0000-0000-0000EF260000}"/>
    <cellStyle name="Calculation 3 3 16 6" xfId="9976" xr:uid="{00000000-0005-0000-0000-0000F0260000}"/>
    <cellStyle name="Calculation 3 3 17" xfId="9977" xr:uid="{00000000-0005-0000-0000-0000F1260000}"/>
    <cellStyle name="Calculation 3 3 17 2" xfId="9978" xr:uid="{00000000-0005-0000-0000-0000F2260000}"/>
    <cellStyle name="Calculation 3 3 17 2 2" xfId="9979" xr:uid="{00000000-0005-0000-0000-0000F3260000}"/>
    <cellStyle name="Calculation 3 3 17 2 3" xfId="9980" xr:uid="{00000000-0005-0000-0000-0000F4260000}"/>
    <cellStyle name="Calculation 3 3 17 2 4" xfId="9981" xr:uid="{00000000-0005-0000-0000-0000F5260000}"/>
    <cellStyle name="Calculation 3 3 17 2 5" xfId="9982" xr:uid="{00000000-0005-0000-0000-0000F6260000}"/>
    <cellStyle name="Calculation 3 3 17 3" xfId="9983" xr:uid="{00000000-0005-0000-0000-0000F7260000}"/>
    <cellStyle name="Calculation 3 3 17 4" xfId="9984" xr:uid="{00000000-0005-0000-0000-0000F8260000}"/>
    <cellStyle name="Calculation 3 3 17 5" xfId="9985" xr:uid="{00000000-0005-0000-0000-0000F9260000}"/>
    <cellStyle name="Calculation 3 3 17 6" xfId="9986" xr:uid="{00000000-0005-0000-0000-0000FA260000}"/>
    <cellStyle name="Calculation 3 3 18" xfId="9987" xr:uid="{00000000-0005-0000-0000-0000FB260000}"/>
    <cellStyle name="Calculation 3 3 18 2" xfId="9988" xr:uid="{00000000-0005-0000-0000-0000FC260000}"/>
    <cellStyle name="Calculation 3 3 18 2 2" xfId="9989" xr:uid="{00000000-0005-0000-0000-0000FD260000}"/>
    <cellStyle name="Calculation 3 3 18 2 3" xfId="9990" xr:uid="{00000000-0005-0000-0000-0000FE260000}"/>
    <cellStyle name="Calculation 3 3 18 2 4" xfId="9991" xr:uid="{00000000-0005-0000-0000-0000FF260000}"/>
    <cellStyle name="Calculation 3 3 18 2 5" xfId="9992" xr:uid="{00000000-0005-0000-0000-000000270000}"/>
    <cellStyle name="Calculation 3 3 18 3" xfId="9993" xr:uid="{00000000-0005-0000-0000-000001270000}"/>
    <cellStyle name="Calculation 3 3 18 4" xfId="9994" xr:uid="{00000000-0005-0000-0000-000002270000}"/>
    <cellStyle name="Calculation 3 3 18 5" xfId="9995" xr:uid="{00000000-0005-0000-0000-000003270000}"/>
    <cellStyle name="Calculation 3 3 18 6" xfId="9996" xr:uid="{00000000-0005-0000-0000-000004270000}"/>
    <cellStyle name="Calculation 3 3 19" xfId="9997" xr:uid="{00000000-0005-0000-0000-000005270000}"/>
    <cellStyle name="Calculation 3 3 19 2" xfId="9998" xr:uid="{00000000-0005-0000-0000-000006270000}"/>
    <cellStyle name="Calculation 3 3 19 2 2" xfId="9999" xr:uid="{00000000-0005-0000-0000-000007270000}"/>
    <cellStyle name="Calculation 3 3 19 2 3" xfId="10000" xr:uid="{00000000-0005-0000-0000-000008270000}"/>
    <cellStyle name="Calculation 3 3 19 2 4" xfId="10001" xr:uid="{00000000-0005-0000-0000-000009270000}"/>
    <cellStyle name="Calculation 3 3 19 2 5" xfId="10002" xr:uid="{00000000-0005-0000-0000-00000A270000}"/>
    <cellStyle name="Calculation 3 3 19 3" xfId="10003" xr:uid="{00000000-0005-0000-0000-00000B270000}"/>
    <cellStyle name="Calculation 3 3 19 4" xfId="10004" xr:uid="{00000000-0005-0000-0000-00000C270000}"/>
    <cellStyle name="Calculation 3 3 19 5" xfId="10005" xr:uid="{00000000-0005-0000-0000-00000D270000}"/>
    <cellStyle name="Calculation 3 3 19 6" xfId="10006" xr:uid="{00000000-0005-0000-0000-00000E270000}"/>
    <cellStyle name="Calculation 3 3 2" xfId="10007" xr:uid="{00000000-0005-0000-0000-00000F270000}"/>
    <cellStyle name="Calculation 3 3 2 10" xfId="10008" xr:uid="{00000000-0005-0000-0000-000010270000}"/>
    <cellStyle name="Calculation 3 3 2 10 2" xfId="10009" xr:uid="{00000000-0005-0000-0000-000011270000}"/>
    <cellStyle name="Calculation 3 3 2 10 3" xfId="10010" xr:uid="{00000000-0005-0000-0000-000012270000}"/>
    <cellStyle name="Calculation 3 3 2 10 4" xfId="10011" xr:uid="{00000000-0005-0000-0000-000013270000}"/>
    <cellStyle name="Calculation 3 3 2 10 5" xfId="10012" xr:uid="{00000000-0005-0000-0000-000014270000}"/>
    <cellStyle name="Calculation 3 3 2 11" xfId="10013" xr:uid="{00000000-0005-0000-0000-000015270000}"/>
    <cellStyle name="Calculation 3 3 2 12" xfId="10014" xr:uid="{00000000-0005-0000-0000-000016270000}"/>
    <cellStyle name="Calculation 3 3 2 13" xfId="10015" xr:uid="{00000000-0005-0000-0000-000017270000}"/>
    <cellStyle name="Calculation 3 3 2 14" xfId="10016" xr:uid="{00000000-0005-0000-0000-000018270000}"/>
    <cellStyle name="Calculation 3 3 2 2" xfId="10017" xr:uid="{00000000-0005-0000-0000-000019270000}"/>
    <cellStyle name="Calculation 3 3 2 2 2" xfId="10018" xr:uid="{00000000-0005-0000-0000-00001A270000}"/>
    <cellStyle name="Calculation 3 3 2 2 2 2" xfId="10019" xr:uid="{00000000-0005-0000-0000-00001B270000}"/>
    <cellStyle name="Calculation 3 3 2 2 2 2 2" xfId="10020" xr:uid="{00000000-0005-0000-0000-00001C270000}"/>
    <cellStyle name="Calculation 3 3 2 2 2 2 3" xfId="10021" xr:uid="{00000000-0005-0000-0000-00001D270000}"/>
    <cellStyle name="Calculation 3 3 2 2 2 2 4" xfId="10022" xr:uid="{00000000-0005-0000-0000-00001E270000}"/>
    <cellStyle name="Calculation 3 3 2 2 2 2 5" xfId="10023" xr:uid="{00000000-0005-0000-0000-00001F270000}"/>
    <cellStyle name="Calculation 3 3 2 2 2 2 6" xfId="10024" xr:uid="{00000000-0005-0000-0000-000020270000}"/>
    <cellStyle name="Calculation 3 3 2 2 2 3" xfId="10025" xr:uid="{00000000-0005-0000-0000-000021270000}"/>
    <cellStyle name="Calculation 3 3 2 2 2 4" xfId="10026" xr:uid="{00000000-0005-0000-0000-000022270000}"/>
    <cellStyle name="Calculation 3 3 2 2 2 5" xfId="10027" xr:uid="{00000000-0005-0000-0000-000023270000}"/>
    <cellStyle name="Calculation 3 3 2 2 2 6" xfId="10028" xr:uid="{00000000-0005-0000-0000-000024270000}"/>
    <cellStyle name="Calculation 3 3 2 2 3" xfId="10029" xr:uid="{00000000-0005-0000-0000-000025270000}"/>
    <cellStyle name="Calculation 3 3 2 2 3 2" xfId="10030" xr:uid="{00000000-0005-0000-0000-000026270000}"/>
    <cellStyle name="Calculation 3 3 2 2 3 2 2" xfId="10031" xr:uid="{00000000-0005-0000-0000-000027270000}"/>
    <cellStyle name="Calculation 3 3 2 2 3 2 3" xfId="10032" xr:uid="{00000000-0005-0000-0000-000028270000}"/>
    <cellStyle name="Calculation 3 3 2 2 3 2 4" xfId="10033" xr:uid="{00000000-0005-0000-0000-000029270000}"/>
    <cellStyle name="Calculation 3 3 2 2 3 2 5" xfId="10034" xr:uid="{00000000-0005-0000-0000-00002A270000}"/>
    <cellStyle name="Calculation 3 3 2 2 3 2 6" xfId="10035" xr:uid="{00000000-0005-0000-0000-00002B270000}"/>
    <cellStyle name="Calculation 3 3 2 2 3 3" xfId="10036" xr:uid="{00000000-0005-0000-0000-00002C270000}"/>
    <cellStyle name="Calculation 3 3 2 2 3 4" xfId="10037" xr:uid="{00000000-0005-0000-0000-00002D270000}"/>
    <cellStyle name="Calculation 3 3 2 2 3 5" xfId="10038" xr:uid="{00000000-0005-0000-0000-00002E270000}"/>
    <cellStyle name="Calculation 3 3 2 2 3 6" xfId="10039" xr:uid="{00000000-0005-0000-0000-00002F270000}"/>
    <cellStyle name="Calculation 3 3 2 2 4" xfId="10040" xr:uid="{00000000-0005-0000-0000-000030270000}"/>
    <cellStyle name="Calculation 3 3 2 2 4 2" xfId="10041" xr:uid="{00000000-0005-0000-0000-000031270000}"/>
    <cellStyle name="Calculation 3 3 2 2 4 3" xfId="10042" xr:uid="{00000000-0005-0000-0000-000032270000}"/>
    <cellStyle name="Calculation 3 3 2 2 4 4" xfId="10043" xr:uid="{00000000-0005-0000-0000-000033270000}"/>
    <cellStyle name="Calculation 3 3 2 2 4 5" xfId="10044" xr:uid="{00000000-0005-0000-0000-000034270000}"/>
    <cellStyle name="Calculation 3 3 2 2 4 6" xfId="10045" xr:uid="{00000000-0005-0000-0000-000035270000}"/>
    <cellStyle name="Calculation 3 3 2 2 5" xfId="10046" xr:uid="{00000000-0005-0000-0000-000036270000}"/>
    <cellStyle name="Calculation 3 3 2 2 5 2" xfId="10047" xr:uid="{00000000-0005-0000-0000-000037270000}"/>
    <cellStyle name="Calculation 3 3 2 2 5 3" xfId="10048" xr:uid="{00000000-0005-0000-0000-000038270000}"/>
    <cellStyle name="Calculation 3 3 2 2 5 4" xfId="10049" xr:uid="{00000000-0005-0000-0000-000039270000}"/>
    <cellStyle name="Calculation 3 3 2 2 5 5" xfId="10050" xr:uid="{00000000-0005-0000-0000-00003A270000}"/>
    <cellStyle name="Calculation 3 3 2 2 6" xfId="10051" xr:uid="{00000000-0005-0000-0000-00003B270000}"/>
    <cellStyle name="Calculation 3 3 2 2 7" xfId="10052" xr:uid="{00000000-0005-0000-0000-00003C270000}"/>
    <cellStyle name="Calculation 3 3 2 2 8" xfId="10053" xr:uid="{00000000-0005-0000-0000-00003D270000}"/>
    <cellStyle name="Calculation 3 3 2 2 9" xfId="10054" xr:uid="{00000000-0005-0000-0000-00003E270000}"/>
    <cellStyle name="Calculation 3 3 2 3" xfId="10055" xr:uid="{00000000-0005-0000-0000-00003F270000}"/>
    <cellStyle name="Calculation 3 3 2 3 2" xfId="10056" xr:uid="{00000000-0005-0000-0000-000040270000}"/>
    <cellStyle name="Calculation 3 3 2 3 2 2" xfId="10057" xr:uid="{00000000-0005-0000-0000-000041270000}"/>
    <cellStyle name="Calculation 3 3 2 3 2 2 2" xfId="10058" xr:uid="{00000000-0005-0000-0000-000042270000}"/>
    <cellStyle name="Calculation 3 3 2 3 2 2 3" xfId="10059" xr:uid="{00000000-0005-0000-0000-000043270000}"/>
    <cellStyle name="Calculation 3 3 2 3 2 2 4" xfId="10060" xr:uid="{00000000-0005-0000-0000-000044270000}"/>
    <cellStyle name="Calculation 3 3 2 3 2 2 5" xfId="10061" xr:uid="{00000000-0005-0000-0000-000045270000}"/>
    <cellStyle name="Calculation 3 3 2 3 2 2 6" xfId="10062" xr:uid="{00000000-0005-0000-0000-000046270000}"/>
    <cellStyle name="Calculation 3 3 2 3 2 3" xfId="10063" xr:uid="{00000000-0005-0000-0000-000047270000}"/>
    <cellStyle name="Calculation 3 3 2 3 2 4" xfId="10064" xr:uid="{00000000-0005-0000-0000-000048270000}"/>
    <cellStyle name="Calculation 3 3 2 3 2 5" xfId="10065" xr:uid="{00000000-0005-0000-0000-000049270000}"/>
    <cellStyle name="Calculation 3 3 2 3 2 6" xfId="10066" xr:uid="{00000000-0005-0000-0000-00004A270000}"/>
    <cellStyle name="Calculation 3 3 2 3 3" xfId="10067" xr:uid="{00000000-0005-0000-0000-00004B270000}"/>
    <cellStyle name="Calculation 3 3 2 3 3 2" xfId="10068" xr:uid="{00000000-0005-0000-0000-00004C270000}"/>
    <cellStyle name="Calculation 3 3 2 3 3 2 2" xfId="10069" xr:uid="{00000000-0005-0000-0000-00004D270000}"/>
    <cellStyle name="Calculation 3 3 2 3 3 2 3" xfId="10070" xr:uid="{00000000-0005-0000-0000-00004E270000}"/>
    <cellStyle name="Calculation 3 3 2 3 3 2 4" xfId="10071" xr:uid="{00000000-0005-0000-0000-00004F270000}"/>
    <cellStyle name="Calculation 3 3 2 3 3 2 5" xfId="10072" xr:uid="{00000000-0005-0000-0000-000050270000}"/>
    <cellStyle name="Calculation 3 3 2 3 3 2 6" xfId="10073" xr:uid="{00000000-0005-0000-0000-000051270000}"/>
    <cellStyle name="Calculation 3 3 2 3 3 3" xfId="10074" xr:uid="{00000000-0005-0000-0000-000052270000}"/>
    <cellStyle name="Calculation 3 3 2 3 3 4" xfId="10075" xr:uid="{00000000-0005-0000-0000-000053270000}"/>
    <cellStyle name="Calculation 3 3 2 3 3 5" xfId="10076" xr:uid="{00000000-0005-0000-0000-000054270000}"/>
    <cellStyle name="Calculation 3 3 2 3 3 6" xfId="10077" xr:uid="{00000000-0005-0000-0000-000055270000}"/>
    <cellStyle name="Calculation 3 3 2 3 4" xfId="10078" xr:uid="{00000000-0005-0000-0000-000056270000}"/>
    <cellStyle name="Calculation 3 3 2 3 4 2" xfId="10079" xr:uid="{00000000-0005-0000-0000-000057270000}"/>
    <cellStyle name="Calculation 3 3 2 3 4 3" xfId="10080" xr:uid="{00000000-0005-0000-0000-000058270000}"/>
    <cellStyle name="Calculation 3 3 2 3 4 4" xfId="10081" xr:uid="{00000000-0005-0000-0000-000059270000}"/>
    <cellStyle name="Calculation 3 3 2 3 4 5" xfId="10082" xr:uid="{00000000-0005-0000-0000-00005A270000}"/>
    <cellStyle name="Calculation 3 3 2 3 4 6" xfId="10083" xr:uid="{00000000-0005-0000-0000-00005B270000}"/>
    <cellStyle name="Calculation 3 3 2 3 5" xfId="10084" xr:uid="{00000000-0005-0000-0000-00005C270000}"/>
    <cellStyle name="Calculation 3 3 2 3 6" xfId="10085" xr:uid="{00000000-0005-0000-0000-00005D270000}"/>
    <cellStyle name="Calculation 3 3 2 3 7" xfId="10086" xr:uid="{00000000-0005-0000-0000-00005E270000}"/>
    <cellStyle name="Calculation 3 3 2 3 8" xfId="10087" xr:uid="{00000000-0005-0000-0000-00005F270000}"/>
    <cellStyle name="Calculation 3 3 2 4" xfId="10088" xr:uid="{00000000-0005-0000-0000-000060270000}"/>
    <cellStyle name="Calculation 3 3 2 4 2" xfId="10089" xr:uid="{00000000-0005-0000-0000-000061270000}"/>
    <cellStyle name="Calculation 3 3 2 4 2 2" xfId="10090" xr:uid="{00000000-0005-0000-0000-000062270000}"/>
    <cellStyle name="Calculation 3 3 2 4 2 2 2" xfId="10091" xr:uid="{00000000-0005-0000-0000-000063270000}"/>
    <cellStyle name="Calculation 3 3 2 4 2 2 3" xfId="10092" xr:uid="{00000000-0005-0000-0000-000064270000}"/>
    <cellStyle name="Calculation 3 3 2 4 2 2 4" xfId="10093" xr:uid="{00000000-0005-0000-0000-000065270000}"/>
    <cellStyle name="Calculation 3 3 2 4 2 2 5" xfId="10094" xr:uid="{00000000-0005-0000-0000-000066270000}"/>
    <cellStyle name="Calculation 3 3 2 4 2 2 6" xfId="10095" xr:uid="{00000000-0005-0000-0000-000067270000}"/>
    <cellStyle name="Calculation 3 3 2 4 2 3" xfId="10096" xr:uid="{00000000-0005-0000-0000-000068270000}"/>
    <cellStyle name="Calculation 3 3 2 4 2 4" xfId="10097" xr:uid="{00000000-0005-0000-0000-000069270000}"/>
    <cellStyle name="Calculation 3 3 2 4 2 5" xfId="10098" xr:uid="{00000000-0005-0000-0000-00006A270000}"/>
    <cellStyle name="Calculation 3 3 2 4 2 6" xfId="10099" xr:uid="{00000000-0005-0000-0000-00006B270000}"/>
    <cellStyle name="Calculation 3 3 2 4 3" xfId="10100" xr:uid="{00000000-0005-0000-0000-00006C270000}"/>
    <cellStyle name="Calculation 3 3 2 4 3 2" xfId="10101" xr:uid="{00000000-0005-0000-0000-00006D270000}"/>
    <cellStyle name="Calculation 3 3 2 4 3 2 2" xfId="10102" xr:uid="{00000000-0005-0000-0000-00006E270000}"/>
    <cellStyle name="Calculation 3 3 2 4 3 2 3" xfId="10103" xr:uid="{00000000-0005-0000-0000-00006F270000}"/>
    <cellStyle name="Calculation 3 3 2 4 3 2 4" xfId="10104" xr:uid="{00000000-0005-0000-0000-000070270000}"/>
    <cellStyle name="Calculation 3 3 2 4 3 2 5" xfId="10105" xr:uid="{00000000-0005-0000-0000-000071270000}"/>
    <cellStyle name="Calculation 3 3 2 4 3 2 6" xfId="10106" xr:uid="{00000000-0005-0000-0000-000072270000}"/>
    <cellStyle name="Calculation 3 3 2 4 3 3" xfId="10107" xr:uid="{00000000-0005-0000-0000-000073270000}"/>
    <cellStyle name="Calculation 3 3 2 4 3 4" xfId="10108" xr:uid="{00000000-0005-0000-0000-000074270000}"/>
    <cellStyle name="Calculation 3 3 2 4 3 5" xfId="10109" xr:uid="{00000000-0005-0000-0000-000075270000}"/>
    <cellStyle name="Calculation 3 3 2 4 3 6" xfId="10110" xr:uid="{00000000-0005-0000-0000-000076270000}"/>
    <cellStyle name="Calculation 3 3 2 4 4" xfId="10111" xr:uid="{00000000-0005-0000-0000-000077270000}"/>
    <cellStyle name="Calculation 3 3 2 4 4 2" xfId="10112" xr:uid="{00000000-0005-0000-0000-000078270000}"/>
    <cellStyle name="Calculation 3 3 2 4 4 3" xfId="10113" xr:uid="{00000000-0005-0000-0000-000079270000}"/>
    <cellStyle name="Calculation 3 3 2 4 4 4" xfId="10114" xr:uid="{00000000-0005-0000-0000-00007A270000}"/>
    <cellStyle name="Calculation 3 3 2 4 4 5" xfId="10115" xr:uid="{00000000-0005-0000-0000-00007B270000}"/>
    <cellStyle name="Calculation 3 3 2 4 4 6" xfId="10116" xr:uid="{00000000-0005-0000-0000-00007C270000}"/>
    <cellStyle name="Calculation 3 3 2 4 5" xfId="10117" xr:uid="{00000000-0005-0000-0000-00007D270000}"/>
    <cellStyle name="Calculation 3 3 2 4 6" xfId="10118" xr:uid="{00000000-0005-0000-0000-00007E270000}"/>
    <cellStyle name="Calculation 3 3 2 4 7" xfId="10119" xr:uid="{00000000-0005-0000-0000-00007F270000}"/>
    <cellStyle name="Calculation 3 3 2 4 8" xfId="10120" xr:uid="{00000000-0005-0000-0000-000080270000}"/>
    <cellStyle name="Calculation 3 3 2 5" xfId="10121" xr:uid="{00000000-0005-0000-0000-000081270000}"/>
    <cellStyle name="Calculation 3 3 2 5 2" xfId="10122" xr:uid="{00000000-0005-0000-0000-000082270000}"/>
    <cellStyle name="Calculation 3 3 2 5 2 2" xfId="10123" xr:uid="{00000000-0005-0000-0000-000083270000}"/>
    <cellStyle name="Calculation 3 3 2 5 2 2 2" xfId="10124" xr:uid="{00000000-0005-0000-0000-000084270000}"/>
    <cellStyle name="Calculation 3 3 2 5 2 2 3" xfId="10125" xr:uid="{00000000-0005-0000-0000-000085270000}"/>
    <cellStyle name="Calculation 3 3 2 5 2 2 4" xfId="10126" xr:uid="{00000000-0005-0000-0000-000086270000}"/>
    <cellStyle name="Calculation 3 3 2 5 2 2 5" xfId="10127" xr:uid="{00000000-0005-0000-0000-000087270000}"/>
    <cellStyle name="Calculation 3 3 2 5 2 2 6" xfId="10128" xr:uid="{00000000-0005-0000-0000-000088270000}"/>
    <cellStyle name="Calculation 3 3 2 5 2 3" xfId="10129" xr:uid="{00000000-0005-0000-0000-000089270000}"/>
    <cellStyle name="Calculation 3 3 2 5 2 4" xfId="10130" xr:uid="{00000000-0005-0000-0000-00008A270000}"/>
    <cellStyle name="Calculation 3 3 2 5 2 5" xfId="10131" xr:uid="{00000000-0005-0000-0000-00008B270000}"/>
    <cellStyle name="Calculation 3 3 2 5 2 6" xfId="10132" xr:uid="{00000000-0005-0000-0000-00008C270000}"/>
    <cellStyle name="Calculation 3 3 2 5 3" xfId="10133" xr:uid="{00000000-0005-0000-0000-00008D270000}"/>
    <cellStyle name="Calculation 3 3 2 5 3 2" xfId="10134" xr:uid="{00000000-0005-0000-0000-00008E270000}"/>
    <cellStyle name="Calculation 3 3 2 5 3 2 2" xfId="10135" xr:uid="{00000000-0005-0000-0000-00008F270000}"/>
    <cellStyle name="Calculation 3 3 2 5 3 2 3" xfId="10136" xr:uid="{00000000-0005-0000-0000-000090270000}"/>
    <cellStyle name="Calculation 3 3 2 5 3 2 4" xfId="10137" xr:uid="{00000000-0005-0000-0000-000091270000}"/>
    <cellStyle name="Calculation 3 3 2 5 3 2 5" xfId="10138" xr:uid="{00000000-0005-0000-0000-000092270000}"/>
    <cellStyle name="Calculation 3 3 2 5 3 2 6" xfId="10139" xr:uid="{00000000-0005-0000-0000-000093270000}"/>
    <cellStyle name="Calculation 3 3 2 5 3 3" xfId="10140" xr:uid="{00000000-0005-0000-0000-000094270000}"/>
    <cellStyle name="Calculation 3 3 2 5 3 4" xfId="10141" xr:uid="{00000000-0005-0000-0000-000095270000}"/>
    <cellStyle name="Calculation 3 3 2 5 3 5" xfId="10142" xr:uid="{00000000-0005-0000-0000-000096270000}"/>
    <cellStyle name="Calculation 3 3 2 5 3 6" xfId="10143" xr:uid="{00000000-0005-0000-0000-000097270000}"/>
    <cellStyle name="Calculation 3 3 2 5 4" xfId="10144" xr:uid="{00000000-0005-0000-0000-000098270000}"/>
    <cellStyle name="Calculation 3 3 2 5 4 2" xfId="10145" xr:uid="{00000000-0005-0000-0000-000099270000}"/>
    <cellStyle name="Calculation 3 3 2 5 4 3" xfId="10146" xr:uid="{00000000-0005-0000-0000-00009A270000}"/>
    <cellStyle name="Calculation 3 3 2 5 4 4" xfId="10147" xr:uid="{00000000-0005-0000-0000-00009B270000}"/>
    <cellStyle name="Calculation 3 3 2 5 4 5" xfId="10148" xr:uid="{00000000-0005-0000-0000-00009C270000}"/>
    <cellStyle name="Calculation 3 3 2 5 4 6" xfId="10149" xr:uid="{00000000-0005-0000-0000-00009D270000}"/>
    <cellStyle name="Calculation 3 3 2 5 5" xfId="10150" xr:uid="{00000000-0005-0000-0000-00009E270000}"/>
    <cellStyle name="Calculation 3 3 2 5 6" xfId="10151" xr:uid="{00000000-0005-0000-0000-00009F270000}"/>
    <cellStyle name="Calculation 3 3 2 5 7" xfId="10152" xr:uid="{00000000-0005-0000-0000-0000A0270000}"/>
    <cellStyle name="Calculation 3 3 2 5 8" xfId="10153" xr:uid="{00000000-0005-0000-0000-0000A1270000}"/>
    <cellStyle name="Calculation 3 3 2 6" xfId="10154" xr:uid="{00000000-0005-0000-0000-0000A2270000}"/>
    <cellStyle name="Calculation 3 3 2 6 2" xfId="10155" xr:uid="{00000000-0005-0000-0000-0000A3270000}"/>
    <cellStyle name="Calculation 3 3 2 6 2 2" xfId="10156" xr:uid="{00000000-0005-0000-0000-0000A4270000}"/>
    <cellStyle name="Calculation 3 3 2 6 2 2 2" xfId="10157" xr:uid="{00000000-0005-0000-0000-0000A5270000}"/>
    <cellStyle name="Calculation 3 3 2 6 2 2 3" xfId="10158" xr:uid="{00000000-0005-0000-0000-0000A6270000}"/>
    <cellStyle name="Calculation 3 3 2 6 2 2 4" xfId="10159" xr:uid="{00000000-0005-0000-0000-0000A7270000}"/>
    <cellStyle name="Calculation 3 3 2 6 2 2 5" xfId="10160" xr:uid="{00000000-0005-0000-0000-0000A8270000}"/>
    <cellStyle name="Calculation 3 3 2 6 2 2 6" xfId="10161" xr:uid="{00000000-0005-0000-0000-0000A9270000}"/>
    <cellStyle name="Calculation 3 3 2 6 2 3" xfId="10162" xr:uid="{00000000-0005-0000-0000-0000AA270000}"/>
    <cellStyle name="Calculation 3 3 2 6 2 4" xfId="10163" xr:uid="{00000000-0005-0000-0000-0000AB270000}"/>
    <cellStyle name="Calculation 3 3 2 6 2 5" xfId="10164" xr:uid="{00000000-0005-0000-0000-0000AC270000}"/>
    <cellStyle name="Calculation 3 3 2 6 2 6" xfId="10165" xr:uid="{00000000-0005-0000-0000-0000AD270000}"/>
    <cellStyle name="Calculation 3 3 2 6 3" xfId="10166" xr:uid="{00000000-0005-0000-0000-0000AE270000}"/>
    <cellStyle name="Calculation 3 3 2 6 3 2" xfId="10167" xr:uid="{00000000-0005-0000-0000-0000AF270000}"/>
    <cellStyle name="Calculation 3 3 2 6 3 2 2" xfId="10168" xr:uid="{00000000-0005-0000-0000-0000B0270000}"/>
    <cellStyle name="Calculation 3 3 2 6 3 2 3" xfId="10169" xr:uid="{00000000-0005-0000-0000-0000B1270000}"/>
    <cellStyle name="Calculation 3 3 2 6 3 2 4" xfId="10170" xr:uid="{00000000-0005-0000-0000-0000B2270000}"/>
    <cellStyle name="Calculation 3 3 2 6 3 2 5" xfId="10171" xr:uid="{00000000-0005-0000-0000-0000B3270000}"/>
    <cellStyle name="Calculation 3 3 2 6 3 2 6" xfId="10172" xr:uid="{00000000-0005-0000-0000-0000B4270000}"/>
    <cellStyle name="Calculation 3 3 2 6 3 3" xfId="10173" xr:uid="{00000000-0005-0000-0000-0000B5270000}"/>
    <cellStyle name="Calculation 3 3 2 6 3 4" xfId="10174" xr:uid="{00000000-0005-0000-0000-0000B6270000}"/>
    <cellStyle name="Calculation 3 3 2 6 3 5" xfId="10175" xr:uid="{00000000-0005-0000-0000-0000B7270000}"/>
    <cellStyle name="Calculation 3 3 2 6 3 6" xfId="10176" xr:uid="{00000000-0005-0000-0000-0000B8270000}"/>
    <cellStyle name="Calculation 3 3 2 6 4" xfId="10177" xr:uid="{00000000-0005-0000-0000-0000B9270000}"/>
    <cellStyle name="Calculation 3 3 2 6 4 2" xfId="10178" xr:uid="{00000000-0005-0000-0000-0000BA270000}"/>
    <cellStyle name="Calculation 3 3 2 6 4 3" xfId="10179" xr:uid="{00000000-0005-0000-0000-0000BB270000}"/>
    <cellStyle name="Calculation 3 3 2 6 4 4" xfId="10180" xr:uid="{00000000-0005-0000-0000-0000BC270000}"/>
    <cellStyle name="Calculation 3 3 2 6 4 5" xfId="10181" xr:uid="{00000000-0005-0000-0000-0000BD270000}"/>
    <cellStyle name="Calculation 3 3 2 6 4 6" xfId="10182" xr:uid="{00000000-0005-0000-0000-0000BE270000}"/>
    <cellStyle name="Calculation 3 3 2 6 5" xfId="10183" xr:uid="{00000000-0005-0000-0000-0000BF270000}"/>
    <cellStyle name="Calculation 3 3 2 6 6" xfId="10184" xr:uid="{00000000-0005-0000-0000-0000C0270000}"/>
    <cellStyle name="Calculation 3 3 2 6 7" xfId="10185" xr:uid="{00000000-0005-0000-0000-0000C1270000}"/>
    <cellStyle name="Calculation 3 3 2 6 8" xfId="10186" xr:uid="{00000000-0005-0000-0000-0000C2270000}"/>
    <cellStyle name="Calculation 3 3 2 7" xfId="10187" xr:uid="{00000000-0005-0000-0000-0000C3270000}"/>
    <cellStyle name="Calculation 3 3 2 7 2" xfId="10188" xr:uid="{00000000-0005-0000-0000-0000C4270000}"/>
    <cellStyle name="Calculation 3 3 2 7 2 2" xfId="10189" xr:uid="{00000000-0005-0000-0000-0000C5270000}"/>
    <cellStyle name="Calculation 3 3 2 7 2 3" xfId="10190" xr:uid="{00000000-0005-0000-0000-0000C6270000}"/>
    <cellStyle name="Calculation 3 3 2 7 2 4" xfId="10191" xr:uid="{00000000-0005-0000-0000-0000C7270000}"/>
    <cellStyle name="Calculation 3 3 2 7 2 5" xfId="10192" xr:uid="{00000000-0005-0000-0000-0000C8270000}"/>
    <cellStyle name="Calculation 3 3 2 7 2 6" xfId="10193" xr:uid="{00000000-0005-0000-0000-0000C9270000}"/>
    <cellStyle name="Calculation 3 3 2 7 3" xfId="10194" xr:uid="{00000000-0005-0000-0000-0000CA270000}"/>
    <cellStyle name="Calculation 3 3 2 7 4" xfId="10195" xr:uid="{00000000-0005-0000-0000-0000CB270000}"/>
    <cellStyle name="Calculation 3 3 2 7 5" xfId="10196" xr:uid="{00000000-0005-0000-0000-0000CC270000}"/>
    <cellStyle name="Calculation 3 3 2 7 6" xfId="10197" xr:uid="{00000000-0005-0000-0000-0000CD270000}"/>
    <cellStyle name="Calculation 3 3 2 8" xfId="10198" xr:uid="{00000000-0005-0000-0000-0000CE270000}"/>
    <cellStyle name="Calculation 3 3 2 8 2" xfId="10199" xr:uid="{00000000-0005-0000-0000-0000CF270000}"/>
    <cellStyle name="Calculation 3 3 2 8 2 2" xfId="10200" xr:uid="{00000000-0005-0000-0000-0000D0270000}"/>
    <cellStyle name="Calculation 3 3 2 8 2 3" xfId="10201" xr:uid="{00000000-0005-0000-0000-0000D1270000}"/>
    <cellStyle name="Calculation 3 3 2 8 2 4" xfId="10202" xr:uid="{00000000-0005-0000-0000-0000D2270000}"/>
    <cellStyle name="Calculation 3 3 2 8 2 5" xfId="10203" xr:uid="{00000000-0005-0000-0000-0000D3270000}"/>
    <cellStyle name="Calculation 3 3 2 8 2 6" xfId="10204" xr:uid="{00000000-0005-0000-0000-0000D4270000}"/>
    <cellStyle name="Calculation 3 3 2 8 3" xfId="10205" xr:uid="{00000000-0005-0000-0000-0000D5270000}"/>
    <cellStyle name="Calculation 3 3 2 8 4" xfId="10206" xr:uid="{00000000-0005-0000-0000-0000D6270000}"/>
    <cellStyle name="Calculation 3 3 2 8 5" xfId="10207" xr:uid="{00000000-0005-0000-0000-0000D7270000}"/>
    <cellStyle name="Calculation 3 3 2 8 6" xfId="10208" xr:uid="{00000000-0005-0000-0000-0000D8270000}"/>
    <cellStyle name="Calculation 3 3 2 9" xfId="10209" xr:uid="{00000000-0005-0000-0000-0000D9270000}"/>
    <cellStyle name="Calculation 3 3 2 9 2" xfId="10210" xr:uid="{00000000-0005-0000-0000-0000DA270000}"/>
    <cellStyle name="Calculation 3 3 2 9 3" xfId="10211" xr:uid="{00000000-0005-0000-0000-0000DB270000}"/>
    <cellStyle name="Calculation 3 3 2 9 4" xfId="10212" xr:uid="{00000000-0005-0000-0000-0000DC270000}"/>
    <cellStyle name="Calculation 3 3 2 9 5" xfId="10213" xr:uid="{00000000-0005-0000-0000-0000DD270000}"/>
    <cellStyle name="Calculation 3 3 2 9 6" xfId="10214" xr:uid="{00000000-0005-0000-0000-0000DE270000}"/>
    <cellStyle name="Calculation 3 3 20" xfId="10215" xr:uid="{00000000-0005-0000-0000-0000DF270000}"/>
    <cellStyle name="Calculation 3 3 20 2" xfId="10216" xr:uid="{00000000-0005-0000-0000-0000E0270000}"/>
    <cellStyle name="Calculation 3 3 20 2 2" xfId="10217" xr:uid="{00000000-0005-0000-0000-0000E1270000}"/>
    <cellStyle name="Calculation 3 3 20 2 3" xfId="10218" xr:uid="{00000000-0005-0000-0000-0000E2270000}"/>
    <cellStyle name="Calculation 3 3 20 2 4" xfId="10219" xr:uid="{00000000-0005-0000-0000-0000E3270000}"/>
    <cellStyle name="Calculation 3 3 20 2 5" xfId="10220" xr:uid="{00000000-0005-0000-0000-0000E4270000}"/>
    <cellStyle name="Calculation 3 3 20 3" xfId="10221" xr:uid="{00000000-0005-0000-0000-0000E5270000}"/>
    <cellStyle name="Calculation 3 3 20 4" xfId="10222" xr:uid="{00000000-0005-0000-0000-0000E6270000}"/>
    <cellStyle name="Calculation 3 3 20 5" xfId="10223" xr:uid="{00000000-0005-0000-0000-0000E7270000}"/>
    <cellStyle name="Calculation 3 3 20 6" xfId="10224" xr:uid="{00000000-0005-0000-0000-0000E8270000}"/>
    <cellStyle name="Calculation 3 3 21" xfId="10225" xr:uid="{00000000-0005-0000-0000-0000E9270000}"/>
    <cellStyle name="Calculation 3 3 21 2" xfId="10226" xr:uid="{00000000-0005-0000-0000-0000EA270000}"/>
    <cellStyle name="Calculation 3 3 21 2 2" xfId="10227" xr:uid="{00000000-0005-0000-0000-0000EB270000}"/>
    <cellStyle name="Calculation 3 3 21 2 3" xfId="10228" xr:uid="{00000000-0005-0000-0000-0000EC270000}"/>
    <cellStyle name="Calculation 3 3 21 2 4" xfId="10229" xr:uid="{00000000-0005-0000-0000-0000ED270000}"/>
    <cellStyle name="Calculation 3 3 21 2 5" xfId="10230" xr:uid="{00000000-0005-0000-0000-0000EE270000}"/>
    <cellStyle name="Calculation 3 3 21 3" xfId="10231" xr:uid="{00000000-0005-0000-0000-0000EF270000}"/>
    <cellStyle name="Calculation 3 3 21 4" xfId="10232" xr:uid="{00000000-0005-0000-0000-0000F0270000}"/>
    <cellStyle name="Calculation 3 3 21 5" xfId="10233" xr:uid="{00000000-0005-0000-0000-0000F1270000}"/>
    <cellStyle name="Calculation 3 3 21 6" xfId="10234" xr:uid="{00000000-0005-0000-0000-0000F2270000}"/>
    <cellStyle name="Calculation 3 3 22" xfId="10235" xr:uid="{00000000-0005-0000-0000-0000F3270000}"/>
    <cellStyle name="Calculation 3 3 22 2" xfId="10236" xr:uid="{00000000-0005-0000-0000-0000F4270000}"/>
    <cellStyle name="Calculation 3 3 22 2 2" xfId="10237" xr:uid="{00000000-0005-0000-0000-0000F5270000}"/>
    <cellStyle name="Calculation 3 3 22 2 3" xfId="10238" xr:uid="{00000000-0005-0000-0000-0000F6270000}"/>
    <cellStyle name="Calculation 3 3 22 2 4" xfId="10239" xr:uid="{00000000-0005-0000-0000-0000F7270000}"/>
    <cellStyle name="Calculation 3 3 22 2 5" xfId="10240" xr:uid="{00000000-0005-0000-0000-0000F8270000}"/>
    <cellStyle name="Calculation 3 3 22 3" xfId="10241" xr:uid="{00000000-0005-0000-0000-0000F9270000}"/>
    <cellStyle name="Calculation 3 3 22 4" xfId="10242" xr:uid="{00000000-0005-0000-0000-0000FA270000}"/>
    <cellStyle name="Calculation 3 3 22 5" xfId="10243" xr:uid="{00000000-0005-0000-0000-0000FB270000}"/>
    <cellStyle name="Calculation 3 3 22 6" xfId="10244" xr:uid="{00000000-0005-0000-0000-0000FC270000}"/>
    <cellStyle name="Calculation 3 3 23" xfId="10245" xr:uid="{00000000-0005-0000-0000-0000FD270000}"/>
    <cellStyle name="Calculation 3 3 23 2" xfId="10246" xr:uid="{00000000-0005-0000-0000-0000FE270000}"/>
    <cellStyle name="Calculation 3 3 23 2 2" xfId="10247" xr:uid="{00000000-0005-0000-0000-0000FF270000}"/>
    <cellStyle name="Calculation 3 3 23 2 3" xfId="10248" xr:uid="{00000000-0005-0000-0000-000000280000}"/>
    <cellStyle name="Calculation 3 3 23 2 4" xfId="10249" xr:uid="{00000000-0005-0000-0000-000001280000}"/>
    <cellStyle name="Calculation 3 3 23 2 5" xfId="10250" xr:uid="{00000000-0005-0000-0000-000002280000}"/>
    <cellStyle name="Calculation 3 3 23 3" xfId="10251" xr:uid="{00000000-0005-0000-0000-000003280000}"/>
    <cellStyle name="Calculation 3 3 23 4" xfId="10252" xr:uid="{00000000-0005-0000-0000-000004280000}"/>
    <cellStyle name="Calculation 3 3 23 5" xfId="10253" xr:uid="{00000000-0005-0000-0000-000005280000}"/>
    <cellStyle name="Calculation 3 3 23 6" xfId="10254" xr:uid="{00000000-0005-0000-0000-000006280000}"/>
    <cellStyle name="Calculation 3 3 24" xfId="10255" xr:uid="{00000000-0005-0000-0000-000007280000}"/>
    <cellStyle name="Calculation 3 3 24 2" xfId="10256" xr:uid="{00000000-0005-0000-0000-000008280000}"/>
    <cellStyle name="Calculation 3 3 24 2 2" xfId="10257" xr:uid="{00000000-0005-0000-0000-000009280000}"/>
    <cellStyle name="Calculation 3 3 24 2 3" xfId="10258" xr:uid="{00000000-0005-0000-0000-00000A280000}"/>
    <cellStyle name="Calculation 3 3 24 2 4" xfId="10259" xr:uid="{00000000-0005-0000-0000-00000B280000}"/>
    <cellStyle name="Calculation 3 3 24 2 5" xfId="10260" xr:uid="{00000000-0005-0000-0000-00000C280000}"/>
    <cellStyle name="Calculation 3 3 24 3" xfId="10261" xr:uid="{00000000-0005-0000-0000-00000D280000}"/>
    <cellStyle name="Calculation 3 3 24 4" xfId="10262" xr:uid="{00000000-0005-0000-0000-00000E280000}"/>
    <cellStyle name="Calculation 3 3 24 5" xfId="10263" xr:uid="{00000000-0005-0000-0000-00000F280000}"/>
    <cellStyle name="Calculation 3 3 24 6" xfId="10264" xr:uid="{00000000-0005-0000-0000-000010280000}"/>
    <cellStyle name="Calculation 3 3 25" xfId="10265" xr:uid="{00000000-0005-0000-0000-000011280000}"/>
    <cellStyle name="Calculation 3 3 25 2" xfId="10266" xr:uid="{00000000-0005-0000-0000-000012280000}"/>
    <cellStyle name="Calculation 3 3 25 2 2" xfId="10267" xr:uid="{00000000-0005-0000-0000-000013280000}"/>
    <cellStyle name="Calculation 3 3 25 2 3" xfId="10268" xr:uid="{00000000-0005-0000-0000-000014280000}"/>
    <cellStyle name="Calculation 3 3 25 2 4" xfId="10269" xr:uid="{00000000-0005-0000-0000-000015280000}"/>
    <cellStyle name="Calculation 3 3 25 2 5" xfId="10270" xr:uid="{00000000-0005-0000-0000-000016280000}"/>
    <cellStyle name="Calculation 3 3 25 3" xfId="10271" xr:uid="{00000000-0005-0000-0000-000017280000}"/>
    <cellStyle name="Calculation 3 3 25 4" xfId="10272" xr:uid="{00000000-0005-0000-0000-000018280000}"/>
    <cellStyle name="Calculation 3 3 25 5" xfId="10273" xr:uid="{00000000-0005-0000-0000-000019280000}"/>
    <cellStyle name="Calculation 3 3 25 6" xfId="10274" xr:uid="{00000000-0005-0000-0000-00001A280000}"/>
    <cellStyle name="Calculation 3 3 26" xfId="10275" xr:uid="{00000000-0005-0000-0000-00001B280000}"/>
    <cellStyle name="Calculation 3 3 26 2" xfId="10276" xr:uid="{00000000-0005-0000-0000-00001C280000}"/>
    <cellStyle name="Calculation 3 3 26 2 2" xfId="10277" xr:uid="{00000000-0005-0000-0000-00001D280000}"/>
    <cellStyle name="Calculation 3 3 26 2 3" xfId="10278" xr:uid="{00000000-0005-0000-0000-00001E280000}"/>
    <cellStyle name="Calculation 3 3 26 2 4" xfId="10279" xr:uid="{00000000-0005-0000-0000-00001F280000}"/>
    <cellStyle name="Calculation 3 3 26 2 5" xfId="10280" xr:uid="{00000000-0005-0000-0000-000020280000}"/>
    <cellStyle name="Calculation 3 3 26 3" xfId="10281" xr:uid="{00000000-0005-0000-0000-000021280000}"/>
    <cellStyle name="Calculation 3 3 26 4" xfId="10282" xr:uid="{00000000-0005-0000-0000-000022280000}"/>
    <cellStyle name="Calculation 3 3 26 5" xfId="10283" xr:uid="{00000000-0005-0000-0000-000023280000}"/>
    <cellStyle name="Calculation 3 3 26 6" xfId="10284" xr:uid="{00000000-0005-0000-0000-000024280000}"/>
    <cellStyle name="Calculation 3 3 27" xfId="10285" xr:uid="{00000000-0005-0000-0000-000025280000}"/>
    <cellStyle name="Calculation 3 3 27 2" xfId="10286" xr:uid="{00000000-0005-0000-0000-000026280000}"/>
    <cellStyle name="Calculation 3 3 27 2 2" xfId="10287" xr:uid="{00000000-0005-0000-0000-000027280000}"/>
    <cellStyle name="Calculation 3 3 27 2 3" xfId="10288" xr:uid="{00000000-0005-0000-0000-000028280000}"/>
    <cellStyle name="Calculation 3 3 27 2 4" xfId="10289" xr:uid="{00000000-0005-0000-0000-000029280000}"/>
    <cellStyle name="Calculation 3 3 27 2 5" xfId="10290" xr:uid="{00000000-0005-0000-0000-00002A280000}"/>
    <cellStyle name="Calculation 3 3 27 3" xfId="10291" xr:uid="{00000000-0005-0000-0000-00002B280000}"/>
    <cellStyle name="Calculation 3 3 27 4" xfId="10292" xr:uid="{00000000-0005-0000-0000-00002C280000}"/>
    <cellStyle name="Calculation 3 3 27 5" xfId="10293" xr:uid="{00000000-0005-0000-0000-00002D280000}"/>
    <cellStyle name="Calculation 3 3 27 6" xfId="10294" xr:uid="{00000000-0005-0000-0000-00002E280000}"/>
    <cellStyle name="Calculation 3 3 28" xfId="10295" xr:uid="{00000000-0005-0000-0000-00002F280000}"/>
    <cellStyle name="Calculation 3 3 28 2" xfId="10296" xr:uid="{00000000-0005-0000-0000-000030280000}"/>
    <cellStyle name="Calculation 3 3 28 2 2" xfId="10297" xr:uid="{00000000-0005-0000-0000-000031280000}"/>
    <cellStyle name="Calculation 3 3 28 2 3" xfId="10298" xr:uid="{00000000-0005-0000-0000-000032280000}"/>
    <cellStyle name="Calculation 3 3 28 2 4" xfId="10299" xr:uid="{00000000-0005-0000-0000-000033280000}"/>
    <cellStyle name="Calculation 3 3 28 2 5" xfId="10300" xr:uid="{00000000-0005-0000-0000-000034280000}"/>
    <cellStyle name="Calculation 3 3 28 3" xfId="10301" xr:uid="{00000000-0005-0000-0000-000035280000}"/>
    <cellStyle name="Calculation 3 3 28 4" xfId="10302" xr:uid="{00000000-0005-0000-0000-000036280000}"/>
    <cellStyle name="Calculation 3 3 28 5" xfId="10303" xr:uid="{00000000-0005-0000-0000-000037280000}"/>
    <cellStyle name="Calculation 3 3 28 6" xfId="10304" xr:uid="{00000000-0005-0000-0000-000038280000}"/>
    <cellStyle name="Calculation 3 3 29" xfId="10305" xr:uid="{00000000-0005-0000-0000-000039280000}"/>
    <cellStyle name="Calculation 3 3 29 2" xfId="10306" xr:uid="{00000000-0005-0000-0000-00003A280000}"/>
    <cellStyle name="Calculation 3 3 29 2 2" xfId="10307" xr:uid="{00000000-0005-0000-0000-00003B280000}"/>
    <cellStyle name="Calculation 3 3 29 2 3" xfId="10308" xr:uid="{00000000-0005-0000-0000-00003C280000}"/>
    <cellStyle name="Calculation 3 3 29 2 4" xfId="10309" xr:uid="{00000000-0005-0000-0000-00003D280000}"/>
    <cellStyle name="Calculation 3 3 29 2 5" xfId="10310" xr:uid="{00000000-0005-0000-0000-00003E280000}"/>
    <cellStyle name="Calculation 3 3 29 3" xfId="10311" xr:uid="{00000000-0005-0000-0000-00003F280000}"/>
    <cellStyle name="Calculation 3 3 29 4" xfId="10312" xr:uid="{00000000-0005-0000-0000-000040280000}"/>
    <cellStyle name="Calculation 3 3 29 5" xfId="10313" xr:uid="{00000000-0005-0000-0000-000041280000}"/>
    <cellStyle name="Calculation 3 3 29 6" xfId="10314" xr:uid="{00000000-0005-0000-0000-000042280000}"/>
    <cellStyle name="Calculation 3 3 3" xfId="10315" xr:uid="{00000000-0005-0000-0000-000043280000}"/>
    <cellStyle name="Calculation 3 3 3 2" xfId="10316" xr:uid="{00000000-0005-0000-0000-000044280000}"/>
    <cellStyle name="Calculation 3 3 3 2 2" xfId="10317" xr:uid="{00000000-0005-0000-0000-000045280000}"/>
    <cellStyle name="Calculation 3 3 3 2 2 2" xfId="10318" xr:uid="{00000000-0005-0000-0000-000046280000}"/>
    <cellStyle name="Calculation 3 3 3 2 2 3" xfId="10319" xr:uid="{00000000-0005-0000-0000-000047280000}"/>
    <cellStyle name="Calculation 3 3 3 2 2 4" xfId="10320" xr:uid="{00000000-0005-0000-0000-000048280000}"/>
    <cellStyle name="Calculation 3 3 3 2 2 5" xfId="10321" xr:uid="{00000000-0005-0000-0000-000049280000}"/>
    <cellStyle name="Calculation 3 3 3 2 2 6" xfId="10322" xr:uid="{00000000-0005-0000-0000-00004A280000}"/>
    <cellStyle name="Calculation 3 3 3 2 3" xfId="10323" xr:uid="{00000000-0005-0000-0000-00004B280000}"/>
    <cellStyle name="Calculation 3 3 3 2 3 2" xfId="10324" xr:uid="{00000000-0005-0000-0000-00004C280000}"/>
    <cellStyle name="Calculation 3 3 3 2 3 3" xfId="10325" xr:uid="{00000000-0005-0000-0000-00004D280000}"/>
    <cellStyle name="Calculation 3 3 3 2 3 4" xfId="10326" xr:uid="{00000000-0005-0000-0000-00004E280000}"/>
    <cellStyle name="Calculation 3 3 3 2 3 5" xfId="10327" xr:uid="{00000000-0005-0000-0000-00004F280000}"/>
    <cellStyle name="Calculation 3 3 3 2 4" xfId="10328" xr:uid="{00000000-0005-0000-0000-000050280000}"/>
    <cellStyle name="Calculation 3 3 3 2 5" xfId="10329" xr:uid="{00000000-0005-0000-0000-000051280000}"/>
    <cellStyle name="Calculation 3 3 3 2 6" xfId="10330" xr:uid="{00000000-0005-0000-0000-000052280000}"/>
    <cellStyle name="Calculation 3 3 3 2 7" xfId="10331" xr:uid="{00000000-0005-0000-0000-000053280000}"/>
    <cellStyle name="Calculation 3 3 3 3" xfId="10332" xr:uid="{00000000-0005-0000-0000-000054280000}"/>
    <cellStyle name="Calculation 3 3 3 3 2" xfId="10333" xr:uid="{00000000-0005-0000-0000-000055280000}"/>
    <cellStyle name="Calculation 3 3 3 3 2 2" xfId="10334" xr:uid="{00000000-0005-0000-0000-000056280000}"/>
    <cellStyle name="Calculation 3 3 3 3 2 3" xfId="10335" xr:uid="{00000000-0005-0000-0000-000057280000}"/>
    <cellStyle name="Calculation 3 3 3 3 2 4" xfId="10336" xr:uid="{00000000-0005-0000-0000-000058280000}"/>
    <cellStyle name="Calculation 3 3 3 3 2 5" xfId="10337" xr:uid="{00000000-0005-0000-0000-000059280000}"/>
    <cellStyle name="Calculation 3 3 3 3 2 6" xfId="10338" xr:uid="{00000000-0005-0000-0000-00005A280000}"/>
    <cellStyle name="Calculation 3 3 3 3 3" xfId="10339" xr:uid="{00000000-0005-0000-0000-00005B280000}"/>
    <cellStyle name="Calculation 3 3 3 3 4" xfId="10340" xr:uid="{00000000-0005-0000-0000-00005C280000}"/>
    <cellStyle name="Calculation 3 3 3 3 5" xfId="10341" xr:uid="{00000000-0005-0000-0000-00005D280000}"/>
    <cellStyle name="Calculation 3 3 3 3 6" xfId="10342" xr:uid="{00000000-0005-0000-0000-00005E280000}"/>
    <cellStyle name="Calculation 3 3 3 4" xfId="10343" xr:uid="{00000000-0005-0000-0000-00005F280000}"/>
    <cellStyle name="Calculation 3 3 3 4 2" xfId="10344" xr:uid="{00000000-0005-0000-0000-000060280000}"/>
    <cellStyle name="Calculation 3 3 3 4 3" xfId="10345" xr:uid="{00000000-0005-0000-0000-000061280000}"/>
    <cellStyle name="Calculation 3 3 3 4 4" xfId="10346" xr:uid="{00000000-0005-0000-0000-000062280000}"/>
    <cellStyle name="Calculation 3 3 3 4 5" xfId="10347" xr:uid="{00000000-0005-0000-0000-000063280000}"/>
    <cellStyle name="Calculation 3 3 3 4 6" xfId="10348" xr:uid="{00000000-0005-0000-0000-000064280000}"/>
    <cellStyle name="Calculation 3 3 3 5" xfId="10349" xr:uid="{00000000-0005-0000-0000-000065280000}"/>
    <cellStyle name="Calculation 3 3 3 5 2" xfId="10350" xr:uid="{00000000-0005-0000-0000-000066280000}"/>
    <cellStyle name="Calculation 3 3 3 5 3" xfId="10351" xr:uid="{00000000-0005-0000-0000-000067280000}"/>
    <cellStyle name="Calculation 3 3 3 5 4" xfId="10352" xr:uid="{00000000-0005-0000-0000-000068280000}"/>
    <cellStyle name="Calculation 3 3 3 5 5" xfId="10353" xr:uid="{00000000-0005-0000-0000-000069280000}"/>
    <cellStyle name="Calculation 3 3 3 6" xfId="10354" xr:uid="{00000000-0005-0000-0000-00006A280000}"/>
    <cellStyle name="Calculation 3 3 3 7" xfId="10355" xr:uid="{00000000-0005-0000-0000-00006B280000}"/>
    <cellStyle name="Calculation 3 3 3 8" xfId="10356" xr:uid="{00000000-0005-0000-0000-00006C280000}"/>
    <cellStyle name="Calculation 3 3 3 9" xfId="10357" xr:uid="{00000000-0005-0000-0000-00006D280000}"/>
    <cellStyle name="Calculation 3 3 30" xfId="10358" xr:uid="{00000000-0005-0000-0000-00006E280000}"/>
    <cellStyle name="Calculation 3 3 30 2" xfId="10359" xr:uid="{00000000-0005-0000-0000-00006F280000}"/>
    <cellStyle name="Calculation 3 3 30 2 2" xfId="10360" xr:uid="{00000000-0005-0000-0000-000070280000}"/>
    <cellStyle name="Calculation 3 3 30 2 3" xfId="10361" xr:uid="{00000000-0005-0000-0000-000071280000}"/>
    <cellStyle name="Calculation 3 3 30 2 4" xfId="10362" xr:uid="{00000000-0005-0000-0000-000072280000}"/>
    <cellStyle name="Calculation 3 3 30 2 5" xfId="10363" xr:uid="{00000000-0005-0000-0000-000073280000}"/>
    <cellStyle name="Calculation 3 3 30 3" xfId="10364" xr:uid="{00000000-0005-0000-0000-000074280000}"/>
    <cellStyle name="Calculation 3 3 30 4" xfId="10365" xr:uid="{00000000-0005-0000-0000-000075280000}"/>
    <cellStyle name="Calculation 3 3 30 5" xfId="10366" xr:uid="{00000000-0005-0000-0000-000076280000}"/>
    <cellStyle name="Calculation 3 3 30 6" xfId="10367" xr:uid="{00000000-0005-0000-0000-000077280000}"/>
    <cellStyle name="Calculation 3 3 31" xfId="10368" xr:uid="{00000000-0005-0000-0000-000078280000}"/>
    <cellStyle name="Calculation 3 3 31 2" xfId="10369" xr:uid="{00000000-0005-0000-0000-000079280000}"/>
    <cellStyle name="Calculation 3 3 31 2 2" xfId="10370" xr:uid="{00000000-0005-0000-0000-00007A280000}"/>
    <cellStyle name="Calculation 3 3 31 2 3" xfId="10371" xr:uid="{00000000-0005-0000-0000-00007B280000}"/>
    <cellStyle name="Calculation 3 3 31 2 4" xfId="10372" xr:uid="{00000000-0005-0000-0000-00007C280000}"/>
    <cellStyle name="Calculation 3 3 31 2 5" xfId="10373" xr:uid="{00000000-0005-0000-0000-00007D280000}"/>
    <cellStyle name="Calculation 3 3 31 3" xfId="10374" xr:uid="{00000000-0005-0000-0000-00007E280000}"/>
    <cellStyle name="Calculation 3 3 31 4" xfId="10375" xr:uid="{00000000-0005-0000-0000-00007F280000}"/>
    <cellStyle name="Calculation 3 3 31 5" xfId="10376" xr:uid="{00000000-0005-0000-0000-000080280000}"/>
    <cellStyle name="Calculation 3 3 31 6" xfId="10377" xr:uid="{00000000-0005-0000-0000-000081280000}"/>
    <cellStyle name="Calculation 3 3 32" xfId="10378" xr:uid="{00000000-0005-0000-0000-000082280000}"/>
    <cellStyle name="Calculation 3 3 32 2" xfId="10379" xr:uid="{00000000-0005-0000-0000-000083280000}"/>
    <cellStyle name="Calculation 3 3 32 2 2" xfId="10380" xr:uid="{00000000-0005-0000-0000-000084280000}"/>
    <cellStyle name="Calculation 3 3 32 2 3" xfId="10381" xr:uid="{00000000-0005-0000-0000-000085280000}"/>
    <cellStyle name="Calculation 3 3 32 2 4" xfId="10382" xr:uid="{00000000-0005-0000-0000-000086280000}"/>
    <cellStyle name="Calculation 3 3 32 2 5" xfId="10383" xr:uid="{00000000-0005-0000-0000-000087280000}"/>
    <cellStyle name="Calculation 3 3 32 3" xfId="10384" xr:uid="{00000000-0005-0000-0000-000088280000}"/>
    <cellStyle name="Calculation 3 3 32 4" xfId="10385" xr:uid="{00000000-0005-0000-0000-000089280000}"/>
    <cellStyle name="Calculation 3 3 32 5" xfId="10386" xr:uid="{00000000-0005-0000-0000-00008A280000}"/>
    <cellStyle name="Calculation 3 3 32 6" xfId="10387" xr:uid="{00000000-0005-0000-0000-00008B280000}"/>
    <cellStyle name="Calculation 3 3 33" xfId="10388" xr:uid="{00000000-0005-0000-0000-00008C280000}"/>
    <cellStyle name="Calculation 3 3 33 2" xfId="10389" xr:uid="{00000000-0005-0000-0000-00008D280000}"/>
    <cellStyle name="Calculation 3 3 33 2 2" xfId="10390" xr:uid="{00000000-0005-0000-0000-00008E280000}"/>
    <cellStyle name="Calculation 3 3 33 2 3" xfId="10391" xr:uid="{00000000-0005-0000-0000-00008F280000}"/>
    <cellStyle name="Calculation 3 3 33 2 4" xfId="10392" xr:uid="{00000000-0005-0000-0000-000090280000}"/>
    <cellStyle name="Calculation 3 3 33 2 5" xfId="10393" xr:uid="{00000000-0005-0000-0000-000091280000}"/>
    <cellStyle name="Calculation 3 3 33 3" xfId="10394" xr:uid="{00000000-0005-0000-0000-000092280000}"/>
    <cellStyle name="Calculation 3 3 33 4" xfId="10395" xr:uid="{00000000-0005-0000-0000-000093280000}"/>
    <cellStyle name="Calculation 3 3 33 5" xfId="10396" xr:uid="{00000000-0005-0000-0000-000094280000}"/>
    <cellStyle name="Calculation 3 3 33 6" xfId="10397" xr:uid="{00000000-0005-0000-0000-000095280000}"/>
    <cellStyle name="Calculation 3 3 34" xfId="10398" xr:uid="{00000000-0005-0000-0000-000096280000}"/>
    <cellStyle name="Calculation 3 3 34 2" xfId="10399" xr:uid="{00000000-0005-0000-0000-000097280000}"/>
    <cellStyle name="Calculation 3 3 34 2 2" xfId="10400" xr:uid="{00000000-0005-0000-0000-000098280000}"/>
    <cellStyle name="Calculation 3 3 34 2 3" xfId="10401" xr:uid="{00000000-0005-0000-0000-000099280000}"/>
    <cellStyle name="Calculation 3 3 34 2 4" xfId="10402" xr:uid="{00000000-0005-0000-0000-00009A280000}"/>
    <cellStyle name="Calculation 3 3 34 2 5" xfId="10403" xr:uid="{00000000-0005-0000-0000-00009B280000}"/>
    <cellStyle name="Calculation 3 3 34 3" xfId="10404" xr:uid="{00000000-0005-0000-0000-00009C280000}"/>
    <cellStyle name="Calculation 3 3 34 4" xfId="10405" xr:uid="{00000000-0005-0000-0000-00009D280000}"/>
    <cellStyle name="Calculation 3 3 34 5" xfId="10406" xr:uid="{00000000-0005-0000-0000-00009E280000}"/>
    <cellStyle name="Calculation 3 3 34 6" xfId="10407" xr:uid="{00000000-0005-0000-0000-00009F280000}"/>
    <cellStyle name="Calculation 3 3 35" xfId="10408" xr:uid="{00000000-0005-0000-0000-0000A0280000}"/>
    <cellStyle name="Calculation 3 3 35 2" xfId="10409" xr:uid="{00000000-0005-0000-0000-0000A1280000}"/>
    <cellStyle name="Calculation 3 3 35 2 2" xfId="10410" xr:uid="{00000000-0005-0000-0000-0000A2280000}"/>
    <cellStyle name="Calculation 3 3 35 2 3" xfId="10411" xr:uid="{00000000-0005-0000-0000-0000A3280000}"/>
    <cellStyle name="Calculation 3 3 35 2 4" xfId="10412" xr:uid="{00000000-0005-0000-0000-0000A4280000}"/>
    <cellStyle name="Calculation 3 3 35 2 5" xfId="10413" xr:uid="{00000000-0005-0000-0000-0000A5280000}"/>
    <cellStyle name="Calculation 3 3 35 3" xfId="10414" xr:uid="{00000000-0005-0000-0000-0000A6280000}"/>
    <cellStyle name="Calculation 3 3 35 4" xfId="10415" xr:uid="{00000000-0005-0000-0000-0000A7280000}"/>
    <cellStyle name="Calculation 3 3 35 5" xfId="10416" xr:uid="{00000000-0005-0000-0000-0000A8280000}"/>
    <cellStyle name="Calculation 3 3 35 6" xfId="10417" xr:uid="{00000000-0005-0000-0000-0000A9280000}"/>
    <cellStyle name="Calculation 3 3 36" xfId="10418" xr:uid="{00000000-0005-0000-0000-0000AA280000}"/>
    <cellStyle name="Calculation 3 3 36 2" xfId="10419" xr:uid="{00000000-0005-0000-0000-0000AB280000}"/>
    <cellStyle name="Calculation 3 3 36 2 2" xfId="10420" xr:uid="{00000000-0005-0000-0000-0000AC280000}"/>
    <cellStyle name="Calculation 3 3 36 2 3" xfId="10421" xr:uid="{00000000-0005-0000-0000-0000AD280000}"/>
    <cellStyle name="Calculation 3 3 36 2 4" xfId="10422" xr:uid="{00000000-0005-0000-0000-0000AE280000}"/>
    <cellStyle name="Calculation 3 3 36 2 5" xfId="10423" xr:uid="{00000000-0005-0000-0000-0000AF280000}"/>
    <cellStyle name="Calculation 3 3 36 3" xfId="10424" xr:uid="{00000000-0005-0000-0000-0000B0280000}"/>
    <cellStyle name="Calculation 3 3 36 4" xfId="10425" xr:uid="{00000000-0005-0000-0000-0000B1280000}"/>
    <cellStyle name="Calculation 3 3 36 5" xfId="10426" xr:uid="{00000000-0005-0000-0000-0000B2280000}"/>
    <cellStyle name="Calculation 3 3 36 6" xfId="10427" xr:uid="{00000000-0005-0000-0000-0000B3280000}"/>
    <cellStyle name="Calculation 3 3 37" xfId="10428" xr:uid="{00000000-0005-0000-0000-0000B4280000}"/>
    <cellStyle name="Calculation 3 3 37 2" xfId="10429" xr:uid="{00000000-0005-0000-0000-0000B5280000}"/>
    <cellStyle name="Calculation 3 3 37 2 2" xfId="10430" xr:uid="{00000000-0005-0000-0000-0000B6280000}"/>
    <cellStyle name="Calculation 3 3 37 2 3" xfId="10431" xr:uid="{00000000-0005-0000-0000-0000B7280000}"/>
    <cellStyle name="Calculation 3 3 37 2 4" xfId="10432" xr:uid="{00000000-0005-0000-0000-0000B8280000}"/>
    <cellStyle name="Calculation 3 3 37 2 5" xfId="10433" xr:uid="{00000000-0005-0000-0000-0000B9280000}"/>
    <cellStyle name="Calculation 3 3 37 3" xfId="10434" xr:uid="{00000000-0005-0000-0000-0000BA280000}"/>
    <cellStyle name="Calculation 3 3 37 4" xfId="10435" xr:uid="{00000000-0005-0000-0000-0000BB280000}"/>
    <cellStyle name="Calculation 3 3 37 5" xfId="10436" xr:uid="{00000000-0005-0000-0000-0000BC280000}"/>
    <cellStyle name="Calculation 3 3 37 6" xfId="10437" xr:uid="{00000000-0005-0000-0000-0000BD280000}"/>
    <cellStyle name="Calculation 3 3 38" xfId="10438" xr:uid="{00000000-0005-0000-0000-0000BE280000}"/>
    <cellStyle name="Calculation 3 3 38 2" xfId="10439" xr:uid="{00000000-0005-0000-0000-0000BF280000}"/>
    <cellStyle name="Calculation 3 3 38 2 2" xfId="10440" xr:uid="{00000000-0005-0000-0000-0000C0280000}"/>
    <cellStyle name="Calculation 3 3 38 2 3" xfId="10441" xr:uid="{00000000-0005-0000-0000-0000C1280000}"/>
    <cellStyle name="Calculation 3 3 38 2 4" xfId="10442" xr:uid="{00000000-0005-0000-0000-0000C2280000}"/>
    <cellStyle name="Calculation 3 3 38 2 5" xfId="10443" xr:uid="{00000000-0005-0000-0000-0000C3280000}"/>
    <cellStyle name="Calculation 3 3 38 3" xfId="10444" xr:uid="{00000000-0005-0000-0000-0000C4280000}"/>
    <cellStyle name="Calculation 3 3 38 4" xfId="10445" xr:uid="{00000000-0005-0000-0000-0000C5280000}"/>
    <cellStyle name="Calculation 3 3 38 5" xfId="10446" xr:uid="{00000000-0005-0000-0000-0000C6280000}"/>
    <cellStyle name="Calculation 3 3 38 6" xfId="10447" xr:uid="{00000000-0005-0000-0000-0000C7280000}"/>
    <cellStyle name="Calculation 3 3 39" xfId="10448" xr:uid="{00000000-0005-0000-0000-0000C8280000}"/>
    <cellStyle name="Calculation 3 3 39 2" xfId="10449" xr:uid="{00000000-0005-0000-0000-0000C9280000}"/>
    <cellStyle name="Calculation 3 3 39 2 2" xfId="10450" xr:uid="{00000000-0005-0000-0000-0000CA280000}"/>
    <cellStyle name="Calculation 3 3 39 2 3" xfId="10451" xr:uid="{00000000-0005-0000-0000-0000CB280000}"/>
    <cellStyle name="Calculation 3 3 39 2 4" xfId="10452" xr:uid="{00000000-0005-0000-0000-0000CC280000}"/>
    <cellStyle name="Calculation 3 3 39 2 5" xfId="10453" xr:uid="{00000000-0005-0000-0000-0000CD280000}"/>
    <cellStyle name="Calculation 3 3 39 3" xfId="10454" xr:uid="{00000000-0005-0000-0000-0000CE280000}"/>
    <cellStyle name="Calculation 3 3 39 4" xfId="10455" xr:uid="{00000000-0005-0000-0000-0000CF280000}"/>
    <cellStyle name="Calculation 3 3 39 5" xfId="10456" xr:uid="{00000000-0005-0000-0000-0000D0280000}"/>
    <cellStyle name="Calculation 3 3 39 6" xfId="10457" xr:uid="{00000000-0005-0000-0000-0000D1280000}"/>
    <cellStyle name="Calculation 3 3 4" xfId="10458" xr:uid="{00000000-0005-0000-0000-0000D2280000}"/>
    <cellStyle name="Calculation 3 3 4 2" xfId="10459" xr:uid="{00000000-0005-0000-0000-0000D3280000}"/>
    <cellStyle name="Calculation 3 3 4 2 2" xfId="10460" xr:uid="{00000000-0005-0000-0000-0000D4280000}"/>
    <cellStyle name="Calculation 3 3 4 2 2 2" xfId="10461" xr:uid="{00000000-0005-0000-0000-0000D5280000}"/>
    <cellStyle name="Calculation 3 3 4 2 2 3" xfId="10462" xr:uid="{00000000-0005-0000-0000-0000D6280000}"/>
    <cellStyle name="Calculation 3 3 4 2 2 4" xfId="10463" xr:uid="{00000000-0005-0000-0000-0000D7280000}"/>
    <cellStyle name="Calculation 3 3 4 2 2 5" xfId="10464" xr:uid="{00000000-0005-0000-0000-0000D8280000}"/>
    <cellStyle name="Calculation 3 3 4 2 2 6" xfId="10465" xr:uid="{00000000-0005-0000-0000-0000D9280000}"/>
    <cellStyle name="Calculation 3 3 4 2 3" xfId="10466" xr:uid="{00000000-0005-0000-0000-0000DA280000}"/>
    <cellStyle name="Calculation 3 3 4 2 3 2" xfId="10467" xr:uid="{00000000-0005-0000-0000-0000DB280000}"/>
    <cellStyle name="Calculation 3 3 4 2 3 3" xfId="10468" xr:uid="{00000000-0005-0000-0000-0000DC280000}"/>
    <cellStyle name="Calculation 3 3 4 2 3 4" xfId="10469" xr:uid="{00000000-0005-0000-0000-0000DD280000}"/>
    <cellStyle name="Calculation 3 3 4 2 3 5" xfId="10470" xr:uid="{00000000-0005-0000-0000-0000DE280000}"/>
    <cellStyle name="Calculation 3 3 4 2 4" xfId="10471" xr:uid="{00000000-0005-0000-0000-0000DF280000}"/>
    <cellStyle name="Calculation 3 3 4 2 5" xfId="10472" xr:uid="{00000000-0005-0000-0000-0000E0280000}"/>
    <cellStyle name="Calculation 3 3 4 2 6" xfId="10473" xr:uid="{00000000-0005-0000-0000-0000E1280000}"/>
    <cellStyle name="Calculation 3 3 4 2 7" xfId="10474" xr:uid="{00000000-0005-0000-0000-0000E2280000}"/>
    <cellStyle name="Calculation 3 3 4 3" xfId="10475" xr:uid="{00000000-0005-0000-0000-0000E3280000}"/>
    <cellStyle name="Calculation 3 3 4 3 2" xfId="10476" xr:uid="{00000000-0005-0000-0000-0000E4280000}"/>
    <cellStyle name="Calculation 3 3 4 3 2 2" xfId="10477" xr:uid="{00000000-0005-0000-0000-0000E5280000}"/>
    <cellStyle name="Calculation 3 3 4 3 2 3" xfId="10478" xr:uid="{00000000-0005-0000-0000-0000E6280000}"/>
    <cellStyle name="Calculation 3 3 4 3 2 4" xfId="10479" xr:uid="{00000000-0005-0000-0000-0000E7280000}"/>
    <cellStyle name="Calculation 3 3 4 3 2 5" xfId="10480" xr:uid="{00000000-0005-0000-0000-0000E8280000}"/>
    <cellStyle name="Calculation 3 3 4 3 2 6" xfId="10481" xr:uid="{00000000-0005-0000-0000-0000E9280000}"/>
    <cellStyle name="Calculation 3 3 4 3 3" xfId="10482" xr:uid="{00000000-0005-0000-0000-0000EA280000}"/>
    <cellStyle name="Calculation 3 3 4 3 4" xfId="10483" xr:uid="{00000000-0005-0000-0000-0000EB280000}"/>
    <cellStyle name="Calculation 3 3 4 3 5" xfId="10484" xr:uid="{00000000-0005-0000-0000-0000EC280000}"/>
    <cellStyle name="Calculation 3 3 4 3 6" xfId="10485" xr:uid="{00000000-0005-0000-0000-0000ED280000}"/>
    <cellStyle name="Calculation 3 3 4 4" xfId="10486" xr:uid="{00000000-0005-0000-0000-0000EE280000}"/>
    <cellStyle name="Calculation 3 3 4 4 2" xfId="10487" xr:uid="{00000000-0005-0000-0000-0000EF280000}"/>
    <cellStyle name="Calculation 3 3 4 4 3" xfId="10488" xr:uid="{00000000-0005-0000-0000-0000F0280000}"/>
    <cellStyle name="Calculation 3 3 4 4 4" xfId="10489" xr:uid="{00000000-0005-0000-0000-0000F1280000}"/>
    <cellStyle name="Calculation 3 3 4 4 5" xfId="10490" xr:uid="{00000000-0005-0000-0000-0000F2280000}"/>
    <cellStyle name="Calculation 3 3 4 4 6" xfId="10491" xr:uid="{00000000-0005-0000-0000-0000F3280000}"/>
    <cellStyle name="Calculation 3 3 4 5" xfId="10492" xr:uid="{00000000-0005-0000-0000-0000F4280000}"/>
    <cellStyle name="Calculation 3 3 4 5 2" xfId="10493" xr:uid="{00000000-0005-0000-0000-0000F5280000}"/>
    <cellStyle name="Calculation 3 3 4 5 3" xfId="10494" xr:uid="{00000000-0005-0000-0000-0000F6280000}"/>
    <cellStyle name="Calculation 3 3 4 5 4" xfId="10495" xr:uid="{00000000-0005-0000-0000-0000F7280000}"/>
    <cellStyle name="Calculation 3 3 4 5 5" xfId="10496" xr:uid="{00000000-0005-0000-0000-0000F8280000}"/>
    <cellStyle name="Calculation 3 3 4 6" xfId="10497" xr:uid="{00000000-0005-0000-0000-0000F9280000}"/>
    <cellStyle name="Calculation 3 3 4 7" xfId="10498" xr:uid="{00000000-0005-0000-0000-0000FA280000}"/>
    <cellStyle name="Calculation 3 3 4 8" xfId="10499" xr:uid="{00000000-0005-0000-0000-0000FB280000}"/>
    <cellStyle name="Calculation 3 3 4 9" xfId="10500" xr:uid="{00000000-0005-0000-0000-0000FC280000}"/>
    <cellStyle name="Calculation 3 3 40" xfId="10501" xr:uid="{00000000-0005-0000-0000-0000FD280000}"/>
    <cellStyle name="Calculation 3 3 40 2" xfId="10502" xr:uid="{00000000-0005-0000-0000-0000FE280000}"/>
    <cellStyle name="Calculation 3 3 40 2 2" xfId="10503" xr:uid="{00000000-0005-0000-0000-0000FF280000}"/>
    <cellStyle name="Calculation 3 3 40 2 3" xfId="10504" xr:uid="{00000000-0005-0000-0000-000000290000}"/>
    <cellStyle name="Calculation 3 3 40 2 4" xfId="10505" xr:uid="{00000000-0005-0000-0000-000001290000}"/>
    <cellStyle name="Calculation 3 3 40 2 5" xfId="10506" xr:uid="{00000000-0005-0000-0000-000002290000}"/>
    <cellStyle name="Calculation 3 3 40 3" xfId="10507" xr:uid="{00000000-0005-0000-0000-000003290000}"/>
    <cellStyle name="Calculation 3 3 40 4" xfId="10508" xr:uid="{00000000-0005-0000-0000-000004290000}"/>
    <cellStyle name="Calculation 3 3 40 5" xfId="10509" xr:uid="{00000000-0005-0000-0000-000005290000}"/>
    <cellStyle name="Calculation 3 3 40 6" xfId="10510" xr:uid="{00000000-0005-0000-0000-000006290000}"/>
    <cellStyle name="Calculation 3 3 41" xfId="10511" xr:uid="{00000000-0005-0000-0000-000007290000}"/>
    <cellStyle name="Calculation 3 3 41 2" xfId="10512" xr:uid="{00000000-0005-0000-0000-000008290000}"/>
    <cellStyle name="Calculation 3 3 41 2 2" xfId="10513" xr:uid="{00000000-0005-0000-0000-000009290000}"/>
    <cellStyle name="Calculation 3 3 41 2 3" xfId="10514" xr:uid="{00000000-0005-0000-0000-00000A290000}"/>
    <cellStyle name="Calculation 3 3 41 2 4" xfId="10515" xr:uid="{00000000-0005-0000-0000-00000B290000}"/>
    <cellStyle name="Calculation 3 3 41 2 5" xfId="10516" xr:uid="{00000000-0005-0000-0000-00000C290000}"/>
    <cellStyle name="Calculation 3 3 41 3" xfId="10517" xr:uid="{00000000-0005-0000-0000-00000D290000}"/>
    <cellStyle name="Calculation 3 3 41 4" xfId="10518" xr:uid="{00000000-0005-0000-0000-00000E290000}"/>
    <cellStyle name="Calculation 3 3 41 5" xfId="10519" xr:uid="{00000000-0005-0000-0000-00000F290000}"/>
    <cellStyle name="Calculation 3 3 41 6" xfId="10520" xr:uid="{00000000-0005-0000-0000-000010290000}"/>
    <cellStyle name="Calculation 3 3 42" xfId="10521" xr:uid="{00000000-0005-0000-0000-000011290000}"/>
    <cellStyle name="Calculation 3 3 42 2" xfId="10522" xr:uid="{00000000-0005-0000-0000-000012290000}"/>
    <cellStyle name="Calculation 3 3 42 3" xfId="10523" xr:uid="{00000000-0005-0000-0000-000013290000}"/>
    <cellStyle name="Calculation 3 3 42 4" xfId="10524" xr:uid="{00000000-0005-0000-0000-000014290000}"/>
    <cellStyle name="Calculation 3 3 42 5" xfId="10525" xr:uid="{00000000-0005-0000-0000-000015290000}"/>
    <cellStyle name="Calculation 3 3 43" xfId="10526" xr:uid="{00000000-0005-0000-0000-000016290000}"/>
    <cellStyle name="Calculation 3 3 43 2" xfId="10527" xr:uid="{00000000-0005-0000-0000-000017290000}"/>
    <cellStyle name="Calculation 3 3 43 3" xfId="10528" xr:uid="{00000000-0005-0000-0000-000018290000}"/>
    <cellStyle name="Calculation 3 3 43 4" xfId="10529" xr:uid="{00000000-0005-0000-0000-000019290000}"/>
    <cellStyle name="Calculation 3 3 43 5" xfId="10530" xr:uid="{00000000-0005-0000-0000-00001A290000}"/>
    <cellStyle name="Calculation 3 3 44" xfId="10531" xr:uid="{00000000-0005-0000-0000-00001B290000}"/>
    <cellStyle name="Calculation 3 3 45" xfId="10532" xr:uid="{00000000-0005-0000-0000-00001C290000}"/>
    <cellStyle name="Calculation 3 3 46" xfId="10533" xr:uid="{00000000-0005-0000-0000-00001D290000}"/>
    <cellStyle name="Calculation 3 3 47" xfId="10534" xr:uid="{00000000-0005-0000-0000-00001E290000}"/>
    <cellStyle name="Calculation 3 3 48" xfId="10535" xr:uid="{00000000-0005-0000-0000-00001F290000}"/>
    <cellStyle name="Calculation 3 3 5" xfId="10536" xr:uid="{00000000-0005-0000-0000-000020290000}"/>
    <cellStyle name="Calculation 3 3 5 2" xfId="10537" xr:uid="{00000000-0005-0000-0000-000021290000}"/>
    <cellStyle name="Calculation 3 3 5 2 2" xfId="10538" xr:uid="{00000000-0005-0000-0000-000022290000}"/>
    <cellStyle name="Calculation 3 3 5 2 2 2" xfId="10539" xr:uid="{00000000-0005-0000-0000-000023290000}"/>
    <cellStyle name="Calculation 3 3 5 2 2 3" xfId="10540" xr:uid="{00000000-0005-0000-0000-000024290000}"/>
    <cellStyle name="Calculation 3 3 5 2 2 4" xfId="10541" xr:uid="{00000000-0005-0000-0000-000025290000}"/>
    <cellStyle name="Calculation 3 3 5 2 2 5" xfId="10542" xr:uid="{00000000-0005-0000-0000-000026290000}"/>
    <cellStyle name="Calculation 3 3 5 2 2 6" xfId="10543" xr:uid="{00000000-0005-0000-0000-000027290000}"/>
    <cellStyle name="Calculation 3 3 5 2 3" xfId="10544" xr:uid="{00000000-0005-0000-0000-000028290000}"/>
    <cellStyle name="Calculation 3 3 5 2 3 2" xfId="10545" xr:uid="{00000000-0005-0000-0000-000029290000}"/>
    <cellStyle name="Calculation 3 3 5 2 3 3" xfId="10546" xr:uid="{00000000-0005-0000-0000-00002A290000}"/>
    <cellStyle name="Calculation 3 3 5 2 3 4" xfId="10547" xr:uid="{00000000-0005-0000-0000-00002B290000}"/>
    <cellStyle name="Calculation 3 3 5 2 3 5" xfId="10548" xr:uid="{00000000-0005-0000-0000-00002C290000}"/>
    <cellStyle name="Calculation 3 3 5 2 4" xfId="10549" xr:uid="{00000000-0005-0000-0000-00002D290000}"/>
    <cellStyle name="Calculation 3 3 5 2 5" xfId="10550" xr:uid="{00000000-0005-0000-0000-00002E290000}"/>
    <cellStyle name="Calculation 3 3 5 2 6" xfId="10551" xr:uid="{00000000-0005-0000-0000-00002F290000}"/>
    <cellStyle name="Calculation 3 3 5 2 7" xfId="10552" xr:uid="{00000000-0005-0000-0000-000030290000}"/>
    <cellStyle name="Calculation 3 3 5 3" xfId="10553" xr:uid="{00000000-0005-0000-0000-000031290000}"/>
    <cellStyle name="Calculation 3 3 5 3 2" xfId="10554" xr:uid="{00000000-0005-0000-0000-000032290000}"/>
    <cellStyle name="Calculation 3 3 5 3 2 2" xfId="10555" xr:uid="{00000000-0005-0000-0000-000033290000}"/>
    <cellStyle name="Calculation 3 3 5 3 2 3" xfId="10556" xr:uid="{00000000-0005-0000-0000-000034290000}"/>
    <cellStyle name="Calculation 3 3 5 3 2 4" xfId="10557" xr:uid="{00000000-0005-0000-0000-000035290000}"/>
    <cellStyle name="Calculation 3 3 5 3 2 5" xfId="10558" xr:uid="{00000000-0005-0000-0000-000036290000}"/>
    <cellStyle name="Calculation 3 3 5 3 2 6" xfId="10559" xr:uid="{00000000-0005-0000-0000-000037290000}"/>
    <cellStyle name="Calculation 3 3 5 3 3" xfId="10560" xr:uid="{00000000-0005-0000-0000-000038290000}"/>
    <cellStyle name="Calculation 3 3 5 3 4" xfId="10561" xr:uid="{00000000-0005-0000-0000-000039290000}"/>
    <cellStyle name="Calculation 3 3 5 3 5" xfId="10562" xr:uid="{00000000-0005-0000-0000-00003A290000}"/>
    <cellStyle name="Calculation 3 3 5 3 6" xfId="10563" xr:uid="{00000000-0005-0000-0000-00003B290000}"/>
    <cellStyle name="Calculation 3 3 5 4" xfId="10564" xr:uid="{00000000-0005-0000-0000-00003C290000}"/>
    <cellStyle name="Calculation 3 3 5 4 2" xfId="10565" xr:uid="{00000000-0005-0000-0000-00003D290000}"/>
    <cellStyle name="Calculation 3 3 5 4 3" xfId="10566" xr:uid="{00000000-0005-0000-0000-00003E290000}"/>
    <cellStyle name="Calculation 3 3 5 4 4" xfId="10567" xr:uid="{00000000-0005-0000-0000-00003F290000}"/>
    <cellStyle name="Calculation 3 3 5 4 5" xfId="10568" xr:uid="{00000000-0005-0000-0000-000040290000}"/>
    <cellStyle name="Calculation 3 3 5 4 6" xfId="10569" xr:uid="{00000000-0005-0000-0000-000041290000}"/>
    <cellStyle name="Calculation 3 3 5 5" xfId="10570" xr:uid="{00000000-0005-0000-0000-000042290000}"/>
    <cellStyle name="Calculation 3 3 5 5 2" xfId="10571" xr:uid="{00000000-0005-0000-0000-000043290000}"/>
    <cellStyle name="Calculation 3 3 5 5 3" xfId="10572" xr:uid="{00000000-0005-0000-0000-000044290000}"/>
    <cellStyle name="Calculation 3 3 5 5 4" xfId="10573" xr:uid="{00000000-0005-0000-0000-000045290000}"/>
    <cellStyle name="Calculation 3 3 5 5 5" xfId="10574" xr:uid="{00000000-0005-0000-0000-000046290000}"/>
    <cellStyle name="Calculation 3 3 5 6" xfId="10575" xr:uid="{00000000-0005-0000-0000-000047290000}"/>
    <cellStyle name="Calculation 3 3 5 7" xfId="10576" xr:uid="{00000000-0005-0000-0000-000048290000}"/>
    <cellStyle name="Calculation 3 3 5 8" xfId="10577" xr:uid="{00000000-0005-0000-0000-000049290000}"/>
    <cellStyle name="Calculation 3 3 5 9" xfId="10578" xr:uid="{00000000-0005-0000-0000-00004A290000}"/>
    <cellStyle name="Calculation 3 3 6" xfId="10579" xr:uid="{00000000-0005-0000-0000-00004B290000}"/>
    <cellStyle name="Calculation 3 3 6 2" xfId="10580" xr:uid="{00000000-0005-0000-0000-00004C290000}"/>
    <cellStyle name="Calculation 3 3 6 2 2" xfId="10581" xr:uid="{00000000-0005-0000-0000-00004D290000}"/>
    <cellStyle name="Calculation 3 3 6 2 2 2" xfId="10582" xr:uid="{00000000-0005-0000-0000-00004E290000}"/>
    <cellStyle name="Calculation 3 3 6 2 2 3" xfId="10583" xr:uid="{00000000-0005-0000-0000-00004F290000}"/>
    <cellStyle name="Calculation 3 3 6 2 2 4" xfId="10584" xr:uid="{00000000-0005-0000-0000-000050290000}"/>
    <cellStyle name="Calculation 3 3 6 2 2 5" xfId="10585" xr:uid="{00000000-0005-0000-0000-000051290000}"/>
    <cellStyle name="Calculation 3 3 6 2 2 6" xfId="10586" xr:uid="{00000000-0005-0000-0000-000052290000}"/>
    <cellStyle name="Calculation 3 3 6 2 3" xfId="10587" xr:uid="{00000000-0005-0000-0000-000053290000}"/>
    <cellStyle name="Calculation 3 3 6 2 3 2" xfId="10588" xr:uid="{00000000-0005-0000-0000-000054290000}"/>
    <cellStyle name="Calculation 3 3 6 2 3 3" xfId="10589" xr:uid="{00000000-0005-0000-0000-000055290000}"/>
    <cellStyle name="Calculation 3 3 6 2 3 4" xfId="10590" xr:uid="{00000000-0005-0000-0000-000056290000}"/>
    <cellStyle name="Calculation 3 3 6 2 3 5" xfId="10591" xr:uid="{00000000-0005-0000-0000-000057290000}"/>
    <cellStyle name="Calculation 3 3 6 2 4" xfId="10592" xr:uid="{00000000-0005-0000-0000-000058290000}"/>
    <cellStyle name="Calculation 3 3 6 2 5" xfId="10593" xr:uid="{00000000-0005-0000-0000-000059290000}"/>
    <cellStyle name="Calculation 3 3 6 2 6" xfId="10594" xr:uid="{00000000-0005-0000-0000-00005A290000}"/>
    <cellStyle name="Calculation 3 3 6 2 7" xfId="10595" xr:uid="{00000000-0005-0000-0000-00005B290000}"/>
    <cellStyle name="Calculation 3 3 6 3" xfId="10596" xr:uid="{00000000-0005-0000-0000-00005C290000}"/>
    <cellStyle name="Calculation 3 3 6 3 2" xfId="10597" xr:uid="{00000000-0005-0000-0000-00005D290000}"/>
    <cellStyle name="Calculation 3 3 6 3 2 2" xfId="10598" xr:uid="{00000000-0005-0000-0000-00005E290000}"/>
    <cellStyle name="Calculation 3 3 6 3 2 3" xfId="10599" xr:uid="{00000000-0005-0000-0000-00005F290000}"/>
    <cellStyle name="Calculation 3 3 6 3 2 4" xfId="10600" xr:uid="{00000000-0005-0000-0000-000060290000}"/>
    <cellStyle name="Calculation 3 3 6 3 2 5" xfId="10601" xr:uid="{00000000-0005-0000-0000-000061290000}"/>
    <cellStyle name="Calculation 3 3 6 3 2 6" xfId="10602" xr:uid="{00000000-0005-0000-0000-000062290000}"/>
    <cellStyle name="Calculation 3 3 6 3 3" xfId="10603" xr:uid="{00000000-0005-0000-0000-000063290000}"/>
    <cellStyle name="Calculation 3 3 6 3 4" xfId="10604" xr:uid="{00000000-0005-0000-0000-000064290000}"/>
    <cellStyle name="Calculation 3 3 6 3 5" xfId="10605" xr:uid="{00000000-0005-0000-0000-000065290000}"/>
    <cellStyle name="Calculation 3 3 6 3 6" xfId="10606" xr:uid="{00000000-0005-0000-0000-000066290000}"/>
    <cellStyle name="Calculation 3 3 6 4" xfId="10607" xr:uid="{00000000-0005-0000-0000-000067290000}"/>
    <cellStyle name="Calculation 3 3 6 4 2" xfId="10608" xr:uid="{00000000-0005-0000-0000-000068290000}"/>
    <cellStyle name="Calculation 3 3 6 4 3" xfId="10609" xr:uid="{00000000-0005-0000-0000-000069290000}"/>
    <cellStyle name="Calculation 3 3 6 4 4" xfId="10610" xr:uid="{00000000-0005-0000-0000-00006A290000}"/>
    <cellStyle name="Calculation 3 3 6 4 5" xfId="10611" xr:uid="{00000000-0005-0000-0000-00006B290000}"/>
    <cellStyle name="Calculation 3 3 6 4 6" xfId="10612" xr:uid="{00000000-0005-0000-0000-00006C290000}"/>
    <cellStyle name="Calculation 3 3 6 5" xfId="10613" xr:uid="{00000000-0005-0000-0000-00006D290000}"/>
    <cellStyle name="Calculation 3 3 6 5 2" xfId="10614" xr:uid="{00000000-0005-0000-0000-00006E290000}"/>
    <cellStyle name="Calculation 3 3 6 5 3" xfId="10615" xr:uid="{00000000-0005-0000-0000-00006F290000}"/>
    <cellStyle name="Calculation 3 3 6 5 4" xfId="10616" xr:uid="{00000000-0005-0000-0000-000070290000}"/>
    <cellStyle name="Calculation 3 3 6 5 5" xfId="10617" xr:uid="{00000000-0005-0000-0000-000071290000}"/>
    <cellStyle name="Calculation 3 3 6 6" xfId="10618" xr:uid="{00000000-0005-0000-0000-000072290000}"/>
    <cellStyle name="Calculation 3 3 6 7" xfId="10619" xr:uid="{00000000-0005-0000-0000-000073290000}"/>
    <cellStyle name="Calculation 3 3 6 8" xfId="10620" xr:uid="{00000000-0005-0000-0000-000074290000}"/>
    <cellStyle name="Calculation 3 3 6 9" xfId="10621" xr:uid="{00000000-0005-0000-0000-000075290000}"/>
    <cellStyle name="Calculation 3 3 7" xfId="10622" xr:uid="{00000000-0005-0000-0000-000076290000}"/>
    <cellStyle name="Calculation 3 3 7 2" xfId="10623" xr:uid="{00000000-0005-0000-0000-000077290000}"/>
    <cellStyle name="Calculation 3 3 7 2 2" xfId="10624" xr:uid="{00000000-0005-0000-0000-000078290000}"/>
    <cellStyle name="Calculation 3 3 7 2 2 2" xfId="10625" xr:uid="{00000000-0005-0000-0000-000079290000}"/>
    <cellStyle name="Calculation 3 3 7 2 2 3" xfId="10626" xr:uid="{00000000-0005-0000-0000-00007A290000}"/>
    <cellStyle name="Calculation 3 3 7 2 2 4" xfId="10627" xr:uid="{00000000-0005-0000-0000-00007B290000}"/>
    <cellStyle name="Calculation 3 3 7 2 2 5" xfId="10628" xr:uid="{00000000-0005-0000-0000-00007C290000}"/>
    <cellStyle name="Calculation 3 3 7 2 2 6" xfId="10629" xr:uid="{00000000-0005-0000-0000-00007D290000}"/>
    <cellStyle name="Calculation 3 3 7 2 3" xfId="10630" xr:uid="{00000000-0005-0000-0000-00007E290000}"/>
    <cellStyle name="Calculation 3 3 7 2 3 2" xfId="10631" xr:uid="{00000000-0005-0000-0000-00007F290000}"/>
    <cellStyle name="Calculation 3 3 7 2 3 3" xfId="10632" xr:uid="{00000000-0005-0000-0000-000080290000}"/>
    <cellStyle name="Calculation 3 3 7 2 3 4" xfId="10633" xr:uid="{00000000-0005-0000-0000-000081290000}"/>
    <cellStyle name="Calculation 3 3 7 2 3 5" xfId="10634" xr:uid="{00000000-0005-0000-0000-000082290000}"/>
    <cellStyle name="Calculation 3 3 7 2 4" xfId="10635" xr:uid="{00000000-0005-0000-0000-000083290000}"/>
    <cellStyle name="Calculation 3 3 7 2 5" xfId="10636" xr:uid="{00000000-0005-0000-0000-000084290000}"/>
    <cellStyle name="Calculation 3 3 7 2 6" xfId="10637" xr:uid="{00000000-0005-0000-0000-000085290000}"/>
    <cellStyle name="Calculation 3 3 7 2 7" xfId="10638" xr:uid="{00000000-0005-0000-0000-000086290000}"/>
    <cellStyle name="Calculation 3 3 7 3" xfId="10639" xr:uid="{00000000-0005-0000-0000-000087290000}"/>
    <cellStyle name="Calculation 3 3 7 3 2" xfId="10640" xr:uid="{00000000-0005-0000-0000-000088290000}"/>
    <cellStyle name="Calculation 3 3 7 3 2 2" xfId="10641" xr:uid="{00000000-0005-0000-0000-000089290000}"/>
    <cellStyle name="Calculation 3 3 7 3 2 3" xfId="10642" xr:uid="{00000000-0005-0000-0000-00008A290000}"/>
    <cellStyle name="Calculation 3 3 7 3 2 4" xfId="10643" xr:uid="{00000000-0005-0000-0000-00008B290000}"/>
    <cellStyle name="Calculation 3 3 7 3 2 5" xfId="10644" xr:uid="{00000000-0005-0000-0000-00008C290000}"/>
    <cellStyle name="Calculation 3 3 7 3 2 6" xfId="10645" xr:uid="{00000000-0005-0000-0000-00008D290000}"/>
    <cellStyle name="Calculation 3 3 7 3 3" xfId="10646" xr:uid="{00000000-0005-0000-0000-00008E290000}"/>
    <cellStyle name="Calculation 3 3 7 3 4" xfId="10647" xr:uid="{00000000-0005-0000-0000-00008F290000}"/>
    <cellStyle name="Calculation 3 3 7 3 5" xfId="10648" xr:uid="{00000000-0005-0000-0000-000090290000}"/>
    <cellStyle name="Calculation 3 3 7 3 6" xfId="10649" xr:uid="{00000000-0005-0000-0000-000091290000}"/>
    <cellStyle name="Calculation 3 3 7 4" xfId="10650" xr:uid="{00000000-0005-0000-0000-000092290000}"/>
    <cellStyle name="Calculation 3 3 7 4 2" xfId="10651" xr:uid="{00000000-0005-0000-0000-000093290000}"/>
    <cellStyle name="Calculation 3 3 7 4 3" xfId="10652" xr:uid="{00000000-0005-0000-0000-000094290000}"/>
    <cellStyle name="Calculation 3 3 7 4 4" xfId="10653" xr:uid="{00000000-0005-0000-0000-000095290000}"/>
    <cellStyle name="Calculation 3 3 7 4 5" xfId="10654" xr:uid="{00000000-0005-0000-0000-000096290000}"/>
    <cellStyle name="Calculation 3 3 7 4 6" xfId="10655" xr:uid="{00000000-0005-0000-0000-000097290000}"/>
    <cellStyle name="Calculation 3 3 7 5" xfId="10656" xr:uid="{00000000-0005-0000-0000-000098290000}"/>
    <cellStyle name="Calculation 3 3 7 5 2" xfId="10657" xr:uid="{00000000-0005-0000-0000-000099290000}"/>
    <cellStyle name="Calculation 3 3 7 5 3" xfId="10658" xr:uid="{00000000-0005-0000-0000-00009A290000}"/>
    <cellStyle name="Calculation 3 3 7 5 4" xfId="10659" xr:uid="{00000000-0005-0000-0000-00009B290000}"/>
    <cellStyle name="Calculation 3 3 7 5 5" xfId="10660" xr:uid="{00000000-0005-0000-0000-00009C290000}"/>
    <cellStyle name="Calculation 3 3 7 6" xfId="10661" xr:uid="{00000000-0005-0000-0000-00009D290000}"/>
    <cellStyle name="Calculation 3 3 7 7" xfId="10662" xr:uid="{00000000-0005-0000-0000-00009E290000}"/>
    <cellStyle name="Calculation 3 3 7 8" xfId="10663" xr:uid="{00000000-0005-0000-0000-00009F290000}"/>
    <cellStyle name="Calculation 3 3 7 9" xfId="10664" xr:uid="{00000000-0005-0000-0000-0000A0290000}"/>
    <cellStyle name="Calculation 3 3 8" xfId="10665" xr:uid="{00000000-0005-0000-0000-0000A1290000}"/>
    <cellStyle name="Calculation 3 3 8 2" xfId="10666" xr:uid="{00000000-0005-0000-0000-0000A2290000}"/>
    <cellStyle name="Calculation 3 3 8 2 2" xfId="10667" xr:uid="{00000000-0005-0000-0000-0000A3290000}"/>
    <cellStyle name="Calculation 3 3 8 2 2 2" xfId="10668" xr:uid="{00000000-0005-0000-0000-0000A4290000}"/>
    <cellStyle name="Calculation 3 3 8 2 2 3" xfId="10669" xr:uid="{00000000-0005-0000-0000-0000A5290000}"/>
    <cellStyle name="Calculation 3 3 8 2 2 4" xfId="10670" xr:uid="{00000000-0005-0000-0000-0000A6290000}"/>
    <cellStyle name="Calculation 3 3 8 2 2 5" xfId="10671" xr:uid="{00000000-0005-0000-0000-0000A7290000}"/>
    <cellStyle name="Calculation 3 3 8 2 3" xfId="10672" xr:uid="{00000000-0005-0000-0000-0000A8290000}"/>
    <cellStyle name="Calculation 3 3 8 2 4" xfId="10673" xr:uid="{00000000-0005-0000-0000-0000A9290000}"/>
    <cellStyle name="Calculation 3 3 8 2 5" xfId="10674" xr:uid="{00000000-0005-0000-0000-0000AA290000}"/>
    <cellStyle name="Calculation 3 3 8 2 6" xfId="10675" xr:uid="{00000000-0005-0000-0000-0000AB290000}"/>
    <cellStyle name="Calculation 3 3 8 2 7" xfId="10676" xr:uid="{00000000-0005-0000-0000-0000AC290000}"/>
    <cellStyle name="Calculation 3 3 8 3" xfId="10677" xr:uid="{00000000-0005-0000-0000-0000AD290000}"/>
    <cellStyle name="Calculation 3 3 8 3 2" xfId="10678" xr:uid="{00000000-0005-0000-0000-0000AE290000}"/>
    <cellStyle name="Calculation 3 3 8 3 3" xfId="10679" xr:uid="{00000000-0005-0000-0000-0000AF290000}"/>
    <cellStyle name="Calculation 3 3 8 3 4" xfId="10680" xr:uid="{00000000-0005-0000-0000-0000B0290000}"/>
    <cellStyle name="Calculation 3 3 8 3 5" xfId="10681" xr:uid="{00000000-0005-0000-0000-0000B1290000}"/>
    <cellStyle name="Calculation 3 3 8 4" xfId="10682" xr:uid="{00000000-0005-0000-0000-0000B2290000}"/>
    <cellStyle name="Calculation 3 3 8 5" xfId="10683" xr:uid="{00000000-0005-0000-0000-0000B3290000}"/>
    <cellStyle name="Calculation 3 3 8 6" xfId="10684" xr:uid="{00000000-0005-0000-0000-0000B4290000}"/>
    <cellStyle name="Calculation 3 3 8 7" xfId="10685" xr:uid="{00000000-0005-0000-0000-0000B5290000}"/>
    <cellStyle name="Calculation 3 3 9" xfId="10686" xr:uid="{00000000-0005-0000-0000-0000B6290000}"/>
    <cellStyle name="Calculation 3 3 9 2" xfId="10687" xr:uid="{00000000-0005-0000-0000-0000B7290000}"/>
    <cellStyle name="Calculation 3 3 9 2 2" xfId="10688" xr:uid="{00000000-0005-0000-0000-0000B8290000}"/>
    <cellStyle name="Calculation 3 3 9 2 2 2" xfId="10689" xr:uid="{00000000-0005-0000-0000-0000B9290000}"/>
    <cellStyle name="Calculation 3 3 9 2 2 3" xfId="10690" xr:uid="{00000000-0005-0000-0000-0000BA290000}"/>
    <cellStyle name="Calculation 3 3 9 2 2 4" xfId="10691" xr:uid="{00000000-0005-0000-0000-0000BB290000}"/>
    <cellStyle name="Calculation 3 3 9 2 2 5" xfId="10692" xr:uid="{00000000-0005-0000-0000-0000BC290000}"/>
    <cellStyle name="Calculation 3 3 9 2 3" xfId="10693" xr:uid="{00000000-0005-0000-0000-0000BD290000}"/>
    <cellStyle name="Calculation 3 3 9 2 4" xfId="10694" xr:uid="{00000000-0005-0000-0000-0000BE290000}"/>
    <cellStyle name="Calculation 3 3 9 2 5" xfId="10695" xr:uid="{00000000-0005-0000-0000-0000BF290000}"/>
    <cellStyle name="Calculation 3 3 9 2 6" xfId="10696" xr:uid="{00000000-0005-0000-0000-0000C0290000}"/>
    <cellStyle name="Calculation 3 3 9 2 7" xfId="10697" xr:uid="{00000000-0005-0000-0000-0000C1290000}"/>
    <cellStyle name="Calculation 3 3 9 3" xfId="10698" xr:uid="{00000000-0005-0000-0000-0000C2290000}"/>
    <cellStyle name="Calculation 3 3 9 3 2" xfId="10699" xr:uid="{00000000-0005-0000-0000-0000C3290000}"/>
    <cellStyle name="Calculation 3 3 9 3 3" xfId="10700" xr:uid="{00000000-0005-0000-0000-0000C4290000}"/>
    <cellStyle name="Calculation 3 3 9 3 4" xfId="10701" xr:uid="{00000000-0005-0000-0000-0000C5290000}"/>
    <cellStyle name="Calculation 3 3 9 3 5" xfId="10702" xr:uid="{00000000-0005-0000-0000-0000C6290000}"/>
    <cellStyle name="Calculation 3 3 9 4" xfId="10703" xr:uid="{00000000-0005-0000-0000-0000C7290000}"/>
    <cellStyle name="Calculation 3 3 9 5" xfId="10704" xr:uid="{00000000-0005-0000-0000-0000C8290000}"/>
    <cellStyle name="Calculation 3 3 9 6" xfId="10705" xr:uid="{00000000-0005-0000-0000-0000C9290000}"/>
    <cellStyle name="Calculation 3 3 9 7" xfId="10706" xr:uid="{00000000-0005-0000-0000-0000CA290000}"/>
    <cellStyle name="Calculation 3 30" xfId="10707" xr:uid="{00000000-0005-0000-0000-0000CB290000}"/>
    <cellStyle name="Calculation 3 30 2" xfId="10708" xr:uid="{00000000-0005-0000-0000-0000CC290000}"/>
    <cellStyle name="Calculation 3 30 2 2" xfId="10709" xr:uid="{00000000-0005-0000-0000-0000CD290000}"/>
    <cellStyle name="Calculation 3 30 2 3" xfId="10710" xr:uid="{00000000-0005-0000-0000-0000CE290000}"/>
    <cellStyle name="Calculation 3 30 2 4" xfId="10711" xr:uid="{00000000-0005-0000-0000-0000CF290000}"/>
    <cellStyle name="Calculation 3 30 2 5" xfId="10712" xr:uid="{00000000-0005-0000-0000-0000D0290000}"/>
    <cellStyle name="Calculation 3 30 3" xfId="10713" xr:uid="{00000000-0005-0000-0000-0000D1290000}"/>
    <cellStyle name="Calculation 3 30 4" xfId="10714" xr:uid="{00000000-0005-0000-0000-0000D2290000}"/>
    <cellStyle name="Calculation 3 30 5" xfId="10715" xr:uid="{00000000-0005-0000-0000-0000D3290000}"/>
    <cellStyle name="Calculation 3 30 6" xfId="10716" xr:uid="{00000000-0005-0000-0000-0000D4290000}"/>
    <cellStyle name="Calculation 3 31" xfId="10717" xr:uid="{00000000-0005-0000-0000-0000D5290000}"/>
    <cellStyle name="Calculation 3 31 2" xfId="10718" xr:uid="{00000000-0005-0000-0000-0000D6290000}"/>
    <cellStyle name="Calculation 3 31 2 2" xfId="10719" xr:uid="{00000000-0005-0000-0000-0000D7290000}"/>
    <cellStyle name="Calculation 3 31 2 3" xfId="10720" xr:uid="{00000000-0005-0000-0000-0000D8290000}"/>
    <cellStyle name="Calculation 3 31 2 4" xfId="10721" xr:uid="{00000000-0005-0000-0000-0000D9290000}"/>
    <cellStyle name="Calculation 3 31 2 5" xfId="10722" xr:uid="{00000000-0005-0000-0000-0000DA290000}"/>
    <cellStyle name="Calculation 3 31 3" xfId="10723" xr:uid="{00000000-0005-0000-0000-0000DB290000}"/>
    <cellStyle name="Calculation 3 31 4" xfId="10724" xr:uid="{00000000-0005-0000-0000-0000DC290000}"/>
    <cellStyle name="Calculation 3 31 5" xfId="10725" xr:uid="{00000000-0005-0000-0000-0000DD290000}"/>
    <cellStyle name="Calculation 3 31 6" xfId="10726" xr:uid="{00000000-0005-0000-0000-0000DE290000}"/>
    <cellStyle name="Calculation 3 32" xfId="10727" xr:uid="{00000000-0005-0000-0000-0000DF290000}"/>
    <cellStyle name="Calculation 3 32 2" xfId="10728" xr:uid="{00000000-0005-0000-0000-0000E0290000}"/>
    <cellStyle name="Calculation 3 32 2 2" xfId="10729" xr:uid="{00000000-0005-0000-0000-0000E1290000}"/>
    <cellStyle name="Calculation 3 32 2 3" xfId="10730" xr:uid="{00000000-0005-0000-0000-0000E2290000}"/>
    <cellStyle name="Calculation 3 32 2 4" xfId="10731" xr:uid="{00000000-0005-0000-0000-0000E3290000}"/>
    <cellStyle name="Calculation 3 32 2 5" xfId="10732" xr:uid="{00000000-0005-0000-0000-0000E4290000}"/>
    <cellStyle name="Calculation 3 32 3" xfId="10733" xr:uid="{00000000-0005-0000-0000-0000E5290000}"/>
    <cellStyle name="Calculation 3 32 4" xfId="10734" xr:uid="{00000000-0005-0000-0000-0000E6290000}"/>
    <cellStyle name="Calculation 3 32 5" xfId="10735" xr:uid="{00000000-0005-0000-0000-0000E7290000}"/>
    <cellStyle name="Calculation 3 32 6" xfId="10736" xr:uid="{00000000-0005-0000-0000-0000E8290000}"/>
    <cellStyle name="Calculation 3 33" xfId="10737" xr:uid="{00000000-0005-0000-0000-0000E9290000}"/>
    <cellStyle name="Calculation 3 33 2" xfId="10738" xr:uid="{00000000-0005-0000-0000-0000EA290000}"/>
    <cellStyle name="Calculation 3 33 2 2" xfId="10739" xr:uid="{00000000-0005-0000-0000-0000EB290000}"/>
    <cellStyle name="Calculation 3 33 2 3" xfId="10740" xr:uid="{00000000-0005-0000-0000-0000EC290000}"/>
    <cellStyle name="Calculation 3 33 2 4" xfId="10741" xr:uid="{00000000-0005-0000-0000-0000ED290000}"/>
    <cellStyle name="Calculation 3 33 2 5" xfId="10742" xr:uid="{00000000-0005-0000-0000-0000EE290000}"/>
    <cellStyle name="Calculation 3 33 3" xfId="10743" xr:uid="{00000000-0005-0000-0000-0000EF290000}"/>
    <cellStyle name="Calculation 3 33 4" xfId="10744" xr:uid="{00000000-0005-0000-0000-0000F0290000}"/>
    <cellStyle name="Calculation 3 33 5" xfId="10745" xr:uid="{00000000-0005-0000-0000-0000F1290000}"/>
    <cellStyle name="Calculation 3 33 6" xfId="10746" xr:uid="{00000000-0005-0000-0000-0000F2290000}"/>
    <cellStyle name="Calculation 3 34" xfId="10747" xr:uid="{00000000-0005-0000-0000-0000F3290000}"/>
    <cellStyle name="Calculation 3 34 2" xfId="10748" xr:uid="{00000000-0005-0000-0000-0000F4290000}"/>
    <cellStyle name="Calculation 3 34 2 2" xfId="10749" xr:uid="{00000000-0005-0000-0000-0000F5290000}"/>
    <cellStyle name="Calculation 3 34 2 3" xfId="10750" xr:uid="{00000000-0005-0000-0000-0000F6290000}"/>
    <cellStyle name="Calculation 3 34 2 4" xfId="10751" xr:uid="{00000000-0005-0000-0000-0000F7290000}"/>
    <cellStyle name="Calculation 3 34 2 5" xfId="10752" xr:uid="{00000000-0005-0000-0000-0000F8290000}"/>
    <cellStyle name="Calculation 3 34 3" xfId="10753" xr:uid="{00000000-0005-0000-0000-0000F9290000}"/>
    <cellStyle name="Calculation 3 34 4" xfId="10754" xr:uid="{00000000-0005-0000-0000-0000FA290000}"/>
    <cellStyle name="Calculation 3 34 5" xfId="10755" xr:uid="{00000000-0005-0000-0000-0000FB290000}"/>
    <cellStyle name="Calculation 3 34 6" xfId="10756" xr:uid="{00000000-0005-0000-0000-0000FC290000}"/>
    <cellStyle name="Calculation 3 35" xfId="10757" xr:uid="{00000000-0005-0000-0000-0000FD290000}"/>
    <cellStyle name="Calculation 3 35 2" xfId="10758" xr:uid="{00000000-0005-0000-0000-0000FE290000}"/>
    <cellStyle name="Calculation 3 35 2 2" xfId="10759" xr:uid="{00000000-0005-0000-0000-0000FF290000}"/>
    <cellStyle name="Calculation 3 35 2 3" xfId="10760" xr:uid="{00000000-0005-0000-0000-0000002A0000}"/>
    <cellStyle name="Calculation 3 35 2 4" xfId="10761" xr:uid="{00000000-0005-0000-0000-0000012A0000}"/>
    <cellStyle name="Calculation 3 35 2 5" xfId="10762" xr:uid="{00000000-0005-0000-0000-0000022A0000}"/>
    <cellStyle name="Calculation 3 35 3" xfId="10763" xr:uid="{00000000-0005-0000-0000-0000032A0000}"/>
    <cellStyle name="Calculation 3 35 4" xfId="10764" xr:uid="{00000000-0005-0000-0000-0000042A0000}"/>
    <cellStyle name="Calculation 3 35 5" xfId="10765" xr:uid="{00000000-0005-0000-0000-0000052A0000}"/>
    <cellStyle name="Calculation 3 35 6" xfId="10766" xr:uid="{00000000-0005-0000-0000-0000062A0000}"/>
    <cellStyle name="Calculation 3 36" xfId="10767" xr:uid="{00000000-0005-0000-0000-0000072A0000}"/>
    <cellStyle name="Calculation 3 36 2" xfId="10768" xr:uid="{00000000-0005-0000-0000-0000082A0000}"/>
    <cellStyle name="Calculation 3 36 2 2" xfId="10769" xr:uid="{00000000-0005-0000-0000-0000092A0000}"/>
    <cellStyle name="Calculation 3 36 2 3" xfId="10770" xr:uid="{00000000-0005-0000-0000-00000A2A0000}"/>
    <cellStyle name="Calculation 3 36 2 4" xfId="10771" xr:uid="{00000000-0005-0000-0000-00000B2A0000}"/>
    <cellStyle name="Calculation 3 36 2 5" xfId="10772" xr:uid="{00000000-0005-0000-0000-00000C2A0000}"/>
    <cellStyle name="Calculation 3 36 3" xfId="10773" xr:uid="{00000000-0005-0000-0000-00000D2A0000}"/>
    <cellStyle name="Calculation 3 36 4" xfId="10774" xr:uid="{00000000-0005-0000-0000-00000E2A0000}"/>
    <cellStyle name="Calculation 3 36 5" xfId="10775" xr:uid="{00000000-0005-0000-0000-00000F2A0000}"/>
    <cellStyle name="Calculation 3 36 6" xfId="10776" xr:uid="{00000000-0005-0000-0000-0000102A0000}"/>
    <cellStyle name="Calculation 3 37" xfId="10777" xr:uid="{00000000-0005-0000-0000-0000112A0000}"/>
    <cellStyle name="Calculation 3 37 2" xfId="10778" xr:uid="{00000000-0005-0000-0000-0000122A0000}"/>
    <cellStyle name="Calculation 3 37 2 2" xfId="10779" xr:uid="{00000000-0005-0000-0000-0000132A0000}"/>
    <cellStyle name="Calculation 3 37 2 3" xfId="10780" xr:uid="{00000000-0005-0000-0000-0000142A0000}"/>
    <cellStyle name="Calculation 3 37 2 4" xfId="10781" xr:uid="{00000000-0005-0000-0000-0000152A0000}"/>
    <cellStyle name="Calculation 3 37 2 5" xfId="10782" xr:uid="{00000000-0005-0000-0000-0000162A0000}"/>
    <cellStyle name="Calculation 3 37 3" xfId="10783" xr:uid="{00000000-0005-0000-0000-0000172A0000}"/>
    <cellStyle name="Calculation 3 37 4" xfId="10784" xr:uid="{00000000-0005-0000-0000-0000182A0000}"/>
    <cellStyle name="Calculation 3 37 5" xfId="10785" xr:uid="{00000000-0005-0000-0000-0000192A0000}"/>
    <cellStyle name="Calculation 3 37 6" xfId="10786" xr:uid="{00000000-0005-0000-0000-00001A2A0000}"/>
    <cellStyle name="Calculation 3 38" xfId="10787" xr:uid="{00000000-0005-0000-0000-00001B2A0000}"/>
    <cellStyle name="Calculation 3 38 2" xfId="10788" xr:uid="{00000000-0005-0000-0000-00001C2A0000}"/>
    <cellStyle name="Calculation 3 38 2 2" xfId="10789" xr:uid="{00000000-0005-0000-0000-00001D2A0000}"/>
    <cellStyle name="Calculation 3 38 2 3" xfId="10790" xr:uid="{00000000-0005-0000-0000-00001E2A0000}"/>
    <cellStyle name="Calculation 3 38 2 4" xfId="10791" xr:uid="{00000000-0005-0000-0000-00001F2A0000}"/>
    <cellStyle name="Calculation 3 38 2 5" xfId="10792" xr:uid="{00000000-0005-0000-0000-0000202A0000}"/>
    <cellStyle name="Calculation 3 38 3" xfId="10793" xr:uid="{00000000-0005-0000-0000-0000212A0000}"/>
    <cellStyle name="Calculation 3 38 4" xfId="10794" xr:uid="{00000000-0005-0000-0000-0000222A0000}"/>
    <cellStyle name="Calculation 3 38 5" xfId="10795" xr:uid="{00000000-0005-0000-0000-0000232A0000}"/>
    <cellStyle name="Calculation 3 38 6" xfId="10796" xr:uid="{00000000-0005-0000-0000-0000242A0000}"/>
    <cellStyle name="Calculation 3 39" xfId="10797" xr:uid="{00000000-0005-0000-0000-0000252A0000}"/>
    <cellStyle name="Calculation 3 39 2" xfId="10798" xr:uid="{00000000-0005-0000-0000-0000262A0000}"/>
    <cellStyle name="Calculation 3 39 2 2" xfId="10799" xr:uid="{00000000-0005-0000-0000-0000272A0000}"/>
    <cellStyle name="Calculation 3 39 2 3" xfId="10800" xr:uid="{00000000-0005-0000-0000-0000282A0000}"/>
    <cellStyle name="Calculation 3 39 2 4" xfId="10801" xr:uid="{00000000-0005-0000-0000-0000292A0000}"/>
    <cellStyle name="Calculation 3 39 2 5" xfId="10802" xr:uid="{00000000-0005-0000-0000-00002A2A0000}"/>
    <cellStyle name="Calculation 3 39 3" xfId="10803" xr:uid="{00000000-0005-0000-0000-00002B2A0000}"/>
    <cellStyle name="Calculation 3 39 4" xfId="10804" xr:uid="{00000000-0005-0000-0000-00002C2A0000}"/>
    <cellStyle name="Calculation 3 39 5" xfId="10805" xr:uid="{00000000-0005-0000-0000-00002D2A0000}"/>
    <cellStyle name="Calculation 3 39 6" xfId="10806" xr:uid="{00000000-0005-0000-0000-00002E2A0000}"/>
    <cellStyle name="Calculation 3 4" xfId="10807" xr:uid="{00000000-0005-0000-0000-00002F2A0000}"/>
    <cellStyle name="Calculation 3 4 10" xfId="10808" xr:uid="{00000000-0005-0000-0000-0000302A0000}"/>
    <cellStyle name="Calculation 3 4 10 2" xfId="10809" xr:uid="{00000000-0005-0000-0000-0000312A0000}"/>
    <cellStyle name="Calculation 3 4 10 3" xfId="10810" xr:uid="{00000000-0005-0000-0000-0000322A0000}"/>
    <cellStyle name="Calculation 3 4 10 4" xfId="10811" xr:uid="{00000000-0005-0000-0000-0000332A0000}"/>
    <cellStyle name="Calculation 3 4 10 5" xfId="10812" xr:uid="{00000000-0005-0000-0000-0000342A0000}"/>
    <cellStyle name="Calculation 3 4 11" xfId="10813" xr:uid="{00000000-0005-0000-0000-0000352A0000}"/>
    <cellStyle name="Calculation 3 4 12" xfId="10814" xr:uid="{00000000-0005-0000-0000-0000362A0000}"/>
    <cellStyle name="Calculation 3 4 13" xfId="10815" xr:uid="{00000000-0005-0000-0000-0000372A0000}"/>
    <cellStyle name="Calculation 3 4 14" xfId="10816" xr:uid="{00000000-0005-0000-0000-0000382A0000}"/>
    <cellStyle name="Calculation 3 4 2" xfId="10817" xr:uid="{00000000-0005-0000-0000-0000392A0000}"/>
    <cellStyle name="Calculation 3 4 2 2" xfId="10818" xr:uid="{00000000-0005-0000-0000-00003A2A0000}"/>
    <cellStyle name="Calculation 3 4 2 2 2" xfId="10819" xr:uid="{00000000-0005-0000-0000-00003B2A0000}"/>
    <cellStyle name="Calculation 3 4 2 2 2 2" xfId="10820" xr:uid="{00000000-0005-0000-0000-00003C2A0000}"/>
    <cellStyle name="Calculation 3 4 2 2 2 3" xfId="10821" xr:uid="{00000000-0005-0000-0000-00003D2A0000}"/>
    <cellStyle name="Calculation 3 4 2 2 2 4" xfId="10822" xr:uid="{00000000-0005-0000-0000-00003E2A0000}"/>
    <cellStyle name="Calculation 3 4 2 2 2 5" xfId="10823" xr:uid="{00000000-0005-0000-0000-00003F2A0000}"/>
    <cellStyle name="Calculation 3 4 2 2 2 6" xfId="10824" xr:uid="{00000000-0005-0000-0000-0000402A0000}"/>
    <cellStyle name="Calculation 3 4 2 2 3" xfId="10825" xr:uid="{00000000-0005-0000-0000-0000412A0000}"/>
    <cellStyle name="Calculation 3 4 2 2 4" xfId="10826" xr:uid="{00000000-0005-0000-0000-0000422A0000}"/>
    <cellStyle name="Calculation 3 4 2 2 5" xfId="10827" xr:uid="{00000000-0005-0000-0000-0000432A0000}"/>
    <cellStyle name="Calculation 3 4 2 2 6" xfId="10828" xr:uid="{00000000-0005-0000-0000-0000442A0000}"/>
    <cellStyle name="Calculation 3 4 2 3" xfId="10829" xr:uid="{00000000-0005-0000-0000-0000452A0000}"/>
    <cellStyle name="Calculation 3 4 2 3 2" xfId="10830" xr:uid="{00000000-0005-0000-0000-0000462A0000}"/>
    <cellStyle name="Calculation 3 4 2 3 2 2" xfId="10831" xr:uid="{00000000-0005-0000-0000-0000472A0000}"/>
    <cellStyle name="Calculation 3 4 2 3 2 3" xfId="10832" xr:uid="{00000000-0005-0000-0000-0000482A0000}"/>
    <cellStyle name="Calculation 3 4 2 3 2 4" xfId="10833" xr:uid="{00000000-0005-0000-0000-0000492A0000}"/>
    <cellStyle name="Calculation 3 4 2 3 2 5" xfId="10834" xr:uid="{00000000-0005-0000-0000-00004A2A0000}"/>
    <cellStyle name="Calculation 3 4 2 3 2 6" xfId="10835" xr:uid="{00000000-0005-0000-0000-00004B2A0000}"/>
    <cellStyle name="Calculation 3 4 2 3 3" xfId="10836" xr:uid="{00000000-0005-0000-0000-00004C2A0000}"/>
    <cellStyle name="Calculation 3 4 2 3 4" xfId="10837" xr:uid="{00000000-0005-0000-0000-00004D2A0000}"/>
    <cellStyle name="Calculation 3 4 2 3 5" xfId="10838" xr:uid="{00000000-0005-0000-0000-00004E2A0000}"/>
    <cellStyle name="Calculation 3 4 2 3 6" xfId="10839" xr:uid="{00000000-0005-0000-0000-00004F2A0000}"/>
    <cellStyle name="Calculation 3 4 2 4" xfId="10840" xr:uid="{00000000-0005-0000-0000-0000502A0000}"/>
    <cellStyle name="Calculation 3 4 2 4 2" xfId="10841" xr:uid="{00000000-0005-0000-0000-0000512A0000}"/>
    <cellStyle name="Calculation 3 4 2 4 3" xfId="10842" xr:uid="{00000000-0005-0000-0000-0000522A0000}"/>
    <cellStyle name="Calculation 3 4 2 4 4" xfId="10843" xr:uid="{00000000-0005-0000-0000-0000532A0000}"/>
    <cellStyle name="Calculation 3 4 2 4 5" xfId="10844" xr:uid="{00000000-0005-0000-0000-0000542A0000}"/>
    <cellStyle name="Calculation 3 4 2 4 6" xfId="10845" xr:uid="{00000000-0005-0000-0000-0000552A0000}"/>
    <cellStyle name="Calculation 3 4 2 5" xfId="10846" xr:uid="{00000000-0005-0000-0000-0000562A0000}"/>
    <cellStyle name="Calculation 3 4 2 5 2" xfId="10847" xr:uid="{00000000-0005-0000-0000-0000572A0000}"/>
    <cellStyle name="Calculation 3 4 2 5 3" xfId="10848" xr:uid="{00000000-0005-0000-0000-0000582A0000}"/>
    <cellStyle name="Calculation 3 4 2 5 4" xfId="10849" xr:uid="{00000000-0005-0000-0000-0000592A0000}"/>
    <cellStyle name="Calculation 3 4 2 5 5" xfId="10850" xr:uid="{00000000-0005-0000-0000-00005A2A0000}"/>
    <cellStyle name="Calculation 3 4 2 6" xfId="10851" xr:uid="{00000000-0005-0000-0000-00005B2A0000}"/>
    <cellStyle name="Calculation 3 4 2 7" xfId="10852" xr:uid="{00000000-0005-0000-0000-00005C2A0000}"/>
    <cellStyle name="Calculation 3 4 2 8" xfId="10853" xr:uid="{00000000-0005-0000-0000-00005D2A0000}"/>
    <cellStyle name="Calculation 3 4 2 9" xfId="10854" xr:uid="{00000000-0005-0000-0000-00005E2A0000}"/>
    <cellStyle name="Calculation 3 4 3" xfId="10855" xr:uid="{00000000-0005-0000-0000-00005F2A0000}"/>
    <cellStyle name="Calculation 3 4 3 2" xfId="10856" xr:uid="{00000000-0005-0000-0000-0000602A0000}"/>
    <cellStyle name="Calculation 3 4 3 2 2" xfId="10857" xr:uid="{00000000-0005-0000-0000-0000612A0000}"/>
    <cellStyle name="Calculation 3 4 3 2 2 2" xfId="10858" xr:uid="{00000000-0005-0000-0000-0000622A0000}"/>
    <cellStyle name="Calculation 3 4 3 2 2 3" xfId="10859" xr:uid="{00000000-0005-0000-0000-0000632A0000}"/>
    <cellStyle name="Calculation 3 4 3 2 2 4" xfId="10860" xr:uid="{00000000-0005-0000-0000-0000642A0000}"/>
    <cellStyle name="Calculation 3 4 3 2 2 5" xfId="10861" xr:uid="{00000000-0005-0000-0000-0000652A0000}"/>
    <cellStyle name="Calculation 3 4 3 2 2 6" xfId="10862" xr:uid="{00000000-0005-0000-0000-0000662A0000}"/>
    <cellStyle name="Calculation 3 4 3 2 3" xfId="10863" xr:uid="{00000000-0005-0000-0000-0000672A0000}"/>
    <cellStyle name="Calculation 3 4 3 2 4" xfId="10864" xr:uid="{00000000-0005-0000-0000-0000682A0000}"/>
    <cellStyle name="Calculation 3 4 3 2 5" xfId="10865" xr:uid="{00000000-0005-0000-0000-0000692A0000}"/>
    <cellStyle name="Calculation 3 4 3 2 6" xfId="10866" xr:uid="{00000000-0005-0000-0000-00006A2A0000}"/>
    <cellStyle name="Calculation 3 4 3 3" xfId="10867" xr:uid="{00000000-0005-0000-0000-00006B2A0000}"/>
    <cellStyle name="Calculation 3 4 3 3 2" xfId="10868" xr:uid="{00000000-0005-0000-0000-00006C2A0000}"/>
    <cellStyle name="Calculation 3 4 3 3 2 2" xfId="10869" xr:uid="{00000000-0005-0000-0000-00006D2A0000}"/>
    <cellStyle name="Calculation 3 4 3 3 2 3" xfId="10870" xr:uid="{00000000-0005-0000-0000-00006E2A0000}"/>
    <cellStyle name="Calculation 3 4 3 3 2 4" xfId="10871" xr:uid="{00000000-0005-0000-0000-00006F2A0000}"/>
    <cellStyle name="Calculation 3 4 3 3 2 5" xfId="10872" xr:uid="{00000000-0005-0000-0000-0000702A0000}"/>
    <cellStyle name="Calculation 3 4 3 3 2 6" xfId="10873" xr:uid="{00000000-0005-0000-0000-0000712A0000}"/>
    <cellStyle name="Calculation 3 4 3 3 3" xfId="10874" xr:uid="{00000000-0005-0000-0000-0000722A0000}"/>
    <cellStyle name="Calculation 3 4 3 3 4" xfId="10875" xr:uid="{00000000-0005-0000-0000-0000732A0000}"/>
    <cellStyle name="Calculation 3 4 3 3 5" xfId="10876" xr:uid="{00000000-0005-0000-0000-0000742A0000}"/>
    <cellStyle name="Calculation 3 4 3 3 6" xfId="10877" xr:uid="{00000000-0005-0000-0000-0000752A0000}"/>
    <cellStyle name="Calculation 3 4 3 4" xfId="10878" xr:uid="{00000000-0005-0000-0000-0000762A0000}"/>
    <cellStyle name="Calculation 3 4 3 4 2" xfId="10879" xr:uid="{00000000-0005-0000-0000-0000772A0000}"/>
    <cellStyle name="Calculation 3 4 3 4 3" xfId="10880" xr:uid="{00000000-0005-0000-0000-0000782A0000}"/>
    <cellStyle name="Calculation 3 4 3 4 4" xfId="10881" xr:uid="{00000000-0005-0000-0000-0000792A0000}"/>
    <cellStyle name="Calculation 3 4 3 4 5" xfId="10882" xr:uid="{00000000-0005-0000-0000-00007A2A0000}"/>
    <cellStyle name="Calculation 3 4 3 4 6" xfId="10883" xr:uid="{00000000-0005-0000-0000-00007B2A0000}"/>
    <cellStyle name="Calculation 3 4 3 5" xfId="10884" xr:uid="{00000000-0005-0000-0000-00007C2A0000}"/>
    <cellStyle name="Calculation 3 4 3 6" xfId="10885" xr:uid="{00000000-0005-0000-0000-00007D2A0000}"/>
    <cellStyle name="Calculation 3 4 3 7" xfId="10886" xr:uid="{00000000-0005-0000-0000-00007E2A0000}"/>
    <cellStyle name="Calculation 3 4 3 8" xfId="10887" xr:uid="{00000000-0005-0000-0000-00007F2A0000}"/>
    <cellStyle name="Calculation 3 4 4" xfId="10888" xr:uid="{00000000-0005-0000-0000-0000802A0000}"/>
    <cellStyle name="Calculation 3 4 4 2" xfId="10889" xr:uid="{00000000-0005-0000-0000-0000812A0000}"/>
    <cellStyle name="Calculation 3 4 4 2 2" xfId="10890" xr:uid="{00000000-0005-0000-0000-0000822A0000}"/>
    <cellStyle name="Calculation 3 4 4 2 2 2" xfId="10891" xr:uid="{00000000-0005-0000-0000-0000832A0000}"/>
    <cellStyle name="Calculation 3 4 4 2 2 3" xfId="10892" xr:uid="{00000000-0005-0000-0000-0000842A0000}"/>
    <cellStyle name="Calculation 3 4 4 2 2 4" xfId="10893" xr:uid="{00000000-0005-0000-0000-0000852A0000}"/>
    <cellStyle name="Calculation 3 4 4 2 2 5" xfId="10894" xr:uid="{00000000-0005-0000-0000-0000862A0000}"/>
    <cellStyle name="Calculation 3 4 4 2 2 6" xfId="10895" xr:uid="{00000000-0005-0000-0000-0000872A0000}"/>
    <cellStyle name="Calculation 3 4 4 2 3" xfId="10896" xr:uid="{00000000-0005-0000-0000-0000882A0000}"/>
    <cellStyle name="Calculation 3 4 4 2 4" xfId="10897" xr:uid="{00000000-0005-0000-0000-0000892A0000}"/>
    <cellStyle name="Calculation 3 4 4 2 5" xfId="10898" xr:uid="{00000000-0005-0000-0000-00008A2A0000}"/>
    <cellStyle name="Calculation 3 4 4 2 6" xfId="10899" xr:uid="{00000000-0005-0000-0000-00008B2A0000}"/>
    <cellStyle name="Calculation 3 4 4 3" xfId="10900" xr:uid="{00000000-0005-0000-0000-00008C2A0000}"/>
    <cellStyle name="Calculation 3 4 4 3 2" xfId="10901" xr:uid="{00000000-0005-0000-0000-00008D2A0000}"/>
    <cellStyle name="Calculation 3 4 4 3 2 2" xfId="10902" xr:uid="{00000000-0005-0000-0000-00008E2A0000}"/>
    <cellStyle name="Calculation 3 4 4 3 2 3" xfId="10903" xr:uid="{00000000-0005-0000-0000-00008F2A0000}"/>
    <cellStyle name="Calculation 3 4 4 3 2 4" xfId="10904" xr:uid="{00000000-0005-0000-0000-0000902A0000}"/>
    <cellStyle name="Calculation 3 4 4 3 2 5" xfId="10905" xr:uid="{00000000-0005-0000-0000-0000912A0000}"/>
    <cellStyle name="Calculation 3 4 4 3 2 6" xfId="10906" xr:uid="{00000000-0005-0000-0000-0000922A0000}"/>
    <cellStyle name="Calculation 3 4 4 3 3" xfId="10907" xr:uid="{00000000-0005-0000-0000-0000932A0000}"/>
    <cellStyle name="Calculation 3 4 4 3 4" xfId="10908" xr:uid="{00000000-0005-0000-0000-0000942A0000}"/>
    <cellStyle name="Calculation 3 4 4 3 5" xfId="10909" xr:uid="{00000000-0005-0000-0000-0000952A0000}"/>
    <cellStyle name="Calculation 3 4 4 3 6" xfId="10910" xr:uid="{00000000-0005-0000-0000-0000962A0000}"/>
    <cellStyle name="Calculation 3 4 4 4" xfId="10911" xr:uid="{00000000-0005-0000-0000-0000972A0000}"/>
    <cellStyle name="Calculation 3 4 4 4 2" xfId="10912" xr:uid="{00000000-0005-0000-0000-0000982A0000}"/>
    <cellStyle name="Calculation 3 4 4 4 3" xfId="10913" xr:uid="{00000000-0005-0000-0000-0000992A0000}"/>
    <cellStyle name="Calculation 3 4 4 4 4" xfId="10914" xr:uid="{00000000-0005-0000-0000-00009A2A0000}"/>
    <cellStyle name="Calculation 3 4 4 4 5" xfId="10915" xr:uid="{00000000-0005-0000-0000-00009B2A0000}"/>
    <cellStyle name="Calculation 3 4 4 4 6" xfId="10916" xr:uid="{00000000-0005-0000-0000-00009C2A0000}"/>
    <cellStyle name="Calculation 3 4 4 5" xfId="10917" xr:uid="{00000000-0005-0000-0000-00009D2A0000}"/>
    <cellStyle name="Calculation 3 4 4 6" xfId="10918" xr:uid="{00000000-0005-0000-0000-00009E2A0000}"/>
    <cellStyle name="Calculation 3 4 4 7" xfId="10919" xr:uid="{00000000-0005-0000-0000-00009F2A0000}"/>
    <cellStyle name="Calculation 3 4 4 8" xfId="10920" xr:uid="{00000000-0005-0000-0000-0000A02A0000}"/>
    <cellStyle name="Calculation 3 4 5" xfId="10921" xr:uid="{00000000-0005-0000-0000-0000A12A0000}"/>
    <cellStyle name="Calculation 3 4 5 2" xfId="10922" xr:uid="{00000000-0005-0000-0000-0000A22A0000}"/>
    <cellStyle name="Calculation 3 4 5 2 2" xfId="10923" xr:uid="{00000000-0005-0000-0000-0000A32A0000}"/>
    <cellStyle name="Calculation 3 4 5 2 2 2" xfId="10924" xr:uid="{00000000-0005-0000-0000-0000A42A0000}"/>
    <cellStyle name="Calculation 3 4 5 2 2 3" xfId="10925" xr:uid="{00000000-0005-0000-0000-0000A52A0000}"/>
    <cellStyle name="Calculation 3 4 5 2 2 4" xfId="10926" xr:uid="{00000000-0005-0000-0000-0000A62A0000}"/>
    <cellStyle name="Calculation 3 4 5 2 2 5" xfId="10927" xr:uid="{00000000-0005-0000-0000-0000A72A0000}"/>
    <cellStyle name="Calculation 3 4 5 2 2 6" xfId="10928" xr:uid="{00000000-0005-0000-0000-0000A82A0000}"/>
    <cellStyle name="Calculation 3 4 5 2 3" xfId="10929" xr:uid="{00000000-0005-0000-0000-0000A92A0000}"/>
    <cellStyle name="Calculation 3 4 5 2 4" xfId="10930" xr:uid="{00000000-0005-0000-0000-0000AA2A0000}"/>
    <cellStyle name="Calculation 3 4 5 2 5" xfId="10931" xr:uid="{00000000-0005-0000-0000-0000AB2A0000}"/>
    <cellStyle name="Calculation 3 4 5 2 6" xfId="10932" xr:uid="{00000000-0005-0000-0000-0000AC2A0000}"/>
    <cellStyle name="Calculation 3 4 5 3" xfId="10933" xr:uid="{00000000-0005-0000-0000-0000AD2A0000}"/>
    <cellStyle name="Calculation 3 4 5 3 2" xfId="10934" xr:uid="{00000000-0005-0000-0000-0000AE2A0000}"/>
    <cellStyle name="Calculation 3 4 5 3 2 2" xfId="10935" xr:uid="{00000000-0005-0000-0000-0000AF2A0000}"/>
    <cellStyle name="Calculation 3 4 5 3 2 3" xfId="10936" xr:uid="{00000000-0005-0000-0000-0000B02A0000}"/>
    <cellStyle name="Calculation 3 4 5 3 2 4" xfId="10937" xr:uid="{00000000-0005-0000-0000-0000B12A0000}"/>
    <cellStyle name="Calculation 3 4 5 3 2 5" xfId="10938" xr:uid="{00000000-0005-0000-0000-0000B22A0000}"/>
    <cellStyle name="Calculation 3 4 5 3 2 6" xfId="10939" xr:uid="{00000000-0005-0000-0000-0000B32A0000}"/>
    <cellStyle name="Calculation 3 4 5 3 3" xfId="10940" xr:uid="{00000000-0005-0000-0000-0000B42A0000}"/>
    <cellStyle name="Calculation 3 4 5 3 4" xfId="10941" xr:uid="{00000000-0005-0000-0000-0000B52A0000}"/>
    <cellStyle name="Calculation 3 4 5 3 5" xfId="10942" xr:uid="{00000000-0005-0000-0000-0000B62A0000}"/>
    <cellStyle name="Calculation 3 4 5 3 6" xfId="10943" xr:uid="{00000000-0005-0000-0000-0000B72A0000}"/>
    <cellStyle name="Calculation 3 4 5 4" xfId="10944" xr:uid="{00000000-0005-0000-0000-0000B82A0000}"/>
    <cellStyle name="Calculation 3 4 5 4 2" xfId="10945" xr:uid="{00000000-0005-0000-0000-0000B92A0000}"/>
    <cellStyle name="Calculation 3 4 5 4 3" xfId="10946" xr:uid="{00000000-0005-0000-0000-0000BA2A0000}"/>
    <cellStyle name="Calculation 3 4 5 4 4" xfId="10947" xr:uid="{00000000-0005-0000-0000-0000BB2A0000}"/>
    <cellStyle name="Calculation 3 4 5 4 5" xfId="10948" xr:uid="{00000000-0005-0000-0000-0000BC2A0000}"/>
    <cellStyle name="Calculation 3 4 5 4 6" xfId="10949" xr:uid="{00000000-0005-0000-0000-0000BD2A0000}"/>
    <cellStyle name="Calculation 3 4 5 5" xfId="10950" xr:uid="{00000000-0005-0000-0000-0000BE2A0000}"/>
    <cellStyle name="Calculation 3 4 5 6" xfId="10951" xr:uid="{00000000-0005-0000-0000-0000BF2A0000}"/>
    <cellStyle name="Calculation 3 4 5 7" xfId="10952" xr:uid="{00000000-0005-0000-0000-0000C02A0000}"/>
    <cellStyle name="Calculation 3 4 5 8" xfId="10953" xr:uid="{00000000-0005-0000-0000-0000C12A0000}"/>
    <cellStyle name="Calculation 3 4 6" xfId="10954" xr:uid="{00000000-0005-0000-0000-0000C22A0000}"/>
    <cellStyle name="Calculation 3 4 6 2" xfId="10955" xr:uid="{00000000-0005-0000-0000-0000C32A0000}"/>
    <cellStyle name="Calculation 3 4 6 2 2" xfId="10956" xr:uid="{00000000-0005-0000-0000-0000C42A0000}"/>
    <cellStyle name="Calculation 3 4 6 2 2 2" xfId="10957" xr:uid="{00000000-0005-0000-0000-0000C52A0000}"/>
    <cellStyle name="Calculation 3 4 6 2 2 3" xfId="10958" xr:uid="{00000000-0005-0000-0000-0000C62A0000}"/>
    <cellStyle name="Calculation 3 4 6 2 2 4" xfId="10959" xr:uid="{00000000-0005-0000-0000-0000C72A0000}"/>
    <cellStyle name="Calculation 3 4 6 2 2 5" xfId="10960" xr:uid="{00000000-0005-0000-0000-0000C82A0000}"/>
    <cellStyle name="Calculation 3 4 6 2 2 6" xfId="10961" xr:uid="{00000000-0005-0000-0000-0000C92A0000}"/>
    <cellStyle name="Calculation 3 4 6 2 3" xfId="10962" xr:uid="{00000000-0005-0000-0000-0000CA2A0000}"/>
    <cellStyle name="Calculation 3 4 6 2 4" xfId="10963" xr:uid="{00000000-0005-0000-0000-0000CB2A0000}"/>
    <cellStyle name="Calculation 3 4 6 2 5" xfId="10964" xr:uid="{00000000-0005-0000-0000-0000CC2A0000}"/>
    <cellStyle name="Calculation 3 4 6 2 6" xfId="10965" xr:uid="{00000000-0005-0000-0000-0000CD2A0000}"/>
    <cellStyle name="Calculation 3 4 6 3" xfId="10966" xr:uid="{00000000-0005-0000-0000-0000CE2A0000}"/>
    <cellStyle name="Calculation 3 4 6 3 2" xfId="10967" xr:uid="{00000000-0005-0000-0000-0000CF2A0000}"/>
    <cellStyle name="Calculation 3 4 6 3 2 2" xfId="10968" xr:uid="{00000000-0005-0000-0000-0000D02A0000}"/>
    <cellStyle name="Calculation 3 4 6 3 2 3" xfId="10969" xr:uid="{00000000-0005-0000-0000-0000D12A0000}"/>
    <cellStyle name="Calculation 3 4 6 3 2 4" xfId="10970" xr:uid="{00000000-0005-0000-0000-0000D22A0000}"/>
    <cellStyle name="Calculation 3 4 6 3 2 5" xfId="10971" xr:uid="{00000000-0005-0000-0000-0000D32A0000}"/>
    <cellStyle name="Calculation 3 4 6 3 2 6" xfId="10972" xr:uid="{00000000-0005-0000-0000-0000D42A0000}"/>
    <cellStyle name="Calculation 3 4 6 3 3" xfId="10973" xr:uid="{00000000-0005-0000-0000-0000D52A0000}"/>
    <cellStyle name="Calculation 3 4 6 3 4" xfId="10974" xr:uid="{00000000-0005-0000-0000-0000D62A0000}"/>
    <cellStyle name="Calculation 3 4 6 3 5" xfId="10975" xr:uid="{00000000-0005-0000-0000-0000D72A0000}"/>
    <cellStyle name="Calculation 3 4 6 3 6" xfId="10976" xr:uid="{00000000-0005-0000-0000-0000D82A0000}"/>
    <cellStyle name="Calculation 3 4 6 4" xfId="10977" xr:uid="{00000000-0005-0000-0000-0000D92A0000}"/>
    <cellStyle name="Calculation 3 4 6 4 2" xfId="10978" xr:uid="{00000000-0005-0000-0000-0000DA2A0000}"/>
    <cellStyle name="Calculation 3 4 6 4 3" xfId="10979" xr:uid="{00000000-0005-0000-0000-0000DB2A0000}"/>
    <cellStyle name="Calculation 3 4 6 4 4" xfId="10980" xr:uid="{00000000-0005-0000-0000-0000DC2A0000}"/>
    <cellStyle name="Calculation 3 4 6 4 5" xfId="10981" xr:uid="{00000000-0005-0000-0000-0000DD2A0000}"/>
    <cellStyle name="Calculation 3 4 6 4 6" xfId="10982" xr:uid="{00000000-0005-0000-0000-0000DE2A0000}"/>
    <cellStyle name="Calculation 3 4 6 5" xfId="10983" xr:uid="{00000000-0005-0000-0000-0000DF2A0000}"/>
    <cellStyle name="Calculation 3 4 6 6" xfId="10984" xr:uid="{00000000-0005-0000-0000-0000E02A0000}"/>
    <cellStyle name="Calculation 3 4 6 7" xfId="10985" xr:uid="{00000000-0005-0000-0000-0000E12A0000}"/>
    <cellStyle name="Calculation 3 4 6 8" xfId="10986" xr:uid="{00000000-0005-0000-0000-0000E22A0000}"/>
    <cellStyle name="Calculation 3 4 7" xfId="10987" xr:uid="{00000000-0005-0000-0000-0000E32A0000}"/>
    <cellStyle name="Calculation 3 4 7 2" xfId="10988" xr:uid="{00000000-0005-0000-0000-0000E42A0000}"/>
    <cellStyle name="Calculation 3 4 7 2 2" xfId="10989" xr:uid="{00000000-0005-0000-0000-0000E52A0000}"/>
    <cellStyle name="Calculation 3 4 7 2 3" xfId="10990" xr:uid="{00000000-0005-0000-0000-0000E62A0000}"/>
    <cellStyle name="Calculation 3 4 7 2 4" xfId="10991" xr:uid="{00000000-0005-0000-0000-0000E72A0000}"/>
    <cellStyle name="Calculation 3 4 7 2 5" xfId="10992" xr:uid="{00000000-0005-0000-0000-0000E82A0000}"/>
    <cellStyle name="Calculation 3 4 7 2 6" xfId="10993" xr:uid="{00000000-0005-0000-0000-0000E92A0000}"/>
    <cellStyle name="Calculation 3 4 7 3" xfId="10994" xr:uid="{00000000-0005-0000-0000-0000EA2A0000}"/>
    <cellStyle name="Calculation 3 4 7 4" xfId="10995" xr:uid="{00000000-0005-0000-0000-0000EB2A0000}"/>
    <cellStyle name="Calculation 3 4 7 5" xfId="10996" xr:uid="{00000000-0005-0000-0000-0000EC2A0000}"/>
    <cellStyle name="Calculation 3 4 7 6" xfId="10997" xr:uid="{00000000-0005-0000-0000-0000ED2A0000}"/>
    <cellStyle name="Calculation 3 4 8" xfId="10998" xr:uid="{00000000-0005-0000-0000-0000EE2A0000}"/>
    <cellStyle name="Calculation 3 4 8 2" xfId="10999" xr:uid="{00000000-0005-0000-0000-0000EF2A0000}"/>
    <cellStyle name="Calculation 3 4 8 2 2" xfId="11000" xr:uid="{00000000-0005-0000-0000-0000F02A0000}"/>
    <cellStyle name="Calculation 3 4 8 2 3" xfId="11001" xr:uid="{00000000-0005-0000-0000-0000F12A0000}"/>
    <cellStyle name="Calculation 3 4 8 2 4" xfId="11002" xr:uid="{00000000-0005-0000-0000-0000F22A0000}"/>
    <cellStyle name="Calculation 3 4 8 2 5" xfId="11003" xr:uid="{00000000-0005-0000-0000-0000F32A0000}"/>
    <cellStyle name="Calculation 3 4 8 2 6" xfId="11004" xr:uid="{00000000-0005-0000-0000-0000F42A0000}"/>
    <cellStyle name="Calculation 3 4 8 3" xfId="11005" xr:uid="{00000000-0005-0000-0000-0000F52A0000}"/>
    <cellStyle name="Calculation 3 4 8 4" xfId="11006" xr:uid="{00000000-0005-0000-0000-0000F62A0000}"/>
    <cellStyle name="Calculation 3 4 8 5" xfId="11007" xr:uid="{00000000-0005-0000-0000-0000F72A0000}"/>
    <cellStyle name="Calculation 3 4 8 6" xfId="11008" xr:uid="{00000000-0005-0000-0000-0000F82A0000}"/>
    <cellStyle name="Calculation 3 4 9" xfId="11009" xr:uid="{00000000-0005-0000-0000-0000F92A0000}"/>
    <cellStyle name="Calculation 3 4 9 2" xfId="11010" xr:uid="{00000000-0005-0000-0000-0000FA2A0000}"/>
    <cellStyle name="Calculation 3 4 9 3" xfId="11011" xr:uid="{00000000-0005-0000-0000-0000FB2A0000}"/>
    <cellStyle name="Calculation 3 4 9 4" xfId="11012" xr:uid="{00000000-0005-0000-0000-0000FC2A0000}"/>
    <cellStyle name="Calculation 3 4 9 5" xfId="11013" xr:uid="{00000000-0005-0000-0000-0000FD2A0000}"/>
    <cellStyle name="Calculation 3 4 9 6" xfId="11014" xr:uid="{00000000-0005-0000-0000-0000FE2A0000}"/>
    <cellStyle name="Calculation 3 40" xfId="11015" xr:uid="{00000000-0005-0000-0000-0000FF2A0000}"/>
    <cellStyle name="Calculation 3 40 2" xfId="11016" xr:uid="{00000000-0005-0000-0000-0000002B0000}"/>
    <cellStyle name="Calculation 3 40 2 2" xfId="11017" xr:uid="{00000000-0005-0000-0000-0000012B0000}"/>
    <cellStyle name="Calculation 3 40 2 3" xfId="11018" xr:uid="{00000000-0005-0000-0000-0000022B0000}"/>
    <cellStyle name="Calculation 3 40 2 4" xfId="11019" xr:uid="{00000000-0005-0000-0000-0000032B0000}"/>
    <cellStyle name="Calculation 3 40 2 5" xfId="11020" xr:uid="{00000000-0005-0000-0000-0000042B0000}"/>
    <cellStyle name="Calculation 3 40 3" xfId="11021" xr:uid="{00000000-0005-0000-0000-0000052B0000}"/>
    <cellStyle name="Calculation 3 40 4" xfId="11022" xr:uid="{00000000-0005-0000-0000-0000062B0000}"/>
    <cellStyle name="Calculation 3 40 5" xfId="11023" xr:uid="{00000000-0005-0000-0000-0000072B0000}"/>
    <cellStyle name="Calculation 3 40 6" xfId="11024" xr:uid="{00000000-0005-0000-0000-0000082B0000}"/>
    <cellStyle name="Calculation 3 41" xfId="11025" xr:uid="{00000000-0005-0000-0000-0000092B0000}"/>
    <cellStyle name="Calculation 3 41 2" xfId="11026" xr:uid="{00000000-0005-0000-0000-00000A2B0000}"/>
    <cellStyle name="Calculation 3 41 2 2" xfId="11027" xr:uid="{00000000-0005-0000-0000-00000B2B0000}"/>
    <cellStyle name="Calculation 3 41 2 3" xfId="11028" xr:uid="{00000000-0005-0000-0000-00000C2B0000}"/>
    <cellStyle name="Calculation 3 41 2 4" xfId="11029" xr:uid="{00000000-0005-0000-0000-00000D2B0000}"/>
    <cellStyle name="Calculation 3 41 2 5" xfId="11030" xr:uid="{00000000-0005-0000-0000-00000E2B0000}"/>
    <cellStyle name="Calculation 3 41 3" xfId="11031" xr:uid="{00000000-0005-0000-0000-00000F2B0000}"/>
    <cellStyle name="Calculation 3 41 4" xfId="11032" xr:uid="{00000000-0005-0000-0000-0000102B0000}"/>
    <cellStyle name="Calculation 3 41 5" xfId="11033" xr:uid="{00000000-0005-0000-0000-0000112B0000}"/>
    <cellStyle name="Calculation 3 41 6" xfId="11034" xr:uid="{00000000-0005-0000-0000-0000122B0000}"/>
    <cellStyle name="Calculation 3 42" xfId="11035" xr:uid="{00000000-0005-0000-0000-0000132B0000}"/>
    <cellStyle name="Calculation 3 42 2" xfId="11036" xr:uid="{00000000-0005-0000-0000-0000142B0000}"/>
    <cellStyle name="Calculation 3 42 2 2" xfId="11037" xr:uid="{00000000-0005-0000-0000-0000152B0000}"/>
    <cellStyle name="Calculation 3 42 2 3" xfId="11038" xr:uid="{00000000-0005-0000-0000-0000162B0000}"/>
    <cellStyle name="Calculation 3 42 2 4" xfId="11039" xr:uid="{00000000-0005-0000-0000-0000172B0000}"/>
    <cellStyle name="Calculation 3 42 2 5" xfId="11040" xr:uid="{00000000-0005-0000-0000-0000182B0000}"/>
    <cellStyle name="Calculation 3 42 3" xfId="11041" xr:uid="{00000000-0005-0000-0000-0000192B0000}"/>
    <cellStyle name="Calculation 3 42 4" xfId="11042" xr:uid="{00000000-0005-0000-0000-00001A2B0000}"/>
    <cellStyle name="Calculation 3 42 5" xfId="11043" xr:uid="{00000000-0005-0000-0000-00001B2B0000}"/>
    <cellStyle name="Calculation 3 42 6" xfId="11044" xr:uid="{00000000-0005-0000-0000-00001C2B0000}"/>
    <cellStyle name="Calculation 3 43" xfId="11045" xr:uid="{00000000-0005-0000-0000-00001D2B0000}"/>
    <cellStyle name="Calculation 3 43 2" xfId="11046" xr:uid="{00000000-0005-0000-0000-00001E2B0000}"/>
    <cellStyle name="Calculation 3 43 2 2" xfId="11047" xr:uid="{00000000-0005-0000-0000-00001F2B0000}"/>
    <cellStyle name="Calculation 3 43 2 3" xfId="11048" xr:uid="{00000000-0005-0000-0000-0000202B0000}"/>
    <cellStyle name="Calculation 3 43 2 4" xfId="11049" xr:uid="{00000000-0005-0000-0000-0000212B0000}"/>
    <cellStyle name="Calculation 3 43 2 5" xfId="11050" xr:uid="{00000000-0005-0000-0000-0000222B0000}"/>
    <cellStyle name="Calculation 3 43 3" xfId="11051" xr:uid="{00000000-0005-0000-0000-0000232B0000}"/>
    <cellStyle name="Calculation 3 43 4" xfId="11052" xr:uid="{00000000-0005-0000-0000-0000242B0000}"/>
    <cellStyle name="Calculation 3 43 5" xfId="11053" xr:uid="{00000000-0005-0000-0000-0000252B0000}"/>
    <cellStyle name="Calculation 3 43 6" xfId="11054" xr:uid="{00000000-0005-0000-0000-0000262B0000}"/>
    <cellStyle name="Calculation 3 44" xfId="11055" xr:uid="{00000000-0005-0000-0000-0000272B0000}"/>
    <cellStyle name="Calculation 3 44 2" xfId="11056" xr:uid="{00000000-0005-0000-0000-0000282B0000}"/>
    <cellStyle name="Calculation 3 44 3" xfId="11057" xr:uid="{00000000-0005-0000-0000-0000292B0000}"/>
    <cellStyle name="Calculation 3 44 4" xfId="11058" xr:uid="{00000000-0005-0000-0000-00002A2B0000}"/>
    <cellStyle name="Calculation 3 44 5" xfId="11059" xr:uid="{00000000-0005-0000-0000-00002B2B0000}"/>
    <cellStyle name="Calculation 3 45" xfId="11060" xr:uid="{00000000-0005-0000-0000-00002C2B0000}"/>
    <cellStyle name="Calculation 3 45 2" xfId="11061" xr:uid="{00000000-0005-0000-0000-00002D2B0000}"/>
    <cellStyle name="Calculation 3 45 3" xfId="11062" xr:uid="{00000000-0005-0000-0000-00002E2B0000}"/>
    <cellStyle name="Calculation 3 45 4" xfId="11063" xr:uid="{00000000-0005-0000-0000-00002F2B0000}"/>
    <cellStyle name="Calculation 3 45 5" xfId="11064" xr:uid="{00000000-0005-0000-0000-0000302B0000}"/>
    <cellStyle name="Calculation 3 46" xfId="11065" xr:uid="{00000000-0005-0000-0000-0000312B0000}"/>
    <cellStyle name="Calculation 3 47" xfId="11066" xr:uid="{00000000-0005-0000-0000-0000322B0000}"/>
    <cellStyle name="Calculation 3 48" xfId="11067" xr:uid="{00000000-0005-0000-0000-0000332B0000}"/>
    <cellStyle name="Calculation 3 49" xfId="11068" xr:uid="{00000000-0005-0000-0000-0000342B0000}"/>
    <cellStyle name="Calculation 3 5" xfId="11069" xr:uid="{00000000-0005-0000-0000-0000352B0000}"/>
    <cellStyle name="Calculation 3 5 2" xfId="11070" xr:uid="{00000000-0005-0000-0000-0000362B0000}"/>
    <cellStyle name="Calculation 3 5 2 2" xfId="11071" xr:uid="{00000000-0005-0000-0000-0000372B0000}"/>
    <cellStyle name="Calculation 3 5 2 2 2" xfId="11072" xr:uid="{00000000-0005-0000-0000-0000382B0000}"/>
    <cellStyle name="Calculation 3 5 2 2 3" xfId="11073" xr:uid="{00000000-0005-0000-0000-0000392B0000}"/>
    <cellStyle name="Calculation 3 5 2 2 4" xfId="11074" xr:uid="{00000000-0005-0000-0000-00003A2B0000}"/>
    <cellStyle name="Calculation 3 5 2 2 5" xfId="11075" xr:uid="{00000000-0005-0000-0000-00003B2B0000}"/>
    <cellStyle name="Calculation 3 5 2 2 6" xfId="11076" xr:uid="{00000000-0005-0000-0000-00003C2B0000}"/>
    <cellStyle name="Calculation 3 5 2 3" xfId="11077" xr:uid="{00000000-0005-0000-0000-00003D2B0000}"/>
    <cellStyle name="Calculation 3 5 2 3 2" xfId="11078" xr:uid="{00000000-0005-0000-0000-00003E2B0000}"/>
    <cellStyle name="Calculation 3 5 2 3 3" xfId="11079" xr:uid="{00000000-0005-0000-0000-00003F2B0000}"/>
    <cellStyle name="Calculation 3 5 2 3 4" xfId="11080" xr:uid="{00000000-0005-0000-0000-0000402B0000}"/>
    <cellStyle name="Calculation 3 5 2 3 5" xfId="11081" xr:uid="{00000000-0005-0000-0000-0000412B0000}"/>
    <cellStyle name="Calculation 3 5 2 4" xfId="11082" xr:uid="{00000000-0005-0000-0000-0000422B0000}"/>
    <cellStyle name="Calculation 3 5 2 5" xfId="11083" xr:uid="{00000000-0005-0000-0000-0000432B0000}"/>
    <cellStyle name="Calculation 3 5 2 6" xfId="11084" xr:uid="{00000000-0005-0000-0000-0000442B0000}"/>
    <cellStyle name="Calculation 3 5 2 7" xfId="11085" xr:uid="{00000000-0005-0000-0000-0000452B0000}"/>
    <cellStyle name="Calculation 3 5 3" xfId="11086" xr:uid="{00000000-0005-0000-0000-0000462B0000}"/>
    <cellStyle name="Calculation 3 5 3 2" xfId="11087" xr:uid="{00000000-0005-0000-0000-0000472B0000}"/>
    <cellStyle name="Calculation 3 5 3 2 2" xfId="11088" xr:uid="{00000000-0005-0000-0000-0000482B0000}"/>
    <cellStyle name="Calculation 3 5 3 2 3" xfId="11089" xr:uid="{00000000-0005-0000-0000-0000492B0000}"/>
    <cellStyle name="Calculation 3 5 3 2 4" xfId="11090" xr:uid="{00000000-0005-0000-0000-00004A2B0000}"/>
    <cellStyle name="Calculation 3 5 3 2 5" xfId="11091" xr:uid="{00000000-0005-0000-0000-00004B2B0000}"/>
    <cellStyle name="Calculation 3 5 3 2 6" xfId="11092" xr:uid="{00000000-0005-0000-0000-00004C2B0000}"/>
    <cellStyle name="Calculation 3 5 3 3" xfId="11093" xr:uid="{00000000-0005-0000-0000-00004D2B0000}"/>
    <cellStyle name="Calculation 3 5 3 4" xfId="11094" xr:uid="{00000000-0005-0000-0000-00004E2B0000}"/>
    <cellStyle name="Calculation 3 5 3 5" xfId="11095" xr:uid="{00000000-0005-0000-0000-00004F2B0000}"/>
    <cellStyle name="Calculation 3 5 3 6" xfId="11096" xr:uid="{00000000-0005-0000-0000-0000502B0000}"/>
    <cellStyle name="Calculation 3 5 4" xfId="11097" xr:uid="{00000000-0005-0000-0000-0000512B0000}"/>
    <cellStyle name="Calculation 3 5 4 2" xfId="11098" xr:uid="{00000000-0005-0000-0000-0000522B0000}"/>
    <cellStyle name="Calculation 3 5 4 3" xfId="11099" xr:uid="{00000000-0005-0000-0000-0000532B0000}"/>
    <cellStyle name="Calculation 3 5 4 4" xfId="11100" xr:uid="{00000000-0005-0000-0000-0000542B0000}"/>
    <cellStyle name="Calculation 3 5 4 5" xfId="11101" xr:uid="{00000000-0005-0000-0000-0000552B0000}"/>
    <cellStyle name="Calculation 3 5 4 6" xfId="11102" xr:uid="{00000000-0005-0000-0000-0000562B0000}"/>
    <cellStyle name="Calculation 3 5 5" xfId="11103" xr:uid="{00000000-0005-0000-0000-0000572B0000}"/>
    <cellStyle name="Calculation 3 5 5 2" xfId="11104" xr:uid="{00000000-0005-0000-0000-0000582B0000}"/>
    <cellStyle name="Calculation 3 5 5 3" xfId="11105" xr:uid="{00000000-0005-0000-0000-0000592B0000}"/>
    <cellStyle name="Calculation 3 5 5 4" xfId="11106" xr:uid="{00000000-0005-0000-0000-00005A2B0000}"/>
    <cellStyle name="Calculation 3 5 5 5" xfId="11107" xr:uid="{00000000-0005-0000-0000-00005B2B0000}"/>
    <cellStyle name="Calculation 3 5 6" xfId="11108" xr:uid="{00000000-0005-0000-0000-00005C2B0000}"/>
    <cellStyle name="Calculation 3 5 7" xfId="11109" xr:uid="{00000000-0005-0000-0000-00005D2B0000}"/>
    <cellStyle name="Calculation 3 5 8" xfId="11110" xr:uid="{00000000-0005-0000-0000-00005E2B0000}"/>
    <cellStyle name="Calculation 3 5 9" xfId="11111" xr:uid="{00000000-0005-0000-0000-00005F2B0000}"/>
    <cellStyle name="Calculation 3 50" xfId="11112" xr:uid="{00000000-0005-0000-0000-0000602B0000}"/>
    <cellStyle name="Calculation 3 6" xfId="11113" xr:uid="{00000000-0005-0000-0000-0000612B0000}"/>
    <cellStyle name="Calculation 3 6 2" xfId="11114" xr:uid="{00000000-0005-0000-0000-0000622B0000}"/>
    <cellStyle name="Calculation 3 6 2 2" xfId="11115" xr:uid="{00000000-0005-0000-0000-0000632B0000}"/>
    <cellStyle name="Calculation 3 6 2 2 2" xfId="11116" xr:uid="{00000000-0005-0000-0000-0000642B0000}"/>
    <cellStyle name="Calculation 3 6 2 2 3" xfId="11117" xr:uid="{00000000-0005-0000-0000-0000652B0000}"/>
    <cellStyle name="Calculation 3 6 2 2 4" xfId="11118" xr:uid="{00000000-0005-0000-0000-0000662B0000}"/>
    <cellStyle name="Calculation 3 6 2 2 5" xfId="11119" xr:uid="{00000000-0005-0000-0000-0000672B0000}"/>
    <cellStyle name="Calculation 3 6 2 2 6" xfId="11120" xr:uid="{00000000-0005-0000-0000-0000682B0000}"/>
    <cellStyle name="Calculation 3 6 2 3" xfId="11121" xr:uid="{00000000-0005-0000-0000-0000692B0000}"/>
    <cellStyle name="Calculation 3 6 2 3 2" xfId="11122" xr:uid="{00000000-0005-0000-0000-00006A2B0000}"/>
    <cellStyle name="Calculation 3 6 2 3 3" xfId="11123" xr:uid="{00000000-0005-0000-0000-00006B2B0000}"/>
    <cellStyle name="Calculation 3 6 2 3 4" xfId="11124" xr:uid="{00000000-0005-0000-0000-00006C2B0000}"/>
    <cellStyle name="Calculation 3 6 2 3 5" xfId="11125" xr:uid="{00000000-0005-0000-0000-00006D2B0000}"/>
    <cellStyle name="Calculation 3 6 2 4" xfId="11126" xr:uid="{00000000-0005-0000-0000-00006E2B0000}"/>
    <cellStyle name="Calculation 3 6 2 5" xfId="11127" xr:uid="{00000000-0005-0000-0000-00006F2B0000}"/>
    <cellStyle name="Calculation 3 6 2 6" xfId="11128" xr:uid="{00000000-0005-0000-0000-0000702B0000}"/>
    <cellStyle name="Calculation 3 6 2 7" xfId="11129" xr:uid="{00000000-0005-0000-0000-0000712B0000}"/>
    <cellStyle name="Calculation 3 6 3" xfId="11130" xr:uid="{00000000-0005-0000-0000-0000722B0000}"/>
    <cellStyle name="Calculation 3 6 3 2" xfId="11131" xr:uid="{00000000-0005-0000-0000-0000732B0000}"/>
    <cellStyle name="Calculation 3 6 3 2 2" xfId="11132" xr:uid="{00000000-0005-0000-0000-0000742B0000}"/>
    <cellStyle name="Calculation 3 6 3 2 3" xfId="11133" xr:uid="{00000000-0005-0000-0000-0000752B0000}"/>
    <cellStyle name="Calculation 3 6 3 2 4" xfId="11134" xr:uid="{00000000-0005-0000-0000-0000762B0000}"/>
    <cellStyle name="Calculation 3 6 3 2 5" xfId="11135" xr:uid="{00000000-0005-0000-0000-0000772B0000}"/>
    <cellStyle name="Calculation 3 6 3 2 6" xfId="11136" xr:uid="{00000000-0005-0000-0000-0000782B0000}"/>
    <cellStyle name="Calculation 3 6 3 3" xfId="11137" xr:uid="{00000000-0005-0000-0000-0000792B0000}"/>
    <cellStyle name="Calculation 3 6 3 4" xfId="11138" xr:uid="{00000000-0005-0000-0000-00007A2B0000}"/>
    <cellStyle name="Calculation 3 6 3 5" xfId="11139" xr:uid="{00000000-0005-0000-0000-00007B2B0000}"/>
    <cellStyle name="Calculation 3 6 3 6" xfId="11140" xr:uid="{00000000-0005-0000-0000-00007C2B0000}"/>
    <cellStyle name="Calculation 3 6 4" xfId="11141" xr:uid="{00000000-0005-0000-0000-00007D2B0000}"/>
    <cellStyle name="Calculation 3 6 4 2" xfId="11142" xr:uid="{00000000-0005-0000-0000-00007E2B0000}"/>
    <cellStyle name="Calculation 3 6 4 3" xfId="11143" xr:uid="{00000000-0005-0000-0000-00007F2B0000}"/>
    <cellStyle name="Calculation 3 6 4 4" xfId="11144" xr:uid="{00000000-0005-0000-0000-0000802B0000}"/>
    <cellStyle name="Calculation 3 6 4 5" xfId="11145" xr:uid="{00000000-0005-0000-0000-0000812B0000}"/>
    <cellStyle name="Calculation 3 6 4 6" xfId="11146" xr:uid="{00000000-0005-0000-0000-0000822B0000}"/>
    <cellStyle name="Calculation 3 6 5" xfId="11147" xr:uid="{00000000-0005-0000-0000-0000832B0000}"/>
    <cellStyle name="Calculation 3 6 5 2" xfId="11148" xr:uid="{00000000-0005-0000-0000-0000842B0000}"/>
    <cellStyle name="Calculation 3 6 5 3" xfId="11149" xr:uid="{00000000-0005-0000-0000-0000852B0000}"/>
    <cellStyle name="Calculation 3 6 5 4" xfId="11150" xr:uid="{00000000-0005-0000-0000-0000862B0000}"/>
    <cellStyle name="Calculation 3 6 5 5" xfId="11151" xr:uid="{00000000-0005-0000-0000-0000872B0000}"/>
    <cellStyle name="Calculation 3 6 6" xfId="11152" xr:uid="{00000000-0005-0000-0000-0000882B0000}"/>
    <cellStyle name="Calculation 3 6 7" xfId="11153" xr:uid="{00000000-0005-0000-0000-0000892B0000}"/>
    <cellStyle name="Calculation 3 6 8" xfId="11154" xr:uid="{00000000-0005-0000-0000-00008A2B0000}"/>
    <cellStyle name="Calculation 3 6 9" xfId="11155" xr:uid="{00000000-0005-0000-0000-00008B2B0000}"/>
    <cellStyle name="Calculation 3 7" xfId="11156" xr:uid="{00000000-0005-0000-0000-00008C2B0000}"/>
    <cellStyle name="Calculation 3 7 2" xfId="11157" xr:uid="{00000000-0005-0000-0000-00008D2B0000}"/>
    <cellStyle name="Calculation 3 7 2 2" xfId="11158" xr:uid="{00000000-0005-0000-0000-00008E2B0000}"/>
    <cellStyle name="Calculation 3 7 2 2 2" xfId="11159" xr:uid="{00000000-0005-0000-0000-00008F2B0000}"/>
    <cellStyle name="Calculation 3 7 2 2 3" xfId="11160" xr:uid="{00000000-0005-0000-0000-0000902B0000}"/>
    <cellStyle name="Calculation 3 7 2 2 4" xfId="11161" xr:uid="{00000000-0005-0000-0000-0000912B0000}"/>
    <cellStyle name="Calculation 3 7 2 2 5" xfId="11162" xr:uid="{00000000-0005-0000-0000-0000922B0000}"/>
    <cellStyle name="Calculation 3 7 2 2 6" xfId="11163" xr:uid="{00000000-0005-0000-0000-0000932B0000}"/>
    <cellStyle name="Calculation 3 7 2 3" xfId="11164" xr:uid="{00000000-0005-0000-0000-0000942B0000}"/>
    <cellStyle name="Calculation 3 7 2 3 2" xfId="11165" xr:uid="{00000000-0005-0000-0000-0000952B0000}"/>
    <cellStyle name="Calculation 3 7 2 3 3" xfId="11166" xr:uid="{00000000-0005-0000-0000-0000962B0000}"/>
    <cellStyle name="Calculation 3 7 2 3 4" xfId="11167" xr:uid="{00000000-0005-0000-0000-0000972B0000}"/>
    <cellStyle name="Calculation 3 7 2 3 5" xfId="11168" xr:uid="{00000000-0005-0000-0000-0000982B0000}"/>
    <cellStyle name="Calculation 3 7 2 4" xfId="11169" xr:uid="{00000000-0005-0000-0000-0000992B0000}"/>
    <cellStyle name="Calculation 3 7 2 5" xfId="11170" xr:uid="{00000000-0005-0000-0000-00009A2B0000}"/>
    <cellStyle name="Calculation 3 7 2 6" xfId="11171" xr:uid="{00000000-0005-0000-0000-00009B2B0000}"/>
    <cellStyle name="Calculation 3 7 2 7" xfId="11172" xr:uid="{00000000-0005-0000-0000-00009C2B0000}"/>
    <cellStyle name="Calculation 3 7 3" xfId="11173" xr:uid="{00000000-0005-0000-0000-00009D2B0000}"/>
    <cellStyle name="Calculation 3 7 3 2" xfId="11174" xr:uid="{00000000-0005-0000-0000-00009E2B0000}"/>
    <cellStyle name="Calculation 3 7 3 2 2" xfId="11175" xr:uid="{00000000-0005-0000-0000-00009F2B0000}"/>
    <cellStyle name="Calculation 3 7 3 2 3" xfId="11176" xr:uid="{00000000-0005-0000-0000-0000A02B0000}"/>
    <cellStyle name="Calculation 3 7 3 2 4" xfId="11177" xr:uid="{00000000-0005-0000-0000-0000A12B0000}"/>
    <cellStyle name="Calculation 3 7 3 2 5" xfId="11178" xr:uid="{00000000-0005-0000-0000-0000A22B0000}"/>
    <cellStyle name="Calculation 3 7 3 2 6" xfId="11179" xr:uid="{00000000-0005-0000-0000-0000A32B0000}"/>
    <cellStyle name="Calculation 3 7 3 3" xfId="11180" xr:uid="{00000000-0005-0000-0000-0000A42B0000}"/>
    <cellStyle name="Calculation 3 7 3 4" xfId="11181" xr:uid="{00000000-0005-0000-0000-0000A52B0000}"/>
    <cellStyle name="Calculation 3 7 3 5" xfId="11182" xr:uid="{00000000-0005-0000-0000-0000A62B0000}"/>
    <cellStyle name="Calculation 3 7 3 6" xfId="11183" xr:uid="{00000000-0005-0000-0000-0000A72B0000}"/>
    <cellStyle name="Calculation 3 7 4" xfId="11184" xr:uid="{00000000-0005-0000-0000-0000A82B0000}"/>
    <cellStyle name="Calculation 3 7 4 2" xfId="11185" xr:uid="{00000000-0005-0000-0000-0000A92B0000}"/>
    <cellStyle name="Calculation 3 7 4 3" xfId="11186" xr:uid="{00000000-0005-0000-0000-0000AA2B0000}"/>
    <cellStyle name="Calculation 3 7 4 4" xfId="11187" xr:uid="{00000000-0005-0000-0000-0000AB2B0000}"/>
    <cellStyle name="Calculation 3 7 4 5" xfId="11188" xr:uid="{00000000-0005-0000-0000-0000AC2B0000}"/>
    <cellStyle name="Calculation 3 7 4 6" xfId="11189" xr:uid="{00000000-0005-0000-0000-0000AD2B0000}"/>
    <cellStyle name="Calculation 3 7 5" xfId="11190" xr:uid="{00000000-0005-0000-0000-0000AE2B0000}"/>
    <cellStyle name="Calculation 3 7 5 2" xfId="11191" xr:uid="{00000000-0005-0000-0000-0000AF2B0000}"/>
    <cellStyle name="Calculation 3 7 5 3" xfId="11192" xr:uid="{00000000-0005-0000-0000-0000B02B0000}"/>
    <cellStyle name="Calculation 3 7 5 4" xfId="11193" xr:uid="{00000000-0005-0000-0000-0000B12B0000}"/>
    <cellStyle name="Calculation 3 7 5 5" xfId="11194" xr:uid="{00000000-0005-0000-0000-0000B22B0000}"/>
    <cellStyle name="Calculation 3 7 6" xfId="11195" xr:uid="{00000000-0005-0000-0000-0000B32B0000}"/>
    <cellStyle name="Calculation 3 7 7" xfId="11196" xr:uid="{00000000-0005-0000-0000-0000B42B0000}"/>
    <cellStyle name="Calculation 3 7 8" xfId="11197" xr:uid="{00000000-0005-0000-0000-0000B52B0000}"/>
    <cellStyle name="Calculation 3 7 9" xfId="11198" xr:uid="{00000000-0005-0000-0000-0000B62B0000}"/>
    <cellStyle name="Calculation 3 8" xfId="11199" xr:uid="{00000000-0005-0000-0000-0000B72B0000}"/>
    <cellStyle name="Calculation 3 8 2" xfId="11200" xr:uid="{00000000-0005-0000-0000-0000B82B0000}"/>
    <cellStyle name="Calculation 3 8 2 2" xfId="11201" xr:uid="{00000000-0005-0000-0000-0000B92B0000}"/>
    <cellStyle name="Calculation 3 8 2 2 2" xfId="11202" xr:uid="{00000000-0005-0000-0000-0000BA2B0000}"/>
    <cellStyle name="Calculation 3 8 2 2 3" xfId="11203" xr:uid="{00000000-0005-0000-0000-0000BB2B0000}"/>
    <cellStyle name="Calculation 3 8 2 2 4" xfId="11204" xr:uid="{00000000-0005-0000-0000-0000BC2B0000}"/>
    <cellStyle name="Calculation 3 8 2 2 5" xfId="11205" xr:uid="{00000000-0005-0000-0000-0000BD2B0000}"/>
    <cellStyle name="Calculation 3 8 2 3" xfId="11206" xr:uid="{00000000-0005-0000-0000-0000BE2B0000}"/>
    <cellStyle name="Calculation 3 8 2 4" xfId="11207" xr:uid="{00000000-0005-0000-0000-0000BF2B0000}"/>
    <cellStyle name="Calculation 3 8 2 5" xfId="11208" xr:uid="{00000000-0005-0000-0000-0000C02B0000}"/>
    <cellStyle name="Calculation 3 8 2 6" xfId="11209" xr:uid="{00000000-0005-0000-0000-0000C12B0000}"/>
    <cellStyle name="Calculation 3 8 2 7" xfId="11210" xr:uid="{00000000-0005-0000-0000-0000C22B0000}"/>
    <cellStyle name="Calculation 3 8 3" xfId="11211" xr:uid="{00000000-0005-0000-0000-0000C32B0000}"/>
    <cellStyle name="Calculation 3 8 3 2" xfId="11212" xr:uid="{00000000-0005-0000-0000-0000C42B0000}"/>
    <cellStyle name="Calculation 3 8 3 3" xfId="11213" xr:uid="{00000000-0005-0000-0000-0000C52B0000}"/>
    <cellStyle name="Calculation 3 8 3 4" xfId="11214" xr:uid="{00000000-0005-0000-0000-0000C62B0000}"/>
    <cellStyle name="Calculation 3 8 3 5" xfId="11215" xr:uid="{00000000-0005-0000-0000-0000C72B0000}"/>
    <cellStyle name="Calculation 3 8 4" xfId="11216" xr:uid="{00000000-0005-0000-0000-0000C82B0000}"/>
    <cellStyle name="Calculation 3 8 5" xfId="11217" xr:uid="{00000000-0005-0000-0000-0000C92B0000}"/>
    <cellStyle name="Calculation 3 8 6" xfId="11218" xr:uid="{00000000-0005-0000-0000-0000CA2B0000}"/>
    <cellStyle name="Calculation 3 8 7" xfId="11219" xr:uid="{00000000-0005-0000-0000-0000CB2B0000}"/>
    <cellStyle name="Calculation 3 9" xfId="11220" xr:uid="{00000000-0005-0000-0000-0000CC2B0000}"/>
    <cellStyle name="Calculation 3 9 2" xfId="11221" xr:uid="{00000000-0005-0000-0000-0000CD2B0000}"/>
    <cellStyle name="Calculation 3 9 2 2" xfId="11222" xr:uid="{00000000-0005-0000-0000-0000CE2B0000}"/>
    <cellStyle name="Calculation 3 9 2 2 2" xfId="11223" xr:uid="{00000000-0005-0000-0000-0000CF2B0000}"/>
    <cellStyle name="Calculation 3 9 2 2 3" xfId="11224" xr:uid="{00000000-0005-0000-0000-0000D02B0000}"/>
    <cellStyle name="Calculation 3 9 2 2 4" xfId="11225" xr:uid="{00000000-0005-0000-0000-0000D12B0000}"/>
    <cellStyle name="Calculation 3 9 2 2 5" xfId="11226" xr:uid="{00000000-0005-0000-0000-0000D22B0000}"/>
    <cellStyle name="Calculation 3 9 2 3" xfId="11227" xr:uid="{00000000-0005-0000-0000-0000D32B0000}"/>
    <cellStyle name="Calculation 3 9 2 4" xfId="11228" xr:uid="{00000000-0005-0000-0000-0000D42B0000}"/>
    <cellStyle name="Calculation 3 9 2 5" xfId="11229" xr:uid="{00000000-0005-0000-0000-0000D52B0000}"/>
    <cellStyle name="Calculation 3 9 2 6" xfId="11230" xr:uid="{00000000-0005-0000-0000-0000D62B0000}"/>
    <cellStyle name="Calculation 3 9 2 7" xfId="11231" xr:uid="{00000000-0005-0000-0000-0000D72B0000}"/>
    <cellStyle name="Calculation 3 9 3" xfId="11232" xr:uid="{00000000-0005-0000-0000-0000D82B0000}"/>
    <cellStyle name="Calculation 3 9 3 2" xfId="11233" xr:uid="{00000000-0005-0000-0000-0000D92B0000}"/>
    <cellStyle name="Calculation 3 9 3 3" xfId="11234" xr:uid="{00000000-0005-0000-0000-0000DA2B0000}"/>
    <cellStyle name="Calculation 3 9 3 4" xfId="11235" xr:uid="{00000000-0005-0000-0000-0000DB2B0000}"/>
    <cellStyle name="Calculation 3 9 3 5" xfId="11236" xr:uid="{00000000-0005-0000-0000-0000DC2B0000}"/>
    <cellStyle name="Calculation 3 9 4" xfId="11237" xr:uid="{00000000-0005-0000-0000-0000DD2B0000}"/>
    <cellStyle name="Calculation 3 9 5" xfId="11238" xr:uid="{00000000-0005-0000-0000-0000DE2B0000}"/>
    <cellStyle name="Calculation 3 9 6" xfId="11239" xr:uid="{00000000-0005-0000-0000-0000DF2B0000}"/>
    <cellStyle name="Calculation 3 9 7" xfId="11240" xr:uid="{00000000-0005-0000-0000-0000E02B0000}"/>
    <cellStyle name="Calculation 4" xfId="11241" xr:uid="{00000000-0005-0000-0000-0000E12B0000}"/>
    <cellStyle name="Calculation 4 10" xfId="11242" xr:uid="{00000000-0005-0000-0000-0000E22B0000}"/>
    <cellStyle name="Calculation 4 10 2" xfId="11243" xr:uid="{00000000-0005-0000-0000-0000E32B0000}"/>
    <cellStyle name="Calculation 4 10 3" xfId="11244" xr:uid="{00000000-0005-0000-0000-0000E42B0000}"/>
    <cellStyle name="Calculation 4 10 4" xfId="11245" xr:uid="{00000000-0005-0000-0000-0000E52B0000}"/>
    <cellStyle name="Calculation 4 10 5" xfId="11246" xr:uid="{00000000-0005-0000-0000-0000E62B0000}"/>
    <cellStyle name="Calculation 4 10 6" xfId="11247" xr:uid="{00000000-0005-0000-0000-0000E72B0000}"/>
    <cellStyle name="Calculation 4 11" xfId="11248" xr:uid="{00000000-0005-0000-0000-0000E82B0000}"/>
    <cellStyle name="Calculation 4 12" xfId="11249" xr:uid="{00000000-0005-0000-0000-0000E92B0000}"/>
    <cellStyle name="Calculation 4 13" xfId="11250" xr:uid="{00000000-0005-0000-0000-0000EA2B0000}"/>
    <cellStyle name="Calculation 4 14" xfId="11251" xr:uid="{00000000-0005-0000-0000-0000EB2B0000}"/>
    <cellStyle name="Calculation 4 2" xfId="11252" xr:uid="{00000000-0005-0000-0000-0000EC2B0000}"/>
    <cellStyle name="Calculation 4 2 10" xfId="11253" xr:uid="{00000000-0005-0000-0000-0000ED2B0000}"/>
    <cellStyle name="Calculation 4 2 11" xfId="11254" xr:uid="{00000000-0005-0000-0000-0000EE2B0000}"/>
    <cellStyle name="Calculation 4 2 12" xfId="11255" xr:uid="{00000000-0005-0000-0000-0000EF2B0000}"/>
    <cellStyle name="Calculation 4 2 13" xfId="11256" xr:uid="{00000000-0005-0000-0000-0000F02B0000}"/>
    <cellStyle name="Calculation 4 2 2" xfId="11257" xr:uid="{00000000-0005-0000-0000-0000F12B0000}"/>
    <cellStyle name="Calculation 4 2 2 10" xfId="11258" xr:uid="{00000000-0005-0000-0000-0000F22B0000}"/>
    <cellStyle name="Calculation 4 2 2 10 2" xfId="11259" xr:uid="{00000000-0005-0000-0000-0000F32B0000}"/>
    <cellStyle name="Calculation 4 2 2 10 3" xfId="11260" xr:uid="{00000000-0005-0000-0000-0000F42B0000}"/>
    <cellStyle name="Calculation 4 2 2 10 4" xfId="11261" xr:uid="{00000000-0005-0000-0000-0000F52B0000}"/>
    <cellStyle name="Calculation 4 2 2 10 5" xfId="11262" xr:uid="{00000000-0005-0000-0000-0000F62B0000}"/>
    <cellStyle name="Calculation 4 2 2 10 6" xfId="11263" xr:uid="{00000000-0005-0000-0000-0000F72B0000}"/>
    <cellStyle name="Calculation 4 2 2 11" xfId="11264" xr:uid="{00000000-0005-0000-0000-0000F82B0000}"/>
    <cellStyle name="Calculation 4 2 2 12" xfId="11265" xr:uid="{00000000-0005-0000-0000-0000F92B0000}"/>
    <cellStyle name="Calculation 4 2 2 13" xfId="11266" xr:uid="{00000000-0005-0000-0000-0000FA2B0000}"/>
    <cellStyle name="Calculation 4 2 2 14" xfId="11267" xr:uid="{00000000-0005-0000-0000-0000FB2B0000}"/>
    <cellStyle name="Calculation 4 2 2 2" xfId="11268" xr:uid="{00000000-0005-0000-0000-0000FC2B0000}"/>
    <cellStyle name="Calculation 4 2 2 2 10" xfId="11269" xr:uid="{00000000-0005-0000-0000-0000FD2B0000}"/>
    <cellStyle name="Calculation 4 2 2 2 11" xfId="11270" xr:uid="{00000000-0005-0000-0000-0000FE2B0000}"/>
    <cellStyle name="Calculation 4 2 2 2 12" xfId="11271" xr:uid="{00000000-0005-0000-0000-0000FF2B0000}"/>
    <cellStyle name="Calculation 4 2 2 2 13" xfId="11272" xr:uid="{00000000-0005-0000-0000-0000002C0000}"/>
    <cellStyle name="Calculation 4 2 2 2 2" xfId="11273" xr:uid="{00000000-0005-0000-0000-0000012C0000}"/>
    <cellStyle name="Calculation 4 2 2 2 2 2" xfId="11274" xr:uid="{00000000-0005-0000-0000-0000022C0000}"/>
    <cellStyle name="Calculation 4 2 2 2 2 2 2" xfId="11275" xr:uid="{00000000-0005-0000-0000-0000032C0000}"/>
    <cellStyle name="Calculation 4 2 2 2 2 2 2 2" xfId="11276" xr:uid="{00000000-0005-0000-0000-0000042C0000}"/>
    <cellStyle name="Calculation 4 2 2 2 2 2 2 3" xfId="11277" xr:uid="{00000000-0005-0000-0000-0000052C0000}"/>
    <cellStyle name="Calculation 4 2 2 2 2 2 2 4" xfId="11278" xr:uid="{00000000-0005-0000-0000-0000062C0000}"/>
    <cellStyle name="Calculation 4 2 2 2 2 2 2 5" xfId="11279" xr:uid="{00000000-0005-0000-0000-0000072C0000}"/>
    <cellStyle name="Calculation 4 2 2 2 2 2 2 6" xfId="11280" xr:uid="{00000000-0005-0000-0000-0000082C0000}"/>
    <cellStyle name="Calculation 4 2 2 2 2 2 3" xfId="11281" xr:uid="{00000000-0005-0000-0000-0000092C0000}"/>
    <cellStyle name="Calculation 4 2 2 2 2 2 4" xfId="11282" xr:uid="{00000000-0005-0000-0000-00000A2C0000}"/>
    <cellStyle name="Calculation 4 2 2 2 2 2 5" xfId="11283" xr:uid="{00000000-0005-0000-0000-00000B2C0000}"/>
    <cellStyle name="Calculation 4 2 2 2 2 2 6" xfId="11284" xr:uid="{00000000-0005-0000-0000-00000C2C0000}"/>
    <cellStyle name="Calculation 4 2 2 2 2 3" xfId="11285" xr:uid="{00000000-0005-0000-0000-00000D2C0000}"/>
    <cellStyle name="Calculation 4 2 2 2 2 3 2" xfId="11286" xr:uid="{00000000-0005-0000-0000-00000E2C0000}"/>
    <cellStyle name="Calculation 4 2 2 2 2 3 2 2" xfId="11287" xr:uid="{00000000-0005-0000-0000-00000F2C0000}"/>
    <cellStyle name="Calculation 4 2 2 2 2 3 2 3" xfId="11288" xr:uid="{00000000-0005-0000-0000-0000102C0000}"/>
    <cellStyle name="Calculation 4 2 2 2 2 3 2 4" xfId="11289" xr:uid="{00000000-0005-0000-0000-0000112C0000}"/>
    <cellStyle name="Calculation 4 2 2 2 2 3 2 5" xfId="11290" xr:uid="{00000000-0005-0000-0000-0000122C0000}"/>
    <cellStyle name="Calculation 4 2 2 2 2 3 2 6" xfId="11291" xr:uid="{00000000-0005-0000-0000-0000132C0000}"/>
    <cellStyle name="Calculation 4 2 2 2 2 3 3" xfId="11292" xr:uid="{00000000-0005-0000-0000-0000142C0000}"/>
    <cellStyle name="Calculation 4 2 2 2 2 3 4" xfId="11293" xr:uid="{00000000-0005-0000-0000-0000152C0000}"/>
    <cellStyle name="Calculation 4 2 2 2 2 3 5" xfId="11294" xr:uid="{00000000-0005-0000-0000-0000162C0000}"/>
    <cellStyle name="Calculation 4 2 2 2 2 3 6" xfId="11295" xr:uid="{00000000-0005-0000-0000-0000172C0000}"/>
    <cellStyle name="Calculation 4 2 2 2 2 4" xfId="11296" xr:uid="{00000000-0005-0000-0000-0000182C0000}"/>
    <cellStyle name="Calculation 4 2 2 2 2 4 2" xfId="11297" xr:uid="{00000000-0005-0000-0000-0000192C0000}"/>
    <cellStyle name="Calculation 4 2 2 2 2 4 3" xfId="11298" xr:uid="{00000000-0005-0000-0000-00001A2C0000}"/>
    <cellStyle name="Calculation 4 2 2 2 2 4 4" xfId="11299" xr:uid="{00000000-0005-0000-0000-00001B2C0000}"/>
    <cellStyle name="Calculation 4 2 2 2 2 4 5" xfId="11300" xr:uid="{00000000-0005-0000-0000-00001C2C0000}"/>
    <cellStyle name="Calculation 4 2 2 2 2 4 6" xfId="11301" xr:uid="{00000000-0005-0000-0000-00001D2C0000}"/>
    <cellStyle name="Calculation 4 2 2 2 2 5" xfId="11302" xr:uid="{00000000-0005-0000-0000-00001E2C0000}"/>
    <cellStyle name="Calculation 4 2 2 2 2 6" xfId="11303" xr:uid="{00000000-0005-0000-0000-00001F2C0000}"/>
    <cellStyle name="Calculation 4 2 2 2 2 7" xfId="11304" xr:uid="{00000000-0005-0000-0000-0000202C0000}"/>
    <cellStyle name="Calculation 4 2 2 2 2 8" xfId="11305" xr:uid="{00000000-0005-0000-0000-0000212C0000}"/>
    <cellStyle name="Calculation 4 2 2 2 3" xfId="11306" xr:uid="{00000000-0005-0000-0000-0000222C0000}"/>
    <cellStyle name="Calculation 4 2 2 2 3 2" xfId="11307" xr:uid="{00000000-0005-0000-0000-0000232C0000}"/>
    <cellStyle name="Calculation 4 2 2 2 3 2 2" xfId="11308" xr:uid="{00000000-0005-0000-0000-0000242C0000}"/>
    <cellStyle name="Calculation 4 2 2 2 3 2 2 2" xfId="11309" xr:uid="{00000000-0005-0000-0000-0000252C0000}"/>
    <cellStyle name="Calculation 4 2 2 2 3 2 2 3" xfId="11310" xr:uid="{00000000-0005-0000-0000-0000262C0000}"/>
    <cellStyle name="Calculation 4 2 2 2 3 2 2 4" xfId="11311" xr:uid="{00000000-0005-0000-0000-0000272C0000}"/>
    <cellStyle name="Calculation 4 2 2 2 3 2 2 5" xfId="11312" xr:uid="{00000000-0005-0000-0000-0000282C0000}"/>
    <cellStyle name="Calculation 4 2 2 2 3 2 2 6" xfId="11313" xr:uid="{00000000-0005-0000-0000-0000292C0000}"/>
    <cellStyle name="Calculation 4 2 2 2 3 2 3" xfId="11314" xr:uid="{00000000-0005-0000-0000-00002A2C0000}"/>
    <cellStyle name="Calculation 4 2 2 2 3 2 4" xfId="11315" xr:uid="{00000000-0005-0000-0000-00002B2C0000}"/>
    <cellStyle name="Calculation 4 2 2 2 3 2 5" xfId="11316" xr:uid="{00000000-0005-0000-0000-00002C2C0000}"/>
    <cellStyle name="Calculation 4 2 2 2 3 2 6" xfId="11317" xr:uid="{00000000-0005-0000-0000-00002D2C0000}"/>
    <cellStyle name="Calculation 4 2 2 2 3 3" xfId="11318" xr:uid="{00000000-0005-0000-0000-00002E2C0000}"/>
    <cellStyle name="Calculation 4 2 2 2 3 3 2" xfId="11319" xr:uid="{00000000-0005-0000-0000-00002F2C0000}"/>
    <cellStyle name="Calculation 4 2 2 2 3 3 2 2" xfId="11320" xr:uid="{00000000-0005-0000-0000-0000302C0000}"/>
    <cellStyle name="Calculation 4 2 2 2 3 3 2 3" xfId="11321" xr:uid="{00000000-0005-0000-0000-0000312C0000}"/>
    <cellStyle name="Calculation 4 2 2 2 3 3 2 4" xfId="11322" xr:uid="{00000000-0005-0000-0000-0000322C0000}"/>
    <cellStyle name="Calculation 4 2 2 2 3 3 2 5" xfId="11323" xr:uid="{00000000-0005-0000-0000-0000332C0000}"/>
    <cellStyle name="Calculation 4 2 2 2 3 3 2 6" xfId="11324" xr:uid="{00000000-0005-0000-0000-0000342C0000}"/>
    <cellStyle name="Calculation 4 2 2 2 3 3 3" xfId="11325" xr:uid="{00000000-0005-0000-0000-0000352C0000}"/>
    <cellStyle name="Calculation 4 2 2 2 3 3 4" xfId="11326" xr:uid="{00000000-0005-0000-0000-0000362C0000}"/>
    <cellStyle name="Calculation 4 2 2 2 3 3 5" xfId="11327" xr:uid="{00000000-0005-0000-0000-0000372C0000}"/>
    <cellStyle name="Calculation 4 2 2 2 3 3 6" xfId="11328" xr:uid="{00000000-0005-0000-0000-0000382C0000}"/>
    <cellStyle name="Calculation 4 2 2 2 3 4" xfId="11329" xr:uid="{00000000-0005-0000-0000-0000392C0000}"/>
    <cellStyle name="Calculation 4 2 2 2 3 4 2" xfId="11330" xr:uid="{00000000-0005-0000-0000-00003A2C0000}"/>
    <cellStyle name="Calculation 4 2 2 2 3 4 3" xfId="11331" xr:uid="{00000000-0005-0000-0000-00003B2C0000}"/>
    <cellStyle name="Calculation 4 2 2 2 3 4 4" xfId="11332" xr:uid="{00000000-0005-0000-0000-00003C2C0000}"/>
    <cellStyle name="Calculation 4 2 2 2 3 4 5" xfId="11333" xr:uid="{00000000-0005-0000-0000-00003D2C0000}"/>
    <cellStyle name="Calculation 4 2 2 2 3 4 6" xfId="11334" xr:uid="{00000000-0005-0000-0000-00003E2C0000}"/>
    <cellStyle name="Calculation 4 2 2 2 3 5" xfId="11335" xr:uid="{00000000-0005-0000-0000-00003F2C0000}"/>
    <cellStyle name="Calculation 4 2 2 2 3 6" xfId="11336" xr:uid="{00000000-0005-0000-0000-0000402C0000}"/>
    <cellStyle name="Calculation 4 2 2 2 3 7" xfId="11337" xr:uid="{00000000-0005-0000-0000-0000412C0000}"/>
    <cellStyle name="Calculation 4 2 2 2 3 8" xfId="11338" xr:uid="{00000000-0005-0000-0000-0000422C0000}"/>
    <cellStyle name="Calculation 4 2 2 2 4" xfId="11339" xr:uid="{00000000-0005-0000-0000-0000432C0000}"/>
    <cellStyle name="Calculation 4 2 2 2 4 2" xfId="11340" xr:uid="{00000000-0005-0000-0000-0000442C0000}"/>
    <cellStyle name="Calculation 4 2 2 2 4 2 2" xfId="11341" xr:uid="{00000000-0005-0000-0000-0000452C0000}"/>
    <cellStyle name="Calculation 4 2 2 2 4 2 2 2" xfId="11342" xr:uid="{00000000-0005-0000-0000-0000462C0000}"/>
    <cellStyle name="Calculation 4 2 2 2 4 2 2 3" xfId="11343" xr:uid="{00000000-0005-0000-0000-0000472C0000}"/>
    <cellStyle name="Calculation 4 2 2 2 4 2 2 4" xfId="11344" xr:uid="{00000000-0005-0000-0000-0000482C0000}"/>
    <cellStyle name="Calculation 4 2 2 2 4 2 2 5" xfId="11345" xr:uid="{00000000-0005-0000-0000-0000492C0000}"/>
    <cellStyle name="Calculation 4 2 2 2 4 2 2 6" xfId="11346" xr:uid="{00000000-0005-0000-0000-00004A2C0000}"/>
    <cellStyle name="Calculation 4 2 2 2 4 2 3" xfId="11347" xr:uid="{00000000-0005-0000-0000-00004B2C0000}"/>
    <cellStyle name="Calculation 4 2 2 2 4 2 4" xfId="11348" xr:uid="{00000000-0005-0000-0000-00004C2C0000}"/>
    <cellStyle name="Calculation 4 2 2 2 4 2 5" xfId="11349" xr:uid="{00000000-0005-0000-0000-00004D2C0000}"/>
    <cellStyle name="Calculation 4 2 2 2 4 2 6" xfId="11350" xr:uid="{00000000-0005-0000-0000-00004E2C0000}"/>
    <cellStyle name="Calculation 4 2 2 2 4 3" xfId="11351" xr:uid="{00000000-0005-0000-0000-00004F2C0000}"/>
    <cellStyle name="Calculation 4 2 2 2 4 3 2" xfId="11352" xr:uid="{00000000-0005-0000-0000-0000502C0000}"/>
    <cellStyle name="Calculation 4 2 2 2 4 3 2 2" xfId="11353" xr:uid="{00000000-0005-0000-0000-0000512C0000}"/>
    <cellStyle name="Calculation 4 2 2 2 4 3 2 3" xfId="11354" xr:uid="{00000000-0005-0000-0000-0000522C0000}"/>
    <cellStyle name="Calculation 4 2 2 2 4 3 2 4" xfId="11355" xr:uid="{00000000-0005-0000-0000-0000532C0000}"/>
    <cellStyle name="Calculation 4 2 2 2 4 3 2 5" xfId="11356" xr:uid="{00000000-0005-0000-0000-0000542C0000}"/>
    <cellStyle name="Calculation 4 2 2 2 4 3 2 6" xfId="11357" xr:uid="{00000000-0005-0000-0000-0000552C0000}"/>
    <cellStyle name="Calculation 4 2 2 2 4 3 3" xfId="11358" xr:uid="{00000000-0005-0000-0000-0000562C0000}"/>
    <cellStyle name="Calculation 4 2 2 2 4 3 4" xfId="11359" xr:uid="{00000000-0005-0000-0000-0000572C0000}"/>
    <cellStyle name="Calculation 4 2 2 2 4 3 5" xfId="11360" xr:uid="{00000000-0005-0000-0000-0000582C0000}"/>
    <cellStyle name="Calculation 4 2 2 2 4 3 6" xfId="11361" xr:uid="{00000000-0005-0000-0000-0000592C0000}"/>
    <cellStyle name="Calculation 4 2 2 2 4 4" xfId="11362" xr:uid="{00000000-0005-0000-0000-00005A2C0000}"/>
    <cellStyle name="Calculation 4 2 2 2 4 4 2" xfId="11363" xr:uid="{00000000-0005-0000-0000-00005B2C0000}"/>
    <cellStyle name="Calculation 4 2 2 2 4 4 3" xfId="11364" xr:uid="{00000000-0005-0000-0000-00005C2C0000}"/>
    <cellStyle name="Calculation 4 2 2 2 4 4 4" xfId="11365" xr:uid="{00000000-0005-0000-0000-00005D2C0000}"/>
    <cellStyle name="Calculation 4 2 2 2 4 4 5" xfId="11366" xr:uid="{00000000-0005-0000-0000-00005E2C0000}"/>
    <cellStyle name="Calculation 4 2 2 2 4 4 6" xfId="11367" xr:uid="{00000000-0005-0000-0000-00005F2C0000}"/>
    <cellStyle name="Calculation 4 2 2 2 4 5" xfId="11368" xr:uid="{00000000-0005-0000-0000-0000602C0000}"/>
    <cellStyle name="Calculation 4 2 2 2 4 6" xfId="11369" xr:uid="{00000000-0005-0000-0000-0000612C0000}"/>
    <cellStyle name="Calculation 4 2 2 2 4 7" xfId="11370" xr:uid="{00000000-0005-0000-0000-0000622C0000}"/>
    <cellStyle name="Calculation 4 2 2 2 4 8" xfId="11371" xr:uid="{00000000-0005-0000-0000-0000632C0000}"/>
    <cellStyle name="Calculation 4 2 2 2 5" xfId="11372" xr:uid="{00000000-0005-0000-0000-0000642C0000}"/>
    <cellStyle name="Calculation 4 2 2 2 5 2" xfId="11373" xr:uid="{00000000-0005-0000-0000-0000652C0000}"/>
    <cellStyle name="Calculation 4 2 2 2 5 2 2" xfId="11374" xr:uid="{00000000-0005-0000-0000-0000662C0000}"/>
    <cellStyle name="Calculation 4 2 2 2 5 2 2 2" xfId="11375" xr:uid="{00000000-0005-0000-0000-0000672C0000}"/>
    <cellStyle name="Calculation 4 2 2 2 5 2 2 3" xfId="11376" xr:uid="{00000000-0005-0000-0000-0000682C0000}"/>
    <cellStyle name="Calculation 4 2 2 2 5 2 2 4" xfId="11377" xr:uid="{00000000-0005-0000-0000-0000692C0000}"/>
    <cellStyle name="Calculation 4 2 2 2 5 2 2 5" xfId="11378" xr:uid="{00000000-0005-0000-0000-00006A2C0000}"/>
    <cellStyle name="Calculation 4 2 2 2 5 2 2 6" xfId="11379" xr:uid="{00000000-0005-0000-0000-00006B2C0000}"/>
    <cellStyle name="Calculation 4 2 2 2 5 2 3" xfId="11380" xr:uid="{00000000-0005-0000-0000-00006C2C0000}"/>
    <cellStyle name="Calculation 4 2 2 2 5 2 4" xfId="11381" xr:uid="{00000000-0005-0000-0000-00006D2C0000}"/>
    <cellStyle name="Calculation 4 2 2 2 5 2 5" xfId="11382" xr:uid="{00000000-0005-0000-0000-00006E2C0000}"/>
    <cellStyle name="Calculation 4 2 2 2 5 2 6" xfId="11383" xr:uid="{00000000-0005-0000-0000-00006F2C0000}"/>
    <cellStyle name="Calculation 4 2 2 2 5 3" xfId="11384" xr:uid="{00000000-0005-0000-0000-0000702C0000}"/>
    <cellStyle name="Calculation 4 2 2 2 5 3 2" xfId="11385" xr:uid="{00000000-0005-0000-0000-0000712C0000}"/>
    <cellStyle name="Calculation 4 2 2 2 5 3 2 2" xfId="11386" xr:uid="{00000000-0005-0000-0000-0000722C0000}"/>
    <cellStyle name="Calculation 4 2 2 2 5 3 2 3" xfId="11387" xr:uid="{00000000-0005-0000-0000-0000732C0000}"/>
    <cellStyle name="Calculation 4 2 2 2 5 3 2 4" xfId="11388" xr:uid="{00000000-0005-0000-0000-0000742C0000}"/>
    <cellStyle name="Calculation 4 2 2 2 5 3 2 5" xfId="11389" xr:uid="{00000000-0005-0000-0000-0000752C0000}"/>
    <cellStyle name="Calculation 4 2 2 2 5 3 2 6" xfId="11390" xr:uid="{00000000-0005-0000-0000-0000762C0000}"/>
    <cellStyle name="Calculation 4 2 2 2 5 3 3" xfId="11391" xr:uid="{00000000-0005-0000-0000-0000772C0000}"/>
    <cellStyle name="Calculation 4 2 2 2 5 3 4" xfId="11392" xr:uid="{00000000-0005-0000-0000-0000782C0000}"/>
    <cellStyle name="Calculation 4 2 2 2 5 3 5" xfId="11393" xr:uid="{00000000-0005-0000-0000-0000792C0000}"/>
    <cellStyle name="Calculation 4 2 2 2 5 3 6" xfId="11394" xr:uid="{00000000-0005-0000-0000-00007A2C0000}"/>
    <cellStyle name="Calculation 4 2 2 2 5 4" xfId="11395" xr:uid="{00000000-0005-0000-0000-00007B2C0000}"/>
    <cellStyle name="Calculation 4 2 2 2 5 4 2" xfId="11396" xr:uid="{00000000-0005-0000-0000-00007C2C0000}"/>
    <cellStyle name="Calculation 4 2 2 2 5 4 3" xfId="11397" xr:uid="{00000000-0005-0000-0000-00007D2C0000}"/>
    <cellStyle name="Calculation 4 2 2 2 5 4 4" xfId="11398" xr:uid="{00000000-0005-0000-0000-00007E2C0000}"/>
    <cellStyle name="Calculation 4 2 2 2 5 4 5" xfId="11399" xr:uid="{00000000-0005-0000-0000-00007F2C0000}"/>
    <cellStyle name="Calculation 4 2 2 2 5 4 6" xfId="11400" xr:uid="{00000000-0005-0000-0000-0000802C0000}"/>
    <cellStyle name="Calculation 4 2 2 2 5 5" xfId="11401" xr:uid="{00000000-0005-0000-0000-0000812C0000}"/>
    <cellStyle name="Calculation 4 2 2 2 5 6" xfId="11402" xr:uid="{00000000-0005-0000-0000-0000822C0000}"/>
    <cellStyle name="Calculation 4 2 2 2 5 7" xfId="11403" xr:uid="{00000000-0005-0000-0000-0000832C0000}"/>
    <cellStyle name="Calculation 4 2 2 2 5 8" xfId="11404" xr:uid="{00000000-0005-0000-0000-0000842C0000}"/>
    <cellStyle name="Calculation 4 2 2 2 6" xfId="11405" xr:uid="{00000000-0005-0000-0000-0000852C0000}"/>
    <cellStyle name="Calculation 4 2 2 2 6 2" xfId="11406" xr:uid="{00000000-0005-0000-0000-0000862C0000}"/>
    <cellStyle name="Calculation 4 2 2 2 6 2 2" xfId="11407" xr:uid="{00000000-0005-0000-0000-0000872C0000}"/>
    <cellStyle name="Calculation 4 2 2 2 6 2 2 2" xfId="11408" xr:uid="{00000000-0005-0000-0000-0000882C0000}"/>
    <cellStyle name="Calculation 4 2 2 2 6 2 2 3" xfId="11409" xr:uid="{00000000-0005-0000-0000-0000892C0000}"/>
    <cellStyle name="Calculation 4 2 2 2 6 2 2 4" xfId="11410" xr:uid="{00000000-0005-0000-0000-00008A2C0000}"/>
    <cellStyle name="Calculation 4 2 2 2 6 2 2 5" xfId="11411" xr:uid="{00000000-0005-0000-0000-00008B2C0000}"/>
    <cellStyle name="Calculation 4 2 2 2 6 2 2 6" xfId="11412" xr:uid="{00000000-0005-0000-0000-00008C2C0000}"/>
    <cellStyle name="Calculation 4 2 2 2 6 2 3" xfId="11413" xr:uid="{00000000-0005-0000-0000-00008D2C0000}"/>
    <cellStyle name="Calculation 4 2 2 2 6 2 4" xfId="11414" xr:uid="{00000000-0005-0000-0000-00008E2C0000}"/>
    <cellStyle name="Calculation 4 2 2 2 6 2 5" xfId="11415" xr:uid="{00000000-0005-0000-0000-00008F2C0000}"/>
    <cellStyle name="Calculation 4 2 2 2 6 2 6" xfId="11416" xr:uid="{00000000-0005-0000-0000-0000902C0000}"/>
    <cellStyle name="Calculation 4 2 2 2 6 3" xfId="11417" xr:uid="{00000000-0005-0000-0000-0000912C0000}"/>
    <cellStyle name="Calculation 4 2 2 2 6 3 2" xfId="11418" xr:uid="{00000000-0005-0000-0000-0000922C0000}"/>
    <cellStyle name="Calculation 4 2 2 2 6 3 2 2" xfId="11419" xr:uid="{00000000-0005-0000-0000-0000932C0000}"/>
    <cellStyle name="Calculation 4 2 2 2 6 3 2 3" xfId="11420" xr:uid="{00000000-0005-0000-0000-0000942C0000}"/>
    <cellStyle name="Calculation 4 2 2 2 6 3 2 4" xfId="11421" xr:uid="{00000000-0005-0000-0000-0000952C0000}"/>
    <cellStyle name="Calculation 4 2 2 2 6 3 2 5" xfId="11422" xr:uid="{00000000-0005-0000-0000-0000962C0000}"/>
    <cellStyle name="Calculation 4 2 2 2 6 3 2 6" xfId="11423" xr:uid="{00000000-0005-0000-0000-0000972C0000}"/>
    <cellStyle name="Calculation 4 2 2 2 6 3 3" xfId="11424" xr:uid="{00000000-0005-0000-0000-0000982C0000}"/>
    <cellStyle name="Calculation 4 2 2 2 6 3 4" xfId="11425" xr:uid="{00000000-0005-0000-0000-0000992C0000}"/>
    <cellStyle name="Calculation 4 2 2 2 6 3 5" xfId="11426" xr:uid="{00000000-0005-0000-0000-00009A2C0000}"/>
    <cellStyle name="Calculation 4 2 2 2 6 3 6" xfId="11427" xr:uid="{00000000-0005-0000-0000-00009B2C0000}"/>
    <cellStyle name="Calculation 4 2 2 2 6 4" xfId="11428" xr:uid="{00000000-0005-0000-0000-00009C2C0000}"/>
    <cellStyle name="Calculation 4 2 2 2 6 4 2" xfId="11429" xr:uid="{00000000-0005-0000-0000-00009D2C0000}"/>
    <cellStyle name="Calculation 4 2 2 2 6 4 3" xfId="11430" xr:uid="{00000000-0005-0000-0000-00009E2C0000}"/>
    <cellStyle name="Calculation 4 2 2 2 6 4 4" xfId="11431" xr:uid="{00000000-0005-0000-0000-00009F2C0000}"/>
    <cellStyle name="Calculation 4 2 2 2 6 4 5" xfId="11432" xr:uid="{00000000-0005-0000-0000-0000A02C0000}"/>
    <cellStyle name="Calculation 4 2 2 2 6 4 6" xfId="11433" xr:uid="{00000000-0005-0000-0000-0000A12C0000}"/>
    <cellStyle name="Calculation 4 2 2 2 6 5" xfId="11434" xr:uid="{00000000-0005-0000-0000-0000A22C0000}"/>
    <cellStyle name="Calculation 4 2 2 2 6 6" xfId="11435" xr:uid="{00000000-0005-0000-0000-0000A32C0000}"/>
    <cellStyle name="Calculation 4 2 2 2 6 7" xfId="11436" xr:uid="{00000000-0005-0000-0000-0000A42C0000}"/>
    <cellStyle name="Calculation 4 2 2 2 6 8" xfId="11437" xr:uid="{00000000-0005-0000-0000-0000A52C0000}"/>
    <cellStyle name="Calculation 4 2 2 2 7" xfId="11438" xr:uid="{00000000-0005-0000-0000-0000A62C0000}"/>
    <cellStyle name="Calculation 4 2 2 2 7 2" xfId="11439" xr:uid="{00000000-0005-0000-0000-0000A72C0000}"/>
    <cellStyle name="Calculation 4 2 2 2 7 2 2" xfId="11440" xr:uid="{00000000-0005-0000-0000-0000A82C0000}"/>
    <cellStyle name="Calculation 4 2 2 2 7 2 3" xfId="11441" xr:uid="{00000000-0005-0000-0000-0000A92C0000}"/>
    <cellStyle name="Calculation 4 2 2 2 7 2 4" xfId="11442" xr:uid="{00000000-0005-0000-0000-0000AA2C0000}"/>
    <cellStyle name="Calculation 4 2 2 2 7 2 5" xfId="11443" xr:uid="{00000000-0005-0000-0000-0000AB2C0000}"/>
    <cellStyle name="Calculation 4 2 2 2 7 2 6" xfId="11444" xr:uid="{00000000-0005-0000-0000-0000AC2C0000}"/>
    <cellStyle name="Calculation 4 2 2 2 7 3" xfId="11445" xr:uid="{00000000-0005-0000-0000-0000AD2C0000}"/>
    <cellStyle name="Calculation 4 2 2 2 7 4" xfId="11446" xr:uid="{00000000-0005-0000-0000-0000AE2C0000}"/>
    <cellStyle name="Calculation 4 2 2 2 7 5" xfId="11447" xr:uid="{00000000-0005-0000-0000-0000AF2C0000}"/>
    <cellStyle name="Calculation 4 2 2 2 7 6" xfId="11448" xr:uid="{00000000-0005-0000-0000-0000B02C0000}"/>
    <cellStyle name="Calculation 4 2 2 2 8" xfId="11449" xr:uid="{00000000-0005-0000-0000-0000B12C0000}"/>
    <cellStyle name="Calculation 4 2 2 2 8 2" xfId="11450" xr:uid="{00000000-0005-0000-0000-0000B22C0000}"/>
    <cellStyle name="Calculation 4 2 2 2 8 2 2" xfId="11451" xr:uid="{00000000-0005-0000-0000-0000B32C0000}"/>
    <cellStyle name="Calculation 4 2 2 2 8 2 3" xfId="11452" xr:uid="{00000000-0005-0000-0000-0000B42C0000}"/>
    <cellStyle name="Calculation 4 2 2 2 8 2 4" xfId="11453" xr:uid="{00000000-0005-0000-0000-0000B52C0000}"/>
    <cellStyle name="Calculation 4 2 2 2 8 2 5" xfId="11454" xr:uid="{00000000-0005-0000-0000-0000B62C0000}"/>
    <cellStyle name="Calculation 4 2 2 2 8 2 6" xfId="11455" xr:uid="{00000000-0005-0000-0000-0000B72C0000}"/>
    <cellStyle name="Calculation 4 2 2 2 8 3" xfId="11456" xr:uid="{00000000-0005-0000-0000-0000B82C0000}"/>
    <cellStyle name="Calculation 4 2 2 2 8 4" xfId="11457" xr:uid="{00000000-0005-0000-0000-0000B92C0000}"/>
    <cellStyle name="Calculation 4 2 2 2 8 5" xfId="11458" xr:uid="{00000000-0005-0000-0000-0000BA2C0000}"/>
    <cellStyle name="Calculation 4 2 2 2 8 6" xfId="11459" xr:uid="{00000000-0005-0000-0000-0000BB2C0000}"/>
    <cellStyle name="Calculation 4 2 2 2 9" xfId="11460" xr:uid="{00000000-0005-0000-0000-0000BC2C0000}"/>
    <cellStyle name="Calculation 4 2 2 2 9 2" xfId="11461" xr:uid="{00000000-0005-0000-0000-0000BD2C0000}"/>
    <cellStyle name="Calculation 4 2 2 2 9 3" xfId="11462" xr:uid="{00000000-0005-0000-0000-0000BE2C0000}"/>
    <cellStyle name="Calculation 4 2 2 2 9 4" xfId="11463" xr:uid="{00000000-0005-0000-0000-0000BF2C0000}"/>
    <cellStyle name="Calculation 4 2 2 2 9 5" xfId="11464" xr:uid="{00000000-0005-0000-0000-0000C02C0000}"/>
    <cellStyle name="Calculation 4 2 2 2 9 6" xfId="11465" xr:uid="{00000000-0005-0000-0000-0000C12C0000}"/>
    <cellStyle name="Calculation 4 2 2 3" xfId="11466" xr:uid="{00000000-0005-0000-0000-0000C22C0000}"/>
    <cellStyle name="Calculation 4 2 2 3 2" xfId="11467" xr:uid="{00000000-0005-0000-0000-0000C32C0000}"/>
    <cellStyle name="Calculation 4 2 2 3 2 2" xfId="11468" xr:uid="{00000000-0005-0000-0000-0000C42C0000}"/>
    <cellStyle name="Calculation 4 2 2 3 2 2 2" xfId="11469" xr:uid="{00000000-0005-0000-0000-0000C52C0000}"/>
    <cellStyle name="Calculation 4 2 2 3 2 2 3" xfId="11470" xr:uid="{00000000-0005-0000-0000-0000C62C0000}"/>
    <cellStyle name="Calculation 4 2 2 3 2 2 4" xfId="11471" xr:uid="{00000000-0005-0000-0000-0000C72C0000}"/>
    <cellStyle name="Calculation 4 2 2 3 2 2 5" xfId="11472" xr:uid="{00000000-0005-0000-0000-0000C82C0000}"/>
    <cellStyle name="Calculation 4 2 2 3 2 2 6" xfId="11473" xr:uid="{00000000-0005-0000-0000-0000C92C0000}"/>
    <cellStyle name="Calculation 4 2 2 3 2 3" xfId="11474" xr:uid="{00000000-0005-0000-0000-0000CA2C0000}"/>
    <cellStyle name="Calculation 4 2 2 3 2 4" xfId="11475" xr:uid="{00000000-0005-0000-0000-0000CB2C0000}"/>
    <cellStyle name="Calculation 4 2 2 3 2 5" xfId="11476" xr:uid="{00000000-0005-0000-0000-0000CC2C0000}"/>
    <cellStyle name="Calculation 4 2 2 3 2 6" xfId="11477" xr:uid="{00000000-0005-0000-0000-0000CD2C0000}"/>
    <cellStyle name="Calculation 4 2 2 3 3" xfId="11478" xr:uid="{00000000-0005-0000-0000-0000CE2C0000}"/>
    <cellStyle name="Calculation 4 2 2 3 3 2" xfId="11479" xr:uid="{00000000-0005-0000-0000-0000CF2C0000}"/>
    <cellStyle name="Calculation 4 2 2 3 3 2 2" xfId="11480" xr:uid="{00000000-0005-0000-0000-0000D02C0000}"/>
    <cellStyle name="Calculation 4 2 2 3 3 2 3" xfId="11481" xr:uid="{00000000-0005-0000-0000-0000D12C0000}"/>
    <cellStyle name="Calculation 4 2 2 3 3 2 4" xfId="11482" xr:uid="{00000000-0005-0000-0000-0000D22C0000}"/>
    <cellStyle name="Calculation 4 2 2 3 3 2 5" xfId="11483" xr:uid="{00000000-0005-0000-0000-0000D32C0000}"/>
    <cellStyle name="Calculation 4 2 2 3 3 2 6" xfId="11484" xr:uid="{00000000-0005-0000-0000-0000D42C0000}"/>
    <cellStyle name="Calculation 4 2 2 3 3 3" xfId="11485" xr:uid="{00000000-0005-0000-0000-0000D52C0000}"/>
    <cellStyle name="Calculation 4 2 2 3 3 4" xfId="11486" xr:uid="{00000000-0005-0000-0000-0000D62C0000}"/>
    <cellStyle name="Calculation 4 2 2 3 3 5" xfId="11487" xr:uid="{00000000-0005-0000-0000-0000D72C0000}"/>
    <cellStyle name="Calculation 4 2 2 3 3 6" xfId="11488" xr:uid="{00000000-0005-0000-0000-0000D82C0000}"/>
    <cellStyle name="Calculation 4 2 2 3 4" xfId="11489" xr:uid="{00000000-0005-0000-0000-0000D92C0000}"/>
    <cellStyle name="Calculation 4 2 2 3 4 2" xfId="11490" xr:uid="{00000000-0005-0000-0000-0000DA2C0000}"/>
    <cellStyle name="Calculation 4 2 2 3 4 3" xfId="11491" xr:uid="{00000000-0005-0000-0000-0000DB2C0000}"/>
    <cellStyle name="Calculation 4 2 2 3 4 4" xfId="11492" xr:uid="{00000000-0005-0000-0000-0000DC2C0000}"/>
    <cellStyle name="Calculation 4 2 2 3 4 5" xfId="11493" xr:uid="{00000000-0005-0000-0000-0000DD2C0000}"/>
    <cellStyle name="Calculation 4 2 2 3 4 6" xfId="11494" xr:uid="{00000000-0005-0000-0000-0000DE2C0000}"/>
    <cellStyle name="Calculation 4 2 2 3 5" xfId="11495" xr:uid="{00000000-0005-0000-0000-0000DF2C0000}"/>
    <cellStyle name="Calculation 4 2 2 3 6" xfId="11496" xr:uid="{00000000-0005-0000-0000-0000E02C0000}"/>
    <cellStyle name="Calculation 4 2 2 3 7" xfId="11497" xr:uid="{00000000-0005-0000-0000-0000E12C0000}"/>
    <cellStyle name="Calculation 4 2 2 3 8" xfId="11498" xr:uid="{00000000-0005-0000-0000-0000E22C0000}"/>
    <cellStyle name="Calculation 4 2 2 4" xfId="11499" xr:uid="{00000000-0005-0000-0000-0000E32C0000}"/>
    <cellStyle name="Calculation 4 2 2 4 2" xfId="11500" xr:uid="{00000000-0005-0000-0000-0000E42C0000}"/>
    <cellStyle name="Calculation 4 2 2 4 2 2" xfId="11501" xr:uid="{00000000-0005-0000-0000-0000E52C0000}"/>
    <cellStyle name="Calculation 4 2 2 4 2 2 2" xfId="11502" xr:uid="{00000000-0005-0000-0000-0000E62C0000}"/>
    <cellStyle name="Calculation 4 2 2 4 2 2 3" xfId="11503" xr:uid="{00000000-0005-0000-0000-0000E72C0000}"/>
    <cellStyle name="Calculation 4 2 2 4 2 2 4" xfId="11504" xr:uid="{00000000-0005-0000-0000-0000E82C0000}"/>
    <cellStyle name="Calculation 4 2 2 4 2 2 5" xfId="11505" xr:uid="{00000000-0005-0000-0000-0000E92C0000}"/>
    <cellStyle name="Calculation 4 2 2 4 2 2 6" xfId="11506" xr:uid="{00000000-0005-0000-0000-0000EA2C0000}"/>
    <cellStyle name="Calculation 4 2 2 4 2 3" xfId="11507" xr:uid="{00000000-0005-0000-0000-0000EB2C0000}"/>
    <cellStyle name="Calculation 4 2 2 4 2 4" xfId="11508" xr:uid="{00000000-0005-0000-0000-0000EC2C0000}"/>
    <cellStyle name="Calculation 4 2 2 4 2 5" xfId="11509" xr:uid="{00000000-0005-0000-0000-0000ED2C0000}"/>
    <cellStyle name="Calculation 4 2 2 4 2 6" xfId="11510" xr:uid="{00000000-0005-0000-0000-0000EE2C0000}"/>
    <cellStyle name="Calculation 4 2 2 4 3" xfId="11511" xr:uid="{00000000-0005-0000-0000-0000EF2C0000}"/>
    <cellStyle name="Calculation 4 2 2 4 3 2" xfId="11512" xr:uid="{00000000-0005-0000-0000-0000F02C0000}"/>
    <cellStyle name="Calculation 4 2 2 4 3 2 2" xfId="11513" xr:uid="{00000000-0005-0000-0000-0000F12C0000}"/>
    <cellStyle name="Calculation 4 2 2 4 3 2 3" xfId="11514" xr:uid="{00000000-0005-0000-0000-0000F22C0000}"/>
    <cellStyle name="Calculation 4 2 2 4 3 2 4" xfId="11515" xr:uid="{00000000-0005-0000-0000-0000F32C0000}"/>
    <cellStyle name="Calculation 4 2 2 4 3 2 5" xfId="11516" xr:uid="{00000000-0005-0000-0000-0000F42C0000}"/>
    <cellStyle name="Calculation 4 2 2 4 3 2 6" xfId="11517" xr:uid="{00000000-0005-0000-0000-0000F52C0000}"/>
    <cellStyle name="Calculation 4 2 2 4 3 3" xfId="11518" xr:uid="{00000000-0005-0000-0000-0000F62C0000}"/>
    <cellStyle name="Calculation 4 2 2 4 3 4" xfId="11519" xr:uid="{00000000-0005-0000-0000-0000F72C0000}"/>
    <cellStyle name="Calculation 4 2 2 4 3 5" xfId="11520" xr:uid="{00000000-0005-0000-0000-0000F82C0000}"/>
    <cellStyle name="Calculation 4 2 2 4 3 6" xfId="11521" xr:uid="{00000000-0005-0000-0000-0000F92C0000}"/>
    <cellStyle name="Calculation 4 2 2 4 4" xfId="11522" xr:uid="{00000000-0005-0000-0000-0000FA2C0000}"/>
    <cellStyle name="Calculation 4 2 2 4 4 2" xfId="11523" xr:uid="{00000000-0005-0000-0000-0000FB2C0000}"/>
    <cellStyle name="Calculation 4 2 2 4 4 3" xfId="11524" xr:uid="{00000000-0005-0000-0000-0000FC2C0000}"/>
    <cellStyle name="Calculation 4 2 2 4 4 4" xfId="11525" xr:uid="{00000000-0005-0000-0000-0000FD2C0000}"/>
    <cellStyle name="Calculation 4 2 2 4 4 5" xfId="11526" xr:uid="{00000000-0005-0000-0000-0000FE2C0000}"/>
    <cellStyle name="Calculation 4 2 2 4 4 6" xfId="11527" xr:uid="{00000000-0005-0000-0000-0000FF2C0000}"/>
    <cellStyle name="Calculation 4 2 2 4 5" xfId="11528" xr:uid="{00000000-0005-0000-0000-0000002D0000}"/>
    <cellStyle name="Calculation 4 2 2 4 6" xfId="11529" xr:uid="{00000000-0005-0000-0000-0000012D0000}"/>
    <cellStyle name="Calculation 4 2 2 4 7" xfId="11530" xr:uid="{00000000-0005-0000-0000-0000022D0000}"/>
    <cellStyle name="Calculation 4 2 2 4 8" xfId="11531" xr:uid="{00000000-0005-0000-0000-0000032D0000}"/>
    <cellStyle name="Calculation 4 2 2 5" xfId="11532" xr:uid="{00000000-0005-0000-0000-0000042D0000}"/>
    <cellStyle name="Calculation 4 2 2 5 2" xfId="11533" xr:uid="{00000000-0005-0000-0000-0000052D0000}"/>
    <cellStyle name="Calculation 4 2 2 5 2 2" xfId="11534" xr:uid="{00000000-0005-0000-0000-0000062D0000}"/>
    <cellStyle name="Calculation 4 2 2 5 2 2 2" xfId="11535" xr:uid="{00000000-0005-0000-0000-0000072D0000}"/>
    <cellStyle name="Calculation 4 2 2 5 2 2 3" xfId="11536" xr:uid="{00000000-0005-0000-0000-0000082D0000}"/>
    <cellStyle name="Calculation 4 2 2 5 2 2 4" xfId="11537" xr:uid="{00000000-0005-0000-0000-0000092D0000}"/>
    <cellStyle name="Calculation 4 2 2 5 2 2 5" xfId="11538" xr:uid="{00000000-0005-0000-0000-00000A2D0000}"/>
    <cellStyle name="Calculation 4 2 2 5 2 2 6" xfId="11539" xr:uid="{00000000-0005-0000-0000-00000B2D0000}"/>
    <cellStyle name="Calculation 4 2 2 5 2 3" xfId="11540" xr:uid="{00000000-0005-0000-0000-00000C2D0000}"/>
    <cellStyle name="Calculation 4 2 2 5 2 4" xfId="11541" xr:uid="{00000000-0005-0000-0000-00000D2D0000}"/>
    <cellStyle name="Calculation 4 2 2 5 2 5" xfId="11542" xr:uid="{00000000-0005-0000-0000-00000E2D0000}"/>
    <cellStyle name="Calculation 4 2 2 5 2 6" xfId="11543" xr:uid="{00000000-0005-0000-0000-00000F2D0000}"/>
    <cellStyle name="Calculation 4 2 2 5 3" xfId="11544" xr:uid="{00000000-0005-0000-0000-0000102D0000}"/>
    <cellStyle name="Calculation 4 2 2 5 3 2" xfId="11545" xr:uid="{00000000-0005-0000-0000-0000112D0000}"/>
    <cellStyle name="Calculation 4 2 2 5 3 2 2" xfId="11546" xr:uid="{00000000-0005-0000-0000-0000122D0000}"/>
    <cellStyle name="Calculation 4 2 2 5 3 2 3" xfId="11547" xr:uid="{00000000-0005-0000-0000-0000132D0000}"/>
    <cellStyle name="Calculation 4 2 2 5 3 2 4" xfId="11548" xr:uid="{00000000-0005-0000-0000-0000142D0000}"/>
    <cellStyle name="Calculation 4 2 2 5 3 2 5" xfId="11549" xr:uid="{00000000-0005-0000-0000-0000152D0000}"/>
    <cellStyle name="Calculation 4 2 2 5 3 2 6" xfId="11550" xr:uid="{00000000-0005-0000-0000-0000162D0000}"/>
    <cellStyle name="Calculation 4 2 2 5 3 3" xfId="11551" xr:uid="{00000000-0005-0000-0000-0000172D0000}"/>
    <cellStyle name="Calculation 4 2 2 5 3 4" xfId="11552" xr:uid="{00000000-0005-0000-0000-0000182D0000}"/>
    <cellStyle name="Calculation 4 2 2 5 3 5" xfId="11553" xr:uid="{00000000-0005-0000-0000-0000192D0000}"/>
    <cellStyle name="Calculation 4 2 2 5 3 6" xfId="11554" xr:uid="{00000000-0005-0000-0000-00001A2D0000}"/>
    <cellStyle name="Calculation 4 2 2 5 4" xfId="11555" xr:uid="{00000000-0005-0000-0000-00001B2D0000}"/>
    <cellStyle name="Calculation 4 2 2 5 4 2" xfId="11556" xr:uid="{00000000-0005-0000-0000-00001C2D0000}"/>
    <cellStyle name="Calculation 4 2 2 5 4 3" xfId="11557" xr:uid="{00000000-0005-0000-0000-00001D2D0000}"/>
    <cellStyle name="Calculation 4 2 2 5 4 4" xfId="11558" xr:uid="{00000000-0005-0000-0000-00001E2D0000}"/>
    <cellStyle name="Calculation 4 2 2 5 4 5" xfId="11559" xr:uid="{00000000-0005-0000-0000-00001F2D0000}"/>
    <cellStyle name="Calculation 4 2 2 5 4 6" xfId="11560" xr:uid="{00000000-0005-0000-0000-0000202D0000}"/>
    <cellStyle name="Calculation 4 2 2 5 5" xfId="11561" xr:uid="{00000000-0005-0000-0000-0000212D0000}"/>
    <cellStyle name="Calculation 4 2 2 5 6" xfId="11562" xr:uid="{00000000-0005-0000-0000-0000222D0000}"/>
    <cellStyle name="Calculation 4 2 2 5 7" xfId="11563" xr:uid="{00000000-0005-0000-0000-0000232D0000}"/>
    <cellStyle name="Calculation 4 2 2 5 8" xfId="11564" xr:uid="{00000000-0005-0000-0000-0000242D0000}"/>
    <cellStyle name="Calculation 4 2 2 6" xfId="11565" xr:uid="{00000000-0005-0000-0000-0000252D0000}"/>
    <cellStyle name="Calculation 4 2 2 6 2" xfId="11566" xr:uid="{00000000-0005-0000-0000-0000262D0000}"/>
    <cellStyle name="Calculation 4 2 2 6 2 2" xfId="11567" xr:uid="{00000000-0005-0000-0000-0000272D0000}"/>
    <cellStyle name="Calculation 4 2 2 6 2 2 2" xfId="11568" xr:uid="{00000000-0005-0000-0000-0000282D0000}"/>
    <cellStyle name="Calculation 4 2 2 6 2 2 3" xfId="11569" xr:uid="{00000000-0005-0000-0000-0000292D0000}"/>
    <cellStyle name="Calculation 4 2 2 6 2 2 4" xfId="11570" xr:uid="{00000000-0005-0000-0000-00002A2D0000}"/>
    <cellStyle name="Calculation 4 2 2 6 2 2 5" xfId="11571" xr:uid="{00000000-0005-0000-0000-00002B2D0000}"/>
    <cellStyle name="Calculation 4 2 2 6 2 2 6" xfId="11572" xr:uid="{00000000-0005-0000-0000-00002C2D0000}"/>
    <cellStyle name="Calculation 4 2 2 6 2 3" xfId="11573" xr:uid="{00000000-0005-0000-0000-00002D2D0000}"/>
    <cellStyle name="Calculation 4 2 2 6 2 4" xfId="11574" xr:uid="{00000000-0005-0000-0000-00002E2D0000}"/>
    <cellStyle name="Calculation 4 2 2 6 2 5" xfId="11575" xr:uid="{00000000-0005-0000-0000-00002F2D0000}"/>
    <cellStyle name="Calculation 4 2 2 6 2 6" xfId="11576" xr:uid="{00000000-0005-0000-0000-0000302D0000}"/>
    <cellStyle name="Calculation 4 2 2 6 3" xfId="11577" xr:uid="{00000000-0005-0000-0000-0000312D0000}"/>
    <cellStyle name="Calculation 4 2 2 6 3 2" xfId="11578" xr:uid="{00000000-0005-0000-0000-0000322D0000}"/>
    <cellStyle name="Calculation 4 2 2 6 3 2 2" xfId="11579" xr:uid="{00000000-0005-0000-0000-0000332D0000}"/>
    <cellStyle name="Calculation 4 2 2 6 3 2 3" xfId="11580" xr:uid="{00000000-0005-0000-0000-0000342D0000}"/>
    <cellStyle name="Calculation 4 2 2 6 3 2 4" xfId="11581" xr:uid="{00000000-0005-0000-0000-0000352D0000}"/>
    <cellStyle name="Calculation 4 2 2 6 3 2 5" xfId="11582" xr:uid="{00000000-0005-0000-0000-0000362D0000}"/>
    <cellStyle name="Calculation 4 2 2 6 3 2 6" xfId="11583" xr:uid="{00000000-0005-0000-0000-0000372D0000}"/>
    <cellStyle name="Calculation 4 2 2 6 3 3" xfId="11584" xr:uid="{00000000-0005-0000-0000-0000382D0000}"/>
    <cellStyle name="Calculation 4 2 2 6 3 4" xfId="11585" xr:uid="{00000000-0005-0000-0000-0000392D0000}"/>
    <cellStyle name="Calculation 4 2 2 6 3 5" xfId="11586" xr:uid="{00000000-0005-0000-0000-00003A2D0000}"/>
    <cellStyle name="Calculation 4 2 2 6 3 6" xfId="11587" xr:uid="{00000000-0005-0000-0000-00003B2D0000}"/>
    <cellStyle name="Calculation 4 2 2 6 4" xfId="11588" xr:uid="{00000000-0005-0000-0000-00003C2D0000}"/>
    <cellStyle name="Calculation 4 2 2 6 4 2" xfId="11589" xr:uid="{00000000-0005-0000-0000-00003D2D0000}"/>
    <cellStyle name="Calculation 4 2 2 6 4 3" xfId="11590" xr:uid="{00000000-0005-0000-0000-00003E2D0000}"/>
    <cellStyle name="Calculation 4 2 2 6 4 4" xfId="11591" xr:uid="{00000000-0005-0000-0000-00003F2D0000}"/>
    <cellStyle name="Calculation 4 2 2 6 4 5" xfId="11592" xr:uid="{00000000-0005-0000-0000-0000402D0000}"/>
    <cellStyle name="Calculation 4 2 2 6 4 6" xfId="11593" xr:uid="{00000000-0005-0000-0000-0000412D0000}"/>
    <cellStyle name="Calculation 4 2 2 6 5" xfId="11594" xr:uid="{00000000-0005-0000-0000-0000422D0000}"/>
    <cellStyle name="Calculation 4 2 2 6 6" xfId="11595" xr:uid="{00000000-0005-0000-0000-0000432D0000}"/>
    <cellStyle name="Calculation 4 2 2 6 7" xfId="11596" xr:uid="{00000000-0005-0000-0000-0000442D0000}"/>
    <cellStyle name="Calculation 4 2 2 6 8" xfId="11597" xr:uid="{00000000-0005-0000-0000-0000452D0000}"/>
    <cellStyle name="Calculation 4 2 2 7" xfId="11598" xr:uid="{00000000-0005-0000-0000-0000462D0000}"/>
    <cellStyle name="Calculation 4 2 2 7 2" xfId="11599" xr:uid="{00000000-0005-0000-0000-0000472D0000}"/>
    <cellStyle name="Calculation 4 2 2 7 2 2" xfId="11600" xr:uid="{00000000-0005-0000-0000-0000482D0000}"/>
    <cellStyle name="Calculation 4 2 2 7 2 2 2" xfId="11601" xr:uid="{00000000-0005-0000-0000-0000492D0000}"/>
    <cellStyle name="Calculation 4 2 2 7 2 2 3" xfId="11602" xr:uid="{00000000-0005-0000-0000-00004A2D0000}"/>
    <cellStyle name="Calculation 4 2 2 7 2 2 4" xfId="11603" xr:uid="{00000000-0005-0000-0000-00004B2D0000}"/>
    <cellStyle name="Calculation 4 2 2 7 2 2 5" xfId="11604" xr:uid="{00000000-0005-0000-0000-00004C2D0000}"/>
    <cellStyle name="Calculation 4 2 2 7 2 2 6" xfId="11605" xr:uid="{00000000-0005-0000-0000-00004D2D0000}"/>
    <cellStyle name="Calculation 4 2 2 7 2 3" xfId="11606" xr:uid="{00000000-0005-0000-0000-00004E2D0000}"/>
    <cellStyle name="Calculation 4 2 2 7 2 4" xfId="11607" xr:uid="{00000000-0005-0000-0000-00004F2D0000}"/>
    <cellStyle name="Calculation 4 2 2 7 2 5" xfId="11608" xr:uid="{00000000-0005-0000-0000-0000502D0000}"/>
    <cellStyle name="Calculation 4 2 2 7 2 6" xfId="11609" xr:uid="{00000000-0005-0000-0000-0000512D0000}"/>
    <cellStyle name="Calculation 4 2 2 7 3" xfId="11610" xr:uid="{00000000-0005-0000-0000-0000522D0000}"/>
    <cellStyle name="Calculation 4 2 2 7 3 2" xfId="11611" xr:uid="{00000000-0005-0000-0000-0000532D0000}"/>
    <cellStyle name="Calculation 4 2 2 7 3 2 2" xfId="11612" xr:uid="{00000000-0005-0000-0000-0000542D0000}"/>
    <cellStyle name="Calculation 4 2 2 7 3 2 3" xfId="11613" xr:uid="{00000000-0005-0000-0000-0000552D0000}"/>
    <cellStyle name="Calculation 4 2 2 7 3 2 4" xfId="11614" xr:uid="{00000000-0005-0000-0000-0000562D0000}"/>
    <cellStyle name="Calculation 4 2 2 7 3 2 5" xfId="11615" xr:uid="{00000000-0005-0000-0000-0000572D0000}"/>
    <cellStyle name="Calculation 4 2 2 7 3 2 6" xfId="11616" xr:uid="{00000000-0005-0000-0000-0000582D0000}"/>
    <cellStyle name="Calculation 4 2 2 7 3 3" xfId="11617" xr:uid="{00000000-0005-0000-0000-0000592D0000}"/>
    <cellStyle name="Calculation 4 2 2 7 3 4" xfId="11618" xr:uid="{00000000-0005-0000-0000-00005A2D0000}"/>
    <cellStyle name="Calculation 4 2 2 7 3 5" xfId="11619" xr:uid="{00000000-0005-0000-0000-00005B2D0000}"/>
    <cellStyle name="Calculation 4 2 2 7 3 6" xfId="11620" xr:uid="{00000000-0005-0000-0000-00005C2D0000}"/>
    <cellStyle name="Calculation 4 2 2 7 4" xfId="11621" xr:uid="{00000000-0005-0000-0000-00005D2D0000}"/>
    <cellStyle name="Calculation 4 2 2 7 4 2" xfId="11622" xr:uid="{00000000-0005-0000-0000-00005E2D0000}"/>
    <cellStyle name="Calculation 4 2 2 7 4 3" xfId="11623" xr:uid="{00000000-0005-0000-0000-00005F2D0000}"/>
    <cellStyle name="Calculation 4 2 2 7 4 4" xfId="11624" xr:uid="{00000000-0005-0000-0000-0000602D0000}"/>
    <cellStyle name="Calculation 4 2 2 7 4 5" xfId="11625" xr:uid="{00000000-0005-0000-0000-0000612D0000}"/>
    <cellStyle name="Calculation 4 2 2 7 4 6" xfId="11626" xr:uid="{00000000-0005-0000-0000-0000622D0000}"/>
    <cellStyle name="Calculation 4 2 2 7 5" xfId="11627" xr:uid="{00000000-0005-0000-0000-0000632D0000}"/>
    <cellStyle name="Calculation 4 2 2 7 6" xfId="11628" xr:uid="{00000000-0005-0000-0000-0000642D0000}"/>
    <cellStyle name="Calculation 4 2 2 7 7" xfId="11629" xr:uid="{00000000-0005-0000-0000-0000652D0000}"/>
    <cellStyle name="Calculation 4 2 2 7 8" xfId="11630" xr:uid="{00000000-0005-0000-0000-0000662D0000}"/>
    <cellStyle name="Calculation 4 2 2 8" xfId="11631" xr:uid="{00000000-0005-0000-0000-0000672D0000}"/>
    <cellStyle name="Calculation 4 2 2 8 2" xfId="11632" xr:uid="{00000000-0005-0000-0000-0000682D0000}"/>
    <cellStyle name="Calculation 4 2 2 8 2 2" xfId="11633" xr:uid="{00000000-0005-0000-0000-0000692D0000}"/>
    <cellStyle name="Calculation 4 2 2 8 2 3" xfId="11634" xr:uid="{00000000-0005-0000-0000-00006A2D0000}"/>
    <cellStyle name="Calculation 4 2 2 8 2 4" xfId="11635" xr:uid="{00000000-0005-0000-0000-00006B2D0000}"/>
    <cellStyle name="Calculation 4 2 2 8 2 5" xfId="11636" xr:uid="{00000000-0005-0000-0000-00006C2D0000}"/>
    <cellStyle name="Calculation 4 2 2 8 2 6" xfId="11637" xr:uid="{00000000-0005-0000-0000-00006D2D0000}"/>
    <cellStyle name="Calculation 4 2 2 8 3" xfId="11638" xr:uid="{00000000-0005-0000-0000-00006E2D0000}"/>
    <cellStyle name="Calculation 4 2 2 8 4" xfId="11639" xr:uid="{00000000-0005-0000-0000-00006F2D0000}"/>
    <cellStyle name="Calculation 4 2 2 8 5" xfId="11640" xr:uid="{00000000-0005-0000-0000-0000702D0000}"/>
    <cellStyle name="Calculation 4 2 2 8 6" xfId="11641" xr:uid="{00000000-0005-0000-0000-0000712D0000}"/>
    <cellStyle name="Calculation 4 2 2 9" xfId="11642" xr:uid="{00000000-0005-0000-0000-0000722D0000}"/>
    <cellStyle name="Calculation 4 2 2 9 2" xfId="11643" xr:uid="{00000000-0005-0000-0000-0000732D0000}"/>
    <cellStyle name="Calculation 4 2 2 9 2 2" xfId="11644" xr:uid="{00000000-0005-0000-0000-0000742D0000}"/>
    <cellStyle name="Calculation 4 2 2 9 2 3" xfId="11645" xr:uid="{00000000-0005-0000-0000-0000752D0000}"/>
    <cellStyle name="Calculation 4 2 2 9 2 4" xfId="11646" xr:uid="{00000000-0005-0000-0000-0000762D0000}"/>
    <cellStyle name="Calculation 4 2 2 9 2 5" xfId="11647" xr:uid="{00000000-0005-0000-0000-0000772D0000}"/>
    <cellStyle name="Calculation 4 2 2 9 2 6" xfId="11648" xr:uid="{00000000-0005-0000-0000-0000782D0000}"/>
    <cellStyle name="Calculation 4 2 2 9 3" xfId="11649" xr:uid="{00000000-0005-0000-0000-0000792D0000}"/>
    <cellStyle name="Calculation 4 2 2 9 4" xfId="11650" xr:uid="{00000000-0005-0000-0000-00007A2D0000}"/>
    <cellStyle name="Calculation 4 2 2 9 5" xfId="11651" xr:uid="{00000000-0005-0000-0000-00007B2D0000}"/>
    <cellStyle name="Calculation 4 2 2 9 6" xfId="11652" xr:uid="{00000000-0005-0000-0000-00007C2D0000}"/>
    <cellStyle name="Calculation 4 2 3" xfId="11653" xr:uid="{00000000-0005-0000-0000-00007D2D0000}"/>
    <cellStyle name="Calculation 4 2 3 10" xfId="11654" xr:uid="{00000000-0005-0000-0000-00007E2D0000}"/>
    <cellStyle name="Calculation 4 2 3 11" xfId="11655" xr:uid="{00000000-0005-0000-0000-00007F2D0000}"/>
    <cellStyle name="Calculation 4 2 3 12" xfId="11656" xr:uid="{00000000-0005-0000-0000-0000802D0000}"/>
    <cellStyle name="Calculation 4 2 3 13" xfId="11657" xr:uid="{00000000-0005-0000-0000-0000812D0000}"/>
    <cellStyle name="Calculation 4 2 3 2" xfId="11658" xr:uid="{00000000-0005-0000-0000-0000822D0000}"/>
    <cellStyle name="Calculation 4 2 3 2 2" xfId="11659" xr:uid="{00000000-0005-0000-0000-0000832D0000}"/>
    <cellStyle name="Calculation 4 2 3 2 2 2" xfId="11660" xr:uid="{00000000-0005-0000-0000-0000842D0000}"/>
    <cellStyle name="Calculation 4 2 3 2 2 2 2" xfId="11661" xr:uid="{00000000-0005-0000-0000-0000852D0000}"/>
    <cellStyle name="Calculation 4 2 3 2 2 2 3" xfId="11662" xr:uid="{00000000-0005-0000-0000-0000862D0000}"/>
    <cellStyle name="Calculation 4 2 3 2 2 2 4" xfId="11663" xr:uid="{00000000-0005-0000-0000-0000872D0000}"/>
    <cellStyle name="Calculation 4 2 3 2 2 2 5" xfId="11664" xr:uid="{00000000-0005-0000-0000-0000882D0000}"/>
    <cellStyle name="Calculation 4 2 3 2 2 2 6" xfId="11665" xr:uid="{00000000-0005-0000-0000-0000892D0000}"/>
    <cellStyle name="Calculation 4 2 3 2 2 3" xfId="11666" xr:uid="{00000000-0005-0000-0000-00008A2D0000}"/>
    <cellStyle name="Calculation 4 2 3 2 2 4" xfId="11667" xr:uid="{00000000-0005-0000-0000-00008B2D0000}"/>
    <cellStyle name="Calculation 4 2 3 2 2 5" xfId="11668" xr:uid="{00000000-0005-0000-0000-00008C2D0000}"/>
    <cellStyle name="Calculation 4 2 3 2 2 6" xfId="11669" xr:uid="{00000000-0005-0000-0000-00008D2D0000}"/>
    <cellStyle name="Calculation 4 2 3 2 3" xfId="11670" xr:uid="{00000000-0005-0000-0000-00008E2D0000}"/>
    <cellStyle name="Calculation 4 2 3 2 3 2" xfId="11671" xr:uid="{00000000-0005-0000-0000-00008F2D0000}"/>
    <cellStyle name="Calculation 4 2 3 2 3 2 2" xfId="11672" xr:uid="{00000000-0005-0000-0000-0000902D0000}"/>
    <cellStyle name="Calculation 4 2 3 2 3 2 3" xfId="11673" xr:uid="{00000000-0005-0000-0000-0000912D0000}"/>
    <cellStyle name="Calculation 4 2 3 2 3 2 4" xfId="11674" xr:uid="{00000000-0005-0000-0000-0000922D0000}"/>
    <cellStyle name="Calculation 4 2 3 2 3 2 5" xfId="11675" xr:uid="{00000000-0005-0000-0000-0000932D0000}"/>
    <cellStyle name="Calculation 4 2 3 2 3 2 6" xfId="11676" xr:uid="{00000000-0005-0000-0000-0000942D0000}"/>
    <cellStyle name="Calculation 4 2 3 2 3 3" xfId="11677" xr:uid="{00000000-0005-0000-0000-0000952D0000}"/>
    <cellStyle name="Calculation 4 2 3 2 3 4" xfId="11678" xr:uid="{00000000-0005-0000-0000-0000962D0000}"/>
    <cellStyle name="Calculation 4 2 3 2 3 5" xfId="11679" xr:uid="{00000000-0005-0000-0000-0000972D0000}"/>
    <cellStyle name="Calculation 4 2 3 2 3 6" xfId="11680" xr:uid="{00000000-0005-0000-0000-0000982D0000}"/>
    <cellStyle name="Calculation 4 2 3 2 4" xfId="11681" xr:uid="{00000000-0005-0000-0000-0000992D0000}"/>
    <cellStyle name="Calculation 4 2 3 2 4 2" xfId="11682" xr:uid="{00000000-0005-0000-0000-00009A2D0000}"/>
    <cellStyle name="Calculation 4 2 3 2 4 3" xfId="11683" xr:uid="{00000000-0005-0000-0000-00009B2D0000}"/>
    <cellStyle name="Calculation 4 2 3 2 4 4" xfId="11684" xr:uid="{00000000-0005-0000-0000-00009C2D0000}"/>
    <cellStyle name="Calculation 4 2 3 2 4 5" xfId="11685" xr:uid="{00000000-0005-0000-0000-00009D2D0000}"/>
    <cellStyle name="Calculation 4 2 3 2 4 6" xfId="11686" xr:uid="{00000000-0005-0000-0000-00009E2D0000}"/>
    <cellStyle name="Calculation 4 2 3 2 5" xfId="11687" xr:uid="{00000000-0005-0000-0000-00009F2D0000}"/>
    <cellStyle name="Calculation 4 2 3 2 6" xfId="11688" xr:uid="{00000000-0005-0000-0000-0000A02D0000}"/>
    <cellStyle name="Calculation 4 2 3 2 7" xfId="11689" xr:uid="{00000000-0005-0000-0000-0000A12D0000}"/>
    <cellStyle name="Calculation 4 2 3 2 8" xfId="11690" xr:uid="{00000000-0005-0000-0000-0000A22D0000}"/>
    <cellStyle name="Calculation 4 2 3 3" xfId="11691" xr:uid="{00000000-0005-0000-0000-0000A32D0000}"/>
    <cellStyle name="Calculation 4 2 3 3 2" xfId="11692" xr:uid="{00000000-0005-0000-0000-0000A42D0000}"/>
    <cellStyle name="Calculation 4 2 3 3 2 2" xfId="11693" xr:uid="{00000000-0005-0000-0000-0000A52D0000}"/>
    <cellStyle name="Calculation 4 2 3 3 2 2 2" xfId="11694" xr:uid="{00000000-0005-0000-0000-0000A62D0000}"/>
    <cellStyle name="Calculation 4 2 3 3 2 2 3" xfId="11695" xr:uid="{00000000-0005-0000-0000-0000A72D0000}"/>
    <cellStyle name="Calculation 4 2 3 3 2 2 4" xfId="11696" xr:uid="{00000000-0005-0000-0000-0000A82D0000}"/>
    <cellStyle name="Calculation 4 2 3 3 2 2 5" xfId="11697" xr:uid="{00000000-0005-0000-0000-0000A92D0000}"/>
    <cellStyle name="Calculation 4 2 3 3 2 2 6" xfId="11698" xr:uid="{00000000-0005-0000-0000-0000AA2D0000}"/>
    <cellStyle name="Calculation 4 2 3 3 2 3" xfId="11699" xr:uid="{00000000-0005-0000-0000-0000AB2D0000}"/>
    <cellStyle name="Calculation 4 2 3 3 2 4" xfId="11700" xr:uid="{00000000-0005-0000-0000-0000AC2D0000}"/>
    <cellStyle name="Calculation 4 2 3 3 2 5" xfId="11701" xr:uid="{00000000-0005-0000-0000-0000AD2D0000}"/>
    <cellStyle name="Calculation 4 2 3 3 2 6" xfId="11702" xr:uid="{00000000-0005-0000-0000-0000AE2D0000}"/>
    <cellStyle name="Calculation 4 2 3 3 3" xfId="11703" xr:uid="{00000000-0005-0000-0000-0000AF2D0000}"/>
    <cellStyle name="Calculation 4 2 3 3 3 2" xfId="11704" xr:uid="{00000000-0005-0000-0000-0000B02D0000}"/>
    <cellStyle name="Calculation 4 2 3 3 3 2 2" xfId="11705" xr:uid="{00000000-0005-0000-0000-0000B12D0000}"/>
    <cellStyle name="Calculation 4 2 3 3 3 2 3" xfId="11706" xr:uid="{00000000-0005-0000-0000-0000B22D0000}"/>
    <cellStyle name="Calculation 4 2 3 3 3 2 4" xfId="11707" xr:uid="{00000000-0005-0000-0000-0000B32D0000}"/>
    <cellStyle name="Calculation 4 2 3 3 3 2 5" xfId="11708" xr:uid="{00000000-0005-0000-0000-0000B42D0000}"/>
    <cellStyle name="Calculation 4 2 3 3 3 2 6" xfId="11709" xr:uid="{00000000-0005-0000-0000-0000B52D0000}"/>
    <cellStyle name="Calculation 4 2 3 3 3 3" xfId="11710" xr:uid="{00000000-0005-0000-0000-0000B62D0000}"/>
    <cellStyle name="Calculation 4 2 3 3 3 4" xfId="11711" xr:uid="{00000000-0005-0000-0000-0000B72D0000}"/>
    <cellStyle name="Calculation 4 2 3 3 3 5" xfId="11712" xr:uid="{00000000-0005-0000-0000-0000B82D0000}"/>
    <cellStyle name="Calculation 4 2 3 3 3 6" xfId="11713" xr:uid="{00000000-0005-0000-0000-0000B92D0000}"/>
    <cellStyle name="Calculation 4 2 3 3 4" xfId="11714" xr:uid="{00000000-0005-0000-0000-0000BA2D0000}"/>
    <cellStyle name="Calculation 4 2 3 3 4 2" xfId="11715" xr:uid="{00000000-0005-0000-0000-0000BB2D0000}"/>
    <cellStyle name="Calculation 4 2 3 3 4 3" xfId="11716" xr:uid="{00000000-0005-0000-0000-0000BC2D0000}"/>
    <cellStyle name="Calculation 4 2 3 3 4 4" xfId="11717" xr:uid="{00000000-0005-0000-0000-0000BD2D0000}"/>
    <cellStyle name="Calculation 4 2 3 3 4 5" xfId="11718" xr:uid="{00000000-0005-0000-0000-0000BE2D0000}"/>
    <cellStyle name="Calculation 4 2 3 3 4 6" xfId="11719" xr:uid="{00000000-0005-0000-0000-0000BF2D0000}"/>
    <cellStyle name="Calculation 4 2 3 3 5" xfId="11720" xr:uid="{00000000-0005-0000-0000-0000C02D0000}"/>
    <cellStyle name="Calculation 4 2 3 3 6" xfId="11721" xr:uid="{00000000-0005-0000-0000-0000C12D0000}"/>
    <cellStyle name="Calculation 4 2 3 3 7" xfId="11722" xr:uid="{00000000-0005-0000-0000-0000C22D0000}"/>
    <cellStyle name="Calculation 4 2 3 3 8" xfId="11723" xr:uid="{00000000-0005-0000-0000-0000C32D0000}"/>
    <cellStyle name="Calculation 4 2 3 4" xfId="11724" xr:uid="{00000000-0005-0000-0000-0000C42D0000}"/>
    <cellStyle name="Calculation 4 2 3 4 2" xfId="11725" xr:uid="{00000000-0005-0000-0000-0000C52D0000}"/>
    <cellStyle name="Calculation 4 2 3 4 2 2" xfId="11726" xr:uid="{00000000-0005-0000-0000-0000C62D0000}"/>
    <cellStyle name="Calculation 4 2 3 4 2 2 2" xfId="11727" xr:uid="{00000000-0005-0000-0000-0000C72D0000}"/>
    <cellStyle name="Calculation 4 2 3 4 2 2 3" xfId="11728" xr:uid="{00000000-0005-0000-0000-0000C82D0000}"/>
    <cellStyle name="Calculation 4 2 3 4 2 2 4" xfId="11729" xr:uid="{00000000-0005-0000-0000-0000C92D0000}"/>
    <cellStyle name="Calculation 4 2 3 4 2 2 5" xfId="11730" xr:uid="{00000000-0005-0000-0000-0000CA2D0000}"/>
    <cellStyle name="Calculation 4 2 3 4 2 2 6" xfId="11731" xr:uid="{00000000-0005-0000-0000-0000CB2D0000}"/>
    <cellStyle name="Calculation 4 2 3 4 2 3" xfId="11732" xr:uid="{00000000-0005-0000-0000-0000CC2D0000}"/>
    <cellStyle name="Calculation 4 2 3 4 2 4" xfId="11733" xr:uid="{00000000-0005-0000-0000-0000CD2D0000}"/>
    <cellStyle name="Calculation 4 2 3 4 2 5" xfId="11734" xr:uid="{00000000-0005-0000-0000-0000CE2D0000}"/>
    <cellStyle name="Calculation 4 2 3 4 2 6" xfId="11735" xr:uid="{00000000-0005-0000-0000-0000CF2D0000}"/>
    <cellStyle name="Calculation 4 2 3 4 3" xfId="11736" xr:uid="{00000000-0005-0000-0000-0000D02D0000}"/>
    <cellStyle name="Calculation 4 2 3 4 3 2" xfId="11737" xr:uid="{00000000-0005-0000-0000-0000D12D0000}"/>
    <cellStyle name="Calculation 4 2 3 4 3 2 2" xfId="11738" xr:uid="{00000000-0005-0000-0000-0000D22D0000}"/>
    <cellStyle name="Calculation 4 2 3 4 3 2 3" xfId="11739" xr:uid="{00000000-0005-0000-0000-0000D32D0000}"/>
    <cellStyle name="Calculation 4 2 3 4 3 2 4" xfId="11740" xr:uid="{00000000-0005-0000-0000-0000D42D0000}"/>
    <cellStyle name="Calculation 4 2 3 4 3 2 5" xfId="11741" xr:uid="{00000000-0005-0000-0000-0000D52D0000}"/>
    <cellStyle name="Calculation 4 2 3 4 3 2 6" xfId="11742" xr:uid="{00000000-0005-0000-0000-0000D62D0000}"/>
    <cellStyle name="Calculation 4 2 3 4 3 3" xfId="11743" xr:uid="{00000000-0005-0000-0000-0000D72D0000}"/>
    <cellStyle name="Calculation 4 2 3 4 3 4" xfId="11744" xr:uid="{00000000-0005-0000-0000-0000D82D0000}"/>
    <cellStyle name="Calculation 4 2 3 4 3 5" xfId="11745" xr:uid="{00000000-0005-0000-0000-0000D92D0000}"/>
    <cellStyle name="Calculation 4 2 3 4 3 6" xfId="11746" xr:uid="{00000000-0005-0000-0000-0000DA2D0000}"/>
    <cellStyle name="Calculation 4 2 3 4 4" xfId="11747" xr:uid="{00000000-0005-0000-0000-0000DB2D0000}"/>
    <cellStyle name="Calculation 4 2 3 4 4 2" xfId="11748" xr:uid="{00000000-0005-0000-0000-0000DC2D0000}"/>
    <cellStyle name="Calculation 4 2 3 4 4 3" xfId="11749" xr:uid="{00000000-0005-0000-0000-0000DD2D0000}"/>
    <cellStyle name="Calculation 4 2 3 4 4 4" xfId="11750" xr:uid="{00000000-0005-0000-0000-0000DE2D0000}"/>
    <cellStyle name="Calculation 4 2 3 4 4 5" xfId="11751" xr:uid="{00000000-0005-0000-0000-0000DF2D0000}"/>
    <cellStyle name="Calculation 4 2 3 4 4 6" xfId="11752" xr:uid="{00000000-0005-0000-0000-0000E02D0000}"/>
    <cellStyle name="Calculation 4 2 3 4 5" xfId="11753" xr:uid="{00000000-0005-0000-0000-0000E12D0000}"/>
    <cellStyle name="Calculation 4 2 3 4 6" xfId="11754" xr:uid="{00000000-0005-0000-0000-0000E22D0000}"/>
    <cellStyle name="Calculation 4 2 3 4 7" xfId="11755" xr:uid="{00000000-0005-0000-0000-0000E32D0000}"/>
    <cellStyle name="Calculation 4 2 3 4 8" xfId="11756" xr:uid="{00000000-0005-0000-0000-0000E42D0000}"/>
    <cellStyle name="Calculation 4 2 3 5" xfId="11757" xr:uid="{00000000-0005-0000-0000-0000E52D0000}"/>
    <cellStyle name="Calculation 4 2 3 5 2" xfId="11758" xr:uid="{00000000-0005-0000-0000-0000E62D0000}"/>
    <cellStyle name="Calculation 4 2 3 5 2 2" xfId="11759" xr:uid="{00000000-0005-0000-0000-0000E72D0000}"/>
    <cellStyle name="Calculation 4 2 3 5 2 2 2" xfId="11760" xr:uid="{00000000-0005-0000-0000-0000E82D0000}"/>
    <cellStyle name="Calculation 4 2 3 5 2 2 3" xfId="11761" xr:uid="{00000000-0005-0000-0000-0000E92D0000}"/>
    <cellStyle name="Calculation 4 2 3 5 2 2 4" xfId="11762" xr:uid="{00000000-0005-0000-0000-0000EA2D0000}"/>
    <cellStyle name="Calculation 4 2 3 5 2 2 5" xfId="11763" xr:uid="{00000000-0005-0000-0000-0000EB2D0000}"/>
    <cellStyle name="Calculation 4 2 3 5 2 2 6" xfId="11764" xr:uid="{00000000-0005-0000-0000-0000EC2D0000}"/>
    <cellStyle name="Calculation 4 2 3 5 2 3" xfId="11765" xr:uid="{00000000-0005-0000-0000-0000ED2D0000}"/>
    <cellStyle name="Calculation 4 2 3 5 2 4" xfId="11766" xr:uid="{00000000-0005-0000-0000-0000EE2D0000}"/>
    <cellStyle name="Calculation 4 2 3 5 2 5" xfId="11767" xr:uid="{00000000-0005-0000-0000-0000EF2D0000}"/>
    <cellStyle name="Calculation 4 2 3 5 2 6" xfId="11768" xr:uid="{00000000-0005-0000-0000-0000F02D0000}"/>
    <cellStyle name="Calculation 4 2 3 5 3" xfId="11769" xr:uid="{00000000-0005-0000-0000-0000F12D0000}"/>
    <cellStyle name="Calculation 4 2 3 5 3 2" xfId="11770" xr:uid="{00000000-0005-0000-0000-0000F22D0000}"/>
    <cellStyle name="Calculation 4 2 3 5 3 2 2" xfId="11771" xr:uid="{00000000-0005-0000-0000-0000F32D0000}"/>
    <cellStyle name="Calculation 4 2 3 5 3 2 3" xfId="11772" xr:uid="{00000000-0005-0000-0000-0000F42D0000}"/>
    <cellStyle name="Calculation 4 2 3 5 3 2 4" xfId="11773" xr:uid="{00000000-0005-0000-0000-0000F52D0000}"/>
    <cellStyle name="Calculation 4 2 3 5 3 2 5" xfId="11774" xr:uid="{00000000-0005-0000-0000-0000F62D0000}"/>
    <cellStyle name="Calculation 4 2 3 5 3 2 6" xfId="11775" xr:uid="{00000000-0005-0000-0000-0000F72D0000}"/>
    <cellStyle name="Calculation 4 2 3 5 3 3" xfId="11776" xr:uid="{00000000-0005-0000-0000-0000F82D0000}"/>
    <cellStyle name="Calculation 4 2 3 5 3 4" xfId="11777" xr:uid="{00000000-0005-0000-0000-0000F92D0000}"/>
    <cellStyle name="Calculation 4 2 3 5 3 5" xfId="11778" xr:uid="{00000000-0005-0000-0000-0000FA2D0000}"/>
    <cellStyle name="Calculation 4 2 3 5 3 6" xfId="11779" xr:uid="{00000000-0005-0000-0000-0000FB2D0000}"/>
    <cellStyle name="Calculation 4 2 3 5 4" xfId="11780" xr:uid="{00000000-0005-0000-0000-0000FC2D0000}"/>
    <cellStyle name="Calculation 4 2 3 5 4 2" xfId="11781" xr:uid="{00000000-0005-0000-0000-0000FD2D0000}"/>
    <cellStyle name="Calculation 4 2 3 5 4 3" xfId="11782" xr:uid="{00000000-0005-0000-0000-0000FE2D0000}"/>
    <cellStyle name="Calculation 4 2 3 5 4 4" xfId="11783" xr:uid="{00000000-0005-0000-0000-0000FF2D0000}"/>
    <cellStyle name="Calculation 4 2 3 5 4 5" xfId="11784" xr:uid="{00000000-0005-0000-0000-0000002E0000}"/>
    <cellStyle name="Calculation 4 2 3 5 4 6" xfId="11785" xr:uid="{00000000-0005-0000-0000-0000012E0000}"/>
    <cellStyle name="Calculation 4 2 3 5 5" xfId="11786" xr:uid="{00000000-0005-0000-0000-0000022E0000}"/>
    <cellStyle name="Calculation 4 2 3 5 6" xfId="11787" xr:uid="{00000000-0005-0000-0000-0000032E0000}"/>
    <cellStyle name="Calculation 4 2 3 5 7" xfId="11788" xr:uid="{00000000-0005-0000-0000-0000042E0000}"/>
    <cellStyle name="Calculation 4 2 3 5 8" xfId="11789" xr:uid="{00000000-0005-0000-0000-0000052E0000}"/>
    <cellStyle name="Calculation 4 2 3 6" xfId="11790" xr:uid="{00000000-0005-0000-0000-0000062E0000}"/>
    <cellStyle name="Calculation 4 2 3 6 2" xfId="11791" xr:uid="{00000000-0005-0000-0000-0000072E0000}"/>
    <cellStyle name="Calculation 4 2 3 6 2 2" xfId="11792" xr:uid="{00000000-0005-0000-0000-0000082E0000}"/>
    <cellStyle name="Calculation 4 2 3 6 2 2 2" xfId="11793" xr:uid="{00000000-0005-0000-0000-0000092E0000}"/>
    <cellStyle name="Calculation 4 2 3 6 2 2 3" xfId="11794" xr:uid="{00000000-0005-0000-0000-00000A2E0000}"/>
    <cellStyle name="Calculation 4 2 3 6 2 2 4" xfId="11795" xr:uid="{00000000-0005-0000-0000-00000B2E0000}"/>
    <cellStyle name="Calculation 4 2 3 6 2 2 5" xfId="11796" xr:uid="{00000000-0005-0000-0000-00000C2E0000}"/>
    <cellStyle name="Calculation 4 2 3 6 2 2 6" xfId="11797" xr:uid="{00000000-0005-0000-0000-00000D2E0000}"/>
    <cellStyle name="Calculation 4 2 3 6 2 3" xfId="11798" xr:uid="{00000000-0005-0000-0000-00000E2E0000}"/>
    <cellStyle name="Calculation 4 2 3 6 2 4" xfId="11799" xr:uid="{00000000-0005-0000-0000-00000F2E0000}"/>
    <cellStyle name="Calculation 4 2 3 6 2 5" xfId="11800" xr:uid="{00000000-0005-0000-0000-0000102E0000}"/>
    <cellStyle name="Calculation 4 2 3 6 2 6" xfId="11801" xr:uid="{00000000-0005-0000-0000-0000112E0000}"/>
    <cellStyle name="Calculation 4 2 3 6 3" xfId="11802" xr:uid="{00000000-0005-0000-0000-0000122E0000}"/>
    <cellStyle name="Calculation 4 2 3 6 3 2" xfId="11803" xr:uid="{00000000-0005-0000-0000-0000132E0000}"/>
    <cellStyle name="Calculation 4 2 3 6 3 2 2" xfId="11804" xr:uid="{00000000-0005-0000-0000-0000142E0000}"/>
    <cellStyle name="Calculation 4 2 3 6 3 2 3" xfId="11805" xr:uid="{00000000-0005-0000-0000-0000152E0000}"/>
    <cellStyle name="Calculation 4 2 3 6 3 2 4" xfId="11806" xr:uid="{00000000-0005-0000-0000-0000162E0000}"/>
    <cellStyle name="Calculation 4 2 3 6 3 2 5" xfId="11807" xr:uid="{00000000-0005-0000-0000-0000172E0000}"/>
    <cellStyle name="Calculation 4 2 3 6 3 2 6" xfId="11808" xr:uid="{00000000-0005-0000-0000-0000182E0000}"/>
    <cellStyle name="Calculation 4 2 3 6 3 3" xfId="11809" xr:uid="{00000000-0005-0000-0000-0000192E0000}"/>
    <cellStyle name="Calculation 4 2 3 6 3 4" xfId="11810" xr:uid="{00000000-0005-0000-0000-00001A2E0000}"/>
    <cellStyle name="Calculation 4 2 3 6 3 5" xfId="11811" xr:uid="{00000000-0005-0000-0000-00001B2E0000}"/>
    <cellStyle name="Calculation 4 2 3 6 3 6" xfId="11812" xr:uid="{00000000-0005-0000-0000-00001C2E0000}"/>
    <cellStyle name="Calculation 4 2 3 6 4" xfId="11813" xr:uid="{00000000-0005-0000-0000-00001D2E0000}"/>
    <cellStyle name="Calculation 4 2 3 6 4 2" xfId="11814" xr:uid="{00000000-0005-0000-0000-00001E2E0000}"/>
    <cellStyle name="Calculation 4 2 3 6 4 3" xfId="11815" xr:uid="{00000000-0005-0000-0000-00001F2E0000}"/>
    <cellStyle name="Calculation 4 2 3 6 4 4" xfId="11816" xr:uid="{00000000-0005-0000-0000-0000202E0000}"/>
    <cellStyle name="Calculation 4 2 3 6 4 5" xfId="11817" xr:uid="{00000000-0005-0000-0000-0000212E0000}"/>
    <cellStyle name="Calculation 4 2 3 6 4 6" xfId="11818" xr:uid="{00000000-0005-0000-0000-0000222E0000}"/>
    <cellStyle name="Calculation 4 2 3 6 5" xfId="11819" xr:uid="{00000000-0005-0000-0000-0000232E0000}"/>
    <cellStyle name="Calculation 4 2 3 6 6" xfId="11820" xr:uid="{00000000-0005-0000-0000-0000242E0000}"/>
    <cellStyle name="Calculation 4 2 3 6 7" xfId="11821" xr:uid="{00000000-0005-0000-0000-0000252E0000}"/>
    <cellStyle name="Calculation 4 2 3 6 8" xfId="11822" xr:uid="{00000000-0005-0000-0000-0000262E0000}"/>
    <cellStyle name="Calculation 4 2 3 7" xfId="11823" xr:uid="{00000000-0005-0000-0000-0000272E0000}"/>
    <cellStyle name="Calculation 4 2 3 7 2" xfId="11824" xr:uid="{00000000-0005-0000-0000-0000282E0000}"/>
    <cellStyle name="Calculation 4 2 3 7 2 2" xfId="11825" xr:uid="{00000000-0005-0000-0000-0000292E0000}"/>
    <cellStyle name="Calculation 4 2 3 7 2 3" xfId="11826" xr:uid="{00000000-0005-0000-0000-00002A2E0000}"/>
    <cellStyle name="Calculation 4 2 3 7 2 4" xfId="11827" xr:uid="{00000000-0005-0000-0000-00002B2E0000}"/>
    <cellStyle name="Calculation 4 2 3 7 2 5" xfId="11828" xr:uid="{00000000-0005-0000-0000-00002C2E0000}"/>
    <cellStyle name="Calculation 4 2 3 7 2 6" xfId="11829" xr:uid="{00000000-0005-0000-0000-00002D2E0000}"/>
    <cellStyle name="Calculation 4 2 3 7 3" xfId="11830" xr:uid="{00000000-0005-0000-0000-00002E2E0000}"/>
    <cellStyle name="Calculation 4 2 3 7 4" xfId="11831" xr:uid="{00000000-0005-0000-0000-00002F2E0000}"/>
    <cellStyle name="Calculation 4 2 3 7 5" xfId="11832" xr:uid="{00000000-0005-0000-0000-0000302E0000}"/>
    <cellStyle name="Calculation 4 2 3 7 6" xfId="11833" xr:uid="{00000000-0005-0000-0000-0000312E0000}"/>
    <cellStyle name="Calculation 4 2 3 8" xfId="11834" xr:uid="{00000000-0005-0000-0000-0000322E0000}"/>
    <cellStyle name="Calculation 4 2 3 8 2" xfId="11835" xr:uid="{00000000-0005-0000-0000-0000332E0000}"/>
    <cellStyle name="Calculation 4 2 3 8 2 2" xfId="11836" xr:uid="{00000000-0005-0000-0000-0000342E0000}"/>
    <cellStyle name="Calculation 4 2 3 8 2 3" xfId="11837" xr:uid="{00000000-0005-0000-0000-0000352E0000}"/>
    <cellStyle name="Calculation 4 2 3 8 2 4" xfId="11838" xr:uid="{00000000-0005-0000-0000-0000362E0000}"/>
    <cellStyle name="Calculation 4 2 3 8 2 5" xfId="11839" xr:uid="{00000000-0005-0000-0000-0000372E0000}"/>
    <cellStyle name="Calculation 4 2 3 8 2 6" xfId="11840" xr:uid="{00000000-0005-0000-0000-0000382E0000}"/>
    <cellStyle name="Calculation 4 2 3 8 3" xfId="11841" xr:uid="{00000000-0005-0000-0000-0000392E0000}"/>
    <cellStyle name="Calculation 4 2 3 8 4" xfId="11842" xr:uid="{00000000-0005-0000-0000-00003A2E0000}"/>
    <cellStyle name="Calculation 4 2 3 8 5" xfId="11843" xr:uid="{00000000-0005-0000-0000-00003B2E0000}"/>
    <cellStyle name="Calculation 4 2 3 8 6" xfId="11844" xr:uid="{00000000-0005-0000-0000-00003C2E0000}"/>
    <cellStyle name="Calculation 4 2 3 9" xfId="11845" xr:uid="{00000000-0005-0000-0000-00003D2E0000}"/>
    <cellStyle name="Calculation 4 2 3 9 2" xfId="11846" xr:uid="{00000000-0005-0000-0000-00003E2E0000}"/>
    <cellStyle name="Calculation 4 2 3 9 3" xfId="11847" xr:uid="{00000000-0005-0000-0000-00003F2E0000}"/>
    <cellStyle name="Calculation 4 2 3 9 4" xfId="11848" xr:uid="{00000000-0005-0000-0000-0000402E0000}"/>
    <cellStyle name="Calculation 4 2 3 9 5" xfId="11849" xr:uid="{00000000-0005-0000-0000-0000412E0000}"/>
    <cellStyle name="Calculation 4 2 3 9 6" xfId="11850" xr:uid="{00000000-0005-0000-0000-0000422E0000}"/>
    <cellStyle name="Calculation 4 2 4" xfId="11851" xr:uid="{00000000-0005-0000-0000-0000432E0000}"/>
    <cellStyle name="Calculation 4 2 4 2" xfId="11852" xr:uid="{00000000-0005-0000-0000-0000442E0000}"/>
    <cellStyle name="Calculation 4 2 4 2 2" xfId="11853" xr:uid="{00000000-0005-0000-0000-0000452E0000}"/>
    <cellStyle name="Calculation 4 2 4 2 2 2" xfId="11854" xr:uid="{00000000-0005-0000-0000-0000462E0000}"/>
    <cellStyle name="Calculation 4 2 4 2 2 3" xfId="11855" xr:uid="{00000000-0005-0000-0000-0000472E0000}"/>
    <cellStyle name="Calculation 4 2 4 2 2 4" xfId="11856" xr:uid="{00000000-0005-0000-0000-0000482E0000}"/>
    <cellStyle name="Calculation 4 2 4 2 2 5" xfId="11857" xr:uid="{00000000-0005-0000-0000-0000492E0000}"/>
    <cellStyle name="Calculation 4 2 4 2 2 6" xfId="11858" xr:uid="{00000000-0005-0000-0000-00004A2E0000}"/>
    <cellStyle name="Calculation 4 2 4 2 3" xfId="11859" xr:uid="{00000000-0005-0000-0000-00004B2E0000}"/>
    <cellStyle name="Calculation 4 2 4 2 4" xfId="11860" xr:uid="{00000000-0005-0000-0000-00004C2E0000}"/>
    <cellStyle name="Calculation 4 2 4 2 5" xfId="11861" xr:uid="{00000000-0005-0000-0000-00004D2E0000}"/>
    <cellStyle name="Calculation 4 2 4 2 6" xfId="11862" xr:uid="{00000000-0005-0000-0000-00004E2E0000}"/>
    <cellStyle name="Calculation 4 2 4 3" xfId="11863" xr:uid="{00000000-0005-0000-0000-00004F2E0000}"/>
    <cellStyle name="Calculation 4 2 4 3 2" xfId="11864" xr:uid="{00000000-0005-0000-0000-0000502E0000}"/>
    <cellStyle name="Calculation 4 2 4 3 2 2" xfId="11865" xr:uid="{00000000-0005-0000-0000-0000512E0000}"/>
    <cellStyle name="Calculation 4 2 4 3 2 3" xfId="11866" xr:uid="{00000000-0005-0000-0000-0000522E0000}"/>
    <cellStyle name="Calculation 4 2 4 3 2 4" xfId="11867" xr:uid="{00000000-0005-0000-0000-0000532E0000}"/>
    <cellStyle name="Calculation 4 2 4 3 2 5" xfId="11868" xr:uid="{00000000-0005-0000-0000-0000542E0000}"/>
    <cellStyle name="Calculation 4 2 4 3 2 6" xfId="11869" xr:uid="{00000000-0005-0000-0000-0000552E0000}"/>
    <cellStyle name="Calculation 4 2 4 3 3" xfId="11870" xr:uid="{00000000-0005-0000-0000-0000562E0000}"/>
    <cellStyle name="Calculation 4 2 4 3 4" xfId="11871" xr:uid="{00000000-0005-0000-0000-0000572E0000}"/>
    <cellStyle name="Calculation 4 2 4 3 5" xfId="11872" xr:uid="{00000000-0005-0000-0000-0000582E0000}"/>
    <cellStyle name="Calculation 4 2 4 3 6" xfId="11873" xr:uid="{00000000-0005-0000-0000-0000592E0000}"/>
    <cellStyle name="Calculation 4 2 4 4" xfId="11874" xr:uid="{00000000-0005-0000-0000-00005A2E0000}"/>
    <cellStyle name="Calculation 4 2 4 4 2" xfId="11875" xr:uid="{00000000-0005-0000-0000-00005B2E0000}"/>
    <cellStyle name="Calculation 4 2 4 4 3" xfId="11876" xr:uid="{00000000-0005-0000-0000-00005C2E0000}"/>
    <cellStyle name="Calculation 4 2 4 4 4" xfId="11877" xr:uid="{00000000-0005-0000-0000-00005D2E0000}"/>
    <cellStyle name="Calculation 4 2 4 4 5" xfId="11878" xr:uid="{00000000-0005-0000-0000-00005E2E0000}"/>
    <cellStyle name="Calculation 4 2 4 4 6" xfId="11879" xr:uid="{00000000-0005-0000-0000-00005F2E0000}"/>
    <cellStyle name="Calculation 4 2 4 5" xfId="11880" xr:uid="{00000000-0005-0000-0000-0000602E0000}"/>
    <cellStyle name="Calculation 4 2 4 6" xfId="11881" xr:uid="{00000000-0005-0000-0000-0000612E0000}"/>
    <cellStyle name="Calculation 4 2 4 7" xfId="11882" xr:uid="{00000000-0005-0000-0000-0000622E0000}"/>
    <cellStyle name="Calculation 4 2 4 8" xfId="11883" xr:uid="{00000000-0005-0000-0000-0000632E0000}"/>
    <cellStyle name="Calculation 4 2 5" xfId="11884" xr:uid="{00000000-0005-0000-0000-0000642E0000}"/>
    <cellStyle name="Calculation 4 2 5 2" xfId="11885" xr:uid="{00000000-0005-0000-0000-0000652E0000}"/>
    <cellStyle name="Calculation 4 2 5 2 2" xfId="11886" xr:uid="{00000000-0005-0000-0000-0000662E0000}"/>
    <cellStyle name="Calculation 4 2 5 2 2 2" xfId="11887" xr:uid="{00000000-0005-0000-0000-0000672E0000}"/>
    <cellStyle name="Calculation 4 2 5 2 2 3" xfId="11888" xr:uid="{00000000-0005-0000-0000-0000682E0000}"/>
    <cellStyle name="Calculation 4 2 5 2 2 4" xfId="11889" xr:uid="{00000000-0005-0000-0000-0000692E0000}"/>
    <cellStyle name="Calculation 4 2 5 2 2 5" xfId="11890" xr:uid="{00000000-0005-0000-0000-00006A2E0000}"/>
    <cellStyle name="Calculation 4 2 5 2 2 6" xfId="11891" xr:uid="{00000000-0005-0000-0000-00006B2E0000}"/>
    <cellStyle name="Calculation 4 2 5 2 3" xfId="11892" xr:uid="{00000000-0005-0000-0000-00006C2E0000}"/>
    <cellStyle name="Calculation 4 2 5 2 4" xfId="11893" xr:uid="{00000000-0005-0000-0000-00006D2E0000}"/>
    <cellStyle name="Calculation 4 2 5 2 5" xfId="11894" xr:uid="{00000000-0005-0000-0000-00006E2E0000}"/>
    <cellStyle name="Calculation 4 2 5 2 6" xfId="11895" xr:uid="{00000000-0005-0000-0000-00006F2E0000}"/>
    <cellStyle name="Calculation 4 2 5 3" xfId="11896" xr:uid="{00000000-0005-0000-0000-0000702E0000}"/>
    <cellStyle name="Calculation 4 2 5 3 2" xfId="11897" xr:uid="{00000000-0005-0000-0000-0000712E0000}"/>
    <cellStyle name="Calculation 4 2 5 3 2 2" xfId="11898" xr:uid="{00000000-0005-0000-0000-0000722E0000}"/>
    <cellStyle name="Calculation 4 2 5 3 2 3" xfId="11899" xr:uid="{00000000-0005-0000-0000-0000732E0000}"/>
    <cellStyle name="Calculation 4 2 5 3 2 4" xfId="11900" xr:uid="{00000000-0005-0000-0000-0000742E0000}"/>
    <cellStyle name="Calculation 4 2 5 3 2 5" xfId="11901" xr:uid="{00000000-0005-0000-0000-0000752E0000}"/>
    <cellStyle name="Calculation 4 2 5 3 2 6" xfId="11902" xr:uid="{00000000-0005-0000-0000-0000762E0000}"/>
    <cellStyle name="Calculation 4 2 5 3 3" xfId="11903" xr:uid="{00000000-0005-0000-0000-0000772E0000}"/>
    <cellStyle name="Calculation 4 2 5 3 4" xfId="11904" xr:uid="{00000000-0005-0000-0000-0000782E0000}"/>
    <cellStyle name="Calculation 4 2 5 3 5" xfId="11905" xr:uid="{00000000-0005-0000-0000-0000792E0000}"/>
    <cellStyle name="Calculation 4 2 5 3 6" xfId="11906" xr:uid="{00000000-0005-0000-0000-00007A2E0000}"/>
    <cellStyle name="Calculation 4 2 5 4" xfId="11907" xr:uid="{00000000-0005-0000-0000-00007B2E0000}"/>
    <cellStyle name="Calculation 4 2 5 4 2" xfId="11908" xr:uid="{00000000-0005-0000-0000-00007C2E0000}"/>
    <cellStyle name="Calculation 4 2 5 4 3" xfId="11909" xr:uid="{00000000-0005-0000-0000-00007D2E0000}"/>
    <cellStyle name="Calculation 4 2 5 4 4" xfId="11910" xr:uid="{00000000-0005-0000-0000-00007E2E0000}"/>
    <cellStyle name="Calculation 4 2 5 4 5" xfId="11911" xr:uid="{00000000-0005-0000-0000-00007F2E0000}"/>
    <cellStyle name="Calculation 4 2 5 4 6" xfId="11912" xr:uid="{00000000-0005-0000-0000-0000802E0000}"/>
    <cellStyle name="Calculation 4 2 5 5" xfId="11913" xr:uid="{00000000-0005-0000-0000-0000812E0000}"/>
    <cellStyle name="Calculation 4 2 5 6" xfId="11914" xr:uid="{00000000-0005-0000-0000-0000822E0000}"/>
    <cellStyle name="Calculation 4 2 5 7" xfId="11915" xr:uid="{00000000-0005-0000-0000-0000832E0000}"/>
    <cellStyle name="Calculation 4 2 5 8" xfId="11916" xr:uid="{00000000-0005-0000-0000-0000842E0000}"/>
    <cellStyle name="Calculation 4 2 6" xfId="11917" xr:uid="{00000000-0005-0000-0000-0000852E0000}"/>
    <cellStyle name="Calculation 4 2 6 2" xfId="11918" xr:uid="{00000000-0005-0000-0000-0000862E0000}"/>
    <cellStyle name="Calculation 4 2 6 2 2" xfId="11919" xr:uid="{00000000-0005-0000-0000-0000872E0000}"/>
    <cellStyle name="Calculation 4 2 6 2 2 2" xfId="11920" xr:uid="{00000000-0005-0000-0000-0000882E0000}"/>
    <cellStyle name="Calculation 4 2 6 2 2 3" xfId="11921" xr:uid="{00000000-0005-0000-0000-0000892E0000}"/>
    <cellStyle name="Calculation 4 2 6 2 2 4" xfId="11922" xr:uid="{00000000-0005-0000-0000-00008A2E0000}"/>
    <cellStyle name="Calculation 4 2 6 2 2 5" xfId="11923" xr:uid="{00000000-0005-0000-0000-00008B2E0000}"/>
    <cellStyle name="Calculation 4 2 6 2 2 6" xfId="11924" xr:uid="{00000000-0005-0000-0000-00008C2E0000}"/>
    <cellStyle name="Calculation 4 2 6 2 3" xfId="11925" xr:uid="{00000000-0005-0000-0000-00008D2E0000}"/>
    <cellStyle name="Calculation 4 2 6 2 4" xfId="11926" xr:uid="{00000000-0005-0000-0000-00008E2E0000}"/>
    <cellStyle name="Calculation 4 2 6 2 5" xfId="11927" xr:uid="{00000000-0005-0000-0000-00008F2E0000}"/>
    <cellStyle name="Calculation 4 2 6 2 6" xfId="11928" xr:uid="{00000000-0005-0000-0000-0000902E0000}"/>
    <cellStyle name="Calculation 4 2 6 3" xfId="11929" xr:uid="{00000000-0005-0000-0000-0000912E0000}"/>
    <cellStyle name="Calculation 4 2 6 3 2" xfId="11930" xr:uid="{00000000-0005-0000-0000-0000922E0000}"/>
    <cellStyle name="Calculation 4 2 6 3 2 2" xfId="11931" xr:uid="{00000000-0005-0000-0000-0000932E0000}"/>
    <cellStyle name="Calculation 4 2 6 3 2 3" xfId="11932" xr:uid="{00000000-0005-0000-0000-0000942E0000}"/>
    <cellStyle name="Calculation 4 2 6 3 2 4" xfId="11933" xr:uid="{00000000-0005-0000-0000-0000952E0000}"/>
    <cellStyle name="Calculation 4 2 6 3 2 5" xfId="11934" xr:uid="{00000000-0005-0000-0000-0000962E0000}"/>
    <cellStyle name="Calculation 4 2 6 3 2 6" xfId="11935" xr:uid="{00000000-0005-0000-0000-0000972E0000}"/>
    <cellStyle name="Calculation 4 2 6 3 3" xfId="11936" xr:uid="{00000000-0005-0000-0000-0000982E0000}"/>
    <cellStyle name="Calculation 4 2 6 3 4" xfId="11937" xr:uid="{00000000-0005-0000-0000-0000992E0000}"/>
    <cellStyle name="Calculation 4 2 6 3 5" xfId="11938" xr:uid="{00000000-0005-0000-0000-00009A2E0000}"/>
    <cellStyle name="Calculation 4 2 6 3 6" xfId="11939" xr:uid="{00000000-0005-0000-0000-00009B2E0000}"/>
    <cellStyle name="Calculation 4 2 6 4" xfId="11940" xr:uid="{00000000-0005-0000-0000-00009C2E0000}"/>
    <cellStyle name="Calculation 4 2 6 4 2" xfId="11941" xr:uid="{00000000-0005-0000-0000-00009D2E0000}"/>
    <cellStyle name="Calculation 4 2 6 4 3" xfId="11942" xr:uid="{00000000-0005-0000-0000-00009E2E0000}"/>
    <cellStyle name="Calculation 4 2 6 4 4" xfId="11943" xr:uid="{00000000-0005-0000-0000-00009F2E0000}"/>
    <cellStyle name="Calculation 4 2 6 4 5" xfId="11944" xr:uid="{00000000-0005-0000-0000-0000A02E0000}"/>
    <cellStyle name="Calculation 4 2 6 4 6" xfId="11945" xr:uid="{00000000-0005-0000-0000-0000A12E0000}"/>
    <cellStyle name="Calculation 4 2 6 5" xfId="11946" xr:uid="{00000000-0005-0000-0000-0000A22E0000}"/>
    <cellStyle name="Calculation 4 2 6 6" xfId="11947" xr:uid="{00000000-0005-0000-0000-0000A32E0000}"/>
    <cellStyle name="Calculation 4 2 6 7" xfId="11948" xr:uid="{00000000-0005-0000-0000-0000A42E0000}"/>
    <cellStyle name="Calculation 4 2 6 8" xfId="11949" xr:uid="{00000000-0005-0000-0000-0000A52E0000}"/>
    <cellStyle name="Calculation 4 2 7" xfId="11950" xr:uid="{00000000-0005-0000-0000-0000A62E0000}"/>
    <cellStyle name="Calculation 4 2 7 2" xfId="11951" xr:uid="{00000000-0005-0000-0000-0000A72E0000}"/>
    <cellStyle name="Calculation 4 2 7 2 2" xfId="11952" xr:uid="{00000000-0005-0000-0000-0000A82E0000}"/>
    <cellStyle name="Calculation 4 2 7 2 3" xfId="11953" xr:uid="{00000000-0005-0000-0000-0000A92E0000}"/>
    <cellStyle name="Calculation 4 2 7 2 4" xfId="11954" xr:uid="{00000000-0005-0000-0000-0000AA2E0000}"/>
    <cellStyle name="Calculation 4 2 7 2 5" xfId="11955" xr:uid="{00000000-0005-0000-0000-0000AB2E0000}"/>
    <cellStyle name="Calculation 4 2 7 2 6" xfId="11956" xr:uid="{00000000-0005-0000-0000-0000AC2E0000}"/>
    <cellStyle name="Calculation 4 2 7 3" xfId="11957" xr:uid="{00000000-0005-0000-0000-0000AD2E0000}"/>
    <cellStyle name="Calculation 4 2 7 4" xfId="11958" xr:uid="{00000000-0005-0000-0000-0000AE2E0000}"/>
    <cellStyle name="Calculation 4 2 7 5" xfId="11959" xr:uid="{00000000-0005-0000-0000-0000AF2E0000}"/>
    <cellStyle name="Calculation 4 2 7 6" xfId="11960" xr:uid="{00000000-0005-0000-0000-0000B02E0000}"/>
    <cellStyle name="Calculation 4 2 8" xfId="11961" xr:uid="{00000000-0005-0000-0000-0000B12E0000}"/>
    <cellStyle name="Calculation 4 2 8 2" xfId="11962" xr:uid="{00000000-0005-0000-0000-0000B22E0000}"/>
    <cellStyle name="Calculation 4 2 8 2 2" xfId="11963" xr:uid="{00000000-0005-0000-0000-0000B32E0000}"/>
    <cellStyle name="Calculation 4 2 8 2 3" xfId="11964" xr:uid="{00000000-0005-0000-0000-0000B42E0000}"/>
    <cellStyle name="Calculation 4 2 8 2 4" xfId="11965" xr:uid="{00000000-0005-0000-0000-0000B52E0000}"/>
    <cellStyle name="Calculation 4 2 8 2 5" xfId="11966" xr:uid="{00000000-0005-0000-0000-0000B62E0000}"/>
    <cellStyle name="Calculation 4 2 8 2 6" xfId="11967" xr:uid="{00000000-0005-0000-0000-0000B72E0000}"/>
    <cellStyle name="Calculation 4 2 8 3" xfId="11968" xr:uid="{00000000-0005-0000-0000-0000B82E0000}"/>
    <cellStyle name="Calculation 4 2 8 4" xfId="11969" xr:uid="{00000000-0005-0000-0000-0000B92E0000}"/>
    <cellStyle name="Calculation 4 2 8 5" xfId="11970" xr:uid="{00000000-0005-0000-0000-0000BA2E0000}"/>
    <cellStyle name="Calculation 4 2 8 6" xfId="11971" xr:uid="{00000000-0005-0000-0000-0000BB2E0000}"/>
    <cellStyle name="Calculation 4 2 9" xfId="11972" xr:uid="{00000000-0005-0000-0000-0000BC2E0000}"/>
    <cellStyle name="Calculation 4 2 9 2" xfId="11973" xr:uid="{00000000-0005-0000-0000-0000BD2E0000}"/>
    <cellStyle name="Calculation 4 2 9 3" xfId="11974" xr:uid="{00000000-0005-0000-0000-0000BE2E0000}"/>
    <cellStyle name="Calculation 4 2 9 4" xfId="11975" xr:uid="{00000000-0005-0000-0000-0000BF2E0000}"/>
    <cellStyle name="Calculation 4 2 9 5" xfId="11976" xr:uid="{00000000-0005-0000-0000-0000C02E0000}"/>
    <cellStyle name="Calculation 4 2 9 6" xfId="11977" xr:uid="{00000000-0005-0000-0000-0000C12E0000}"/>
    <cellStyle name="Calculation 4 3" xfId="11978" xr:uid="{00000000-0005-0000-0000-0000C22E0000}"/>
    <cellStyle name="Calculation 4 3 10" xfId="11979" xr:uid="{00000000-0005-0000-0000-0000C32E0000}"/>
    <cellStyle name="Calculation 4 3 10 2" xfId="11980" xr:uid="{00000000-0005-0000-0000-0000C42E0000}"/>
    <cellStyle name="Calculation 4 3 10 3" xfId="11981" xr:uid="{00000000-0005-0000-0000-0000C52E0000}"/>
    <cellStyle name="Calculation 4 3 10 4" xfId="11982" xr:uid="{00000000-0005-0000-0000-0000C62E0000}"/>
    <cellStyle name="Calculation 4 3 10 5" xfId="11983" xr:uid="{00000000-0005-0000-0000-0000C72E0000}"/>
    <cellStyle name="Calculation 4 3 10 6" xfId="11984" xr:uid="{00000000-0005-0000-0000-0000C82E0000}"/>
    <cellStyle name="Calculation 4 3 11" xfId="11985" xr:uid="{00000000-0005-0000-0000-0000C92E0000}"/>
    <cellStyle name="Calculation 4 3 12" xfId="11986" xr:uid="{00000000-0005-0000-0000-0000CA2E0000}"/>
    <cellStyle name="Calculation 4 3 13" xfId="11987" xr:uid="{00000000-0005-0000-0000-0000CB2E0000}"/>
    <cellStyle name="Calculation 4 3 14" xfId="11988" xr:uid="{00000000-0005-0000-0000-0000CC2E0000}"/>
    <cellStyle name="Calculation 4 3 2" xfId="11989" xr:uid="{00000000-0005-0000-0000-0000CD2E0000}"/>
    <cellStyle name="Calculation 4 3 2 10" xfId="11990" xr:uid="{00000000-0005-0000-0000-0000CE2E0000}"/>
    <cellStyle name="Calculation 4 3 2 11" xfId="11991" xr:uid="{00000000-0005-0000-0000-0000CF2E0000}"/>
    <cellStyle name="Calculation 4 3 2 12" xfId="11992" xr:uid="{00000000-0005-0000-0000-0000D02E0000}"/>
    <cellStyle name="Calculation 4 3 2 13" xfId="11993" xr:uid="{00000000-0005-0000-0000-0000D12E0000}"/>
    <cellStyle name="Calculation 4 3 2 2" xfId="11994" xr:uid="{00000000-0005-0000-0000-0000D22E0000}"/>
    <cellStyle name="Calculation 4 3 2 2 2" xfId="11995" xr:uid="{00000000-0005-0000-0000-0000D32E0000}"/>
    <cellStyle name="Calculation 4 3 2 2 2 2" xfId="11996" xr:uid="{00000000-0005-0000-0000-0000D42E0000}"/>
    <cellStyle name="Calculation 4 3 2 2 2 2 2" xfId="11997" xr:uid="{00000000-0005-0000-0000-0000D52E0000}"/>
    <cellStyle name="Calculation 4 3 2 2 2 2 3" xfId="11998" xr:uid="{00000000-0005-0000-0000-0000D62E0000}"/>
    <cellStyle name="Calculation 4 3 2 2 2 2 4" xfId="11999" xr:uid="{00000000-0005-0000-0000-0000D72E0000}"/>
    <cellStyle name="Calculation 4 3 2 2 2 2 5" xfId="12000" xr:uid="{00000000-0005-0000-0000-0000D82E0000}"/>
    <cellStyle name="Calculation 4 3 2 2 2 2 6" xfId="12001" xr:uid="{00000000-0005-0000-0000-0000D92E0000}"/>
    <cellStyle name="Calculation 4 3 2 2 2 3" xfId="12002" xr:uid="{00000000-0005-0000-0000-0000DA2E0000}"/>
    <cellStyle name="Calculation 4 3 2 2 2 4" xfId="12003" xr:uid="{00000000-0005-0000-0000-0000DB2E0000}"/>
    <cellStyle name="Calculation 4 3 2 2 2 5" xfId="12004" xr:uid="{00000000-0005-0000-0000-0000DC2E0000}"/>
    <cellStyle name="Calculation 4 3 2 2 2 6" xfId="12005" xr:uid="{00000000-0005-0000-0000-0000DD2E0000}"/>
    <cellStyle name="Calculation 4 3 2 2 3" xfId="12006" xr:uid="{00000000-0005-0000-0000-0000DE2E0000}"/>
    <cellStyle name="Calculation 4 3 2 2 3 2" xfId="12007" xr:uid="{00000000-0005-0000-0000-0000DF2E0000}"/>
    <cellStyle name="Calculation 4 3 2 2 3 2 2" xfId="12008" xr:uid="{00000000-0005-0000-0000-0000E02E0000}"/>
    <cellStyle name="Calculation 4 3 2 2 3 2 3" xfId="12009" xr:uid="{00000000-0005-0000-0000-0000E12E0000}"/>
    <cellStyle name="Calculation 4 3 2 2 3 2 4" xfId="12010" xr:uid="{00000000-0005-0000-0000-0000E22E0000}"/>
    <cellStyle name="Calculation 4 3 2 2 3 2 5" xfId="12011" xr:uid="{00000000-0005-0000-0000-0000E32E0000}"/>
    <cellStyle name="Calculation 4 3 2 2 3 2 6" xfId="12012" xr:uid="{00000000-0005-0000-0000-0000E42E0000}"/>
    <cellStyle name="Calculation 4 3 2 2 3 3" xfId="12013" xr:uid="{00000000-0005-0000-0000-0000E52E0000}"/>
    <cellStyle name="Calculation 4 3 2 2 3 4" xfId="12014" xr:uid="{00000000-0005-0000-0000-0000E62E0000}"/>
    <cellStyle name="Calculation 4 3 2 2 3 5" xfId="12015" xr:uid="{00000000-0005-0000-0000-0000E72E0000}"/>
    <cellStyle name="Calculation 4 3 2 2 3 6" xfId="12016" xr:uid="{00000000-0005-0000-0000-0000E82E0000}"/>
    <cellStyle name="Calculation 4 3 2 2 4" xfId="12017" xr:uid="{00000000-0005-0000-0000-0000E92E0000}"/>
    <cellStyle name="Calculation 4 3 2 2 4 2" xfId="12018" xr:uid="{00000000-0005-0000-0000-0000EA2E0000}"/>
    <cellStyle name="Calculation 4 3 2 2 4 3" xfId="12019" xr:uid="{00000000-0005-0000-0000-0000EB2E0000}"/>
    <cellStyle name="Calculation 4 3 2 2 4 4" xfId="12020" xr:uid="{00000000-0005-0000-0000-0000EC2E0000}"/>
    <cellStyle name="Calculation 4 3 2 2 4 5" xfId="12021" xr:uid="{00000000-0005-0000-0000-0000ED2E0000}"/>
    <cellStyle name="Calculation 4 3 2 2 4 6" xfId="12022" xr:uid="{00000000-0005-0000-0000-0000EE2E0000}"/>
    <cellStyle name="Calculation 4 3 2 2 5" xfId="12023" xr:uid="{00000000-0005-0000-0000-0000EF2E0000}"/>
    <cellStyle name="Calculation 4 3 2 2 6" xfId="12024" xr:uid="{00000000-0005-0000-0000-0000F02E0000}"/>
    <cellStyle name="Calculation 4 3 2 2 7" xfId="12025" xr:uid="{00000000-0005-0000-0000-0000F12E0000}"/>
    <cellStyle name="Calculation 4 3 2 2 8" xfId="12026" xr:uid="{00000000-0005-0000-0000-0000F22E0000}"/>
    <cellStyle name="Calculation 4 3 2 3" xfId="12027" xr:uid="{00000000-0005-0000-0000-0000F32E0000}"/>
    <cellStyle name="Calculation 4 3 2 3 2" xfId="12028" xr:uid="{00000000-0005-0000-0000-0000F42E0000}"/>
    <cellStyle name="Calculation 4 3 2 3 2 2" xfId="12029" xr:uid="{00000000-0005-0000-0000-0000F52E0000}"/>
    <cellStyle name="Calculation 4 3 2 3 2 2 2" xfId="12030" xr:uid="{00000000-0005-0000-0000-0000F62E0000}"/>
    <cellStyle name="Calculation 4 3 2 3 2 2 3" xfId="12031" xr:uid="{00000000-0005-0000-0000-0000F72E0000}"/>
    <cellStyle name="Calculation 4 3 2 3 2 2 4" xfId="12032" xr:uid="{00000000-0005-0000-0000-0000F82E0000}"/>
    <cellStyle name="Calculation 4 3 2 3 2 2 5" xfId="12033" xr:uid="{00000000-0005-0000-0000-0000F92E0000}"/>
    <cellStyle name="Calculation 4 3 2 3 2 2 6" xfId="12034" xr:uid="{00000000-0005-0000-0000-0000FA2E0000}"/>
    <cellStyle name="Calculation 4 3 2 3 2 3" xfId="12035" xr:uid="{00000000-0005-0000-0000-0000FB2E0000}"/>
    <cellStyle name="Calculation 4 3 2 3 2 4" xfId="12036" xr:uid="{00000000-0005-0000-0000-0000FC2E0000}"/>
    <cellStyle name="Calculation 4 3 2 3 2 5" xfId="12037" xr:uid="{00000000-0005-0000-0000-0000FD2E0000}"/>
    <cellStyle name="Calculation 4 3 2 3 2 6" xfId="12038" xr:uid="{00000000-0005-0000-0000-0000FE2E0000}"/>
    <cellStyle name="Calculation 4 3 2 3 3" xfId="12039" xr:uid="{00000000-0005-0000-0000-0000FF2E0000}"/>
    <cellStyle name="Calculation 4 3 2 3 3 2" xfId="12040" xr:uid="{00000000-0005-0000-0000-0000002F0000}"/>
    <cellStyle name="Calculation 4 3 2 3 3 2 2" xfId="12041" xr:uid="{00000000-0005-0000-0000-0000012F0000}"/>
    <cellStyle name="Calculation 4 3 2 3 3 2 3" xfId="12042" xr:uid="{00000000-0005-0000-0000-0000022F0000}"/>
    <cellStyle name="Calculation 4 3 2 3 3 2 4" xfId="12043" xr:uid="{00000000-0005-0000-0000-0000032F0000}"/>
    <cellStyle name="Calculation 4 3 2 3 3 2 5" xfId="12044" xr:uid="{00000000-0005-0000-0000-0000042F0000}"/>
    <cellStyle name="Calculation 4 3 2 3 3 2 6" xfId="12045" xr:uid="{00000000-0005-0000-0000-0000052F0000}"/>
    <cellStyle name="Calculation 4 3 2 3 3 3" xfId="12046" xr:uid="{00000000-0005-0000-0000-0000062F0000}"/>
    <cellStyle name="Calculation 4 3 2 3 3 4" xfId="12047" xr:uid="{00000000-0005-0000-0000-0000072F0000}"/>
    <cellStyle name="Calculation 4 3 2 3 3 5" xfId="12048" xr:uid="{00000000-0005-0000-0000-0000082F0000}"/>
    <cellStyle name="Calculation 4 3 2 3 3 6" xfId="12049" xr:uid="{00000000-0005-0000-0000-0000092F0000}"/>
    <cellStyle name="Calculation 4 3 2 3 4" xfId="12050" xr:uid="{00000000-0005-0000-0000-00000A2F0000}"/>
    <cellStyle name="Calculation 4 3 2 3 4 2" xfId="12051" xr:uid="{00000000-0005-0000-0000-00000B2F0000}"/>
    <cellStyle name="Calculation 4 3 2 3 4 3" xfId="12052" xr:uid="{00000000-0005-0000-0000-00000C2F0000}"/>
    <cellStyle name="Calculation 4 3 2 3 4 4" xfId="12053" xr:uid="{00000000-0005-0000-0000-00000D2F0000}"/>
    <cellStyle name="Calculation 4 3 2 3 4 5" xfId="12054" xr:uid="{00000000-0005-0000-0000-00000E2F0000}"/>
    <cellStyle name="Calculation 4 3 2 3 4 6" xfId="12055" xr:uid="{00000000-0005-0000-0000-00000F2F0000}"/>
    <cellStyle name="Calculation 4 3 2 3 5" xfId="12056" xr:uid="{00000000-0005-0000-0000-0000102F0000}"/>
    <cellStyle name="Calculation 4 3 2 3 6" xfId="12057" xr:uid="{00000000-0005-0000-0000-0000112F0000}"/>
    <cellStyle name="Calculation 4 3 2 3 7" xfId="12058" xr:uid="{00000000-0005-0000-0000-0000122F0000}"/>
    <cellStyle name="Calculation 4 3 2 3 8" xfId="12059" xr:uid="{00000000-0005-0000-0000-0000132F0000}"/>
    <cellStyle name="Calculation 4 3 2 4" xfId="12060" xr:uid="{00000000-0005-0000-0000-0000142F0000}"/>
    <cellStyle name="Calculation 4 3 2 4 2" xfId="12061" xr:uid="{00000000-0005-0000-0000-0000152F0000}"/>
    <cellStyle name="Calculation 4 3 2 4 2 2" xfId="12062" xr:uid="{00000000-0005-0000-0000-0000162F0000}"/>
    <cellStyle name="Calculation 4 3 2 4 2 2 2" xfId="12063" xr:uid="{00000000-0005-0000-0000-0000172F0000}"/>
    <cellStyle name="Calculation 4 3 2 4 2 2 3" xfId="12064" xr:uid="{00000000-0005-0000-0000-0000182F0000}"/>
    <cellStyle name="Calculation 4 3 2 4 2 2 4" xfId="12065" xr:uid="{00000000-0005-0000-0000-0000192F0000}"/>
    <cellStyle name="Calculation 4 3 2 4 2 2 5" xfId="12066" xr:uid="{00000000-0005-0000-0000-00001A2F0000}"/>
    <cellStyle name="Calculation 4 3 2 4 2 2 6" xfId="12067" xr:uid="{00000000-0005-0000-0000-00001B2F0000}"/>
    <cellStyle name="Calculation 4 3 2 4 2 3" xfId="12068" xr:uid="{00000000-0005-0000-0000-00001C2F0000}"/>
    <cellStyle name="Calculation 4 3 2 4 2 4" xfId="12069" xr:uid="{00000000-0005-0000-0000-00001D2F0000}"/>
    <cellStyle name="Calculation 4 3 2 4 2 5" xfId="12070" xr:uid="{00000000-0005-0000-0000-00001E2F0000}"/>
    <cellStyle name="Calculation 4 3 2 4 2 6" xfId="12071" xr:uid="{00000000-0005-0000-0000-00001F2F0000}"/>
    <cellStyle name="Calculation 4 3 2 4 3" xfId="12072" xr:uid="{00000000-0005-0000-0000-0000202F0000}"/>
    <cellStyle name="Calculation 4 3 2 4 3 2" xfId="12073" xr:uid="{00000000-0005-0000-0000-0000212F0000}"/>
    <cellStyle name="Calculation 4 3 2 4 3 2 2" xfId="12074" xr:uid="{00000000-0005-0000-0000-0000222F0000}"/>
    <cellStyle name="Calculation 4 3 2 4 3 2 3" xfId="12075" xr:uid="{00000000-0005-0000-0000-0000232F0000}"/>
    <cellStyle name="Calculation 4 3 2 4 3 2 4" xfId="12076" xr:uid="{00000000-0005-0000-0000-0000242F0000}"/>
    <cellStyle name="Calculation 4 3 2 4 3 2 5" xfId="12077" xr:uid="{00000000-0005-0000-0000-0000252F0000}"/>
    <cellStyle name="Calculation 4 3 2 4 3 2 6" xfId="12078" xr:uid="{00000000-0005-0000-0000-0000262F0000}"/>
    <cellStyle name="Calculation 4 3 2 4 3 3" xfId="12079" xr:uid="{00000000-0005-0000-0000-0000272F0000}"/>
    <cellStyle name="Calculation 4 3 2 4 3 4" xfId="12080" xr:uid="{00000000-0005-0000-0000-0000282F0000}"/>
    <cellStyle name="Calculation 4 3 2 4 3 5" xfId="12081" xr:uid="{00000000-0005-0000-0000-0000292F0000}"/>
    <cellStyle name="Calculation 4 3 2 4 3 6" xfId="12082" xr:uid="{00000000-0005-0000-0000-00002A2F0000}"/>
    <cellStyle name="Calculation 4 3 2 4 4" xfId="12083" xr:uid="{00000000-0005-0000-0000-00002B2F0000}"/>
    <cellStyle name="Calculation 4 3 2 4 4 2" xfId="12084" xr:uid="{00000000-0005-0000-0000-00002C2F0000}"/>
    <cellStyle name="Calculation 4 3 2 4 4 3" xfId="12085" xr:uid="{00000000-0005-0000-0000-00002D2F0000}"/>
    <cellStyle name="Calculation 4 3 2 4 4 4" xfId="12086" xr:uid="{00000000-0005-0000-0000-00002E2F0000}"/>
    <cellStyle name="Calculation 4 3 2 4 4 5" xfId="12087" xr:uid="{00000000-0005-0000-0000-00002F2F0000}"/>
    <cellStyle name="Calculation 4 3 2 4 4 6" xfId="12088" xr:uid="{00000000-0005-0000-0000-0000302F0000}"/>
    <cellStyle name="Calculation 4 3 2 4 5" xfId="12089" xr:uid="{00000000-0005-0000-0000-0000312F0000}"/>
    <cellStyle name="Calculation 4 3 2 4 6" xfId="12090" xr:uid="{00000000-0005-0000-0000-0000322F0000}"/>
    <cellStyle name="Calculation 4 3 2 4 7" xfId="12091" xr:uid="{00000000-0005-0000-0000-0000332F0000}"/>
    <cellStyle name="Calculation 4 3 2 4 8" xfId="12092" xr:uid="{00000000-0005-0000-0000-0000342F0000}"/>
    <cellStyle name="Calculation 4 3 2 5" xfId="12093" xr:uid="{00000000-0005-0000-0000-0000352F0000}"/>
    <cellStyle name="Calculation 4 3 2 5 2" xfId="12094" xr:uid="{00000000-0005-0000-0000-0000362F0000}"/>
    <cellStyle name="Calculation 4 3 2 5 2 2" xfId="12095" xr:uid="{00000000-0005-0000-0000-0000372F0000}"/>
    <cellStyle name="Calculation 4 3 2 5 2 2 2" xfId="12096" xr:uid="{00000000-0005-0000-0000-0000382F0000}"/>
    <cellStyle name="Calculation 4 3 2 5 2 2 3" xfId="12097" xr:uid="{00000000-0005-0000-0000-0000392F0000}"/>
    <cellStyle name="Calculation 4 3 2 5 2 2 4" xfId="12098" xr:uid="{00000000-0005-0000-0000-00003A2F0000}"/>
    <cellStyle name="Calculation 4 3 2 5 2 2 5" xfId="12099" xr:uid="{00000000-0005-0000-0000-00003B2F0000}"/>
    <cellStyle name="Calculation 4 3 2 5 2 2 6" xfId="12100" xr:uid="{00000000-0005-0000-0000-00003C2F0000}"/>
    <cellStyle name="Calculation 4 3 2 5 2 3" xfId="12101" xr:uid="{00000000-0005-0000-0000-00003D2F0000}"/>
    <cellStyle name="Calculation 4 3 2 5 2 4" xfId="12102" xr:uid="{00000000-0005-0000-0000-00003E2F0000}"/>
    <cellStyle name="Calculation 4 3 2 5 2 5" xfId="12103" xr:uid="{00000000-0005-0000-0000-00003F2F0000}"/>
    <cellStyle name="Calculation 4 3 2 5 2 6" xfId="12104" xr:uid="{00000000-0005-0000-0000-0000402F0000}"/>
    <cellStyle name="Calculation 4 3 2 5 3" xfId="12105" xr:uid="{00000000-0005-0000-0000-0000412F0000}"/>
    <cellStyle name="Calculation 4 3 2 5 3 2" xfId="12106" xr:uid="{00000000-0005-0000-0000-0000422F0000}"/>
    <cellStyle name="Calculation 4 3 2 5 3 2 2" xfId="12107" xr:uid="{00000000-0005-0000-0000-0000432F0000}"/>
    <cellStyle name="Calculation 4 3 2 5 3 2 3" xfId="12108" xr:uid="{00000000-0005-0000-0000-0000442F0000}"/>
    <cellStyle name="Calculation 4 3 2 5 3 2 4" xfId="12109" xr:uid="{00000000-0005-0000-0000-0000452F0000}"/>
    <cellStyle name="Calculation 4 3 2 5 3 2 5" xfId="12110" xr:uid="{00000000-0005-0000-0000-0000462F0000}"/>
    <cellStyle name="Calculation 4 3 2 5 3 2 6" xfId="12111" xr:uid="{00000000-0005-0000-0000-0000472F0000}"/>
    <cellStyle name="Calculation 4 3 2 5 3 3" xfId="12112" xr:uid="{00000000-0005-0000-0000-0000482F0000}"/>
    <cellStyle name="Calculation 4 3 2 5 3 4" xfId="12113" xr:uid="{00000000-0005-0000-0000-0000492F0000}"/>
    <cellStyle name="Calculation 4 3 2 5 3 5" xfId="12114" xr:uid="{00000000-0005-0000-0000-00004A2F0000}"/>
    <cellStyle name="Calculation 4 3 2 5 3 6" xfId="12115" xr:uid="{00000000-0005-0000-0000-00004B2F0000}"/>
    <cellStyle name="Calculation 4 3 2 5 4" xfId="12116" xr:uid="{00000000-0005-0000-0000-00004C2F0000}"/>
    <cellStyle name="Calculation 4 3 2 5 4 2" xfId="12117" xr:uid="{00000000-0005-0000-0000-00004D2F0000}"/>
    <cellStyle name="Calculation 4 3 2 5 4 3" xfId="12118" xr:uid="{00000000-0005-0000-0000-00004E2F0000}"/>
    <cellStyle name="Calculation 4 3 2 5 4 4" xfId="12119" xr:uid="{00000000-0005-0000-0000-00004F2F0000}"/>
    <cellStyle name="Calculation 4 3 2 5 4 5" xfId="12120" xr:uid="{00000000-0005-0000-0000-0000502F0000}"/>
    <cellStyle name="Calculation 4 3 2 5 4 6" xfId="12121" xr:uid="{00000000-0005-0000-0000-0000512F0000}"/>
    <cellStyle name="Calculation 4 3 2 5 5" xfId="12122" xr:uid="{00000000-0005-0000-0000-0000522F0000}"/>
    <cellStyle name="Calculation 4 3 2 5 6" xfId="12123" xr:uid="{00000000-0005-0000-0000-0000532F0000}"/>
    <cellStyle name="Calculation 4 3 2 5 7" xfId="12124" xr:uid="{00000000-0005-0000-0000-0000542F0000}"/>
    <cellStyle name="Calculation 4 3 2 5 8" xfId="12125" xr:uid="{00000000-0005-0000-0000-0000552F0000}"/>
    <cellStyle name="Calculation 4 3 2 6" xfId="12126" xr:uid="{00000000-0005-0000-0000-0000562F0000}"/>
    <cellStyle name="Calculation 4 3 2 6 2" xfId="12127" xr:uid="{00000000-0005-0000-0000-0000572F0000}"/>
    <cellStyle name="Calculation 4 3 2 6 2 2" xfId="12128" xr:uid="{00000000-0005-0000-0000-0000582F0000}"/>
    <cellStyle name="Calculation 4 3 2 6 2 2 2" xfId="12129" xr:uid="{00000000-0005-0000-0000-0000592F0000}"/>
    <cellStyle name="Calculation 4 3 2 6 2 2 3" xfId="12130" xr:uid="{00000000-0005-0000-0000-00005A2F0000}"/>
    <cellStyle name="Calculation 4 3 2 6 2 2 4" xfId="12131" xr:uid="{00000000-0005-0000-0000-00005B2F0000}"/>
    <cellStyle name="Calculation 4 3 2 6 2 2 5" xfId="12132" xr:uid="{00000000-0005-0000-0000-00005C2F0000}"/>
    <cellStyle name="Calculation 4 3 2 6 2 2 6" xfId="12133" xr:uid="{00000000-0005-0000-0000-00005D2F0000}"/>
    <cellStyle name="Calculation 4 3 2 6 2 3" xfId="12134" xr:uid="{00000000-0005-0000-0000-00005E2F0000}"/>
    <cellStyle name="Calculation 4 3 2 6 2 4" xfId="12135" xr:uid="{00000000-0005-0000-0000-00005F2F0000}"/>
    <cellStyle name="Calculation 4 3 2 6 2 5" xfId="12136" xr:uid="{00000000-0005-0000-0000-0000602F0000}"/>
    <cellStyle name="Calculation 4 3 2 6 2 6" xfId="12137" xr:uid="{00000000-0005-0000-0000-0000612F0000}"/>
    <cellStyle name="Calculation 4 3 2 6 3" xfId="12138" xr:uid="{00000000-0005-0000-0000-0000622F0000}"/>
    <cellStyle name="Calculation 4 3 2 6 3 2" xfId="12139" xr:uid="{00000000-0005-0000-0000-0000632F0000}"/>
    <cellStyle name="Calculation 4 3 2 6 3 2 2" xfId="12140" xr:uid="{00000000-0005-0000-0000-0000642F0000}"/>
    <cellStyle name="Calculation 4 3 2 6 3 2 3" xfId="12141" xr:uid="{00000000-0005-0000-0000-0000652F0000}"/>
    <cellStyle name="Calculation 4 3 2 6 3 2 4" xfId="12142" xr:uid="{00000000-0005-0000-0000-0000662F0000}"/>
    <cellStyle name="Calculation 4 3 2 6 3 2 5" xfId="12143" xr:uid="{00000000-0005-0000-0000-0000672F0000}"/>
    <cellStyle name="Calculation 4 3 2 6 3 2 6" xfId="12144" xr:uid="{00000000-0005-0000-0000-0000682F0000}"/>
    <cellStyle name="Calculation 4 3 2 6 3 3" xfId="12145" xr:uid="{00000000-0005-0000-0000-0000692F0000}"/>
    <cellStyle name="Calculation 4 3 2 6 3 4" xfId="12146" xr:uid="{00000000-0005-0000-0000-00006A2F0000}"/>
    <cellStyle name="Calculation 4 3 2 6 3 5" xfId="12147" xr:uid="{00000000-0005-0000-0000-00006B2F0000}"/>
    <cellStyle name="Calculation 4 3 2 6 3 6" xfId="12148" xr:uid="{00000000-0005-0000-0000-00006C2F0000}"/>
    <cellStyle name="Calculation 4 3 2 6 4" xfId="12149" xr:uid="{00000000-0005-0000-0000-00006D2F0000}"/>
    <cellStyle name="Calculation 4 3 2 6 4 2" xfId="12150" xr:uid="{00000000-0005-0000-0000-00006E2F0000}"/>
    <cellStyle name="Calculation 4 3 2 6 4 3" xfId="12151" xr:uid="{00000000-0005-0000-0000-00006F2F0000}"/>
    <cellStyle name="Calculation 4 3 2 6 4 4" xfId="12152" xr:uid="{00000000-0005-0000-0000-0000702F0000}"/>
    <cellStyle name="Calculation 4 3 2 6 4 5" xfId="12153" xr:uid="{00000000-0005-0000-0000-0000712F0000}"/>
    <cellStyle name="Calculation 4 3 2 6 4 6" xfId="12154" xr:uid="{00000000-0005-0000-0000-0000722F0000}"/>
    <cellStyle name="Calculation 4 3 2 6 5" xfId="12155" xr:uid="{00000000-0005-0000-0000-0000732F0000}"/>
    <cellStyle name="Calculation 4 3 2 6 6" xfId="12156" xr:uid="{00000000-0005-0000-0000-0000742F0000}"/>
    <cellStyle name="Calculation 4 3 2 6 7" xfId="12157" xr:uid="{00000000-0005-0000-0000-0000752F0000}"/>
    <cellStyle name="Calculation 4 3 2 6 8" xfId="12158" xr:uid="{00000000-0005-0000-0000-0000762F0000}"/>
    <cellStyle name="Calculation 4 3 2 7" xfId="12159" xr:uid="{00000000-0005-0000-0000-0000772F0000}"/>
    <cellStyle name="Calculation 4 3 2 7 2" xfId="12160" xr:uid="{00000000-0005-0000-0000-0000782F0000}"/>
    <cellStyle name="Calculation 4 3 2 7 2 2" xfId="12161" xr:uid="{00000000-0005-0000-0000-0000792F0000}"/>
    <cellStyle name="Calculation 4 3 2 7 2 3" xfId="12162" xr:uid="{00000000-0005-0000-0000-00007A2F0000}"/>
    <cellStyle name="Calculation 4 3 2 7 2 4" xfId="12163" xr:uid="{00000000-0005-0000-0000-00007B2F0000}"/>
    <cellStyle name="Calculation 4 3 2 7 2 5" xfId="12164" xr:uid="{00000000-0005-0000-0000-00007C2F0000}"/>
    <cellStyle name="Calculation 4 3 2 7 2 6" xfId="12165" xr:uid="{00000000-0005-0000-0000-00007D2F0000}"/>
    <cellStyle name="Calculation 4 3 2 7 3" xfId="12166" xr:uid="{00000000-0005-0000-0000-00007E2F0000}"/>
    <cellStyle name="Calculation 4 3 2 7 4" xfId="12167" xr:uid="{00000000-0005-0000-0000-00007F2F0000}"/>
    <cellStyle name="Calculation 4 3 2 7 5" xfId="12168" xr:uid="{00000000-0005-0000-0000-0000802F0000}"/>
    <cellStyle name="Calculation 4 3 2 7 6" xfId="12169" xr:uid="{00000000-0005-0000-0000-0000812F0000}"/>
    <cellStyle name="Calculation 4 3 2 8" xfId="12170" xr:uid="{00000000-0005-0000-0000-0000822F0000}"/>
    <cellStyle name="Calculation 4 3 2 8 2" xfId="12171" xr:uid="{00000000-0005-0000-0000-0000832F0000}"/>
    <cellStyle name="Calculation 4 3 2 8 2 2" xfId="12172" xr:uid="{00000000-0005-0000-0000-0000842F0000}"/>
    <cellStyle name="Calculation 4 3 2 8 2 3" xfId="12173" xr:uid="{00000000-0005-0000-0000-0000852F0000}"/>
    <cellStyle name="Calculation 4 3 2 8 2 4" xfId="12174" xr:uid="{00000000-0005-0000-0000-0000862F0000}"/>
    <cellStyle name="Calculation 4 3 2 8 2 5" xfId="12175" xr:uid="{00000000-0005-0000-0000-0000872F0000}"/>
    <cellStyle name="Calculation 4 3 2 8 2 6" xfId="12176" xr:uid="{00000000-0005-0000-0000-0000882F0000}"/>
    <cellStyle name="Calculation 4 3 2 8 3" xfId="12177" xr:uid="{00000000-0005-0000-0000-0000892F0000}"/>
    <cellStyle name="Calculation 4 3 2 8 4" xfId="12178" xr:uid="{00000000-0005-0000-0000-00008A2F0000}"/>
    <cellStyle name="Calculation 4 3 2 8 5" xfId="12179" xr:uid="{00000000-0005-0000-0000-00008B2F0000}"/>
    <cellStyle name="Calculation 4 3 2 8 6" xfId="12180" xr:uid="{00000000-0005-0000-0000-00008C2F0000}"/>
    <cellStyle name="Calculation 4 3 2 9" xfId="12181" xr:uid="{00000000-0005-0000-0000-00008D2F0000}"/>
    <cellStyle name="Calculation 4 3 2 9 2" xfId="12182" xr:uid="{00000000-0005-0000-0000-00008E2F0000}"/>
    <cellStyle name="Calculation 4 3 2 9 3" xfId="12183" xr:uid="{00000000-0005-0000-0000-00008F2F0000}"/>
    <cellStyle name="Calculation 4 3 2 9 4" xfId="12184" xr:uid="{00000000-0005-0000-0000-0000902F0000}"/>
    <cellStyle name="Calculation 4 3 2 9 5" xfId="12185" xr:uid="{00000000-0005-0000-0000-0000912F0000}"/>
    <cellStyle name="Calculation 4 3 2 9 6" xfId="12186" xr:uid="{00000000-0005-0000-0000-0000922F0000}"/>
    <cellStyle name="Calculation 4 3 3" xfId="12187" xr:uid="{00000000-0005-0000-0000-0000932F0000}"/>
    <cellStyle name="Calculation 4 3 3 2" xfId="12188" xr:uid="{00000000-0005-0000-0000-0000942F0000}"/>
    <cellStyle name="Calculation 4 3 3 2 2" xfId="12189" xr:uid="{00000000-0005-0000-0000-0000952F0000}"/>
    <cellStyle name="Calculation 4 3 3 2 2 2" xfId="12190" xr:uid="{00000000-0005-0000-0000-0000962F0000}"/>
    <cellStyle name="Calculation 4 3 3 2 2 3" xfId="12191" xr:uid="{00000000-0005-0000-0000-0000972F0000}"/>
    <cellStyle name="Calculation 4 3 3 2 2 4" xfId="12192" xr:uid="{00000000-0005-0000-0000-0000982F0000}"/>
    <cellStyle name="Calculation 4 3 3 2 2 5" xfId="12193" xr:uid="{00000000-0005-0000-0000-0000992F0000}"/>
    <cellStyle name="Calculation 4 3 3 2 2 6" xfId="12194" xr:uid="{00000000-0005-0000-0000-00009A2F0000}"/>
    <cellStyle name="Calculation 4 3 3 2 3" xfId="12195" xr:uid="{00000000-0005-0000-0000-00009B2F0000}"/>
    <cellStyle name="Calculation 4 3 3 2 4" xfId="12196" xr:uid="{00000000-0005-0000-0000-00009C2F0000}"/>
    <cellStyle name="Calculation 4 3 3 2 5" xfId="12197" xr:uid="{00000000-0005-0000-0000-00009D2F0000}"/>
    <cellStyle name="Calculation 4 3 3 2 6" xfId="12198" xr:uid="{00000000-0005-0000-0000-00009E2F0000}"/>
    <cellStyle name="Calculation 4 3 3 3" xfId="12199" xr:uid="{00000000-0005-0000-0000-00009F2F0000}"/>
    <cellStyle name="Calculation 4 3 3 3 2" xfId="12200" xr:uid="{00000000-0005-0000-0000-0000A02F0000}"/>
    <cellStyle name="Calculation 4 3 3 3 2 2" xfId="12201" xr:uid="{00000000-0005-0000-0000-0000A12F0000}"/>
    <cellStyle name="Calculation 4 3 3 3 2 3" xfId="12202" xr:uid="{00000000-0005-0000-0000-0000A22F0000}"/>
    <cellStyle name="Calculation 4 3 3 3 2 4" xfId="12203" xr:uid="{00000000-0005-0000-0000-0000A32F0000}"/>
    <cellStyle name="Calculation 4 3 3 3 2 5" xfId="12204" xr:uid="{00000000-0005-0000-0000-0000A42F0000}"/>
    <cellStyle name="Calculation 4 3 3 3 2 6" xfId="12205" xr:uid="{00000000-0005-0000-0000-0000A52F0000}"/>
    <cellStyle name="Calculation 4 3 3 3 3" xfId="12206" xr:uid="{00000000-0005-0000-0000-0000A62F0000}"/>
    <cellStyle name="Calculation 4 3 3 3 4" xfId="12207" xr:uid="{00000000-0005-0000-0000-0000A72F0000}"/>
    <cellStyle name="Calculation 4 3 3 3 5" xfId="12208" xr:uid="{00000000-0005-0000-0000-0000A82F0000}"/>
    <cellStyle name="Calculation 4 3 3 3 6" xfId="12209" xr:uid="{00000000-0005-0000-0000-0000A92F0000}"/>
    <cellStyle name="Calculation 4 3 3 4" xfId="12210" xr:uid="{00000000-0005-0000-0000-0000AA2F0000}"/>
    <cellStyle name="Calculation 4 3 3 4 2" xfId="12211" xr:uid="{00000000-0005-0000-0000-0000AB2F0000}"/>
    <cellStyle name="Calculation 4 3 3 4 3" xfId="12212" xr:uid="{00000000-0005-0000-0000-0000AC2F0000}"/>
    <cellStyle name="Calculation 4 3 3 4 4" xfId="12213" xr:uid="{00000000-0005-0000-0000-0000AD2F0000}"/>
    <cellStyle name="Calculation 4 3 3 4 5" xfId="12214" xr:uid="{00000000-0005-0000-0000-0000AE2F0000}"/>
    <cellStyle name="Calculation 4 3 3 4 6" xfId="12215" xr:uid="{00000000-0005-0000-0000-0000AF2F0000}"/>
    <cellStyle name="Calculation 4 3 3 5" xfId="12216" xr:uid="{00000000-0005-0000-0000-0000B02F0000}"/>
    <cellStyle name="Calculation 4 3 3 6" xfId="12217" xr:uid="{00000000-0005-0000-0000-0000B12F0000}"/>
    <cellStyle name="Calculation 4 3 3 7" xfId="12218" xr:uid="{00000000-0005-0000-0000-0000B22F0000}"/>
    <cellStyle name="Calculation 4 3 3 8" xfId="12219" xr:uid="{00000000-0005-0000-0000-0000B32F0000}"/>
    <cellStyle name="Calculation 4 3 4" xfId="12220" xr:uid="{00000000-0005-0000-0000-0000B42F0000}"/>
    <cellStyle name="Calculation 4 3 4 2" xfId="12221" xr:uid="{00000000-0005-0000-0000-0000B52F0000}"/>
    <cellStyle name="Calculation 4 3 4 2 2" xfId="12222" xr:uid="{00000000-0005-0000-0000-0000B62F0000}"/>
    <cellStyle name="Calculation 4 3 4 2 2 2" xfId="12223" xr:uid="{00000000-0005-0000-0000-0000B72F0000}"/>
    <cellStyle name="Calculation 4 3 4 2 2 3" xfId="12224" xr:uid="{00000000-0005-0000-0000-0000B82F0000}"/>
    <cellStyle name="Calculation 4 3 4 2 2 4" xfId="12225" xr:uid="{00000000-0005-0000-0000-0000B92F0000}"/>
    <cellStyle name="Calculation 4 3 4 2 2 5" xfId="12226" xr:uid="{00000000-0005-0000-0000-0000BA2F0000}"/>
    <cellStyle name="Calculation 4 3 4 2 2 6" xfId="12227" xr:uid="{00000000-0005-0000-0000-0000BB2F0000}"/>
    <cellStyle name="Calculation 4 3 4 2 3" xfId="12228" xr:uid="{00000000-0005-0000-0000-0000BC2F0000}"/>
    <cellStyle name="Calculation 4 3 4 2 4" xfId="12229" xr:uid="{00000000-0005-0000-0000-0000BD2F0000}"/>
    <cellStyle name="Calculation 4 3 4 2 5" xfId="12230" xr:uid="{00000000-0005-0000-0000-0000BE2F0000}"/>
    <cellStyle name="Calculation 4 3 4 2 6" xfId="12231" xr:uid="{00000000-0005-0000-0000-0000BF2F0000}"/>
    <cellStyle name="Calculation 4 3 4 3" xfId="12232" xr:uid="{00000000-0005-0000-0000-0000C02F0000}"/>
    <cellStyle name="Calculation 4 3 4 3 2" xfId="12233" xr:uid="{00000000-0005-0000-0000-0000C12F0000}"/>
    <cellStyle name="Calculation 4 3 4 3 2 2" xfId="12234" xr:uid="{00000000-0005-0000-0000-0000C22F0000}"/>
    <cellStyle name="Calculation 4 3 4 3 2 3" xfId="12235" xr:uid="{00000000-0005-0000-0000-0000C32F0000}"/>
    <cellStyle name="Calculation 4 3 4 3 2 4" xfId="12236" xr:uid="{00000000-0005-0000-0000-0000C42F0000}"/>
    <cellStyle name="Calculation 4 3 4 3 2 5" xfId="12237" xr:uid="{00000000-0005-0000-0000-0000C52F0000}"/>
    <cellStyle name="Calculation 4 3 4 3 2 6" xfId="12238" xr:uid="{00000000-0005-0000-0000-0000C62F0000}"/>
    <cellStyle name="Calculation 4 3 4 3 3" xfId="12239" xr:uid="{00000000-0005-0000-0000-0000C72F0000}"/>
    <cellStyle name="Calculation 4 3 4 3 4" xfId="12240" xr:uid="{00000000-0005-0000-0000-0000C82F0000}"/>
    <cellStyle name="Calculation 4 3 4 3 5" xfId="12241" xr:uid="{00000000-0005-0000-0000-0000C92F0000}"/>
    <cellStyle name="Calculation 4 3 4 3 6" xfId="12242" xr:uid="{00000000-0005-0000-0000-0000CA2F0000}"/>
    <cellStyle name="Calculation 4 3 4 4" xfId="12243" xr:uid="{00000000-0005-0000-0000-0000CB2F0000}"/>
    <cellStyle name="Calculation 4 3 4 4 2" xfId="12244" xr:uid="{00000000-0005-0000-0000-0000CC2F0000}"/>
    <cellStyle name="Calculation 4 3 4 4 3" xfId="12245" xr:uid="{00000000-0005-0000-0000-0000CD2F0000}"/>
    <cellStyle name="Calculation 4 3 4 4 4" xfId="12246" xr:uid="{00000000-0005-0000-0000-0000CE2F0000}"/>
    <cellStyle name="Calculation 4 3 4 4 5" xfId="12247" xr:uid="{00000000-0005-0000-0000-0000CF2F0000}"/>
    <cellStyle name="Calculation 4 3 4 4 6" xfId="12248" xr:uid="{00000000-0005-0000-0000-0000D02F0000}"/>
    <cellStyle name="Calculation 4 3 4 5" xfId="12249" xr:uid="{00000000-0005-0000-0000-0000D12F0000}"/>
    <cellStyle name="Calculation 4 3 4 6" xfId="12250" xr:uid="{00000000-0005-0000-0000-0000D22F0000}"/>
    <cellStyle name="Calculation 4 3 4 7" xfId="12251" xr:uid="{00000000-0005-0000-0000-0000D32F0000}"/>
    <cellStyle name="Calculation 4 3 4 8" xfId="12252" xr:uid="{00000000-0005-0000-0000-0000D42F0000}"/>
    <cellStyle name="Calculation 4 3 5" xfId="12253" xr:uid="{00000000-0005-0000-0000-0000D52F0000}"/>
    <cellStyle name="Calculation 4 3 5 2" xfId="12254" xr:uid="{00000000-0005-0000-0000-0000D62F0000}"/>
    <cellStyle name="Calculation 4 3 5 2 2" xfId="12255" xr:uid="{00000000-0005-0000-0000-0000D72F0000}"/>
    <cellStyle name="Calculation 4 3 5 2 2 2" xfId="12256" xr:uid="{00000000-0005-0000-0000-0000D82F0000}"/>
    <cellStyle name="Calculation 4 3 5 2 2 3" xfId="12257" xr:uid="{00000000-0005-0000-0000-0000D92F0000}"/>
    <cellStyle name="Calculation 4 3 5 2 2 4" xfId="12258" xr:uid="{00000000-0005-0000-0000-0000DA2F0000}"/>
    <cellStyle name="Calculation 4 3 5 2 2 5" xfId="12259" xr:uid="{00000000-0005-0000-0000-0000DB2F0000}"/>
    <cellStyle name="Calculation 4 3 5 2 2 6" xfId="12260" xr:uid="{00000000-0005-0000-0000-0000DC2F0000}"/>
    <cellStyle name="Calculation 4 3 5 2 3" xfId="12261" xr:uid="{00000000-0005-0000-0000-0000DD2F0000}"/>
    <cellStyle name="Calculation 4 3 5 2 4" xfId="12262" xr:uid="{00000000-0005-0000-0000-0000DE2F0000}"/>
    <cellStyle name="Calculation 4 3 5 2 5" xfId="12263" xr:uid="{00000000-0005-0000-0000-0000DF2F0000}"/>
    <cellStyle name="Calculation 4 3 5 2 6" xfId="12264" xr:uid="{00000000-0005-0000-0000-0000E02F0000}"/>
    <cellStyle name="Calculation 4 3 5 3" xfId="12265" xr:uid="{00000000-0005-0000-0000-0000E12F0000}"/>
    <cellStyle name="Calculation 4 3 5 3 2" xfId="12266" xr:uid="{00000000-0005-0000-0000-0000E22F0000}"/>
    <cellStyle name="Calculation 4 3 5 3 2 2" xfId="12267" xr:uid="{00000000-0005-0000-0000-0000E32F0000}"/>
    <cellStyle name="Calculation 4 3 5 3 2 3" xfId="12268" xr:uid="{00000000-0005-0000-0000-0000E42F0000}"/>
    <cellStyle name="Calculation 4 3 5 3 2 4" xfId="12269" xr:uid="{00000000-0005-0000-0000-0000E52F0000}"/>
    <cellStyle name="Calculation 4 3 5 3 2 5" xfId="12270" xr:uid="{00000000-0005-0000-0000-0000E62F0000}"/>
    <cellStyle name="Calculation 4 3 5 3 2 6" xfId="12271" xr:uid="{00000000-0005-0000-0000-0000E72F0000}"/>
    <cellStyle name="Calculation 4 3 5 3 3" xfId="12272" xr:uid="{00000000-0005-0000-0000-0000E82F0000}"/>
    <cellStyle name="Calculation 4 3 5 3 4" xfId="12273" xr:uid="{00000000-0005-0000-0000-0000E92F0000}"/>
    <cellStyle name="Calculation 4 3 5 3 5" xfId="12274" xr:uid="{00000000-0005-0000-0000-0000EA2F0000}"/>
    <cellStyle name="Calculation 4 3 5 3 6" xfId="12275" xr:uid="{00000000-0005-0000-0000-0000EB2F0000}"/>
    <cellStyle name="Calculation 4 3 5 4" xfId="12276" xr:uid="{00000000-0005-0000-0000-0000EC2F0000}"/>
    <cellStyle name="Calculation 4 3 5 4 2" xfId="12277" xr:uid="{00000000-0005-0000-0000-0000ED2F0000}"/>
    <cellStyle name="Calculation 4 3 5 4 3" xfId="12278" xr:uid="{00000000-0005-0000-0000-0000EE2F0000}"/>
    <cellStyle name="Calculation 4 3 5 4 4" xfId="12279" xr:uid="{00000000-0005-0000-0000-0000EF2F0000}"/>
    <cellStyle name="Calculation 4 3 5 4 5" xfId="12280" xr:uid="{00000000-0005-0000-0000-0000F02F0000}"/>
    <cellStyle name="Calculation 4 3 5 4 6" xfId="12281" xr:uid="{00000000-0005-0000-0000-0000F12F0000}"/>
    <cellStyle name="Calculation 4 3 5 5" xfId="12282" xr:uid="{00000000-0005-0000-0000-0000F22F0000}"/>
    <cellStyle name="Calculation 4 3 5 6" xfId="12283" xr:uid="{00000000-0005-0000-0000-0000F32F0000}"/>
    <cellStyle name="Calculation 4 3 5 7" xfId="12284" xr:uid="{00000000-0005-0000-0000-0000F42F0000}"/>
    <cellStyle name="Calculation 4 3 5 8" xfId="12285" xr:uid="{00000000-0005-0000-0000-0000F52F0000}"/>
    <cellStyle name="Calculation 4 3 6" xfId="12286" xr:uid="{00000000-0005-0000-0000-0000F62F0000}"/>
    <cellStyle name="Calculation 4 3 6 2" xfId="12287" xr:uid="{00000000-0005-0000-0000-0000F72F0000}"/>
    <cellStyle name="Calculation 4 3 6 2 2" xfId="12288" xr:uid="{00000000-0005-0000-0000-0000F82F0000}"/>
    <cellStyle name="Calculation 4 3 6 2 2 2" xfId="12289" xr:uid="{00000000-0005-0000-0000-0000F92F0000}"/>
    <cellStyle name="Calculation 4 3 6 2 2 3" xfId="12290" xr:uid="{00000000-0005-0000-0000-0000FA2F0000}"/>
    <cellStyle name="Calculation 4 3 6 2 2 4" xfId="12291" xr:uid="{00000000-0005-0000-0000-0000FB2F0000}"/>
    <cellStyle name="Calculation 4 3 6 2 2 5" xfId="12292" xr:uid="{00000000-0005-0000-0000-0000FC2F0000}"/>
    <cellStyle name="Calculation 4 3 6 2 2 6" xfId="12293" xr:uid="{00000000-0005-0000-0000-0000FD2F0000}"/>
    <cellStyle name="Calculation 4 3 6 2 3" xfId="12294" xr:uid="{00000000-0005-0000-0000-0000FE2F0000}"/>
    <cellStyle name="Calculation 4 3 6 2 4" xfId="12295" xr:uid="{00000000-0005-0000-0000-0000FF2F0000}"/>
    <cellStyle name="Calculation 4 3 6 2 5" xfId="12296" xr:uid="{00000000-0005-0000-0000-000000300000}"/>
    <cellStyle name="Calculation 4 3 6 2 6" xfId="12297" xr:uid="{00000000-0005-0000-0000-000001300000}"/>
    <cellStyle name="Calculation 4 3 6 3" xfId="12298" xr:uid="{00000000-0005-0000-0000-000002300000}"/>
    <cellStyle name="Calculation 4 3 6 3 2" xfId="12299" xr:uid="{00000000-0005-0000-0000-000003300000}"/>
    <cellStyle name="Calculation 4 3 6 3 2 2" xfId="12300" xr:uid="{00000000-0005-0000-0000-000004300000}"/>
    <cellStyle name="Calculation 4 3 6 3 2 3" xfId="12301" xr:uid="{00000000-0005-0000-0000-000005300000}"/>
    <cellStyle name="Calculation 4 3 6 3 2 4" xfId="12302" xr:uid="{00000000-0005-0000-0000-000006300000}"/>
    <cellStyle name="Calculation 4 3 6 3 2 5" xfId="12303" xr:uid="{00000000-0005-0000-0000-000007300000}"/>
    <cellStyle name="Calculation 4 3 6 3 2 6" xfId="12304" xr:uid="{00000000-0005-0000-0000-000008300000}"/>
    <cellStyle name="Calculation 4 3 6 3 3" xfId="12305" xr:uid="{00000000-0005-0000-0000-000009300000}"/>
    <cellStyle name="Calculation 4 3 6 3 4" xfId="12306" xr:uid="{00000000-0005-0000-0000-00000A300000}"/>
    <cellStyle name="Calculation 4 3 6 3 5" xfId="12307" xr:uid="{00000000-0005-0000-0000-00000B300000}"/>
    <cellStyle name="Calculation 4 3 6 3 6" xfId="12308" xr:uid="{00000000-0005-0000-0000-00000C300000}"/>
    <cellStyle name="Calculation 4 3 6 4" xfId="12309" xr:uid="{00000000-0005-0000-0000-00000D300000}"/>
    <cellStyle name="Calculation 4 3 6 4 2" xfId="12310" xr:uid="{00000000-0005-0000-0000-00000E300000}"/>
    <cellStyle name="Calculation 4 3 6 4 3" xfId="12311" xr:uid="{00000000-0005-0000-0000-00000F300000}"/>
    <cellStyle name="Calculation 4 3 6 4 4" xfId="12312" xr:uid="{00000000-0005-0000-0000-000010300000}"/>
    <cellStyle name="Calculation 4 3 6 4 5" xfId="12313" xr:uid="{00000000-0005-0000-0000-000011300000}"/>
    <cellStyle name="Calculation 4 3 6 4 6" xfId="12314" xr:uid="{00000000-0005-0000-0000-000012300000}"/>
    <cellStyle name="Calculation 4 3 6 5" xfId="12315" xr:uid="{00000000-0005-0000-0000-000013300000}"/>
    <cellStyle name="Calculation 4 3 6 6" xfId="12316" xr:uid="{00000000-0005-0000-0000-000014300000}"/>
    <cellStyle name="Calculation 4 3 6 7" xfId="12317" xr:uid="{00000000-0005-0000-0000-000015300000}"/>
    <cellStyle name="Calculation 4 3 6 8" xfId="12318" xr:uid="{00000000-0005-0000-0000-000016300000}"/>
    <cellStyle name="Calculation 4 3 7" xfId="12319" xr:uid="{00000000-0005-0000-0000-000017300000}"/>
    <cellStyle name="Calculation 4 3 7 2" xfId="12320" xr:uid="{00000000-0005-0000-0000-000018300000}"/>
    <cellStyle name="Calculation 4 3 7 2 2" xfId="12321" xr:uid="{00000000-0005-0000-0000-000019300000}"/>
    <cellStyle name="Calculation 4 3 7 2 2 2" xfId="12322" xr:uid="{00000000-0005-0000-0000-00001A300000}"/>
    <cellStyle name="Calculation 4 3 7 2 2 3" xfId="12323" xr:uid="{00000000-0005-0000-0000-00001B300000}"/>
    <cellStyle name="Calculation 4 3 7 2 2 4" xfId="12324" xr:uid="{00000000-0005-0000-0000-00001C300000}"/>
    <cellStyle name="Calculation 4 3 7 2 2 5" xfId="12325" xr:uid="{00000000-0005-0000-0000-00001D300000}"/>
    <cellStyle name="Calculation 4 3 7 2 2 6" xfId="12326" xr:uid="{00000000-0005-0000-0000-00001E300000}"/>
    <cellStyle name="Calculation 4 3 7 2 3" xfId="12327" xr:uid="{00000000-0005-0000-0000-00001F300000}"/>
    <cellStyle name="Calculation 4 3 7 2 4" xfId="12328" xr:uid="{00000000-0005-0000-0000-000020300000}"/>
    <cellStyle name="Calculation 4 3 7 2 5" xfId="12329" xr:uid="{00000000-0005-0000-0000-000021300000}"/>
    <cellStyle name="Calculation 4 3 7 2 6" xfId="12330" xr:uid="{00000000-0005-0000-0000-000022300000}"/>
    <cellStyle name="Calculation 4 3 7 3" xfId="12331" xr:uid="{00000000-0005-0000-0000-000023300000}"/>
    <cellStyle name="Calculation 4 3 7 3 2" xfId="12332" xr:uid="{00000000-0005-0000-0000-000024300000}"/>
    <cellStyle name="Calculation 4 3 7 3 2 2" xfId="12333" xr:uid="{00000000-0005-0000-0000-000025300000}"/>
    <cellStyle name="Calculation 4 3 7 3 2 3" xfId="12334" xr:uid="{00000000-0005-0000-0000-000026300000}"/>
    <cellStyle name="Calculation 4 3 7 3 2 4" xfId="12335" xr:uid="{00000000-0005-0000-0000-000027300000}"/>
    <cellStyle name="Calculation 4 3 7 3 2 5" xfId="12336" xr:uid="{00000000-0005-0000-0000-000028300000}"/>
    <cellStyle name="Calculation 4 3 7 3 2 6" xfId="12337" xr:uid="{00000000-0005-0000-0000-000029300000}"/>
    <cellStyle name="Calculation 4 3 7 3 3" xfId="12338" xr:uid="{00000000-0005-0000-0000-00002A300000}"/>
    <cellStyle name="Calculation 4 3 7 3 4" xfId="12339" xr:uid="{00000000-0005-0000-0000-00002B300000}"/>
    <cellStyle name="Calculation 4 3 7 3 5" xfId="12340" xr:uid="{00000000-0005-0000-0000-00002C300000}"/>
    <cellStyle name="Calculation 4 3 7 3 6" xfId="12341" xr:uid="{00000000-0005-0000-0000-00002D300000}"/>
    <cellStyle name="Calculation 4 3 7 4" xfId="12342" xr:uid="{00000000-0005-0000-0000-00002E300000}"/>
    <cellStyle name="Calculation 4 3 7 4 2" xfId="12343" xr:uid="{00000000-0005-0000-0000-00002F300000}"/>
    <cellStyle name="Calculation 4 3 7 4 3" xfId="12344" xr:uid="{00000000-0005-0000-0000-000030300000}"/>
    <cellStyle name="Calculation 4 3 7 4 4" xfId="12345" xr:uid="{00000000-0005-0000-0000-000031300000}"/>
    <cellStyle name="Calculation 4 3 7 4 5" xfId="12346" xr:uid="{00000000-0005-0000-0000-000032300000}"/>
    <cellStyle name="Calculation 4 3 7 4 6" xfId="12347" xr:uid="{00000000-0005-0000-0000-000033300000}"/>
    <cellStyle name="Calculation 4 3 7 5" xfId="12348" xr:uid="{00000000-0005-0000-0000-000034300000}"/>
    <cellStyle name="Calculation 4 3 7 6" xfId="12349" xr:uid="{00000000-0005-0000-0000-000035300000}"/>
    <cellStyle name="Calculation 4 3 7 7" xfId="12350" xr:uid="{00000000-0005-0000-0000-000036300000}"/>
    <cellStyle name="Calculation 4 3 7 8" xfId="12351" xr:uid="{00000000-0005-0000-0000-000037300000}"/>
    <cellStyle name="Calculation 4 3 8" xfId="12352" xr:uid="{00000000-0005-0000-0000-000038300000}"/>
    <cellStyle name="Calculation 4 3 8 2" xfId="12353" xr:uid="{00000000-0005-0000-0000-000039300000}"/>
    <cellStyle name="Calculation 4 3 8 2 2" xfId="12354" xr:uid="{00000000-0005-0000-0000-00003A300000}"/>
    <cellStyle name="Calculation 4 3 8 2 3" xfId="12355" xr:uid="{00000000-0005-0000-0000-00003B300000}"/>
    <cellStyle name="Calculation 4 3 8 2 4" xfId="12356" xr:uid="{00000000-0005-0000-0000-00003C300000}"/>
    <cellStyle name="Calculation 4 3 8 2 5" xfId="12357" xr:uid="{00000000-0005-0000-0000-00003D300000}"/>
    <cellStyle name="Calculation 4 3 8 2 6" xfId="12358" xr:uid="{00000000-0005-0000-0000-00003E300000}"/>
    <cellStyle name="Calculation 4 3 8 3" xfId="12359" xr:uid="{00000000-0005-0000-0000-00003F300000}"/>
    <cellStyle name="Calculation 4 3 8 4" xfId="12360" xr:uid="{00000000-0005-0000-0000-000040300000}"/>
    <cellStyle name="Calculation 4 3 8 5" xfId="12361" xr:uid="{00000000-0005-0000-0000-000041300000}"/>
    <cellStyle name="Calculation 4 3 8 6" xfId="12362" xr:uid="{00000000-0005-0000-0000-000042300000}"/>
    <cellStyle name="Calculation 4 3 9" xfId="12363" xr:uid="{00000000-0005-0000-0000-000043300000}"/>
    <cellStyle name="Calculation 4 3 9 2" xfId="12364" xr:uid="{00000000-0005-0000-0000-000044300000}"/>
    <cellStyle name="Calculation 4 3 9 2 2" xfId="12365" xr:uid="{00000000-0005-0000-0000-000045300000}"/>
    <cellStyle name="Calculation 4 3 9 2 3" xfId="12366" xr:uid="{00000000-0005-0000-0000-000046300000}"/>
    <cellStyle name="Calculation 4 3 9 2 4" xfId="12367" xr:uid="{00000000-0005-0000-0000-000047300000}"/>
    <cellStyle name="Calculation 4 3 9 2 5" xfId="12368" xr:uid="{00000000-0005-0000-0000-000048300000}"/>
    <cellStyle name="Calculation 4 3 9 2 6" xfId="12369" xr:uid="{00000000-0005-0000-0000-000049300000}"/>
    <cellStyle name="Calculation 4 3 9 3" xfId="12370" xr:uid="{00000000-0005-0000-0000-00004A300000}"/>
    <cellStyle name="Calculation 4 3 9 4" xfId="12371" xr:uid="{00000000-0005-0000-0000-00004B300000}"/>
    <cellStyle name="Calculation 4 3 9 5" xfId="12372" xr:uid="{00000000-0005-0000-0000-00004C300000}"/>
    <cellStyle name="Calculation 4 3 9 6" xfId="12373" xr:uid="{00000000-0005-0000-0000-00004D300000}"/>
    <cellStyle name="Calculation 4 4" xfId="12374" xr:uid="{00000000-0005-0000-0000-00004E300000}"/>
    <cellStyle name="Calculation 4 4 10" xfId="12375" xr:uid="{00000000-0005-0000-0000-00004F300000}"/>
    <cellStyle name="Calculation 4 4 11" xfId="12376" xr:uid="{00000000-0005-0000-0000-000050300000}"/>
    <cellStyle name="Calculation 4 4 12" xfId="12377" xr:uid="{00000000-0005-0000-0000-000051300000}"/>
    <cellStyle name="Calculation 4 4 13" xfId="12378" xr:uid="{00000000-0005-0000-0000-000052300000}"/>
    <cellStyle name="Calculation 4 4 2" xfId="12379" xr:uid="{00000000-0005-0000-0000-000053300000}"/>
    <cellStyle name="Calculation 4 4 2 2" xfId="12380" xr:uid="{00000000-0005-0000-0000-000054300000}"/>
    <cellStyle name="Calculation 4 4 2 2 2" xfId="12381" xr:uid="{00000000-0005-0000-0000-000055300000}"/>
    <cellStyle name="Calculation 4 4 2 2 2 2" xfId="12382" xr:uid="{00000000-0005-0000-0000-000056300000}"/>
    <cellStyle name="Calculation 4 4 2 2 2 3" xfId="12383" xr:uid="{00000000-0005-0000-0000-000057300000}"/>
    <cellStyle name="Calculation 4 4 2 2 2 4" xfId="12384" xr:uid="{00000000-0005-0000-0000-000058300000}"/>
    <cellStyle name="Calculation 4 4 2 2 2 5" xfId="12385" xr:uid="{00000000-0005-0000-0000-000059300000}"/>
    <cellStyle name="Calculation 4 4 2 2 2 6" xfId="12386" xr:uid="{00000000-0005-0000-0000-00005A300000}"/>
    <cellStyle name="Calculation 4 4 2 2 3" xfId="12387" xr:uid="{00000000-0005-0000-0000-00005B300000}"/>
    <cellStyle name="Calculation 4 4 2 2 4" xfId="12388" xr:uid="{00000000-0005-0000-0000-00005C300000}"/>
    <cellStyle name="Calculation 4 4 2 2 5" xfId="12389" xr:uid="{00000000-0005-0000-0000-00005D300000}"/>
    <cellStyle name="Calculation 4 4 2 2 6" xfId="12390" xr:uid="{00000000-0005-0000-0000-00005E300000}"/>
    <cellStyle name="Calculation 4 4 2 3" xfId="12391" xr:uid="{00000000-0005-0000-0000-00005F300000}"/>
    <cellStyle name="Calculation 4 4 2 3 2" xfId="12392" xr:uid="{00000000-0005-0000-0000-000060300000}"/>
    <cellStyle name="Calculation 4 4 2 3 2 2" xfId="12393" xr:uid="{00000000-0005-0000-0000-000061300000}"/>
    <cellStyle name="Calculation 4 4 2 3 2 3" xfId="12394" xr:uid="{00000000-0005-0000-0000-000062300000}"/>
    <cellStyle name="Calculation 4 4 2 3 2 4" xfId="12395" xr:uid="{00000000-0005-0000-0000-000063300000}"/>
    <cellStyle name="Calculation 4 4 2 3 2 5" xfId="12396" xr:uid="{00000000-0005-0000-0000-000064300000}"/>
    <cellStyle name="Calculation 4 4 2 3 2 6" xfId="12397" xr:uid="{00000000-0005-0000-0000-000065300000}"/>
    <cellStyle name="Calculation 4 4 2 3 3" xfId="12398" xr:uid="{00000000-0005-0000-0000-000066300000}"/>
    <cellStyle name="Calculation 4 4 2 3 4" xfId="12399" xr:uid="{00000000-0005-0000-0000-000067300000}"/>
    <cellStyle name="Calculation 4 4 2 3 5" xfId="12400" xr:uid="{00000000-0005-0000-0000-000068300000}"/>
    <cellStyle name="Calculation 4 4 2 3 6" xfId="12401" xr:uid="{00000000-0005-0000-0000-000069300000}"/>
    <cellStyle name="Calculation 4 4 2 4" xfId="12402" xr:uid="{00000000-0005-0000-0000-00006A300000}"/>
    <cellStyle name="Calculation 4 4 2 4 2" xfId="12403" xr:uid="{00000000-0005-0000-0000-00006B300000}"/>
    <cellStyle name="Calculation 4 4 2 4 3" xfId="12404" xr:uid="{00000000-0005-0000-0000-00006C300000}"/>
    <cellStyle name="Calculation 4 4 2 4 4" xfId="12405" xr:uid="{00000000-0005-0000-0000-00006D300000}"/>
    <cellStyle name="Calculation 4 4 2 4 5" xfId="12406" xr:uid="{00000000-0005-0000-0000-00006E300000}"/>
    <cellStyle name="Calculation 4 4 2 4 6" xfId="12407" xr:uid="{00000000-0005-0000-0000-00006F300000}"/>
    <cellStyle name="Calculation 4 4 2 5" xfId="12408" xr:uid="{00000000-0005-0000-0000-000070300000}"/>
    <cellStyle name="Calculation 4 4 2 6" xfId="12409" xr:uid="{00000000-0005-0000-0000-000071300000}"/>
    <cellStyle name="Calculation 4 4 2 7" xfId="12410" xr:uid="{00000000-0005-0000-0000-000072300000}"/>
    <cellStyle name="Calculation 4 4 2 8" xfId="12411" xr:uid="{00000000-0005-0000-0000-000073300000}"/>
    <cellStyle name="Calculation 4 4 3" xfId="12412" xr:uid="{00000000-0005-0000-0000-000074300000}"/>
    <cellStyle name="Calculation 4 4 3 2" xfId="12413" xr:uid="{00000000-0005-0000-0000-000075300000}"/>
    <cellStyle name="Calculation 4 4 3 2 2" xfId="12414" xr:uid="{00000000-0005-0000-0000-000076300000}"/>
    <cellStyle name="Calculation 4 4 3 2 2 2" xfId="12415" xr:uid="{00000000-0005-0000-0000-000077300000}"/>
    <cellStyle name="Calculation 4 4 3 2 2 3" xfId="12416" xr:uid="{00000000-0005-0000-0000-000078300000}"/>
    <cellStyle name="Calculation 4 4 3 2 2 4" xfId="12417" xr:uid="{00000000-0005-0000-0000-000079300000}"/>
    <cellStyle name="Calculation 4 4 3 2 2 5" xfId="12418" xr:uid="{00000000-0005-0000-0000-00007A300000}"/>
    <cellStyle name="Calculation 4 4 3 2 2 6" xfId="12419" xr:uid="{00000000-0005-0000-0000-00007B300000}"/>
    <cellStyle name="Calculation 4 4 3 2 3" xfId="12420" xr:uid="{00000000-0005-0000-0000-00007C300000}"/>
    <cellStyle name="Calculation 4 4 3 2 4" xfId="12421" xr:uid="{00000000-0005-0000-0000-00007D300000}"/>
    <cellStyle name="Calculation 4 4 3 2 5" xfId="12422" xr:uid="{00000000-0005-0000-0000-00007E300000}"/>
    <cellStyle name="Calculation 4 4 3 2 6" xfId="12423" xr:uid="{00000000-0005-0000-0000-00007F300000}"/>
    <cellStyle name="Calculation 4 4 3 3" xfId="12424" xr:uid="{00000000-0005-0000-0000-000080300000}"/>
    <cellStyle name="Calculation 4 4 3 3 2" xfId="12425" xr:uid="{00000000-0005-0000-0000-000081300000}"/>
    <cellStyle name="Calculation 4 4 3 3 2 2" xfId="12426" xr:uid="{00000000-0005-0000-0000-000082300000}"/>
    <cellStyle name="Calculation 4 4 3 3 2 3" xfId="12427" xr:uid="{00000000-0005-0000-0000-000083300000}"/>
    <cellStyle name="Calculation 4 4 3 3 2 4" xfId="12428" xr:uid="{00000000-0005-0000-0000-000084300000}"/>
    <cellStyle name="Calculation 4 4 3 3 2 5" xfId="12429" xr:uid="{00000000-0005-0000-0000-000085300000}"/>
    <cellStyle name="Calculation 4 4 3 3 2 6" xfId="12430" xr:uid="{00000000-0005-0000-0000-000086300000}"/>
    <cellStyle name="Calculation 4 4 3 3 3" xfId="12431" xr:uid="{00000000-0005-0000-0000-000087300000}"/>
    <cellStyle name="Calculation 4 4 3 3 4" xfId="12432" xr:uid="{00000000-0005-0000-0000-000088300000}"/>
    <cellStyle name="Calculation 4 4 3 3 5" xfId="12433" xr:uid="{00000000-0005-0000-0000-000089300000}"/>
    <cellStyle name="Calculation 4 4 3 3 6" xfId="12434" xr:uid="{00000000-0005-0000-0000-00008A300000}"/>
    <cellStyle name="Calculation 4 4 3 4" xfId="12435" xr:uid="{00000000-0005-0000-0000-00008B300000}"/>
    <cellStyle name="Calculation 4 4 3 4 2" xfId="12436" xr:uid="{00000000-0005-0000-0000-00008C300000}"/>
    <cellStyle name="Calculation 4 4 3 4 3" xfId="12437" xr:uid="{00000000-0005-0000-0000-00008D300000}"/>
    <cellStyle name="Calculation 4 4 3 4 4" xfId="12438" xr:uid="{00000000-0005-0000-0000-00008E300000}"/>
    <cellStyle name="Calculation 4 4 3 4 5" xfId="12439" xr:uid="{00000000-0005-0000-0000-00008F300000}"/>
    <cellStyle name="Calculation 4 4 3 4 6" xfId="12440" xr:uid="{00000000-0005-0000-0000-000090300000}"/>
    <cellStyle name="Calculation 4 4 3 5" xfId="12441" xr:uid="{00000000-0005-0000-0000-000091300000}"/>
    <cellStyle name="Calculation 4 4 3 6" xfId="12442" xr:uid="{00000000-0005-0000-0000-000092300000}"/>
    <cellStyle name="Calculation 4 4 3 7" xfId="12443" xr:uid="{00000000-0005-0000-0000-000093300000}"/>
    <cellStyle name="Calculation 4 4 3 8" xfId="12444" xr:uid="{00000000-0005-0000-0000-000094300000}"/>
    <cellStyle name="Calculation 4 4 4" xfId="12445" xr:uid="{00000000-0005-0000-0000-000095300000}"/>
    <cellStyle name="Calculation 4 4 4 2" xfId="12446" xr:uid="{00000000-0005-0000-0000-000096300000}"/>
    <cellStyle name="Calculation 4 4 4 2 2" xfId="12447" xr:uid="{00000000-0005-0000-0000-000097300000}"/>
    <cellStyle name="Calculation 4 4 4 2 2 2" xfId="12448" xr:uid="{00000000-0005-0000-0000-000098300000}"/>
    <cellStyle name="Calculation 4 4 4 2 2 3" xfId="12449" xr:uid="{00000000-0005-0000-0000-000099300000}"/>
    <cellStyle name="Calculation 4 4 4 2 2 4" xfId="12450" xr:uid="{00000000-0005-0000-0000-00009A300000}"/>
    <cellStyle name="Calculation 4 4 4 2 2 5" xfId="12451" xr:uid="{00000000-0005-0000-0000-00009B300000}"/>
    <cellStyle name="Calculation 4 4 4 2 2 6" xfId="12452" xr:uid="{00000000-0005-0000-0000-00009C300000}"/>
    <cellStyle name="Calculation 4 4 4 2 3" xfId="12453" xr:uid="{00000000-0005-0000-0000-00009D300000}"/>
    <cellStyle name="Calculation 4 4 4 2 4" xfId="12454" xr:uid="{00000000-0005-0000-0000-00009E300000}"/>
    <cellStyle name="Calculation 4 4 4 2 5" xfId="12455" xr:uid="{00000000-0005-0000-0000-00009F300000}"/>
    <cellStyle name="Calculation 4 4 4 2 6" xfId="12456" xr:uid="{00000000-0005-0000-0000-0000A0300000}"/>
    <cellStyle name="Calculation 4 4 4 3" xfId="12457" xr:uid="{00000000-0005-0000-0000-0000A1300000}"/>
    <cellStyle name="Calculation 4 4 4 3 2" xfId="12458" xr:uid="{00000000-0005-0000-0000-0000A2300000}"/>
    <cellStyle name="Calculation 4 4 4 3 2 2" xfId="12459" xr:uid="{00000000-0005-0000-0000-0000A3300000}"/>
    <cellStyle name="Calculation 4 4 4 3 2 3" xfId="12460" xr:uid="{00000000-0005-0000-0000-0000A4300000}"/>
    <cellStyle name="Calculation 4 4 4 3 2 4" xfId="12461" xr:uid="{00000000-0005-0000-0000-0000A5300000}"/>
    <cellStyle name="Calculation 4 4 4 3 2 5" xfId="12462" xr:uid="{00000000-0005-0000-0000-0000A6300000}"/>
    <cellStyle name="Calculation 4 4 4 3 2 6" xfId="12463" xr:uid="{00000000-0005-0000-0000-0000A7300000}"/>
    <cellStyle name="Calculation 4 4 4 3 3" xfId="12464" xr:uid="{00000000-0005-0000-0000-0000A8300000}"/>
    <cellStyle name="Calculation 4 4 4 3 4" xfId="12465" xr:uid="{00000000-0005-0000-0000-0000A9300000}"/>
    <cellStyle name="Calculation 4 4 4 3 5" xfId="12466" xr:uid="{00000000-0005-0000-0000-0000AA300000}"/>
    <cellStyle name="Calculation 4 4 4 3 6" xfId="12467" xr:uid="{00000000-0005-0000-0000-0000AB300000}"/>
    <cellStyle name="Calculation 4 4 4 4" xfId="12468" xr:uid="{00000000-0005-0000-0000-0000AC300000}"/>
    <cellStyle name="Calculation 4 4 4 4 2" xfId="12469" xr:uid="{00000000-0005-0000-0000-0000AD300000}"/>
    <cellStyle name="Calculation 4 4 4 4 3" xfId="12470" xr:uid="{00000000-0005-0000-0000-0000AE300000}"/>
    <cellStyle name="Calculation 4 4 4 4 4" xfId="12471" xr:uid="{00000000-0005-0000-0000-0000AF300000}"/>
    <cellStyle name="Calculation 4 4 4 4 5" xfId="12472" xr:uid="{00000000-0005-0000-0000-0000B0300000}"/>
    <cellStyle name="Calculation 4 4 4 4 6" xfId="12473" xr:uid="{00000000-0005-0000-0000-0000B1300000}"/>
    <cellStyle name="Calculation 4 4 4 5" xfId="12474" xr:uid="{00000000-0005-0000-0000-0000B2300000}"/>
    <cellStyle name="Calculation 4 4 4 6" xfId="12475" xr:uid="{00000000-0005-0000-0000-0000B3300000}"/>
    <cellStyle name="Calculation 4 4 4 7" xfId="12476" xr:uid="{00000000-0005-0000-0000-0000B4300000}"/>
    <cellStyle name="Calculation 4 4 4 8" xfId="12477" xr:uid="{00000000-0005-0000-0000-0000B5300000}"/>
    <cellStyle name="Calculation 4 4 5" xfId="12478" xr:uid="{00000000-0005-0000-0000-0000B6300000}"/>
    <cellStyle name="Calculation 4 4 5 2" xfId="12479" xr:uid="{00000000-0005-0000-0000-0000B7300000}"/>
    <cellStyle name="Calculation 4 4 5 2 2" xfId="12480" xr:uid="{00000000-0005-0000-0000-0000B8300000}"/>
    <cellStyle name="Calculation 4 4 5 2 2 2" xfId="12481" xr:uid="{00000000-0005-0000-0000-0000B9300000}"/>
    <cellStyle name="Calculation 4 4 5 2 2 3" xfId="12482" xr:uid="{00000000-0005-0000-0000-0000BA300000}"/>
    <cellStyle name="Calculation 4 4 5 2 2 4" xfId="12483" xr:uid="{00000000-0005-0000-0000-0000BB300000}"/>
    <cellStyle name="Calculation 4 4 5 2 2 5" xfId="12484" xr:uid="{00000000-0005-0000-0000-0000BC300000}"/>
    <cellStyle name="Calculation 4 4 5 2 2 6" xfId="12485" xr:uid="{00000000-0005-0000-0000-0000BD300000}"/>
    <cellStyle name="Calculation 4 4 5 2 3" xfId="12486" xr:uid="{00000000-0005-0000-0000-0000BE300000}"/>
    <cellStyle name="Calculation 4 4 5 2 4" xfId="12487" xr:uid="{00000000-0005-0000-0000-0000BF300000}"/>
    <cellStyle name="Calculation 4 4 5 2 5" xfId="12488" xr:uid="{00000000-0005-0000-0000-0000C0300000}"/>
    <cellStyle name="Calculation 4 4 5 2 6" xfId="12489" xr:uid="{00000000-0005-0000-0000-0000C1300000}"/>
    <cellStyle name="Calculation 4 4 5 3" xfId="12490" xr:uid="{00000000-0005-0000-0000-0000C2300000}"/>
    <cellStyle name="Calculation 4 4 5 3 2" xfId="12491" xr:uid="{00000000-0005-0000-0000-0000C3300000}"/>
    <cellStyle name="Calculation 4 4 5 3 2 2" xfId="12492" xr:uid="{00000000-0005-0000-0000-0000C4300000}"/>
    <cellStyle name="Calculation 4 4 5 3 2 3" xfId="12493" xr:uid="{00000000-0005-0000-0000-0000C5300000}"/>
    <cellStyle name="Calculation 4 4 5 3 2 4" xfId="12494" xr:uid="{00000000-0005-0000-0000-0000C6300000}"/>
    <cellStyle name="Calculation 4 4 5 3 2 5" xfId="12495" xr:uid="{00000000-0005-0000-0000-0000C7300000}"/>
    <cellStyle name="Calculation 4 4 5 3 2 6" xfId="12496" xr:uid="{00000000-0005-0000-0000-0000C8300000}"/>
    <cellStyle name="Calculation 4 4 5 3 3" xfId="12497" xr:uid="{00000000-0005-0000-0000-0000C9300000}"/>
    <cellStyle name="Calculation 4 4 5 3 4" xfId="12498" xr:uid="{00000000-0005-0000-0000-0000CA300000}"/>
    <cellStyle name="Calculation 4 4 5 3 5" xfId="12499" xr:uid="{00000000-0005-0000-0000-0000CB300000}"/>
    <cellStyle name="Calculation 4 4 5 3 6" xfId="12500" xr:uid="{00000000-0005-0000-0000-0000CC300000}"/>
    <cellStyle name="Calculation 4 4 5 4" xfId="12501" xr:uid="{00000000-0005-0000-0000-0000CD300000}"/>
    <cellStyle name="Calculation 4 4 5 4 2" xfId="12502" xr:uid="{00000000-0005-0000-0000-0000CE300000}"/>
    <cellStyle name="Calculation 4 4 5 4 3" xfId="12503" xr:uid="{00000000-0005-0000-0000-0000CF300000}"/>
    <cellStyle name="Calculation 4 4 5 4 4" xfId="12504" xr:uid="{00000000-0005-0000-0000-0000D0300000}"/>
    <cellStyle name="Calculation 4 4 5 4 5" xfId="12505" xr:uid="{00000000-0005-0000-0000-0000D1300000}"/>
    <cellStyle name="Calculation 4 4 5 4 6" xfId="12506" xr:uid="{00000000-0005-0000-0000-0000D2300000}"/>
    <cellStyle name="Calculation 4 4 5 5" xfId="12507" xr:uid="{00000000-0005-0000-0000-0000D3300000}"/>
    <cellStyle name="Calculation 4 4 5 6" xfId="12508" xr:uid="{00000000-0005-0000-0000-0000D4300000}"/>
    <cellStyle name="Calculation 4 4 5 7" xfId="12509" xr:uid="{00000000-0005-0000-0000-0000D5300000}"/>
    <cellStyle name="Calculation 4 4 5 8" xfId="12510" xr:uid="{00000000-0005-0000-0000-0000D6300000}"/>
    <cellStyle name="Calculation 4 4 6" xfId="12511" xr:uid="{00000000-0005-0000-0000-0000D7300000}"/>
    <cellStyle name="Calculation 4 4 6 2" xfId="12512" xr:uid="{00000000-0005-0000-0000-0000D8300000}"/>
    <cellStyle name="Calculation 4 4 6 2 2" xfId="12513" xr:uid="{00000000-0005-0000-0000-0000D9300000}"/>
    <cellStyle name="Calculation 4 4 6 2 2 2" xfId="12514" xr:uid="{00000000-0005-0000-0000-0000DA300000}"/>
    <cellStyle name="Calculation 4 4 6 2 2 3" xfId="12515" xr:uid="{00000000-0005-0000-0000-0000DB300000}"/>
    <cellStyle name="Calculation 4 4 6 2 2 4" xfId="12516" xr:uid="{00000000-0005-0000-0000-0000DC300000}"/>
    <cellStyle name="Calculation 4 4 6 2 2 5" xfId="12517" xr:uid="{00000000-0005-0000-0000-0000DD300000}"/>
    <cellStyle name="Calculation 4 4 6 2 2 6" xfId="12518" xr:uid="{00000000-0005-0000-0000-0000DE300000}"/>
    <cellStyle name="Calculation 4 4 6 2 3" xfId="12519" xr:uid="{00000000-0005-0000-0000-0000DF300000}"/>
    <cellStyle name="Calculation 4 4 6 2 4" xfId="12520" xr:uid="{00000000-0005-0000-0000-0000E0300000}"/>
    <cellStyle name="Calculation 4 4 6 2 5" xfId="12521" xr:uid="{00000000-0005-0000-0000-0000E1300000}"/>
    <cellStyle name="Calculation 4 4 6 2 6" xfId="12522" xr:uid="{00000000-0005-0000-0000-0000E2300000}"/>
    <cellStyle name="Calculation 4 4 6 3" xfId="12523" xr:uid="{00000000-0005-0000-0000-0000E3300000}"/>
    <cellStyle name="Calculation 4 4 6 3 2" xfId="12524" xr:uid="{00000000-0005-0000-0000-0000E4300000}"/>
    <cellStyle name="Calculation 4 4 6 3 2 2" xfId="12525" xr:uid="{00000000-0005-0000-0000-0000E5300000}"/>
    <cellStyle name="Calculation 4 4 6 3 2 3" xfId="12526" xr:uid="{00000000-0005-0000-0000-0000E6300000}"/>
    <cellStyle name="Calculation 4 4 6 3 2 4" xfId="12527" xr:uid="{00000000-0005-0000-0000-0000E7300000}"/>
    <cellStyle name="Calculation 4 4 6 3 2 5" xfId="12528" xr:uid="{00000000-0005-0000-0000-0000E8300000}"/>
    <cellStyle name="Calculation 4 4 6 3 2 6" xfId="12529" xr:uid="{00000000-0005-0000-0000-0000E9300000}"/>
    <cellStyle name="Calculation 4 4 6 3 3" xfId="12530" xr:uid="{00000000-0005-0000-0000-0000EA300000}"/>
    <cellStyle name="Calculation 4 4 6 3 4" xfId="12531" xr:uid="{00000000-0005-0000-0000-0000EB300000}"/>
    <cellStyle name="Calculation 4 4 6 3 5" xfId="12532" xr:uid="{00000000-0005-0000-0000-0000EC300000}"/>
    <cellStyle name="Calculation 4 4 6 3 6" xfId="12533" xr:uid="{00000000-0005-0000-0000-0000ED300000}"/>
    <cellStyle name="Calculation 4 4 6 4" xfId="12534" xr:uid="{00000000-0005-0000-0000-0000EE300000}"/>
    <cellStyle name="Calculation 4 4 6 4 2" xfId="12535" xr:uid="{00000000-0005-0000-0000-0000EF300000}"/>
    <cellStyle name="Calculation 4 4 6 4 3" xfId="12536" xr:uid="{00000000-0005-0000-0000-0000F0300000}"/>
    <cellStyle name="Calculation 4 4 6 4 4" xfId="12537" xr:uid="{00000000-0005-0000-0000-0000F1300000}"/>
    <cellStyle name="Calculation 4 4 6 4 5" xfId="12538" xr:uid="{00000000-0005-0000-0000-0000F2300000}"/>
    <cellStyle name="Calculation 4 4 6 4 6" xfId="12539" xr:uid="{00000000-0005-0000-0000-0000F3300000}"/>
    <cellStyle name="Calculation 4 4 6 5" xfId="12540" xr:uid="{00000000-0005-0000-0000-0000F4300000}"/>
    <cellStyle name="Calculation 4 4 6 6" xfId="12541" xr:uid="{00000000-0005-0000-0000-0000F5300000}"/>
    <cellStyle name="Calculation 4 4 6 7" xfId="12542" xr:uid="{00000000-0005-0000-0000-0000F6300000}"/>
    <cellStyle name="Calculation 4 4 6 8" xfId="12543" xr:uid="{00000000-0005-0000-0000-0000F7300000}"/>
    <cellStyle name="Calculation 4 4 7" xfId="12544" xr:uid="{00000000-0005-0000-0000-0000F8300000}"/>
    <cellStyle name="Calculation 4 4 7 2" xfId="12545" xr:uid="{00000000-0005-0000-0000-0000F9300000}"/>
    <cellStyle name="Calculation 4 4 7 2 2" xfId="12546" xr:uid="{00000000-0005-0000-0000-0000FA300000}"/>
    <cellStyle name="Calculation 4 4 7 2 3" xfId="12547" xr:uid="{00000000-0005-0000-0000-0000FB300000}"/>
    <cellStyle name="Calculation 4 4 7 2 4" xfId="12548" xr:uid="{00000000-0005-0000-0000-0000FC300000}"/>
    <cellStyle name="Calculation 4 4 7 2 5" xfId="12549" xr:uid="{00000000-0005-0000-0000-0000FD300000}"/>
    <cellStyle name="Calculation 4 4 7 2 6" xfId="12550" xr:uid="{00000000-0005-0000-0000-0000FE300000}"/>
    <cellStyle name="Calculation 4 4 7 3" xfId="12551" xr:uid="{00000000-0005-0000-0000-0000FF300000}"/>
    <cellStyle name="Calculation 4 4 7 4" xfId="12552" xr:uid="{00000000-0005-0000-0000-000000310000}"/>
    <cellStyle name="Calculation 4 4 7 5" xfId="12553" xr:uid="{00000000-0005-0000-0000-000001310000}"/>
    <cellStyle name="Calculation 4 4 7 6" xfId="12554" xr:uid="{00000000-0005-0000-0000-000002310000}"/>
    <cellStyle name="Calculation 4 4 8" xfId="12555" xr:uid="{00000000-0005-0000-0000-000003310000}"/>
    <cellStyle name="Calculation 4 4 8 2" xfId="12556" xr:uid="{00000000-0005-0000-0000-000004310000}"/>
    <cellStyle name="Calculation 4 4 8 2 2" xfId="12557" xr:uid="{00000000-0005-0000-0000-000005310000}"/>
    <cellStyle name="Calculation 4 4 8 2 3" xfId="12558" xr:uid="{00000000-0005-0000-0000-000006310000}"/>
    <cellStyle name="Calculation 4 4 8 2 4" xfId="12559" xr:uid="{00000000-0005-0000-0000-000007310000}"/>
    <cellStyle name="Calculation 4 4 8 2 5" xfId="12560" xr:uid="{00000000-0005-0000-0000-000008310000}"/>
    <cellStyle name="Calculation 4 4 8 2 6" xfId="12561" xr:uid="{00000000-0005-0000-0000-000009310000}"/>
    <cellStyle name="Calculation 4 4 8 3" xfId="12562" xr:uid="{00000000-0005-0000-0000-00000A310000}"/>
    <cellStyle name="Calculation 4 4 8 4" xfId="12563" xr:uid="{00000000-0005-0000-0000-00000B310000}"/>
    <cellStyle name="Calculation 4 4 8 5" xfId="12564" xr:uid="{00000000-0005-0000-0000-00000C310000}"/>
    <cellStyle name="Calculation 4 4 8 6" xfId="12565" xr:uid="{00000000-0005-0000-0000-00000D310000}"/>
    <cellStyle name="Calculation 4 4 9" xfId="12566" xr:uid="{00000000-0005-0000-0000-00000E310000}"/>
    <cellStyle name="Calculation 4 4 9 2" xfId="12567" xr:uid="{00000000-0005-0000-0000-00000F310000}"/>
    <cellStyle name="Calculation 4 4 9 3" xfId="12568" xr:uid="{00000000-0005-0000-0000-000010310000}"/>
    <cellStyle name="Calculation 4 4 9 4" xfId="12569" xr:uid="{00000000-0005-0000-0000-000011310000}"/>
    <cellStyle name="Calculation 4 4 9 5" xfId="12570" xr:uid="{00000000-0005-0000-0000-000012310000}"/>
    <cellStyle name="Calculation 4 4 9 6" xfId="12571" xr:uid="{00000000-0005-0000-0000-000013310000}"/>
    <cellStyle name="Calculation 4 5" xfId="12572" xr:uid="{00000000-0005-0000-0000-000014310000}"/>
    <cellStyle name="Calculation 4 5 2" xfId="12573" xr:uid="{00000000-0005-0000-0000-000015310000}"/>
    <cellStyle name="Calculation 4 5 2 2" xfId="12574" xr:uid="{00000000-0005-0000-0000-000016310000}"/>
    <cellStyle name="Calculation 4 5 2 2 2" xfId="12575" xr:uid="{00000000-0005-0000-0000-000017310000}"/>
    <cellStyle name="Calculation 4 5 2 2 3" xfId="12576" xr:uid="{00000000-0005-0000-0000-000018310000}"/>
    <cellStyle name="Calculation 4 5 2 2 4" xfId="12577" xr:uid="{00000000-0005-0000-0000-000019310000}"/>
    <cellStyle name="Calculation 4 5 2 2 5" xfId="12578" xr:uid="{00000000-0005-0000-0000-00001A310000}"/>
    <cellStyle name="Calculation 4 5 2 2 6" xfId="12579" xr:uid="{00000000-0005-0000-0000-00001B310000}"/>
    <cellStyle name="Calculation 4 5 2 3" xfId="12580" xr:uid="{00000000-0005-0000-0000-00001C310000}"/>
    <cellStyle name="Calculation 4 5 2 4" xfId="12581" xr:uid="{00000000-0005-0000-0000-00001D310000}"/>
    <cellStyle name="Calculation 4 5 2 5" xfId="12582" xr:uid="{00000000-0005-0000-0000-00001E310000}"/>
    <cellStyle name="Calculation 4 5 2 6" xfId="12583" xr:uid="{00000000-0005-0000-0000-00001F310000}"/>
    <cellStyle name="Calculation 4 5 3" xfId="12584" xr:uid="{00000000-0005-0000-0000-000020310000}"/>
    <cellStyle name="Calculation 4 5 3 2" xfId="12585" xr:uid="{00000000-0005-0000-0000-000021310000}"/>
    <cellStyle name="Calculation 4 5 3 2 2" xfId="12586" xr:uid="{00000000-0005-0000-0000-000022310000}"/>
    <cellStyle name="Calculation 4 5 3 2 3" xfId="12587" xr:uid="{00000000-0005-0000-0000-000023310000}"/>
    <cellStyle name="Calculation 4 5 3 2 4" xfId="12588" xr:uid="{00000000-0005-0000-0000-000024310000}"/>
    <cellStyle name="Calculation 4 5 3 2 5" xfId="12589" xr:uid="{00000000-0005-0000-0000-000025310000}"/>
    <cellStyle name="Calculation 4 5 3 2 6" xfId="12590" xr:uid="{00000000-0005-0000-0000-000026310000}"/>
    <cellStyle name="Calculation 4 5 3 3" xfId="12591" xr:uid="{00000000-0005-0000-0000-000027310000}"/>
    <cellStyle name="Calculation 4 5 3 4" xfId="12592" xr:uid="{00000000-0005-0000-0000-000028310000}"/>
    <cellStyle name="Calculation 4 5 3 5" xfId="12593" xr:uid="{00000000-0005-0000-0000-000029310000}"/>
    <cellStyle name="Calculation 4 5 3 6" xfId="12594" xr:uid="{00000000-0005-0000-0000-00002A310000}"/>
    <cellStyle name="Calculation 4 5 4" xfId="12595" xr:uid="{00000000-0005-0000-0000-00002B310000}"/>
    <cellStyle name="Calculation 4 5 4 2" xfId="12596" xr:uid="{00000000-0005-0000-0000-00002C310000}"/>
    <cellStyle name="Calculation 4 5 4 3" xfId="12597" xr:uid="{00000000-0005-0000-0000-00002D310000}"/>
    <cellStyle name="Calculation 4 5 4 4" xfId="12598" xr:uid="{00000000-0005-0000-0000-00002E310000}"/>
    <cellStyle name="Calculation 4 5 4 5" xfId="12599" xr:uid="{00000000-0005-0000-0000-00002F310000}"/>
    <cellStyle name="Calculation 4 5 4 6" xfId="12600" xr:uid="{00000000-0005-0000-0000-000030310000}"/>
    <cellStyle name="Calculation 4 5 5" xfId="12601" xr:uid="{00000000-0005-0000-0000-000031310000}"/>
    <cellStyle name="Calculation 4 5 6" xfId="12602" xr:uid="{00000000-0005-0000-0000-000032310000}"/>
    <cellStyle name="Calculation 4 5 7" xfId="12603" xr:uid="{00000000-0005-0000-0000-000033310000}"/>
    <cellStyle name="Calculation 4 5 8" xfId="12604" xr:uid="{00000000-0005-0000-0000-000034310000}"/>
    <cellStyle name="Calculation 4 6" xfId="12605" xr:uid="{00000000-0005-0000-0000-000035310000}"/>
    <cellStyle name="Calculation 4 6 2" xfId="12606" xr:uid="{00000000-0005-0000-0000-000036310000}"/>
    <cellStyle name="Calculation 4 6 2 2" xfId="12607" xr:uid="{00000000-0005-0000-0000-000037310000}"/>
    <cellStyle name="Calculation 4 6 2 2 2" xfId="12608" xr:uid="{00000000-0005-0000-0000-000038310000}"/>
    <cellStyle name="Calculation 4 6 2 2 3" xfId="12609" xr:uid="{00000000-0005-0000-0000-000039310000}"/>
    <cellStyle name="Calculation 4 6 2 2 4" xfId="12610" xr:uid="{00000000-0005-0000-0000-00003A310000}"/>
    <cellStyle name="Calculation 4 6 2 2 5" xfId="12611" xr:uid="{00000000-0005-0000-0000-00003B310000}"/>
    <cellStyle name="Calculation 4 6 2 2 6" xfId="12612" xr:uid="{00000000-0005-0000-0000-00003C310000}"/>
    <cellStyle name="Calculation 4 6 2 3" xfId="12613" xr:uid="{00000000-0005-0000-0000-00003D310000}"/>
    <cellStyle name="Calculation 4 6 2 4" xfId="12614" xr:uid="{00000000-0005-0000-0000-00003E310000}"/>
    <cellStyle name="Calculation 4 6 2 5" xfId="12615" xr:uid="{00000000-0005-0000-0000-00003F310000}"/>
    <cellStyle name="Calculation 4 6 2 6" xfId="12616" xr:uid="{00000000-0005-0000-0000-000040310000}"/>
    <cellStyle name="Calculation 4 6 3" xfId="12617" xr:uid="{00000000-0005-0000-0000-000041310000}"/>
    <cellStyle name="Calculation 4 6 3 2" xfId="12618" xr:uid="{00000000-0005-0000-0000-000042310000}"/>
    <cellStyle name="Calculation 4 6 3 2 2" xfId="12619" xr:uid="{00000000-0005-0000-0000-000043310000}"/>
    <cellStyle name="Calculation 4 6 3 2 3" xfId="12620" xr:uid="{00000000-0005-0000-0000-000044310000}"/>
    <cellStyle name="Calculation 4 6 3 2 4" xfId="12621" xr:uid="{00000000-0005-0000-0000-000045310000}"/>
    <cellStyle name="Calculation 4 6 3 2 5" xfId="12622" xr:uid="{00000000-0005-0000-0000-000046310000}"/>
    <cellStyle name="Calculation 4 6 3 2 6" xfId="12623" xr:uid="{00000000-0005-0000-0000-000047310000}"/>
    <cellStyle name="Calculation 4 6 3 3" xfId="12624" xr:uid="{00000000-0005-0000-0000-000048310000}"/>
    <cellStyle name="Calculation 4 6 3 4" xfId="12625" xr:uid="{00000000-0005-0000-0000-000049310000}"/>
    <cellStyle name="Calculation 4 6 3 5" xfId="12626" xr:uid="{00000000-0005-0000-0000-00004A310000}"/>
    <cellStyle name="Calculation 4 6 3 6" xfId="12627" xr:uid="{00000000-0005-0000-0000-00004B310000}"/>
    <cellStyle name="Calculation 4 6 4" xfId="12628" xr:uid="{00000000-0005-0000-0000-00004C310000}"/>
    <cellStyle name="Calculation 4 6 4 2" xfId="12629" xr:uid="{00000000-0005-0000-0000-00004D310000}"/>
    <cellStyle name="Calculation 4 6 4 3" xfId="12630" xr:uid="{00000000-0005-0000-0000-00004E310000}"/>
    <cellStyle name="Calculation 4 6 4 4" xfId="12631" xr:uid="{00000000-0005-0000-0000-00004F310000}"/>
    <cellStyle name="Calculation 4 6 4 5" xfId="12632" xr:uid="{00000000-0005-0000-0000-000050310000}"/>
    <cellStyle name="Calculation 4 6 4 6" xfId="12633" xr:uid="{00000000-0005-0000-0000-000051310000}"/>
    <cellStyle name="Calculation 4 6 5" xfId="12634" xr:uid="{00000000-0005-0000-0000-000052310000}"/>
    <cellStyle name="Calculation 4 6 6" xfId="12635" xr:uid="{00000000-0005-0000-0000-000053310000}"/>
    <cellStyle name="Calculation 4 6 7" xfId="12636" xr:uid="{00000000-0005-0000-0000-000054310000}"/>
    <cellStyle name="Calculation 4 6 8" xfId="12637" xr:uid="{00000000-0005-0000-0000-000055310000}"/>
    <cellStyle name="Calculation 4 7" xfId="12638" xr:uid="{00000000-0005-0000-0000-000056310000}"/>
    <cellStyle name="Calculation 4 7 2" xfId="12639" xr:uid="{00000000-0005-0000-0000-000057310000}"/>
    <cellStyle name="Calculation 4 7 2 2" xfId="12640" xr:uid="{00000000-0005-0000-0000-000058310000}"/>
    <cellStyle name="Calculation 4 7 2 2 2" xfId="12641" xr:uid="{00000000-0005-0000-0000-000059310000}"/>
    <cellStyle name="Calculation 4 7 2 2 3" xfId="12642" xr:uid="{00000000-0005-0000-0000-00005A310000}"/>
    <cellStyle name="Calculation 4 7 2 2 4" xfId="12643" xr:uid="{00000000-0005-0000-0000-00005B310000}"/>
    <cellStyle name="Calculation 4 7 2 2 5" xfId="12644" xr:uid="{00000000-0005-0000-0000-00005C310000}"/>
    <cellStyle name="Calculation 4 7 2 2 6" xfId="12645" xr:uid="{00000000-0005-0000-0000-00005D310000}"/>
    <cellStyle name="Calculation 4 7 2 3" xfId="12646" xr:uid="{00000000-0005-0000-0000-00005E310000}"/>
    <cellStyle name="Calculation 4 7 2 4" xfId="12647" xr:uid="{00000000-0005-0000-0000-00005F310000}"/>
    <cellStyle name="Calculation 4 7 2 5" xfId="12648" xr:uid="{00000000-0005-0000-0000-000060310000}"/>
    <cellStyle name="Calculation 4 7 2 6" xfId="12649" xr:uid="{00000000-0005-0000-0000-000061310000}"/>
    <cellStyle name="Calculation 4 7 3" xfId="12650" xr:uid="{00000000-0005-0000-0000-000062310000}"/>
    <cellStyle name="Calculation 4 7 3 2" xfId="12651" xr:uid="{00000000-0005-0000-0000-000063310000}"/>
    <cellStyle name="Calculation 4 7 3 2 2" xfId="12652" xr:uid="{00000000-0005-0000-0000-000064310000}"/>
    <cellStyle name="Calculation 4 7 3 2 3" xfId="12653" xr:uid="{00000000-0005-0000-0000-000065310000}"/>
    <cellStyle name="Calculation 4 7 3 2 4" xfId="12654" xr:uid="{00000000-0005-0000-0000-000066310000}"/>
    <cellStyle name="Calculation 4 7 3 2 5" xfId="12655" xr:uid="{00000000-0005-0000-0000-000067310000}"/>
    <cellStyle name="Calculation 4 7 3 2 6" xfId="12656" xr:uid="{00000000-0005-0000-0000-000068310000}"/>
    <cellStyle name="Calculation 4 7 3 3" xfId="12657" xr:uid="{00000000-0005-0000-0000-000069310000}"/>
    <cellStyle name="Calculation 4 7 3 4" xfId="12658" xr:uid="{00000000-0005-0000-0000-00006A310000}"/>
    <cellStyle name="Calculation 4 7 3 5" xfId="12659" xr:uid="{00000000-0005-0000-0000-00006B310000}"/>
    <cellStyle name="Calculation 4 7 3 6" xfId="12660" xr:uid="{00000000-0005-0000-0000-00006C310000}"/>
    <cellStyle name="Calculation 4 7 4" xfId="12661" xr:uid="{00000000-0005-0000-0000-00006D310000}"/>
    <cellStyle name="Calculation 4 7 4 2" xfId="12662" xr:uid="{00000000-0005-0000-0000-00006E310000}"/>
    <cellStyle name="Calculation 4 7 4 3" xfId="12663" xr:uid="{00000000-0005-0000-0000-00006F310000}"/>
    <cellStyle name="Calculation 4 7 4 4" xfId="12664" xr:uid="{00000000-0005-0000-0000-000070310000}"/>
    <cellStyle name="Calculation 4 7 4 5" xfId="12665" xr:uid="{00000000-0005-0000-0000-000071310000}"/>
    <cellStyle name="Calculation 4 7 4 6" xfId="12666" xr:uid="{00000000-0005-0000-0000-000072310000}"/>
    <cellStyle name="Calculation 4 7 5" xfId="12667" xr:uid="{00000000-0005-0000-0000-000073310000}"/>
    <cellStyle name="Calculation 4 7 6" xfId="12668" xr:uid="{00000000-0005-0000-0000-000074310000}"/>
    <cellStyle name="Calculation 4 7 7" xfId="12669" xr:uid="{00000000-0005-0000-0000-000075310000}"/>
    <cellStyle name="Calculation 4 7 8" xfId="12670" xr:uid="{00000000-0005-0000-0000-000076310000}"/>
    <cellStyle name="Calculation 4 8" xfId="12671" xr:uid="{00000000-0005-0000-0000-000077310000}"/>
    <cellStyle name="Calculation 4 8 2" xfId="12672" xr:uid="{00000000-0005-0000-0000-000078310000}"/>
    <cellStyle name="Calculation 4 8 2 2" xfId="12673" xr:uid="{00000000-0005-0000-0000-000079310000}"/>
    <cellStyle name="Calculation 4 8 2 3" xfId="12674" xr:uid="{00000000-0005-0000-0000-00007A310000}"/>
    <cellStyle name="Calculation 4 8 2 4" xfId="12675" xr:uid="{00000000-0005-0000-0000-00007B310000}"/>
    <cellStyle name="Calculation 4 8 2 5" xfId="12676" xr:uid="{00000000-0005-0000-0000-00007C310000}"/>
    <cellStyle name="Calculation 4 8 2 6" xfId="12677" xr:uid="{00000000-0005-0000-0000-00007D310000}"/>
    <cellStyle name="Calculation 4 8 3" xfId="12678" xr:uid="{00000000-0005-0000-0000-00007E310000}"/>
    <cellStyle name="Calculation 4 8 4" xfId="12679" xr:uid="{00000000-0005-0000-0000-00007F310000}"/>
    <cellStyle name="Calculation 4 8 5" xfId="12680" xr:uid="{00000000-0005-0000-0000-000080310000}"/>
    <cellStyle name="Calculation 4 8 6" xfId="12681" xr:uid="{00000000-0005-0000-0000-000081310000}"/>
    <cellStyle name="Calculation 4 9" xfId="12682" xr:uid="{00000000-0005-0000-0000-000082310000}"/>
    <cellStyle name="Calculation 4 9 2" xfId="12683" xr:uid="{00000000-0005-0000-0000-000083310000}"/>
    <cellStyle name="Calculation 4 9 2 2" xfId="12684" xr:uid="{00000000-0005-0000-0000-000084310000}"/>
    <cellStyle name="Calculation 4 9 2 3" xfId="12685" xr:uid="{00000000-0005-0000-0000-000085310000}"/>
    <cellStyle name="Calculation 4 9 2 4" xfId="12686" xr:uid="{00000000-0005-0000-0000-000086310000}"/>
    <cellStyle name="Calculation 4 9 2 5" xfId="12687" xr:uid="{00000000-0005-0000-0000-000087310000}"/>
    <cellStyle name="Calculation 4 9 2 6" xfId="12688" xr:uid="{00000000-0005-0000-0000-000088310000}"/>
    <cellStyle name="Calculation 4 9 3" xfId="12689" xr:uid="{00000000-0005-0000-0000-000089310000}"/>
    <cellStyle name="Calculation 4 9 4" xfId="12690" xr:uid="{00000000-0005-0000-0000-00008A310000}"/>
    <cellStyle name="Calculation 4 9 5" xfId="12691" xr:uid="{00000000-0005-0000-0000-00008B310000}"/>
    <cellStyle name="Calculation 4 9 6" xfId="12692" xr:uid="{00000000-0005-0000-0000-00008C310000}"/>
    <cellStyle name="Cancel" xfId="12693" xr:uid="{00000000-0005-0000-0000-00008D310000}"/>
    <cellStyle name="Cell" xfId="12694" xr:uid="{00000000-0005-0000-0000-00008E310000}"/>
    <cellStyle name="Cents" xfId="12695" xr:uid="{00000000-0005-0000-0000-00008F310000}"/>
    <cellStyle name="Cents (0.0)" xfId="12696" xr:uid="{00000000-0005-0000-0000-000090310000}"/>
    <cellStyle name="Cents (0.0) 2" xfId="12697" xr:uid="{00000000-0005-0000-0000-000091310000}"/>
    <cellStyle name="Cents 10" xfId="12698" xr:uid="{00000000-0005-0000-0000-000092310000}"/>
    <cellStyle name="Cents 11" xfId="12699" xr:uid="{00000000-0005-0000-0000-000093310000}"/>
    <cellStyle name="Cents 12" xfId="12700" xr:uid="{00000000-0005-0000-0000-000094310000}"/>
    <cellStyle name="Cents 13" xfId="12701" xr:uid="{00000000-0005-0000-0000-000095310000}"/>
    <cellStyle name="Cents 14" xfId="12702" xr:uid="{00000000-0005-0000-0000-000096310000}"/>
    <cellStyle name="Cents 15" xfId="12703" xr:uid="{00000000-0005-0000-0000-000097310000}"/>
    <cellStyle name="Cents 16" xfId="12704" xr:uid="{00000000-0005-0000-0000-000098310000}"/>
    <cellStyle name="Cents 17" xfId="12705" xr:uid="{00000000-0005-0000-0000-000099310000}"/>
    <cellStyle name="Cents 18" xfId="12706" xr:uid="{00000000-0005-0000-0000-00009A310000}"/>
    <cellStyle name="Cents 2" xfId="12707" xr:uid="{00000000-0005-0000-0000-00009B310000}"/>
    <cellStyle name="Cents 3" xfId="12708" xr:uid="{00000000-0005-0000-0000-00009C310000}"/>
    <cellStyle name="Cents 4" xfId="12709" xr:uid="{00000000-0005-0000-0000-00009D310000}"/>
    <cellStyle name="Cents 5" xfId="12710" xr:uid="{00000000-0005-0000-0000-00009E310000}"/>
    <cellStyle name="Cents 6" xfId="12711" xr:uid="{00000000-0005-0000-0000-00009F310000}"/>
    <cellStyle name="Cents 7" xfId="12712" xr:uid="{00000000-0005-0000-0000-0000A0310000}"/>
    <cellStyle name="Cents 8" xfId="12713" xr:uid="{00000000-0005-0000-0000-0000A1310000}"/>
    <cellStyle name="Cents 9" xfId="12714" xr:uid="{00000000-0005-0000-0000-0000A2310000}"/>
    <cellStyle name="Check" xfId="12715" xr:uid="{00000000-0005-0000-0000-0000A3310000}"/>
    <cellStyle name="Check 10" xfId="12716" xr:uid="{00000000-0005-0000-0000-0000A4310000}"/>
    <cellStyle name="Check 10 2" xfId="12717" xr:uid="{00000000-0005-0000-0000-0000A5310000}"/>
    <cellStyle name="Check 10 3" xfId="12718" xr:uid="{00000000-0005-0000-0000-0000A6310000}"/>
    <cellStyle name="Check 10 4" xfId="12719" xr:uid="{00000000-0005-0000-0000-0000A7310000}"/>
    <cellStyle name="Check 10 5" xfId="12720" xr:uid="{00000000-0005-0000-0000-0000A8310000}"/>
    <cellStyle name="Check 10 6" xfId="12721" xr:uid="{00000000-0005-0000-0000-0000A9310000}"/>
    <cellStyle name="Check 11" xfId="12722" xr:uid="{00000000-0005-0000-0000-0000AA310000}"/>
    <cellStyle name="Check 12" xfId="12723" xr:uid="{00000000-0005-0000-0000-0000AB310000}"/>
    <cellStyle name="Check 13" xfId="12724" xr:uid="{00000000-0005-0000-0000-0000AC310000}"/>
    <cellStyle name="Check 14" xfId="12725" xr:uid="{00000000-0005-0000-0000-0000AD310000}"/>
    <cellStyle name="Check 2" xfId="12726" xr:uid="{00000000-0005-0000-0000-0000AE310000}"/>
    <cellStyle name="Check 2 10" xfId="12727" xr:uid="{00000000-0005-0000-0000-0000AF310000}"/>
    <cellStyle name="Check 2 11" xfId="12728" xr:uid="{00000000-0005-0000-0000-0000B0310000}"/>
    <cellStyle name="Check 2 12" xfId="12729" xr:uid="{00000000-0005-0000-0000-0000B1310000}"/>
    <cellStyle name="Check 2 13" xfId="12730" xr:uid="{00000000-0005-0000-0000-0000B2310000}"/>
    <cellStyle name="Check 2 2" xfId="12731" xr:uid="{00000000-0005-0000-0000-0000B3310000}"/>
    <cellStyle name="Check 2 2 10" xfId="12732" xr:uid="{00000000-0005-0000-0000-0000B4310000}"/>
    <cellStyle name="Check 2 2 10 2" xfId="12733" xr:uid="{00000000-0005-0000-0000-0000B5310000}"/>
    <cellStyle name="Check 2 2 10 3" xfId="12734" xr:uid="{00000000-0005-0000-0000-0000B6310000}"/>
    <cellStyle name="Check 2 2 10 4" xfId="12735" xr:uid="{00000000-0005-0000-0000-0000B7310000}"/>
    <cellStyle name="Check 2 2 10 5" xfId="12736" xr:uid="{00000000-0005-0000-0000-0000B8310000}"/>
    <cellStyle name="Check 2 2 10 6" xfId="12737" xr:uid="{00000000-0005-0000-0000-0000B9310000}"/>
    <cellStyle name="Check 2 2 11" xfId="12738" xr:uid="{00000000-0005-0000-0000-0000BA310000}"/>
    <cellStyle name="Check 2 2 12" xfId="12739" xr:uid="{00000000-0005-0000-0000-0000BB310000}"/>
    <cellStyle name="Check 2 2 13" xfId="12740" xr:uid="{00000000-0005-0000-0000-0000BC310000}"/>
    <cellStyle name="Check 2 2 14" xfId="12741" xr:uid="{00000000-0005-0000-0000-0000BD310000}"/>
    <cellStyle name="Check 2 2 2" xfId="12742" xr:uid="{00000000-0005-0000-0000-0000BE310000}"/>
    <cellStyle name="Check 2 2 2 10" xfId="12743" xr:uid="{00000000-0005-0000-0000-0000BF310000}"/>
    <cellStyle name="Check 2 2 2 11" xfId="12744" xr:uid="{00000000-0005-0000-0000-0000C0310000}"/>
    <cellStyle name="Check 2 2 2 12" xfId="12745" xr:uid="{00000000-0005-0000-0000-0000C1310000}"/>
    <cellStyle name="Check 2 2 2 13" xfId="12746" xr:uid="{00000000-0005-0000-0000-0000C2310000}"/>
    <cellStyle name="Check 2 2 2 2" xfId="12747" xr:uid="{00000000-0005-0000-0000-0000C3310000}"/>
    <cellStyle name="Check 2 2 2 2 2" xfId="12748" xr:uid="{00000000-0005-0000-0000-0000C4310000}"/>
    <cellStyle name="Check 2 2 2 2 2 2" xfId="12749" xr:uid="{00000000-0005-0000-0000-0000C5310000}"/>
    <cellStyle name="Check 2 2 2 2 2 2 2" xfId="12750" xr:uid="{00000000-0005-0000-0000-0000C6310000}"/>
    <cellStyle name="Check 2 2 2 2 2 2 3" xfId="12751" xr:uid="{00000000-0005-0000-0000-0000C7310000}"/>
    <cellStyle name="Check 2 2 2 2 2 2 4" xfId="12752" xr:uid="{00000000-0005-0000-0000-0000C8310000}"/>
    <cellStyle name="Check 2 2 2 2 2 2 5" xfId="12753" xr:uid="{00000000-0005-0000-0000-0000C9310000}"/>
    <cellStyle name="Check 2 2 2 2 2 2 6" xfId="12754" xr:uid="{00000000-0005-0000-0000-0000CA310000}"/>
    <cellStyle name="Check 2 2 2 2 2 3" xfId="12755" xr:uid="{00000000-0005-0000-0000-0000CB310000}"/>
    <cellStyle name="Check 2 2 2 2 2 4" xfId="12756" xr:uid="{00000000-0005-0000-0000-0000CC310000}"/>
    <cellStyle name="Check 2 2 2 2 2 5" xfId="12757" xr:uid="{00000000-0005-0000-0000-0000CD310000}"/>
    <cellStyle name="Check 2 2 2 2 2 6" xfId="12758" xr:uid="{00000000-0005-0000-0000-0000CE310000}"/>
    <cellStyle name="Check 2 2 2 2 3" xfId="12759" xr:uid="{00000000-0005-0000-0000-0000CF310000}"/>
    <cellStyle name="Check 2 2 2 2 3 2" xfId="12760" xr:uid="{00000000-0005-0000-0000-0000D0310000}"/>
    <cellStyle name="Check 2 2 2 2 3 2 2" xfId="12761" xr:uid="{00000000-0005-0000-0000-0000D1310000}"/>
    <cellStyle name="Check 2 2 2 2 3 2 3" xfId="12762" xr:uid="{00000000-0005-0000-0000-0000D2310000}"/>
    <cellStyle name="Check 2 2 2 2 3 2 4" xfId="12763" xr:uid="{00000000-0005-0000-0000-0000D3310000}"/>
    <cellStyle name="Check 2 2 2 2 3 2 5" xfId="12764" xr:uid="{00000000-0005-0000-0000-0000D4310000}"/>
    <cellStyle name="Check 2 2 2 2 3 2 6" xfId="12765" xr:uid="{00000000-0005-0000-0000-0000D5310000}"/>
    <cellStyle name="Check 2 2 2 2 3 3" xfId="12766" xr:uid="{00000000-0005-0000-0000-0000D6310000}"/>
    <cellStyle name="Check 2 2 2 2 3 4" xfId="12767" xr:uid="{00000000-0005-0000-0000-0000D7310000}"/>
    <cellStyle name="Check 2 2 2 2 3 5" xfId="12768" xr:uid="{00000000-0005-0000-0000-0000D8310000}"/>
    <cellStyle name="Check 2 2 2 2 3 6" xfId="12769" xr:uid="{00000000-0005-0000-0000-0000D9310000}"/>
    <cellStyle name="Check 2 2 2 2 4" xfId="12770" xr:uid="{00000000-0005-0000-0000-0000DA310000}"/>
    <cellStyle name="Check 2 2 2 2 4 2" xfId="12771" xr:uid="{00000000-0005-0000-0000-0000DB310000}"/>
    <cellStyle name="Check 2 2 2 2 4 3" xfId="12772" xr:uid="{00000000-0005-0000-0000-0000DC310000}"/>
    <cellStyle name="Check 2 2 2 2 4 4" xfId="12773" xr:uid="{00000000-0005-0000-0000-0000DD310000}"/>
    <cellStyle name="Check 2 2 2 2 4 5" xfId="12774" xr:uid="{00000000-0005-0000-0000-0000DE310000}"/>
    <cellStyle name="Check 2 2 2 2 4 6" xfId="12775" xr:uid="{00000000-0005-0000-0000-0000DF310000}"/>
    <cellStyle name="Check 2 2 2 2 5" xfId="12776" xr:uid="{00000000-0005-0000-0000-0000E0310000}"/>
    <cellStyle name="Check 2 2 2 2 6" xfId="12777" xr:uid="{00000000-0005-0000-0000-0000E1310000}"/>
    <cellStyle name="Check 2 2 2 2 7" xfId="12778" xr:uid="{00000000-0005-0000-0000-0000E2310000}"/>
    <cellStyle name="Check 2 2 2 2 8" xfId="12779" xr:uid="{00000000-0005-0000-0000-0000E3310000}"/>
    <cellStyle name="Check 2 2 2 3" xfId="12780" xr:uid="{00000000-0005-0000-0000-0000E4310000}"/>
    <cellStyle name="Check 2 2 2 3 2" xfId="12781" xr:uid="{00000000-0005-0000-0000-0000E5310000}"/>
    <cellStyle name="Check 2 2 2 3 2 2" xfId="12782" xr:uid="{00000000-0005-0000-0000-0000E6310000}"/>
    <cellStyle name="Check 2 2 2 3 2 2 2" xfId="12783" xr:uid="{00000000-0005-0000-0000-0000E7310000}"/>
    <cellStyle name="Check 2 2 2 3 2 2 3" xfId="12784" xr:uid="{00000000-0005-0000-0000-0000E8310000}"/>
    <cellStyle name="Check 2 2 2 3 2 2 4" xfId="12785" xr:uid="{00000000-0005-0000-0000-0000E9310000}"/>
    <cellStyle name="Check 2 2 2 3 2 2 5" xfId="12786" xr:uid="{00000000-0005-0000-0000-0000EA310000}"/>
    <cellStyle name="Check 2 2 2 3 2 2 6" xfId="12787" xr:uid="{00000000-0005-0000-0000-0000EB310000}"/>
    <cellStyle name="Check 2 2 2 3 2 3" xfId="12788" xr:uid="{00000000-0005-0000-0000-0000EC310000}"/>
    <cellStyle name="Check 2 2 2 3 2 4" xfId="12789" xr:uid="{00000000-0005-0000-0000-0000ED310000}"/>
    <cellStyle name="Check 2 2 2 3 2 5" xfId="12790" xr:uid="{00000000-0005-0000-0000-0000EE310000}"/>
    <cellStyle name="Check 2 2 2 3 2 6" xfId="12791" xr:uid="{00000000-0005-0000-0000-0000EF310000}"/>
    <cellStyle name="Check 2 2 2 3 3" xfId="12792" xr:uid="{00000000-0005-0000-0000-0000F0310000}"/>
    <cellStyle name="Check 2 2 2 3 3 2" xfId="12793" xr:uid="{00000000-0005-0000-0000-0000F1310000}"/>
    <cellStyle name="Check 2 2 2 3 3 2 2" xfId="12794" xr:uid="{00000000-0005-0000-0000-0000F2310000}"/>
    <cellStyle name="Check 2 2 2 3 3 2 3" xfId="12795" xr:uid="{00000000-0005-0000-0000-0000F3310000}"/>
    <cellStyle name="Check 2 2 2 3 3 2 4" xfId="12796" xr:uid="{00000000-0005-0000-0000-0000F4310000}"/>
    <cellStyle name="Check 2 2 2 3 3 2 5" xfId="12797" xr:uid="{00000000-0005-0000-0000-0000F5310000}"/>
    <cellStyle name="Check 2 2 2 3 3 2 6" xfId="12798" xr:uid="{00000000-0005-0000-0000-0000F6310000}"/>
    <cellStyle name="Check 2 2 2 3 3 3" xfId="12799" xr:uid="{00000000-0005-0000-0000-0000F7310000}"/>
    <cellStyle name="Check 2 2 2 3 3 4" xfId="12800" xr:uid="{00000000-0005-0000-0000-0000F8310000}"/>
    <cellStyle name="Check 2 2 2 3 3 5" xfId="12801" xr:uid="{00000000-0005-0000-0000-0000F9310000}"/>
    <cellStyle name="Check 2 2 2 3 3 6" xfId="12802" xr:uid="{00000000-0005-0000-0000-0000FA310000}"/>
    <cellStyle name="Check 2 2 2 3 4" xfId="12803" xr:uid="{00000000-0005-0000-0000-0000FB310000}"/>
    <cellStyle name="Check 2 2 2 3 4 2" xfId="12804" xr:uid="{00000000-0005-0000-0000-0000FC310000}"/>
    <cellStyle name="Check 2 2 2 3 4 3" xfId="12805" xr:uid="{00000000-0005-0000-0000-0000FD310000}"/>
    <cellStyle name="Check 2 2 2 3 4 4" xfId="12806" xr:uid="{00000000-0005-0000-0000-0000FE310000}"/>
    <cellStyle name="Check 2 2 2 3 4 5" xfId="12807" xr:uid="{00000000-0005-0000-0000-0000FF310000}"/>
    <cellStyle name="Check 2 2 2 3 4 6" xfId="12808" xr:uid="{00000000-0005-0000-0000-000000320000}"/>
    <cellStyle name="Check 2 2 2 3 5" xfId="12809" xr:uid="{00000000-0005-0000-0000-000001320000}"/>
    <cellStyle name="Check 2 2 2 3 6" xfId="12810" xr:uid="{00000000-0005-0000-0000-000002320000}"/>
    <cellStyle name="Check 2 2 2 3 7" xfId="12811" xr:uid="{00000000-0005-0000-0000-000003320000}"/>
    <cellStyle name="Check 2 2 2 3 8" xfId="12812" xr:uid="{00000000-0005-0000-0000-000004320000}"/>
    <cellStyle name="Check 2 2 2 4" xfId="12813" xr:uid="{00000000-0005-0000-0000-000005320000}"/>
    <cellStyle name="Check 2 2 2 4 2" xfId="12814" xr:uid="{00000000-0005-0000-0000-000006320000}"/>
    <cellStyle name="Check 2 2 2 4 2 2" xfId="12815" xr:uid="{00000000-0005-0000-0000-000007320000}"/>
    <cellStyle name="Check 2 2 2 4 2 2 2" xfId="12816" xr:uid="{00000000-0005-0000-0000-000008320000}"/>
    <cellStyle name="Check 2 2 2 4 2 2 3" xfId="12817" xr:uid="{00000000-0005-0000-0000-000009320000}"/>
    <cellStyle name="Check 2 2 2 4 2 2 4" xfId="12818" xr:uid="{00000000-0005-0000-0000-00000A320000}"/>
    <cellStyle name="Check 2 2 2 4 2 2 5" xfId="12819" xr:uid="{00000000-0005-0000-0000-00000B320000}"/>
    <cellStyle name="Check 2 2 2 4 2 2 6" xfId="12820" xr:uid="{00000000-0005-0000-0000-00000C320000}"/>
    <cellStyle name="Check 2 2 2 4 2 3" xfId="12821" xr:uid="{00000000-0005-0000-0000-00000D320000}"/>
    <cellStyle name="Check 2 2 2 4 2 4" xfId="12822" xr:uid="{00000000-0005-0000-0000-00000E320000}"/>
    <cellStyle name="Check 2 2 2 4 2 5" xfId="12823" xr:uid="{00000000-0005-0000-0000-00000F320000}"/>
    <cellStyle name="Check 2 2 2 4 2 6" xfId="12824" xr:uid="{00000000-0005-0000-0000-000010320000}"/>
    <cellStyle name="Check 2 2 2 4 3" xfId="12825" xr:uid="{00000000-0005-0000-0000-000011320000}"/>
    <cellStyle name="Check 2 2 2 4 3 2" xfId="12826" xr:uid="{00000000-0005-0000-0000-000012320000}"/>
    <cellStyle name="Check 2 2 2 4 3 2 2" xfId="12827" xr:uid="{00000000-0005-0000-0000-000013320000}"/>
    <cellStyle name="Check 2 2 2 4 3 2 3" xfId="12828" xr:uid="{00000000-0005-0000-0000-000014320000}"/>
    <cellStyle name="Check 2 2 2 4 3 2 4" xfId="12829" xr:uid="{00000000-0005-0000-0000-000015320000}"/>
    <cellStyle name="Check 2 2 2 4 3 2 5" xfId="12830" xr:uid="{00000000-0005-0000-0000-000016320000}"/>
    <cellStyle name="Check 2 2 2 4 3 2 6" xfId="12831" xr:uid="{00000000-0005-0000-0000-000017320000}"/>
    <cellStyle name="Check 2 2 2 4 3 3" xfId="12832" xr:uid="{00000000-0005-0000-0000-000018320000}"/>
    <cellStyle name="Check 2 2 2 4 3 4" xfId="12833" xr:uid="{00000000-0005-0000-0000-000019320000}"/>
    <cellStyle name="Check 2 2 2 4 3 5" xfId="12834" xr:uid="{00000000-0005-0000-0000-00001A320000}"/>
    <cellStyle name="Check 2 2 2 4 3 6" xfId="12835" xr:uid="{00000000-0005-0000-0000-00001B320000}"/>
    <cellStyle name="Check 2 2 2 4 4" xfId="12836" xr:uid="{00000000-0005-0000-0000-00001C320000}"/>
    <cellStyle name="Check 2 2 2 4 4 2" xfId="12837" xr:uid="{00000000-0005-0000-0000-00001D320000}"/>
    <cellStyle name="Check 2 2 2 4 4 3" xfId="12838" xr:uid="{00000000-0005-0000-0000-00001E320000}"/>
    <cellStyle name="Check 2 2 2 4 4 4" xfId="12839" xr:uid="{00000000-0005-0000-0000-00001F320000}"/>
    <cellStyle name="Check 2 2 2 4 4 5" xfId="12840" xr:uid="{00000000-0005-0000-0000-000020320000}"/>
    <cellStyle name="Check 2 2 2 4 4 6" xfId="12841" xr:uid="{00000000-0005-0000-0000-000021320000}"/>
    <cellStyle name="Check 2 2 2 4 5" xfId="12842" xr:uid="{00000000-0005-0000-0000-000022320000}"/>
    <cellStyle name="Check 2 2 2 4 6" xfId="12843" xr:uid="{00000000-0005-0000-0000-000023320000}"/>
    <cellStyle name="Check 2 2 2 4 7" xfId="12844" xr:uid="{00000000-0005-0000-0000-000024320000}"/>
    <cellStyle name="Check 2 2 2 4 8" xfId="12845" xr:uid="{00000000-0005-0000-0000-000025320000}"/>
    <cellStyle name="Check 2 2 2 5" xfId="12846" xr:uid="{00000000-0005-0000-0000-000026320000}"/>
    <cellStyle name="Check 2 2 2 5 2" xfId="12847" xr:uid="{00000000-0005-0000-0000-000027320000}"/>
    <cellStyle name="Check 2 2 2 5 2 2" xfId="12848" xr:uid="{00000000-0005-0000-0000-000028320000}"/>
    <cellStyle name="Check 2 2 2 5 2 2 2" xfId="12849" xr:uid="{00000000-0005-0000-0000-000029320000}"/>
    <cellStyle name="Check 2 2 2 5 2 2 3" xfId="12850" xr:uid="{00000000-0005-0000-0000-00002A320000}"/>
    <cellStyle name="Check 2 2 2 5 2 2 4" xfId="12851" xr:uid="{00000000-0005-0000-0000-00002B320000}"/>
    <cellStyle name="Check 2 2 2 5 2 2 5" xfId="12852" xr:uid="{00000000-0005-0000-0000-00002C320000}"/>
    <cellStyle name="Check 2 2 2 5 2 2 6" xfId="12853" xr:uid="{00000000-0005-0000-0000-00002D320000}"/>
    <cellStyle name="Check 2 2 2 5 2 3" xfId="12854" xr:uid="{00000000-0005-0000-0000-00002E320000}"/>
    <cellStyle name="Check 2 2 2 5 2 4" xfId="12855" xr:uid="{00000000-0005-0000-0000-00002F320000}"/>
    <cellStyle name="Check 2 2 2 5 2 5" xfId="12856" xr:uid="{00000000-0005-0000-0000-000030320000}"/>
    <cellStyle name="Check 2 2 2 5 2 6" xfId="12857" xr:uid="{00000000-0005-0000-0000-000031320000}"/>
    <cellStyle name="Check 2 2 2 5 3" xfId="12858" xr:uid="{00000000-0005-0000-0000-000032320000}"/>
    <cellStyle name="Check 2 2 2 5 3 2" xfId="12859" xr:uid="{00000000-0005-0000-0000-000033320000}"/>
    <cellStyle name="Check 2 2 2 5 3 2 2" xfId="12860" xr:uid="{00000000-0005-0000-0000-000034320000}"/>
    <cellStyle name="Check 2 2 2 5 3 2 3" xfId="12861" xr:uid="{00000000-0005-0000-0000-000035320000}"/>
    <cellStyle name="Check 2 2 2 5 3 2 4" xfId="12862" xr:uid="{00000000-0005-0000-0000-000036320000}"/>
    <cellStyle name="Check 2 2 2 5 3 2 5" xfId="12863" xr:uid="{00000000-0005-0000-0000-000037320000}"/>
    <cellStyle name="Check 2 2 2 5 3 2 6" xfId="12864" xr:uid="{00000000-0005-0000-0000-000038320000}"/>
    <cellStyle name="Check 2 2 2 5 3 3" xfId="12865" xr:uid="{00000000-0005-0000-0000-000039320000}"/>
    <cellStyle name="Check 2 2 2 5 3 4" xfId="12866" xr:uid="{00000000-0005-0000-0000-00003A320000}"/>
    <cellStyle name="Check 2 2 2 5 3 5" xfId="12867" xr:uid="{00000000-0005-0000-0000-00003B320000}"/>
    <cellStyle name="Check 2 2 2 5 3 6" xfId="12868" xr:uid="{00000000-0005-0000-0000-00003C320000}"/>
    <cellStyle name="Check 2 2 2 5 4" xfId="12869" xr:uid="{00000000-0005-0000-0000-00003D320000}"/>
    <cellStyle name="Check 2 2 2 5 4 2" xfId="12870" xr:uid="{00000000-0005-0000-0000-00003E320000}"/>
    <cellStyle name="Check 2 2 2 5 4 3" xfId="12871" xr:uid="{00000000-0005-0000-0000-00003F320000}"/>
    <cellStyle name="Check 2 2 2 5 4 4" xfId="12872" xr:uid="{00000000-0005-0000-0000-000040320000}"/>
    <cellStyle name="Check 2 2 2 5 4 5" xfId="12873" xr:uid="{00000000-0005-0000-0000-000041320000}"/>
    <cellStyle name="Check 2 2 2 5 4 6" xfId="12874" xr:uid="{00000000-0005-0000-0000-000042320000}"/>
    <cellStyle name="Check 2 2 2 5 5" xfId="12875" xr:uid="{00000000-0005-0000-0000-000043320000}"/>
    <cellStyle name="Check 2 2 2 5 6" xfId="12876" xr:uid="{00000000-0005-0000-0000-000044320000}"/>
    <cellStyle name="Check 2 2 2 5 7" xfId="12877" xr:uid="{00000000-0005-0000-0000-000045320000}"/>
    <cellStyle name="Check 2 2 2 5 8" xfId="12878" xr:uid="{00000000-0005-0000-0000-000046320000}"/>
    <cellStyle name="Check 2 2 2 6" xfId="12879" xr:uid="{00000000-0005-0000-0000-000047320000}"/>
    <cellStyle name="Check 2 2 2 6 2" xfId="12880" xr:uid="{00000000-0005-0000-0000-000048320000}"/>
    <cellStyle name="Check 2 2 2 6 2 2" xfId="12881" xr:uid="{00000000-0005-0000-0000-000049320000}"/>
    <cellStyle name="Check 2 2 2 6 2 2 2" xfId="12882" xr:uid="{00000000-0005-0000-0000-00004A320000}"/>
    <cellStyle name="Check 2 2 2 6 2 2 3" xfId="12883" xr:uid="{00000000-0005-0000-0000-00004B320000}"/>
    <cellStyle name="Check 2 2 2 6 2 2 4" xfId="12884" xr:uid="{00000000-0005-0000-0000-00004C320000}"/>
    <cellStyle name="Check 2 2 2 6 2 2 5" xfId="12885" xr:uid="{00000000-0005-0000-0000-00004D320000}"/>
    <cellStyle name="Check 2 2 2 6 2 2 6" xfId="12886" xr:uid="{00000000-0005-0000-0000-00004E320000}"/>
    <cellStyle name="Check 2 2 2 6 2 3" xfId="12887" xr:uid="{00000000-0005-0000-0000-00004F320000}"/>
    <cellStyle name="Check 2 2 2 6 2 4" xfId="12888" xr:uid="{00000000-0005-0000-0000-000050320000}"/>
    <cellStyle name="Check 2 2 2 6 2 5" xfId="12889" xr:uid="{00000000-0005-0000-0000-000051320000}"/>
    <cellStyle name="Check 2 2 2 6 2 6" xfId="12890" xr:uid="{00000000-0005-0000-0000-000052320000}"/>
    <cellStyle name="Check 2 2 2 6 3" xfId="12891" xr:uid="{00000000-0005-0000-0000-000053320000}"/>
    <cellStyle name="Check 2 2 2 6 3 2" xfId="12892" xr:uid="{00000000-0005-0000-0000-000054320000}"/>
    <cellStyle name="Check 2 2 2 6 3 2 2" xfId="12893" xr:uid="{00000000-0005-0000-0000-000055320000}"/>
    <cellStyle name="Check 2 2 2 6 3 2 3" xfId="12894" xr:uid="{00000000-0005-0000-0000-000056320000}"/>
    <cellStyle name="Check 2 2 2 6 3 2 4" xfId="12895" xr:uid="{00000000-0005-0000-0000-000057320000}"/>
    <cellStyle name="Check 2 2 2 6 3 2 5" xfId="12896" xr:uid="{00000000-0005-0000-0000-000058320000}"/>
    <cellStyle name="Check 2 2 2 6 3 2 6" xfId="12897" xr:uid="{00000000-0005-0000-0000-000059320000}"/>
    <cellStyle name="Check 2 2 2 6 3 3" xfId="12898" xr:uid="{00000000-0005-0000-0000-00005A320000}"/>
    <cellStyle name="Check 2 2 2 6 3 4" xfId="12899" xr:uid="{00000000-0005-0000-0000-00005B320000}"/>
    <cellStyle name="Check 2 2 2 6 3 5" xfId="12900" xr:uid="{00000000-0005-0000-0000-00005C320000}"/>
    <cellStyle name="Check 2 2 2 6 3 6" xfId="12901" xr:uid="{00000000-0005-0000-0000-00005D320000}"/>
    <cellStyle name="Check 2 2 2 6 4" xfId="12902" xr:uid="{00000000-0005-0000-0000-00005E320000}"/>
    <cellStyle name="Check 2 2 2 6 4 2" xfId="12903" xr:uid="{00000000-0005-0000-0000-00005F320000}"/>
    <cellStyle name="Check 2 2 2 6 4 3" xfId="12904" xr:uid="{00000000-0005-0000-0000-000060320000}"/>
    <cellStyle name="Check 2 2 2 6 4 4" xfId="12905" xr:uid="{00000000-0005-0000-0000-000061320000}"/>
    <cellStyle name="Check 2 2 2 6 4 5" xfId="12906" xr:uid="{00000000-0005-0000-0000-000062320000}"/>
    <cellStyle name="Check 2 2 2 6 4 6" xfId="12907" xr:uid="{00000000-0005-0000-0000-000063320000}"/>
    <cellStyle name="Check 2 2 2 6 5" xfId="12908" xr:uid="{00000000-0005-0000-0000-000064320000}"/>
    <cellStyle name="Check 2 2 2 6 6" xfId="12909" xr:uid="{00000000-0005-0000-0000-000065320000}"/>
    <cellStyle name="Check 2 2 2 6 7" xfId="12910" xr:uid="{00000000-0005-0000-0000-000066320000}"/>
    <cellStyle name="Check 2 2 2 6 8" xfId="12911" xr:uid="{00000000-0005-0000-0000-000067320000}"/>
    <cellStyle name="Check 2 2 2 7" xfId="12912" xr:uid="{00000000-0005-0000-0000-000068320000}"/>
    <cellStyle name="Check 2 2 2 7 2" xfId="12913" xr:uid="{00000000-0005-0000-0000-000069320000}"/>
    <cellStyle name="Check 2 2 2 7 2 2" xfId="12914" xr:uid="{00000000-0005-0000-0000-00006A320000}"/>
    <cellStyle name="Check 2 2 2 7 2 3" xfId="12915" xr:uid="{00000000-0005-0000-0000-00006B320000}"/>
    <cellStyle name="Check 2 2 2 7 2 4" xfId="12916" xr:uid="{00000000-0005-0000-0000-00006C320000}"/>
    <cellStyle name="Check 2 2 2 7 2 5" xfId="12917" xr:uid="{00000000-0005-0000-0000-00006D320000}"/>
    <cellStyle name="Check 2 2 2 7 2 6" xfId="12918" xr:uid="{00000000-0005-0000-0000-00006E320000}"/>
    <cellStyle name="Check 2 2 2 7 3" xfId="12919" xr:uid="{00000000-0005-0000-0000-00006F320000}"/>
    <cellStyle name="Check 2 2 2 7 4" xfId="12920" xr:uid="{00000000-0005-0000-0000-000070320000}"/>
    <cellStyle name="Check 2 2 2 7 5" xfId="12921" xr:uid="{00000000-0005-0000-0000-000071320000}"/>
    <cellStyle name="Check 2 2 2 7 6" xfId="12922" xr:uid="{00000000-0005-0000-0000-000072320000}"/>
    <cellStyle name="Check 2 2 2 8" xfId="12923" xr:uid="{00000000-0005-0000-0000-000073320000}"/>
    <cellStyle name="Check 2 2 2 8 2" xfId="12924" xr:uid="{00000000-0005-0000-0000-000074320000}"/>
    <cellStyle name="Check 2 2 2 8 2 2" xfId="12925" xr:uid="{00000000-0005-0000-0000-000075320000}"/>
    <cellStyle name="Check 2 2 2 8 2 3" xfId="12926" xr:uid="{00000000-0005-0000-0000-000076320000}"/>
    <cellStyle name="Check 2 2 2 8 2 4" xfId="12927" xr:uid="{00000000-0005-0000-0000-000077320000}"/>
    <cellStyle name="Check 2 2 2 8 2 5" xfId="12928" xr:uid="{00000000-0005-0000-0000-000078320000}"/>
    <cellStyle name="Check 2 2 2 8 2 6" xfId="12929" xr:uid="{00000000-0005-0000-0000-000079320000}"/>
    <cellStyle name="Check 2 2 2 8 3" xfId="12930" xr:uid="{00000000-0005-0000-0000-00007A320000}"/>
    <cellStyle name="Check 2 2 2 8 4" xfId="12931" xr:uid="{00000000-0005-0000-0000-00007B320000}"/>
    <cellStyle name="Check 2 2 2 8 5" xfId="12932" xr:uid="{00000000-0005-0000-0000-00007C320000}"/>
    <cellStyle name="Check 2 2 2 8 6" xfId="12933" xr:uid="{00000000-0005-0000-0000-00007D320000}"/>
    <cellStyle name="Check 2 2 2 9" xfId="12934" xr:uid="{00000000-0005-0000-0000-00007E320000}"/>
    <cellStyle name="Check 2 2 2 9 2" xfId="12935" xr:uid="{00000000-0005-0000-0000-00007F320000}"/>
    <cellStyle name="Check 2 2 2 9 3" xfId="12936" xr:uid="{00000000-0005-0000-0000-000080320000}"/>
    <cellStyle name="Check 2 2 2 9 4" xfId="12937" xr:uid="{00000000-0005-0000-0000-000081320000}"/>
    <cellStyle name="Check 2 2 2 9 5" xfId="12938" xr:uid="{00000000-0005-0000-0000-000082320000}"/>
    <cellStyle name="Check 2 2 2 9 6" xfId="12939" xr:uid="{00000000-0005-0000-0000-000083320000}"/>
    <cellStyle name="Check 2 2 3" xfId="12940" xr:uid="{00000000-0005-0000-0000-000084320000}"/>
    <cellStyle name="Check 2 2 3 2" xfId="12941" xr:uid="{00000000-0005-0000-0000-000085320000}"/>
    <cellStyle name="Check 2 2 3 2 2" xfId="12942" xr:uid="{00000000-0005-0000-0000-000086320000}"/>
    <cellStyle name="Check 2 2 3 2 2 2" xfId="12943" xr:uid="{00000000-0005-0000-0000-000087320000}"/>
    <cellStyle name="Check 2 2 3 2 2 3" xfId="12944" xr:uid="{00000000-0005-0000-0000-000088320000}"/>
    <cellStyle name="Check 2 2 3 2 2 4" xfId="12945" xr:uid="{00000000-0005-0000-0000-000089320000}"/>
    <cellStyle name="Check 2 2 3 2 2 5" xfId="12946" xr:uid="{00000000-0005-0000-0000-00008A320000}"/>
    <cellStyle name="Check 2 2 3 2 2 6" xfId="12947" xr:uid="{00000000-0005-0000-0000-00008B320000}"/>
    <cellStyle name="Check 2 2 3 2 3" xfId="12948" xr:uid="{00000000-0005-0000-0000-00008C320000}"/>
    <cellStyle name="Check 2 2 3 2 4" xfId="12949" xr:uid="{00000000-0005-0000-0000-00008D320000}"/>
    <cellStyle name="Check 2 2 3 2 5" xfId="12950" xr:uid="{00000000-0005-0000-0000-00008E320000}"/>
    <cellStyle name="Check 2 2 3 2 6" xfId="12951" xr:uid="{00000000-0005-0000-0000-00008F320000}"/>
    <cellStyle name="Check 2 2 3 3" xfId="12952" xr:uid="{00000000-0005-0000-0000-000090320000}"/>
    <cellStyle name="Check 2 2 3 3 2" xfId="12953" xr:uid="{00000000-0005-0000-0000-000091320000}"/>
    <cellStyle name="Check 2 2 3 3 2 2" xfId="12954" xr:uid="{00000000-0005-0000-0000-000092320000}"/>
    <cellStyle name="Check 2 2 3 3 2 3" xfId="12955" xr:uid="{00000000-0005-0000-0000-000093320000}"/>
    <cellStyle name="Check 2 2 3 3 2 4" xfId="12956" xr:uid="{00000000-0005-0000-0000-000094320000}"/>
    <cellStyle name="Check 2 2 3 3 2 5" xfId="12957" xr:uid="{00000000-0005-0000-0000-000095320000}"/>
    <cellStyle name="Check 2 2 3 3 2 6" xfId="12958" xr:uid="{00000000-0005-0000-0000-000096320000}"/>
    <cellStyle name="Check 2 2 3 3 3" xfId="12959" xr:uid="{00000000-0005-0000-0000-000097320000}"/>
    <cellStyle name="Check 2 2 3 3 4" xfId="12960" xr:uid="{00000000-0005-0000-0000-000098320000}"/>
    <cellStyle name="Check 2 2 3 3 5" xfId="12961" xr:uid="{00000000-0005-0000-0000-000099320000}"/>
    <cellStyle name="Check 2 2 3 3 6" xfId="12962" xr:uid="{00000000-0005-0000-0000-00009A320000}"/>
    <cellStyle name="Check 2 2 3 4" xfId="12963" xr:uid="{00000000-0005-0000-0000-00009B320000}"/>
    <cellStyle name="Check 2 2 3 4 2" xfId="12964" xr:uid="{00000000-0005-0000-0000-00009C320000}"/>
    <cellStyle name="Check 2 2 3 4 3" xfId="12965" xr:uid="{00000000-0005-0000-0000-00009D320000}"/>
    <cellStyle name="Check 2 2 3 4 4" xfId="12966" xr:uid="{00000000-0005-0000-0000-00009E320000}"/>
    <cellStyle name="Check 2 2 3 4 5" xfId="12967" xr:uid="{00000000-0005-0000-0000-00009F320000}"/>
    <cellStyle name="Check 2 2 3 4 6" xfId="12968" xr:uid="{00000000-0005-0000-0000-0000A0320000}"/>
    <cellStyle name="Check 2 2 3 5" xfId="12969" xr:uid="{00000000-0005-0000-0000-0000A1320000}"/>
    <cellStyle name="Check 2 2 3 6" xfId="12970" xr:uid="{00000000-0005-0000-0000-0000A2320000}"/>
    <cellStyle name="Check 2 2 3 7" xfId="12971" xr:uid="{00000000-0005-0000-0000-0000A3320000}"/>
    <cellStyle name="Check 2 2 3 8" xfId="12972" xr:uid="{00000000-0005-0000-0000-0000A4320000}"/>
    <cellStyle name="Check 2 2 4" xfId="12973" xr:uid="{00000000-0005-0000-0000-0000A5320000}"/>
    <cellStyle name="Check 2 2 4 2" xfId="12974" xr:uid="{00000000-0005-0000-0000-0000A6320000}"/>
    <cellStyle name="Check 2 2 4 2 2" xfId="12975" xr:uid="{00000000-0005-0000-0000-0000A7320000}"/>
    <cellStyle name="Check 2 2 4 2 2 2" xfId="12976" xr:uid="{00000000-0005-0000-0000-0000A8320000}"/>
    <cellStyle name="Check 2 2 4 2 2 3" xfId="12977" xr:uid="{00000000-0005-0000-0000-0000A9320000}"/>
    <cellStyle name="Check 2 2 4 2 2 4" xfId="12978" xr:uid="{00000000-0005-0000-0000-0000AA320000}"/>
    <cellStyle name="Check 2 2 4 2 2 5" xfId="12979" xr:uid="{00000000-0005-0000-0000-0000AB320000}"/>
    <cellStyle name="Check 2 2 4 2 2 6" xfId="12980" xr:uid="{00000000-0005-0000-0000-0000AC320000}"/>
    <cellStyle name="Check 2 2 4 2 3" xfId="12981" xr:uid="{00000000-0005-0000-0000-0000AD320000}"/>
    <cellStyle name="Check 2 2 4 2 4" xfId="12982" xr:uid="{00000000-0005-0000-0000-0000AE320000}"/>
    <cellStyle name="Check 2 2 4 2 5" xfId="12983" xr:uid="{00000000-0005-0000-0000-0000AF320000}"/>
    <cellStyle name="Check 2 2 4 2 6" xfId="12984" xr:uid="{00000000-0005-0000-0000-0000B0320000}"/>
    <cellStyle name="Check 2 2 4 3" xfId="12985" xr:uid="{00000000-0005-0000-0000-0000B1320000}"/>
    <cellStyle name="Check 2 2 4 3 2" xfId="12986" xr:uid="{00000000-0005-0000-0000-0000B2320000}"/>
    <cellStyle name="Check 2 2 4 3 2 2" xfId="12987" xr:uid="{00000000-0005-0000-0000-0000B3320000}"/>
    <cellStyle name="Check 2 2 4 3 2 3" xfId="12988" xr:uid="{00000000-0005-0000-0000-0000B4320000}"/>
    <cellStyle name="Check 2 2 4 3 2 4" xfId="12989" xr:uid="{00000000-0005-0000-0000-0000B5320000}"/>
    <cellStyle name="Check 2 2 4 3 2 5" xfId="12990" xr:uid="{00000000-0005-0000-0000-0000B6320000}"/>
    <cellStyle name="Check 2 2 4 3 2 6" xfId="12991" xr:uid="{00000000-0005-0000-0000-0000B7320000}"/>
    <cellStyle name="Check 2 2 4 3 3" xfId="12992" xr:uid="{00000000-0005-0000-0000-0000B8320000}"/>
    <cellStyle name="Check 2 2 4 3 4" xfId="12993" xr:uid="{00000000-0005-0000-0000-0000B9320000}"/>
    <cellStyle name="Check 2 2 4 3 5" xfId="12994" xr:uid="{00000000-0005-0000-0000-0000BA320000}"/>
    <cellStyle name="Check 2 2 4 3 6" xfId="12995" xr:uid="{00000000-0005-0000-0000-0000BB320000}"/>
    <cellStyle name="Check 2 2 4 4" xfId="12996" xr:uid="{00000000-0005-0000-0000-0000BC320000}"/>
    <cellStyle name="Check 2 2 4 4 2" xfId="12997" xr:uid="{00000000-0005-0000-0000-0000BD320000}"/>
    <cellStyle name="Check 2 2 4 4 3" xfId="12998" xr:uid="{00000000-0005-0000-0000-0000BE320000}"/>
    <cellStyle name="Check 2 2 4 4 4" xfId="12999" xr:uid="{00000000-0005-0000-0000-0000BF320000}"/>
    <cellStyle name="Check 2 2 4 4 5" xfId="13000" xr:uid="{00000000-0005-0000-0000-0000C0320000}"/>
    <cellStyle name="Check 2 2 4 4 6" xfId="13001" xr:uid="{00000000-0005-0000-0000-0000C1320000}"/>
    <cellStyle name="Check 2 2 4 5" xfId="13002" xr:uid="{00000000-0005-0000-0000-0000C2320000}"/>
    <cellStyle name="Check 2 2 4 6" xfId="13003" xr:uid="{00000000-0005-0000-0000-0000C3320000}"/>
    <cellStyle name="Check 2 2 4 7" xfId="13004" xr:uid="{00000000-0005-0000-0000-0000C4320000}"/>
    <cellStyle name="Check 2 2 4 8" xfId="13005" xr:uid="{00000000-0005-0000-0000-0000C5320000}"/>
    <cellStyle name="Check 2 2 5" xfId="13006" xr:uid="{00000000-0005-0000-0000-0000C6320000}"/>
    <cellStyle name="Check 2 2 5 2" xfId="13007" xr:uid="{00000000-0005-0000-0000-0000C7320000}"/>
    <cellStyle name="Check 2 2 5 2 2" xfId="13008" xr:uid="{00000000-0005-0000-0000-0000C8320000}"/>
    <cellStyle name="Check 2 2 5 2 2 2" xfId="13009" xr:uid="{00000000-0005-0000-0000-0000C9320000}"/>
    <cellStyle name="Check 2 2 5 2 2 3" xfId="13010" xr:uid="{00000000-0005-0000-0000-0000CA320000}"/>
    <cellStyle name="Check 2 2 5 2 2 4" xfId="13011" xr:uid="{00000000-0005-0000-0000-0000CB320000}"/>
    <cellStyle name="Check 2 2 5 2 2 5" xfId="13012" xr:uid="{00000000-0005-0000-0000-0000CC320000}"/>
    <cellStyle name="Check 2 2 5 2 2 6" xfId="13013" xr:uid="{00000000-0005-0000-0000-0000CD320000}"/>
    <cellStyle name="Check 2 2 5 2 3" xfId="13014" xr:uid="{00000000-0005-0000-0000-0000CE320000}"/>
    <cellStyle name="Check 2 2 5 2 4" xfId="13015" xr:uid="{00000000-0005-0000-0000-0000CF320000}"/>
    <cellStyle name="Check 2 2 5 2 5" xfId="13016" xr:uid="{00000000-0005-0000-0000-0000D0320000}"/>
    <cellStyle name="Check 2 2 5 2 6" xfId="13017" xr:uid="{00000000-0005-0000-0000-0000D1320000}"/>
    <cellStyle name="Check 2 2 5 3" xfId="13018" xr:uid="{00000000-0005-0000-0000-0000D2320000}"/>
    <cellStyle name="Check 2 2 5 3 2" xfId="13019" xr:uid="{00000000-0005-0000-0000-0000D3320000}"/>
    <cellStyle name="Check 2 2 5 3 2 2" xfId="13020" xr:uid="{00000000-0005-0000-0000-0000D4320000}"/>
    <cellStyle name="Check 2 2 5 3 2 3" xfId="13021" xr:uid="{00000000-0005-0000-0000-0000D5320000}"/>
    <cellStyle name="Check 2 2 5 3 2 4" xfId="13022" xr:uid="{00000000-0005-0000-0000-0000D6320000}"/>
    <cellStyle name="Check 2 2 5 3 2 5" xfId="13023" xr:uid="{00000000-0005-0000-0000-0000D7320000}"/>
    <cellStyle name="Check 2 2 5 3 2 6" xfId="13024" xr:uid="{00000000-0005-0000-0000-0000D8320000}"/>
    <cellStyle name="Check 2 2 5 3 3" xfId="13025" xr:uid="{00000000-0005-0000-0000-0000D9320000}"/>
    <cellStyle name="Check 2 2 5 3 4" xfId="13026" xr:uid="{00000000-0005-0000-0000-0000DA320000}"/>
    <cellStyle name="Check 2 2 5 3 5" xfId="13027" xr:uid="{00000000-0005-0000-0000-0000DB320000}"/>
    <cellStyle name="Check 2 2 5 3 6" xfId="13028" xr:uid="{00000000-0005-0000-0000-0000DC320000}"/>
    <cellStyle name="Check 2 2 5 4" xfId="13029" xr:uid="{00000000-0005-0000-0000-0000DD320000}"/>
    <cellStyle name="Check 2 2 5 4 2" xfId="13030" xr:uid="{00000000-0005-0000-0000-0000DE320000}"/>
    <cellStyle name="Check 2 2 5 4 3" xfId="13031" xr:uid="{00000000-0005-0000-0000-0000DF320000}"/>
    <cellStyle name="Check 2 2 5 4 4" xfId="13032" xr:uid="{00000000-0005-0000-0000-0000E0320000}"/>
    <cellStyle name="Check 2 2 5 4 5" xfId="13033" xr:uid="{00000000-0005-0000-0000-0000E1320000}"/>
    <cellStyle name="Check 2 2 5 4 6" xfId="13034" xr:uid="{00000000-0005-0000-0000-0000E2320000}"/>
    <cellStyle name="Check 2 2 5 5" xfId="13035" xr:uid="{00000000-0005-0000-0000-0000E3320000}"/>
    <cellStyle name="Check 2 2 5 6" xfId="13036" xr:uid="{00000000-0005-0000-0000-0000E4320000}"/>
    <cellStyle name="Check 2 2 5 7" xfId="13037" xr:uid="{00000000-0005-0000-0000-0000E5320000}"/>
    <cellStyle name="Check 2 2 5 8" xfId="13038" xr:uid="{00000000-0005-0000-0000-0000E6320000}"/>
    <cellStyle name="Check 2 2 6" xfId="13039" xr:uid="{00000000-0005-0000-0000-0000E7320000}"/>
    <cellStyle name="Check 2 2 6 2" xfId="13040" xr:uid="{00000000-0005-0000-0000-0000E8320000}"/>
    <cellStyle name="Check 2 2 6 2 2" xfId="13041" xr:uid="{00000000-0005-0000-0000-0000E9320000}"/>
    <cellStyle name="Check 2 2 6 2 2 2" xfId="13042" xr:uid="{00000000-0005-0000-0000-0000EA320000}"/>
    <cellStyle name="Check 2 2 6 2 2 3" xfId="13043" xr:uid="{00000000-0005-0000-0000-0000EB320000}"/>
    <cellStyle name="Check 2 2 6 2 2 4" xfId="13044" xr:uid="{00000000-0005-0000-0000-0000EC320000}"/>
    <cellStyle name="Check 2 2 6 2 2 5" xfId="13045" xr:uid="{00000000-0005-0000-0000-0000ED320000}"/>
    <cellStyle name="Check 2 2 6 2 2 6" xfId="13046" xr:uid="{00000000-0005-0000-0000-0000EE320000}"/>
    <cellStyle name="Check 2 2 6 2 3" xfId="13047" xr:uid="{00000000-0005-0000-0000-0000EF320000}"/>
    <cellStyle name="Check 2 2 6 2 4" xfId="13048" xr:uid="{00000000-0005-0000-0000-0000F0320000}"/>
    <cellStyle name="Check 2 2 6 2 5" xfId="13049" xr:uid="{00000000-0005-0000-0000-0000F1320000}"/>
    <cellStyle name="Check 2 2 6 2 6" xfId="13050" xr:uid="{00000000-0005-0000-0000-0000F2320000}"/>
    <cellStyle name="Check 2 2 6 3" xfId="13051" xr:uid="{00000000-0005-0000-0000-0000F3320000}"/>
    <cellStyle name="Check 2 2 6 3 2" xfId="13052" xr:uid="{00000000-0005-0000-0000-0000F4320000}"/>
    <cellStyle name="Check 2 2 6 3 2 2" xfId="13053" xr:uid="{00000000-0005-0000-0000-0000F5320000}"/>
    <cellStyle name="Check 2 2 6 3 2 3" xfId="13054" xr:uid="{00000000-0005-0000-0000-0000F6320000}"/>
    <cellStyle name="Check 2 2 6 3 2 4" xfId="13055" xr:uid="{00000000-0005-0000-0000-0000F7320000}"/>
    <cellStyle name="Check 2 2 6 3 2 5" xfId="13056" xr:uid="{00000000-0005-0000-0000-0000F8320000}"/>
    <cellStyle name="Check 2 2 6 3 2 6" xfId="13057" xr:uid="{00000000-0005-0000-0000-0000F9320000}"/>
    <cellStyle name="Check 2 2 6 3 3" xfId="13058" xr:uid="{00000000-0005-0000-0000-0000FA320000}"/>
    <cellStyle name="Check 2 2 6 3 4" xfId="13059" xr:uid="{00000000-0005-0000-0000-0000FB320000}"/>
    <cellStyle name="Check 2 2 6 3 5" xfId="13060" xr:uid="{00000000-0005-0000-0000-0000FC320000}"/>
    <cellStyle name="Check 2 2 6 3 6" xfId="13061" xr:uid="{00000000-0005-0000-0000-0000FD320000}"/>
    <cellStyle name="Check 2 2 6 4" xfId="13062" xr:uid="{00000000-0005-0000-0000-0000FE320000}"/>
    <cellStyle name="Check 2 2 6 4 2" xfId="13063" xr:uid="{00000000-0005-0000-0000-0000FF320000}"/>
    <cellStyle name="Check 2 2 6 4 3" xfId="13064" xr:uid="{00000000-0005-0000-0000-000000330000}"/>
    <cellStyle name="Check 2 2 6 4 4" xfId="13065" xr:uid="{00000000-0005-0000-0000-000001330000}"/>
    <cellStyle name="Check 2 2 6 4 5" xfId="13066" xr:uid="{00000000-0005-0000-0000-000002330000}"/>
    <cellStyle name="Check 2 2 6 4 6" xfId="13067" xr:uid="{00000000-0005-0000-0000-000003330000}"/>
    <cellStyle name="Check 2 2 6 5" xfId="13068" xr:uid="{00000000-0005-0000-0000-000004330000}"/>
    <cellStyle name="Check 2 2 6 6" xfId="13069" xr:uid="{00000000-0005-0000-0000-000005330000}"/>
    <cellStyle name="Check 2 2 6 7" xfId="13070" xr:uid="{00000000-0005-0000-0000-000006330000}"/>
    <cellStyle name="Check 2 2 6 8" xfId="13071" xr:uid="{00000000-0005-0000-0000-000007330000}"/>
    <cellStyle name="Check 2 2 7" xfId="13072" xr:uid="{00000000-0005-0000-0000-000008330000}"/>
    <cellStyle name="Check 2 2 7 2" xfId="13073" xr:uid="{00000000-0005-0000-0000-000009330000}"/>
    <cellStyle name="Check 2 2 7 2 2" xfId="13074" xr:uid="{00000000-0005-0000-0000-00000A330000}"/>
    <cellStyle name="Check 2 2 7 2 2 2" xfId="13075" xr:uid="{00000000-0005-0000-0000-00000B330000}"/>
    <cellStyle name="Check 2 2 7 2 2 3" xfId="13076" xr:uid="{00000000-0005-0000-0000-00000C330000}"/>
    <cellStyle name="Check 2 2 7 2 2 4" xfId="13077" xr:uid="{00000000-0005-0000-0000-00000D330000}"/>
    <cellStyle name="Check 2 2 7 2 2 5" xfId="13078" xr:uid="{00000000-0005-0000-0000-00000E330000}"/>
    <cellStyle name="Check 2 2 7 2 2 6" xfId="13079" xr:uid="{00000000-0005-0000-0000-00000F330000}"/>
    <cellStyle name="Check 2 2 7 2 3" xfId="13080" xr:uid="{00000000-0005-0000-0000-000010330000}"/>
    <cellStyle name="Check 2 2 7 2 4" xfId="13081" xr:uid="{00000000-0005-0000-0000-000011330000}"/>
    <cellStyle name="Check 2 2 7 2 5" xfId="13082" xr:uid="{00000000-0005-0000-0000-000012330000}"/>
    <cellStyle name="Check 2 2 7 2 6" xfId="13083" xr:uid="{00000000-0005-0000-0000-000013330000}"/>
    <cellStyle name="Check 2 2 7 3" xfId="13084" xr:uid="{00000000-0005-0000-0000-000014330000}"/>
    <cellStyle name="Check 2 2 7 3 2" xfId="13085" xr:uid="{00000000-0005-0000-0000-000015330000}"/>
    <cellStyle name="Check 2 2 7 3 2 2" xfId="13086" xr:uid="{00000000-0005-0000-0000-000016330000}"/>
    <cellStyle name="Check 2 2 7 3 2 3" xfId="13087" xr:uid="{00000000-0005-0000-0000-000017330000}"/>
    <cellStyle name="Check 2 2 7 3 2 4" xfId="13088" xr:uid="{00000000-0005-0000-0000-000018330000}"/>
    <cellStyle name="Check 2 2 7 3 2 5" xfId="13089" xr:uid="{00000000-0005-0000-0000-000019330000}"/>
    <cellStyle name="Check 2 2 7 3 2 6" xfId="13090" xr:uid="{00000000-0005-0000-0000-00001A330000}"/>
    <cellStyle name="Check 2 2 7 3 3" xfId="13091" xr:uid="{00000000-0005-0000-0000-00001B330000}"/>
    <cellStyle name="Check 2 2 7 3 4" xfId="13092" xr:uid="{00000000-0005-0000-0000-00001C330000}"/>
    <cellStyle name="Check 2 2 7 3 5" xfId="13093" xr:uid="{00000000-0005-0000-0000-00001D330000}"/>
    <cellStyle name="Check 2 2 7 3 6" xfId="13094" xr:uid="{00000000-0005-0000-0000-00001E330000}"/>
    <cellStyle name="Check 2 2 7 4" xfId="13095" xr:uid="{00000000-0005-0000-0000-00001F330000}"/>
    <cellStyle name="Check 2 2 7 4 2" xfId="13096" xr:uid="{00000000-0005-0000-0000-000020330000}"/>
    <cellStyle name="Check 2 2 7 4 3" xfId="13097" xr:uid="{00000000-0005-0000-0000-000021330000}"/>
    <cellStyle name="Check 2 2 7 4 4" xfId="13098" xr:uid="{00000000-0005-0000-0000-000022330000}"/>
    <cellStyle name="Check 2 2 7 4 5" xfId="13099" xr:uid="{00000000-0005-0000-0000-000023330000}"/>
    <cellStyle name="Check 2 2 7 4 6" xfId="13100" xr:uid="{00000000-0005-0000-0000-000024330000}"/>
    <cellStyle name="Check 2 2 7 5" xfId="13101" xr:uid="{00000000-0005-0000-0000-000025330000}"/>
    <cellStyle name="Check 2 2 7 6" xfId="13102" xr:uid="{00000000-0005-0000-0000-000026330000}"/>
    <cellStyle name="Check 2 2 7 7" xfId="13103" xr:uid="{00000000-0005-0000-0000-000027330000}"/>
    <cellStyle name="Check 2 2 7 8" xfId="13104" xr:uid="{00000000-0005-0000-0000-000028330000}"/>
    <cellStyle name="Check 2 2 8" xfId="13105" xr:uid="{00000000-0005-0000-0000-000029330000}"/>
    <cellStyle name="Check 2 2 8 2" xfId="13106" xr:uid="{00000000-0005-0000-0000-00002A330000}"/>
    <cellStyle name="Check 2 2 8 2 2" xfId="13107" xr:uid="{00000000-0005-0000-0000-00002B330000}"/>
    <cellStyle name="Check 2 2 8 2 3" xfId="13108" xr:uid="{00000000-0005-0000-0000-00002C330000}"/>
    <cellStyle name="Check 2 2 8 2 4" xfId="13109" xr:uid="{00000000-0005-0000-0000-00002D330000}"/>
    <cellStyle name="Check 2 2 8 2 5" xfId="13110" xr:uid="{00000000-0005-0000-0000-00002E330000}"/>
    <cellStyle name="Check 2 2 8 2 6" xfId="13111" xr:uid="{00000000-0005-0000-0000-00002F330000}"/>
    <cellStyle name="Check 2 2 8 3" xfId="13112" xr:uid="{00000000-0005-0000-0000-000030330000}"/>
    <cellStyle name="Check 2 2 8 4" xfId="13113" xr:uid="{00000000-0005-0000-0000-000031330000}"/>
    <cellStyle name="Check 2 2 8 5" xfId="13114" xr:uid="{00000000-0005-0000-0000-000032330000}"/>
    <cellStyle name="Check 2 2 8 6" xfId="13115" xr:uid="{00000000-0005-0000-0000-000033330000}"/>
    <cellStyle name="Check 2 2 9" xfId="13116" xr:uid="{00000000-0005-0000-0000-000034330000}"/>
    <cellStyle name="Check 2 2 9 2" xfId="13117" xr:uid="{00000000-0005-0000-0000-000035330000}"/>
    <cellStyle name="Check 2 2 9 2 2" xfId="13118" xr:uid="{00000000-0005-0000-0000-000036330000}"/>
    <cellStyle name="Check 2 2 9 2 3" xfId="13119" xr:uid="{00000000-0005-0000-0000-000037330000}"/>
    <cellStyle name="Check 2 2 9 2 4" xfId="13120" xr:uid="{00000000-0005-0000-0000-000038330000}"/>
    <cellStyle name="Check 2 2 9 2 5" xfId="13121" xr:uid="{00000000-0005-0000-0000-000039330000}"/>
    <cellStyle name="Check 2 2 9 2 6" xfId="13122" xr:uid="{00000000-0005-0000-0000-00003A330000}"/>
    <cellStyle name="Check 2 2 9 3" xfId="13123" xr:uid="{00000000-0005-0000-0000-00003B330000}"/>
    <cellStyle name="Check 2 2 9 4" xfId="13124" xr:uid="{00000000-0005-0000-0000-00003C330000}"/>
    <cellStyle name="Check 2 2 9 5" xfId="13125" xr:uid="{00000000-0005-0000-0000-00003D330000}"/>
    <cellStyle name="Check 2 2 9 6" xfId="13126" xr:uid="{00000000-0005-0000-0000-00003E330000}"/>
    <cellStyle name="Check 2 3" xfId="13127" xr:uid="{00000000-0005-0000-0000-00003F330000}"/>
    <cellStyle name="Check 2 3 10" xfId="13128" xr:uid="{00000000-0005-0000-0000-000040330000}"/>
    <cellStyle name="Check 2 3 11" xfId="13129" xr:uid="{00000000-0005-0000-0000-000041330000}"/>
    <cellStyle name="Check 2 3 12" xfId="13130" xr:uid="{00000000-0005-0000-0000-000042330000}"/>
    <cellStyle name="Check 2 3 13" xfId="13131" xr:uid="{00000000-0005-0000-0000-000043330000}"/>
    <cellStyle name="Check 2 3 2" xfId="13132" xr:uid="{00000000-0005-0000-0000-000044330000}"/>
    <cellStyle name="Check 2 3 2 2" xfId="13133" xr:uid="{00000000-0005-0000-0000-000045330000}"/>
    <cellStyle name="Check 2 3 2 2 2" xfId="13134" xr:uid="{00000000-0005-0000-0000-000046330000}"/>
    <cellStyle name="Check 2 3 2 2 2 2" xfId="13135" xr:uid="{00000000-0005-0000-0000-000047330000}"/>
    <cellStyle name="Check 2 3 2 2 2 3" xfId="13136" xr:uid="{00000000-0005-0000-0000-000048330000}"/>
    <cellStyle name="Check 2 3 2 2 2 4" xfId="13137" xr:uid="{00000000-0005-0000-0000-000049330000}"/>
    <cellStyle name="Check 2 3 2 2 2 5" xfId="13138" xr:uid="{00000000-0005-0000-0000-00004A330000}"/>
    <cellStyle name="Check 2 3 2 2 2 6" xfId="13139" xr:uid="{00000000-0005-0000-0000-00004B330000}"/>
    <cellStyle name="Check 2 3 2 2 3" xfId="13140" xr:uid="{00000000-0005-0000-0000-00004C330000}"/>
    <cellStyle name="Check 2 3 2 2 4" xfId="13141" xr:uid="{00000000-0005-0000-0000-00004D330000}"/>
    <cellStyle name="Check 2 3 2 2 5" xfId="13142" xr:uid="{00000000-0005-0000-0000-00004E330000}"/>
    <cellStyle name="Check 2 3 2 2 6" xfId="13143" xr:uid="{00000000-0005-0000-0000-00004F330000}"/>
    <cellStyle name="Check 2 3 2 3" xfId="13144" xr:uid="{00000000-0005-0000-0000-000050330000}"/>
    <cellStyle name="Check 2 3 2 3 2" xfId="13145" xr:uid="{00000000-0005-0000-0000-000051330000}"/>
    <cellStyle name="Check 2 3 2 3 2 2" xfId="13146" xr:uid="{00000000-0005-0000-0000-000052330000}"/>
    <cellStyle name="Check 2 3 2 3 2 3" xfId="13147" xr:uid="{00000000-0005-0000-0000-000053330000}"/>
    <cellStyle name="Check 2 3 2 3 2 4" xfId="13148" xr:uid="{00000000-0005-0000-0000-000054330000}"/>
    <cellStyle name="Check 2 3 2 3 2 5" xfId="13149" xr:uid="{00000000-0005-0000-0000-000055330000}"/>
    <cellStyle name="Check 2 3 2 3 2 6" xfId="13150" xr:uid="{00000000-0005-0000-0000-000056330000}"/>
    <cellStyle name="Check 2 3 2 3 3" xfId="13151" xr:uid="{00000000-0005-0000-0000-000057330000}"/>
    <cellStyle name="Check 2 3 2 3 4" xfId="13152" xr:uid="{00000000-0005-0000-0000-000058330000}"/>
    <cellStyle name="Check 2 3 2 3 5" xfId="13153" xr:uid="{00000000-0005-0000-0000-000059330000}"/>
    <cellStyle name="Check 2 3 2 3 6" xfId="13154" xr:uid="{00000000-0005-0000-0000-00005A330000}"/>
    <cellStyle name="Check 2 3 2 4" xfId="13155" xr:uid="{00000000-0005-0000-0000-00005B330000}"/>
    <cellStyle name="Check 2 3 2 4 2" xfId="13156" xr:uid="{00000000-0005-0000-0000-00005C330000}"/>
    <cellStyle name="Check 2 3 2 4 3" xfId="13157" xr:uid="{00000000-0005-0000-0000-00005D330000}"/>
    <cellStyle name="Check 2 3 2 4 4" xfId="13158" xr:uid="{00000000-0005-0000-0000-00005E330000}"/>
    <cellStyle name="Check 2 3 2 4 5" xfId="13159" xr:uid="{00000000-0005-0000-0000-00005F330000}"/>
    <cellStyle name="Check 2 3 2 4 6" xfId="13160" xr:uid="{00000000-0005-0000-0000-000060330000}"/>
    <cellStyle name="Check 2 3 2 5" xfId="13161" xr:uid="{00000000-0005-0000-0000-000061330000}"/>
    <cellStyle name="Check 2 3 2 6" xfId="13162" xr:uid="{00000000-0005-0000-0000-000062330000}"/>
    <cellStyle name="Check 2 3 2 7" xfId="13163" xr:uid="{00000000-0005-0000-0000-000063330000}"/>
    <cellStyle name="Check 2 3 2 8" xfId="13164" xr:uid="{00000000-0005-0000-0000-000064330000}"/>
    <cellStyle name="Check 2 3 3" xfId="13165" xr:uid="{00000000-0005-0000-0000-000065330000}"/>
    <cellStyle name="Check 2 3 3 2" xfId="13166" xr:uid="{00000000-0005-0000-0000-000066330000}"/>
    <cellStyle name="Check 2 3 3 2 2" xfId="13167" xr:uid="{00000000-0005-0000-0000-000067330000}"/>
    <cellStyle name="Check 2 3 3 2 2 2" xfId="13168" xr:uid="{00000000-0005-0000-0000-000068330000}"/>
    <cellStyle name="Check 2 3 3 2 2 3" xfId="13169" xr:uid="{00000000-0005-0000-0000-000069330000}"/>
    <cellStyle name="Check 2 3 3 2 2 4" xfId="13170" xr:uid="{00000000-0005-0000-0000-00006A330000}"/>
    <cellStyle name="Check 2 3 3 2 2 5" xfId="13171" xr:uid="{00000000-0005-0000-0000-00006B330000}"/>
    <cellStyle name="Check 2 3 3 2 2 6" xfId="13172" xr:uid="{00000000-0005-0000-0000-00006C330000}"/>
    <cellStyle name="Check 2 3 3 2 3" xfId="13173" xr:uid="{00000000-0005-0000-0000-00006D330000}"/>
    <cellStyle name="Check 2 3 3 2 4" xfId="13174" xr:uid="{00000000-0005-0000-0000-00006E330000}"/>
    <cellStyle name="Check 2 3 3 2 5" xfId="13175" xr:uid="{00000000-0005-0000-0000-00006F330000}"/>
    <cellStyle name="Check 2 3 3 2 6" xfId="13176" xr:uid="{00000000-0005-0000-0000-000070330000}"/>
    <cellStyle name="Check 2 3 3 3" xfId="13177" xr:uid="{00000000-0005-0000-0000-000071330000}"/>
    <cellStyle name="Check 2 3 3 3 2" xfId="13178" xr:uid="{00000000-0005-0000-0000-000072330000}"/>
    <cellStyle name="Check 2 3 3 3 2 2" xfId="13179" xr:uid="{00000000-0005-0000-0000-000073330000}"/>
    <cellStyle name="Check 2 3 3 3 2 3" xfId="13180" xr:uid="{00000000-0005-0000-0000-000074330000}"/>
    <cellStyle name="Check 2 3 3 3 2 4" xfId="13181" xr:uid="{00000000-0005-0000-0000-000075330000}"/>
    <cellStyle name="Check 2 3 3 3 2 5" xfId="13182" xr:uid="{00000000-0005-0000-0000-000076330000}"/>
    <cellStyle name="Check 2 3 3 3 2 6" xfId="13183" xr:uid="{00000000-0005-0000-0000-000077330000}"/>
    <cellStyle name="Check 2 3 3 3 3" xfId="13184" xr:uid="{00000000-0005-0000-0000-000078330000}"/>
    <cellStyle name="Check 2 3 3 3 4" xfId="13185" xr:uid="{00000000-0005-0000-0000-000079330000}"/>
    <cellStyle name="Check 2 3 3 3 5" xfId="13186" xr:uid="{00000000-0005-0000-0000-00007A330000}"/>
    <cellStyle name="Check 2 3 3 3 6" xfId="13187" xr:uid="{00000000-0005-0000-0000-00007B330000}"/>
    <cellStyle name="Check 2 3 3 4" xfId="13188" xr:uid="{00000000-0005-0000-0000-00007C330000}"/>
    <cellStyle name="Check 2 3 3 4 2" xfId="13189" xr:uid="{00000000-0005-0000-0000-00007D330000}"/>
    <cellStyle name="Check 2 3 3 4 3" xfId="13190" xr:uid="{00000000-0005-0000-0000-00007E330000}"/>
    <cellStyle name="Check 2 3 3 4 4" xfId="13191" xr:uid="{00000000-0005-0000-0000-00007F330000}"/>
    <cellStyle name="Check 2 3 3 4 5" xfId="13192" xr:uid="{00000000-0005-0000-0000-000080330000}"/>
    <cellStyle name="Check 2 3 3 4 6" xfId="13193" xr:uid="{00000000-0005-0000-0000-000081330000}"/>
    <cellStyle name="Check 2 3 3 5" xfId="13194" xr:uid="{00000000-0005-0000-0000-000082330000}"/>
    <cellStyle name="Check 2 3 3 6" xfId="13195" xr:uid="{00000000-0005-0000-0000-000083330000}"/>
    <cellStyle name="Check 2 3 3 7" xfId="13196" xr:uid="{00000000-0005-0000-0000-000084330000}"/>
    <cellStyle name="Check 2 3 3 8" xfId="13197" xr:uid="{00000000-0005-0000-0000-000085330000}"/>
    <cellStyle name="Check 2 3 4" xfId="13198" xr:uid="{00000000-0005-0000-0000-000086330000}"/>
    <cellStyle name="Check 2 3 4 2" xfId="13199" xr:uid="{00000000-0005-0000-0000-000087330000}"/>
    <cellStyle name="Check 2 3 4 2 2" xfId="13200" xr:uid="{00000000-0005-0000-0000-000088330000}"/>
    <cellStyle name="Check 2 3 4 2 2 2" xfId="13201" xr:uid="{00000000-0005-0000-0000-000089330000}"/>
    <cellStyle name="Check 2 3 4 2 2 3" xfId="13202" xr:uid="{00000000-0005-0000-0000-00008A330000}"/>
    <cellStyle name="Check 2 3 4 2 2 4" xfId="13203" xr:uid="{00000000-0005-0000-0000-00008B330000}"/>
    <cellStyle name="Check 2 3 4 2 2 5" xfId="13204" xr:uid="{00000000-0005-0000-0000-00008C330000}"/>
    <cellStyle name="Check 2 3 4 2 2 6" xfId="13205" xr:uid="{00000000-0005-0000-0000-00008D330000}"/>
    <cellStyle name="Check 2 3 4 2 3" xfId="13206" xr:uid="{00000000-0005-0000-0000-00008E330000}"/>
    <cellStyle name="Check 2 3 4 2 4" xfId="13207" xr:uid="{00000000-0005-0000-0000-00008F330000}"/>
    <cellStyle name="Check 2 3 4 2 5" xfId="13208" xr:uid="{00000000-0005-0000-0000-000090330000}"/>
    <cellStyle name="Check 2 3 4 2 6" xfId="13209" xr:uid="{00000000-0005-0000-0000-000091330000}"/>
    <cellStyle name="Check 2 3 4 3" xfId="13210" xr:uid="{00000000-0005-0000-0000-000092330000}"/>
    <cellStyle name="Check 2 3 4 3 2" xfId="13211" xr:uid="{00000000-0005-0000-0000-000093330000}"/>
    <cellStyle name="Check 2 3 4 3 2 2" xfId="13212" xr:uid="{00000000-0005-0000-0000-000094330000}"/>
    <cellStyle name="Check 2 3 4 3 2 3" xfId="13213" xr:uid="{00000000-0005-0000-0000-000095330000}"/>
    <cellStyle name="Check 2 3 4 3 2 4" xfId="13214" xr:uid="{00000000-0005-0000-0000-000096330000}"/>
    <cellStyle name="Check 2 3 4 3 2 5" xfId="13215" xr:uid="{00000000-0005-0000-0000-000097330000}"/>
    <cellStyle name="Check 2 3 4 3 2 6" xfId="13216" xr:uid="{00000000-0005-0000-0000-000098330000}"/>
    <cellStyle name="Check 2 3 4 3 3" xfId="13217" xr:uid="{00000000-0005-0000-0000-000099330000}"/>
    <cellStyle name="Check 2 3 4 3 4" xfId="13218" xr:uid="{00000000-0005-0000-0000-00009A330000}"/>
    <cellStyle name="Check 2 3 4 3 5" xfId="13219" xr:uid="{00000000-0005-0000-0000-00009B330000}"/>
    <cellStyle name="Check 2 3 4 3 6" xfId="13220" xr:uid="{00000000-0005-0000-0000-00009C330000}"/>
    <cellStyle name="Check 2 3 4 4" xfId="13221" xr:uid="{00000000-0005-0000-0000-00009D330000}"/>
    <cellStyle name="Check 2 3 4 4 2" xfId="13222" xr:uid="{00000000-0005-0000-0000-00009E330000}"/>
    <cellStyle name="Check 2 3 4 4 3" xfId="13223" xr:uid="{00000000-0005-0000-0000-00009F330000}"/>
    <cellStyle name="Check 2 3 4 4 4" xfId="13224" xr:uid="{00000000-0005-0000-0000-0000A0330000}"/>
    <cellStyle name="Check 2 3 4 4 5" xfId="13225" xr:uid="{00000000-0005-0000-0000-0000A1330000}"/>
    <cellStyle name="Check 2 3 4 4 6" xfId="13226" xr:uid="{00000000-0005-0000-0000-0000A2330000}"/>
    <cellStyle name="Check 2 3 4 5" xfId="13227" xr:uid="{00000000-0005-0000-0000-0000A3330000}"/>
    <cellStyle name="Check 2 3 4 6" xfId="13228" xr:uid="{00000000-0005-0000-0000-0000A4330000}"/>
    <cellStyle name="Check 2 3 4 7" xfId="13229" xr:uid="{00000000-0005-0000-0000-0000A5330000}"/>
    <cellStyle name="Check 2 3 4 8" xfId="13230" xr:uid="{00000000-0005-0000-0000-0000A6330000}"/>
    <cellStyle name="Check 2 3 5" xfId="13231" xr:uid="{00000000-0005-0000-0000-0000A7330000}"/>
    <cellStyle name="Check 2 3 5 2" xfId="13232" xr:uid="{00000000-0005-0000-0000-0000A8330000}"/>
    <cellStyle name="Check 2 3 5 2 2" xfId="13233" xr:uid="{00000000-0005-0000-0000-0000A9330000}"/>
    <cellStyle name="Check 2 3 5 2 2 2" xfId="13234" xr:uid="{00000000-0005-0000-0000-0000AA330000}"/>
    <cellStyle name="Check 2 3 5 2 2 3" xfId="13235" xr:uid="{00000000-0005-0000-0000-0000AB330000}"/>
    <cellStyle name="Check 2 3 5 2 2 4" xfId="13236" xr:uid="{00000000-0005-0000-0000-0000AC330000}"/>
    <cellStyle name="Check 2 3 5 2 2 5" xfId="13237" xr:uid="{00000000-0005-0000-0000-0000AD330000}"/>
    <cellStyle name="Check 2 3 5 2 2 6" xfId="13238" xr:uid="{00000000-0005-0000-0000-0000AE330000}"/>
    <cellStyle name="Check 2 3 5 2 3" xfId="13239" xr:uid="{00000000-0005-0000-0000-0000AF330000}"/>
    <cellStyle name="Check 2 3 5 2 4" xfId="13240" xr:uid="{00000000-0005-0000-0000-0000B0330000}"/>
    <cellStyle name="Check 2 3 5 2 5" xfId="13241" xr:uid="{00000000-0005-0000-0000-0000B1330000}"/>
    <cellStyle name="Check 2 3 5 2 6" xfId="13242" xr:uid="{00000000-0005-0000-0000-0000B2330000}"/>
    <cellStyle name="Check 2 3 5 3" xfId="13243" xr:uid="{00000000-0005-0000-0000-0000B3330000}"/>
    <cellStyle name="Check 2 3 5 3 2" xfId="13244" xr:uid="{00000000-0005-0000-0000-0000B4330000}"/>
    <cellStyle name="Check 2 3 5 3 2 2" xfId="13245" xr:uid="{00000000-0005-0000-0000-0000B5330000}"/>
    <cellStyle name="Check 2 3 5 3 2 3" xfId="13246" xr:uid="{00000000-0005-0000-0000-0000B6330000}"/>
    <cellStyle name="Check 2 3 5 3 2 4" xfId="13247" xr:uid="{00000000-0005-0000-0000-0000B7330000}"/>
    <cellStyle name="Check 2 3 5 3 2 5" xfId="13248" xr:uid="{00000000-0005-0000-0000-0000B8330000}"/>
    <cellStyle name="Check 2 3 5 3 2 6" xfId="13249" xr:uid="{00000000-0005-0000-0000-0000B9330000}"/>
    <cellStyle name="Check 2 3 5 3 3" xfId="13250" xr:uid="{00000000-0005-0000-0000-0000BA330000}"/>
    <cellStyle name="Check 2 3 5 3 4" xfId="13251" xr:uid="{00000000-0005-0000-0000-0000BB330000}"/>
    <cellStyle name="Check 2 3 5 3 5" xfId="13252" xr:uid="{00000000-0005-0000-0000-0000BC330000}"/>
    <cellStyle name="Check 2 3 5 3 6" xfId="13253" xr:uid="{00000000-0005-0000-0000-0000BD330000}"/>
    <cellStyle name="Check 2 3 5 4" xfId="13254" xr:uid="{00000000-0005-0000-0000-0000BE330000}"/>
    <cellStyle name="Check 2 3 5 4 2" xfId="13255" xr:uid="{00000000-0005-0000-0000-0000BF330000}"/>
    <cellStyle name="Check 2 3 5 4 3" xfId="13256" xr:uid="{00000000-0005-0000-0000-0000C0330000}"/>
    <cellStyle name="Check 2 3 5 4 4" xfId="13257" xr:uid="{00000000-0005-0000-0000-0000C1330000}"/>
    <cellStyle name="Check 2 3 5 4 5" xfId="13258" xr:uid="{00000000-0005-0000-0000-0000C2330000}"/>
    <cellStyle name="Check 2 3 5 4 6" xfId="13259" xr:uid="{00000000-0005-0000-0000-0000C3330000}"/>
    <cellStyle name="Check 2 3 5 5" xfId="13260" xr:uid="{00000000-0005-0000-0000-0000C4330000}"/>
    <cellStyle name="Check 2 3 5 6" xfId="13261" xr:uid="{00000000-0005-0000-0000-0000C5330000}"/>
    <cellStyle name="Check 2 3 5 7" xfId="13262" xr:uid="{00000000-0005-0000-0000-0000C6330000}"/>
    <cellStyle name="Check 2 3 5 8" xfId="13263" xr:uid="{00000000-0005-0000-0000-0000C7330000}"/>
    <cellStyle name="Check 2 3 6" xfId="13264" xr:uid="{00000000-0005-0000-0000-0000C8330000}"/>
    <cellStyle name="Check 2 3 6 2" xfId="13265" xr:uid="{00000000-0005-0000-0000-0000C9330000}"/>
    <cellStyle name="Check 2 3 6 2 2" xfId="13266" xr:uid="{00000000-0005-0000-0000-0000CA330000}"/>
    <cellStyle name="Check 2 3 6 2 2 2" xfId="13267" xr:uid="{00000000-0005-0000-0000-0000CB330000}"/>
    <cellStyle name="Check 2 3 6 2 2 3" xfId="13268" xr:uid="{00000000-0005-0000-0000-0000CC330000}"/>
    <cellStyle name="Check 2 3 6 2 2 4" xfId="13269" xr:uid="{00000000-0005-0000-0000-0000CD330000}"/>
    <cellStyle name="Check 2 3 6 2 2 5" xfId="13270" xr:uid="{00000000-0005-0000-0000-0000CE330000}"/>
    <cellStyle name="Check 2 3 6 2 2 6" xfId="13271" xr:uid="{00000000-0005-0000-0000-0000CF330000}"/>
    <cellStyle name="Check 2 3 6 2 3" xfId="13272" xr:uid="{00000000-0005-0000-0000-0000D0330000}"/>
    <cellStyle name="Check 2 3 6 2 4" xfId="13273" xr:uid="{00000000-0005-0000-0000-0000D1330000}"/>
    <cellStyle name="Check 2 3 6 2 5" xfId="13274" xr:uid="{00000000-0005-0000-0000-0000D2330000}"/>
    <cellStyle name="Check 2 3 6 2 6" xfId="13275" xr:uid="{00000000-0005-0000-0000-0000D3330000}"/>
    <cellStyle name="Check 2 3 6 3" xfId="13276" xr:uid="{00000000-0005-0000-0000-0000D4330000}"/>
    <cellStyle name="Check 2 3 6 3 2" xfId="13277" xr:uid="{00000000-0005-0000-0000-0000D5330000}"/>
    <cellStyle name="Check 2 3 6 3 2 2" xfId="13278" xr:uid="{00000000-0005-0000-0000-0000D6330000}"/>
    <cellStyle name="Check 2 3 6 3 2 3" xfId="13279" xr:uid="{00000000-0005-0000-0000-0000D7330000}"/>
    <cellStyle name="Check 2 3 6 3 2 4" xfId="13280" xr:uid="{00000000-0005-0000-0000-0000D8330000}"/>
    <cellStyle name="Check 2 3 6 3 2 5" xfId="13281" xr:uid="{00000000-0005-0000-0000-0000D9330000}"/>
    <cellStyle name="Check 2 3 6 3 2 6" xfId="13282" xr:uid="{00000000-0005-0000-0000-0000DA330000}"/>
    <cellStyle name="Check 2 3 6 3 3" xfId="13283" xr:uid="{00000000-0005-0000-0000-0000DB330000}"/>
    <cellStyle name="Check 2 3 6 3 4" xfId="13284" xr:uid="{00000000-0005-0000-0000-0000DC330000}"/>
    <cellStyle name="Check 2 3 6 3 5" xfId="13285" xr:uid="{00000000-0005-0000-0000-0000DD330000}"/>
    <cellStyle name="Check 2 3 6 3 6" xfId="13286" xr:uid="{00000000-0005-0000-0000-0000DE330000}"/>
    <cellStyle name="Check 2 3 6 4" xfId="13287" xr:uid="{00000000-0005-0000-0000-0000DF330000}"/>
    <cellStyle name="Check 2 3 6 4 2" xfId="13288" xr:uid="{00000000-0005-0000-0000-0000E0330000}"/>
    <cellStyle name="Check 2 3 6 4 3" xfId="13289" xr:uid="{00000000-0005-0000-0000-0000E1330000}"/>
    <cellStyle name="Check 2 3 6 4 4" xfId="13290" xr:uid="{00000000-0005-0000-0000-0000E2330000}"/>
    <cellStyle name="Check 2 3 6 4 5" xfId="13291" xr:uid="{00000000-0005-0000-0000-0000E3330000}"/>
    <cellStyle name="Check 2 3 6 4 6" xfId="13292" xr:uid="{00000000-0005-0000-0000-0000E4330000}"/>
    <cellStyle name="Check 2 3 6 5" xfId="13293" xr:uid="{00000000-0005-0000-0000-0000E5330000}"/>
    <cellStyle name="Check 2 3 6 6" xfId="13294" xr:uid="{00000000-0005-0000-0000-0000E6330000}"/>
    <cellStyle name="Check 2 3 6 7" xfId="13295" xr:uid="{00000000-0005-0000-0000-0000E7330000}"/>
    <cellStyle name="Check 2 3 6 8" xfId="13296" xr:uid="{00000000-0005-0000-0000-0000E8330000}"/>
    <cellStyle name="Check 2 3 7" xfId="13297" xr:uid="{00000000-0005-0000-0000-0000E9330000}"/>
    <cellStyle name="Check 2 3 7 2" xfId="13298" xr:uid="{00000000-0005-0000-0000-0000EA330000}"/>
    <cellStyle name="Check 2 3 7 2 2" xfId="13299" xr:uid="{00000000-0005-0000-0000-0000EB330000}"/>
    <cellStyle name="Check 2 3 7 2 3" xfId="13300" xr:uid="{00000000-0005-0000-0000-0000EC330000}"/>
    <cellStyle name="Check 2 3 7 2 4" xfId="13301" xr:uid="{00000000-0005-0000-0000-0000ED330000}"/>
    <cellStyle name="Check 2 3 7 2 5" xfId="13302" xr:uid="{00000000-0005-0000-0000-0000EE330000}"/>
    <cellStyle name="Check 2 3 7 2 6" xfId="13303" xr:uid="{00000000-0005-0000-0000-0000EF330000}"/>
    <cellStyle name="Check 2 3 7 3" xfId="13304" xr:uid="{00000000-0005-0000-0000-0000F0330000}"/>
    <cellStyle name="Check 2 3 7 4" xfId="13305" xr:uid="{00000000-0005-0000-0000-0000F1330000}"/>
    <cellStyle name="Check 2 3 7 5" xfId="13306" xr:uid="{00000000-0005-0000-0000-0000F2330000}"/>
    <cellStyle name="Check 2 3 7 6" xfId="13307" xr:uid="{00000000-0005-0000-0000-0000F3330000}"/>
    <cellStyle name="Check 2 3 8" xfId="13308" xr:uid="{00000000-0005-0000-0000-0000F4330000}"/>
    <cellStyle name="Check 2 3 8 2" xfId="13309" xr:uid="{00000000-0005-0000-0000-0000F5330000}"/>
    <cellStyle name="Check 2 3 8 2 2" xfId="13310" xr:uid="{00000000-0005-0000-0000-0000F6330000}"/>
    <cellStyle name="Check 2 3 8 2 3" xfId="13311" xr:uid="{00000000-0005-0000-0000-0000F7330000}"/>
    <cellStyle name="Check 2 3 8 2 4" xfId="13312" xr:uid="{00000000-0005-0000-0000-0000F8330000}"/>
    <cellStyle name="Check 2 3 8 2 5" xfId="13313" xr:uid="{00000000-0005-0000-0000-0000F9330000}"/>
    <cellStyle name="Check 2 3 8 2 6" xfId="13314" xr:uid="{00000000-0005-0000-0000-0000FA330000}"/>
    <cellStyle name="Check 2 3 8 3" xfId="13315" xr:uid="{00000000-0005-0000-0000-0000FB330000}"/>
    <cellStyle name="Check 2 3 8 4" xfId="13316" xr:uid="{00000000-0005-0000-0000-0000FC330000}"/>
    <cellStyle name="Check 2 3 8 5" xfId="13317" xr:uid="{00000000-0005-0000-0000-0000FD330000}"/>
    <cellStyle name="Check 2 3 8 6" xfId="13318" xr:uid="{00000000-0005-0000-0000-0000FE330000}"/>
    <cellStyle name="Check 2 3 9" xfId="13319" xr:uid="{00000000-0005-0000-0000-0000FF330000}"/>
    <cellStyle name="Check 2 3 9 2" xfId="13320" xr:uid="{00000000-0005-0000-0000-000000340000}"/>
    <cellStyle name="Check 2 3 9 3" xfId="13321" xr:uid="{00000000-0005-0000-0000-000001340000}"/>
    <cellStyle name="Check 2 3 9 4" xfId="13322" xr:uid="{00000000-0005-0000-0000-000002340000}"/>
    <cellStyle name="Check 2 3 9 5" xfId="13323" xr:uid="{00000000-0005-0000-0000-000003340000}"/>
    <cellStyle name="Check 2 3 9 6" xfId="13324" xr:uid="{00000000-0005-0000-0000-000004340000}"/>
    <cellStyle name="Check 2 4" xfId="13325" xr:uid="{00000000-0005-0000-0000-000005340000}"/>
    <cellStyle name="Check 2 4 2" xfId="13326" xr:uid="{00000000-0005-0000-0000-000006340000}"/>
    <cellStyle name="Check 2 4 2 2" xfId="13327" xr:uid="{00000000-0005-0000-0000-000007340000}"/>
    <cellStyle name="Check 2 4 2 2 2" xfId="13328" xr:uid="{00000000-0005-0000-0000-000008340000}"/>
    <cellStyle name="Check 2 4 2 2 3" xfId="13329" xr:uid="{00000000-0005-0000-0000-000009340000}"/>
    <cellStyle name="Check 2 4 2 2 4" xfId="13330" xr:uid="{00000000-0005-0000-0000-00000A340000}"/>
    <cellStyle name="Check 2 4 2 2 5" xfId="13331" xr:uid="{00000000-0005-0000-0000-00000B340000}"/>
    <cellStyle name="Check 2 4 2 2 6" xfId="13332" xr:uid="{00000000-0005-0000-0000-00000C340000}"/>
    <cellStyle name="Check 2 4 2 3" xfId="13333" xr:uid="{00000000-0005-0000-0000-00000D340000}"/>
    <cellStyle name="Check 2 4 2 4" xfId="13334" xr:uid="{00000000-0005-0000-0000-00000E340000}"/>
    <cellStyle name="Check 2 4 2 5" xfId="13335" xr:uid="{00000000-0005-0000-0000-00000F340000}"/>
    <cellStyle name="Check 2 4 2 6" xfId="13336" xr:uid="{00000000-0005-0000-0000-000010340000}"/>
    <cellStyle name="Check 2 4 3" xfId="13337" xr:uid="{00000000-0005-0000-0000-000011340000}"/>
    <cellStyle name="Check 2 4 3 2" xfId="13338" xr:uid="{00000000-0005-0000-0000-000012340000}"/>
    <cellStyle name="Check 2 4 3 2 2" xfId="13339" xr:uid="{00000000-0005-0000-0000-000013340000}"/>
    <cellStyle name="Check 2 4 3 2 3" xfId="13340" xr:uid="{00000000-0005-0000-0000-000014340000}"/>
    <cellStyle name="Check 2 4 3 2 4" xfId="13341" xr:uid="{00000000-0005-0000-0000-000015340000}"/>
    <cellStyle name="Check 2 4 3 2 5" xfId="13342" xr:uid="{00000000-0005-0000-0000-000016340000}"/>
    <cellStyle name="Check 2 4 3 2 6" xfId="13343" xr:uid="{00000000-0005-0000-0000-000017340000}"/>
    <cellStyle name="Check 2 4 3 3" xfId="13344" xr:uid="{00000000-0005-0000-0000-000018340000}"/>
    <cellStyle name="Check 2 4 3 4" xfId="13345" xr:uid="{00000000-0005-0000-0000-000019340000}"/>
    <cellStyle name="Check 2 4 3 5" xfId="13346" xr:uid="{00000000-0005-0000-0000-00001A340000}"/>
    <cellStyle name="Check 2 4 3 6" xfId="13347" xr:uid="{00000000-0005-0000-0000-00001B340000}"/>
    <cellStyle name="Check 2 4 4" xfId="13348" xr:uid="{00000000-0005-0000-0000-00001C340000}"/>
    <cellStyle name="Check 2 4 4 2" xfId="13349" xr:uid="{00000000-0005-0000-0000-00001D340000}"/>
    <cellStyle name="Check 2 4 4 3" xfId="13350" xr:uid="{00000000-0005-0000-0000-00001E340000}"/>
    <cellStyle name="Check 2 4 4 4" xfId="13351" xr:uid="{00000000-0005-0000-0000-00001F340000}"/>
    <cellStyle name="Check 2 4 4 5" xfId="13352" xr:uid="{00000000-0005-0000-0000-000020340000}"/>
    <cellStyle name="Check 2 4 4 6" xfId="13353" xr:uid="{00000000-0005-0000-0000-000021340000}"/>
    <cellStyle name="Check 2 4 5" xfId="13354" xr:uid="{00000000-0005-0000-0000-000022340000}"/>
    <cellStyle name="Check 2 4 6" xfId="13355" xr:uid="{00000000-0005-0000-0000-000023340000}"/>
    <cellStyle name="Check 2 4 7" xfId="13356" xr:uid="{00000000-0005-0000-0000-000024340000}"/>
    <cellStyle name="Check 2 4 8" xfId="13357" xr:uid="{00000000-0005-0000-0000-000025340000}"/>
    <cellStyle name="Check 2 5" xfId="13358" xr:uid="{00000000-0005-0000-0000-000026340000}"/>
    <cellStyle name="Check 2 5 2" xfId="13359" xr:uid="{00000000-0005-0000-0000-000027340000}"/>
    <cellStyle name="Check 2 5 2 2" xfId="13360" xr:uid="{00000000-0005-0000-0000-000028340000}"/>
    <cellStyle name="Check 2 5 2 2 2" xfId="13361" xr:uid="{00000000-0005-0000-0000-000029340000}"/>
    <cellStyle name="Check 2 5 2 2 3" xfId="13362" xr:uid="{00000000-0005-0000-0000-00002A340000}"/>
    <cellStyle name="Check 2 5 2 2 4" xfId="13363" xr:uid="{00000000-0005-0000-0000-00002B340000}"/>
    <cellStyle name="Check 2 5 2 2 5" xfId="13364" xr:uid="{00000000-0005-0000-0000-00002C340000}"/>
    <cellStyle name="Check 2 5 2 2 6" xfId="13365" xr:uid="{00000000-0005-0000-0000-00002D340000}"/>
    <cellStyle name="Check 2 5 2 3" xfId="13366" xr:uid="{00000000-0005-0000-0000-00002E340000}"/>
    <cellStyle name="Check 2 5 2 4" xfId="13367" xr:uid="{00000000-0005-0000-0000-00002F340000}"/>
    <cellStyle name="Check 2 5 2 5" xfId="13368" xr:uid="{00000000-0005-0000-0000-000030340000}"/>
    <cellStyle name="Check 2 5 2 6" xfId="13369" xr:uid="{00000000-0005-0000-0000-000031340000}"/>
    <cellStyle name="Check 2 5 3" xfId="13370" xr:uid="{00000000-0005-0000-0000-000032340000}"/>
    <cellStyle name="Check 2 5 3 2" xfId="13371" xr:uid="{00000000-0005-0000-0000-000033340000}"/>
    <cellStyle name="Check 2 5 3 2 2" xfId="13372" xr:uid="{00000000-0005-0000-0000-000034340000}"/>
    <cellStyle name="Check 2 5 3 2 3" xfId="13373" xr:uid="{00000000-0005-0000-0000-000035340000}"/>
    <cellStyle name="Check 2 5 3 2 4" xfId="13374" xr:uid="{00000000-0005-0000-0000-000036340000}"/>
    <cellStyle name="Check 2 5 3 2 5" xfId="13375" xr:uid="{00000000-0005-0000-0000-000037340000}"/>
    <cellStyle name="Check 2 5 3 2 6" xfId="13376" xr:uid="{00000000-0005-0000-0000-000038340000}"/>
    <cellStyle name="Check 2 5 3 3" xfId="13377" xr:uid="{00000000-0005-0000-0000-000039340000}"/>
    <cellStyle name="Check 2 5 3 4" xfId="13378" xr:uid="{00000000-0005-0000-0000-00003A340000}"/>
    <cellStyle name="Check 2 5 3 5" xfId="13379" xr:uid="{00000000-0005-0000-0000-00003B340000}"/>
    <cellStyle name="Check 2 5 3 6" xfId="13380" xr:uid="{00000000-0005-0000-0000-00003C340000}"/>
    <cellStyle name="Check 2 5 4" xfId="13381" xr:uid="{00000000-0005-0000-0000-00003D340000}"/>
    <cellStyle name="Check 2 5 4 2" xfId="13382" xr:uid="{00000000-0005-0000-0000-00003E340000}"/>
    <cellStyle name="Check 2 5 4 3" xfId="13383" xr:uid="{00000000-0005-0000-0000-00003F340000}"/>
    <cellStyle name="Check 2 5 4 4" xfId="13384" xr:uid="{00000000-0005-0000-0000-000040340000}"/>
    <cellStyle name="Check 2 5 4 5" xfId="13385" xr:uid="{00000000-0005-0000-0000-000041340000}"/>
    <cellStyle name="Check 2 5 4 6" xfId="13386" xr:uid="{00000000-0005-0000-0000-000042340000}"/>
    <cellStyle name="Check 2 5 5" xfId="13387" xr:uid="{00000000-0005-0000-0000-000043340000}"/>
    <cellStyle name="Check 2 5 6" xfId="13388" xr:uid="{00000000-0005-0000-0000-000044340000}"/>
    <cellStyle name="Check 2 5 7" xfId="13389" xr:uid="{00000000-0005-0000-0000-000045340000}"/>
    <cellStyle name="Check 2 5 8" xfId="13390" xr:uid="{00000000-0005-0000-0000-000046340000}"/>
    <cellStyle name="Check 2 6" xfId="13391" xr:uid="{00000000-0005-0000-0000-000047340000}"/>
    <cellStyle name="Check 2 6 2" xfId="13392" xr:uid="{00000000-0005-0000-0000-000048340000}"/>
    <cellStyle name="Check 2 6 2 2" xfId="13393" xr:uid="{00000000-0005-0000-0000-000049340000}"/>
    <cellStyle name="Check 2 6 2 2 2" xfId="13394" xr:uid="{00000000-0005-0000-0000-00004A340000}"/>
    <cellStyle name="Check 2 6 2 2 3" xfId="13395" xr:uid="{00000000-0005-0000-0000-00004B340000}"/>
    <cellStyle name="Check 2 6 2 2 4" xfId="13396" xr:uid="{00000000-0005-0000-0000-00004C340000}"/>
    <cellStyle name="Check 2 6 2 2 5" xfId="13397" xr:uid="{00000000-0005-0000-0000-00004D340000}"/>
    <cellStyle name="Check 2 6 2 2 6" xfId="13398" xr:uid="{00000000-0005-0000-0000-00004E340000}"/>
    <cellStyle name="Check 2 6 2 3" xfId="13399" xr:uid="{00000000-0005-0000-0000-00004F340000}"/>
    <cellStyle name="Check 2 6 2 4" xfId="13400" xr:uid="{00000000-0005-0000-0000-000050340000}"/>
    <cellStyle name="Check 2 6 2 5" xfId="13401" xr:uid="{00000000-0005-0000-0000-000051340000}"/>
    <cellStyle name="Check 2 6 2 6" xfId="13402" xr:uid="{00000000-0005-0000-0000-000052340000}"/>
    <cellStyle name="Check 2 6 3" xfId="13403" xr:uid="{00000000-0005-0000-0000-000053340000}"/>
    <cellStyle name="Check 2 6 3 2" xfId="13404" xr:uid="{00000000-0005-0000-0000-000054340000}"/>
    <cellStyle name="Check 2 6 3 2 2" xfId="13405" xr:uid="{00000000-0005-0000-0000-000055340000}"/>
    <cellStyle name="Check 2 6 3 2 3" xfId="13406" xr:uid="{00000000-0005-0000-0000-000056340000}"/>
    <cellStyle name="Check 2 6 3 2 4" xfId="13407" xr:uid="{00000000-0005-0000-0000-000057340000}"/>
    <cellStyle name="Check 2 6 3 2 5" xfId="13408" xr:uid="{00000000-0005-0000-0000-000058340000}"/>
    <cellStyle name="Check 2 6 3 2 6" xfId="13409" xr:uid="{00000000-0005-0000-0000-000059340000}"/>
    <cellStyle name="Check 2 6 3 3" xfId="13410" xr:uid="{00000000-0005-0000-0000-00005A340000}"/>
    <cellStyle name="Check 2 6 3 4" xfId="13411" xr:uid="{00000000-0005-0000-0000-00005B340000}"/>
    <cellStyle name="Check 2 6 3 5" xfId="13412" xr:uid="{00000000-0005-0000-0000-00005C340000}"/>
    <cellStyle name="Check 2 6 3 6" xfId="13413" xr:uid="{00000000-0005-0000-0000-00005D340000}"/>
    <cellStyle name="Check 2 6 4" xfId="13414" xr:uid="{00000000-0005-0000-0000-00005E340000}"/>
    <cellStyle name="Check 2 6 4 2" xfId="13415" xr:uid="{00000000-0005-0000-0000-00005F340000}"/>
    <cellStyle name="Check 2 6 4 3" xfId="13416" xr:uid="{00000000-0005-0000-0000-000060340000}"/>
    <cellStyle name="Check 2 6 4 4" xfId="13417" xr:uid="{00000000-0005-0000-0000-000061340000}"/>
    <cellStyle name="Check 2 6 4 5" xfId="13418" xr:uid="{00000000-0005-0000-0000-000062340000}"/>
    <cellStyle name="Check 2 6 4 6" xfId="13419" xr:uid="{00000000-0005-0000-0000-000063340000}"/>
    <cellStyle name="Check 2 6 5" xfId="13420" xr:uid="{00000000-0005-0000-0000-000064340000}"/>
    <cellStyle name="Check 2 6 6" xfId="13421" xr:uid="{00000000-0005-0000-0000-000065340000}"/>
    <cellStyle name="Check 2 6 7" xfId="13422" xr:uid="{00000000-0005-0000-0000-000066340000}"/>
    <cellStyle name="Check 2 6 8" xfId="13423" xr:uid="{00000000-0005-0000-0000-000067340000}"/>
    <cellStyle name="Check 2 7" xfId="13424" xr:uid="{00000000-0005-0000-0000-000068340000}"/>
    <cellStyle name="Check 2 7 2" xfId="13425" xr:uid="{00000000-0005-0000-0000-000069340000}"/>
    <cellStyle name="Check 2 7 2 2" xfId="13426" xr:uid="{00000000-0005-0000-0000-00006A340000}"/>
    <cellStyle name="Check 2 7 2 3" xfId="13427" xr:uid="{00000000-0005-0000-0000-00006B340000}"/>
    <cellStyle name="Check 2 7 2 4" xfId="13428" xr:uid="{00000000-0005-0000-0000-00006C340000}"/>
    <cellStyle name="Check 2 7 2 5" xfId="13429" xr:uid="{00000000-0005-0000-0000-00006D340000}"/>
    <cellStyle name="Check 2 7 2 6" xfId="13430" xr:uid="{00000000-0005-0000-0000-00006E340000}"/>
    <cellStyle name="Check 2 7 3" xfId="13431" xr:uid="{00000000-0005-0000-0000-00006F340000}"/>
    <cellStyle name="Check 2 7 4" xfId="13432" xr:uid="{00000000-0005-0000-0000-000070340000}"/>
    <cellStyle name="Check 2 7 5" xfId="13433" xr:uid="{00000000-0005-0000-0000-000071340000}"/>
    <cellStyle name="Check 2 7 6" xfId="13434" xr:uid="{00000000-0005-0000-0000-000072340000}"/>
    <cellStyle name="Check 2 8" xfId="13435" xr:uid="{00000000-0005-0000-0000-000073340000}"/>
    <cellStyle name="Check 2 8 2" xfId="13436" xr:uid="{00000000-0005-0000-0000-000074340000}"/>
    <cellStyle name="Check 2 8 2 2" xfId="13437" xr:uid="{00000000-0005-0000-0000-000075340000}"/>
    <cellStyle name="Check 2 8 2 3" xfId="13438" xr:uid="{00000000-0005-0000-0000-000076340000}"/>
    <cellStyle name="Check 2 8 2 4" xfId="13439" xr:uid="{00000000-0005-0000-0000-000077340000}"/>
    <cellStyle name="Check 2 8 2 5" xfId="13440" xr:uid="{00000000-0005-0000-0000-000078340000}"/>
    <cellStyle name="Check 2 8 2 6" xfId="13441" xr:uid="{00000000-0005-0000-0000-000079340000}"/>
    <cellStyle name="Check 2 8 3" xfId="13442" xr:uid="{00000000-0005-0000-0000-00007A340000}"/>
    <cellStyle name="Check 2 8 4" xfId="13443" xr:uid="{00000000-0005-0000-0000-00007B340000}"/>
    <cellStyle name="Check 2 8 5" xfId="13444" xr:uid="{00000000-0005-0000-0000-00007C340000}"/>
    <cellStyle name="Check 2 8 6" xfId="13445" xr:uid="{00000000-0005-0000-0000-00007D340000}"/>
    <cellStyle name="Check 2 9" xfId="13446" xr:uid="{00000000-0005-0000-0000-00007E340000}"/>
    <cellStyle name="Check 2 9 2" xfId="13447" xr:uid="{00000000-0005-0000-0000-00007F340000}"/>
    <cellStyle name="Check 2 9 3" xfId="13448" xr:uid="{00000000-0005-0000-0000-000080340000}"/>
    <cellStyle name="Check 2 9 4" xfId="13449" xr:uid="{00000000-0005-0000-0000-000081340000}"/>
    <cellStyle name="Check 2 9 5" xfId="13450" xr:uid="{00000000-0005-0000-0000-000082340000}"/>
    <cellStyle name="Check 2 9 6" xfId="13451" xr:uid="{00000000-0005-0000-0000-000083340000}"/>
    <cellStyle name="Check 3" xfId="13452" xr:uid="{00000000-0005-0000-0000-000084340000}"/>
    <cellStyle name="Check 3 10" xfId="13453" xr:uid="{00000000-0005-0000-0000-000085340000}"/>
    <cellStyle name="Check 3 10 2" xfId="13454" xr:uid="{00000000-0005-0000-0000-000086340000}"/>
    <cellStyle name="Check 3 10 3" xfId="13455" xr:uid="{00000000-0005-0000-0000-000087340000}"/>
    <cellStyle name="Check 3 10 4" xfId="13456" xr:uid="{00000000-0005-0000-0000-000088340000}"/>
    <cellStyle name="Check 3 10 5" xfId="13457" xr:uid="{00000000-0005-0000-0000-000089340000}"/>
    <cellStyle name="Check 3 10 6" xfId="13458" xr:uid="{00000000-0005-0000-0000-00008A340000}"/>
    <cellStyle name="Check 3 11" xfId="13459" xr:uid="{00000000-0005-0000-0000-00008B340000}"/>
    <cellStyle name="Check 3 12" xfId="13460" xr:uid="{00000000-0005-0000-0000-00008C340000}"/>
    <cellStyle name="Check 3 13" xfId="13461" xr:uid="{00000000-0005-0000-0000-00008D340000}"/>
    <cellStyle name="Check 3 14" xfId="13462" xr:uid="{00000000-0005-0000-0000-00008E340000}"/>
    <cellStyle name="Check 3 2" xfId="13463" xr:uid="{00000000-0005-0000-0000-00008F340000}"/>
    <cellStyle name="Check 3 2 10" xfId="13464" xr:uid="{00000000-0005-0000-0000-000090340000}"/>
    <cellStyle name="Check 3 2 11" xfId="13465" xr:uid="{00000000-0005-0000-0000-000091340000}"/>
    <cellStyle name="Check 3 2 12" xfId="13466" xr:uid="{00000000-0005-0000-0000-000092340000}"/>
    <cellStyle name="Check 3 2 13" xfId="13467" xr:uid="{00000000-0005-0000-0000-000093340000}"/>
    <cellStyle name="Check 3 2 2" xfId="13468" xr:uid="{00000000-0005-0000-0000-000094340000}"/>
    <cellStyle name="Check 3 2 2 2" xfId="13469" xr:uid="{00000000-0005-0000-0000-000095340000}"/>
    <cellStyle name="Check 3 2 2 2 2" xfId="13470" xr:uid="{00000000-0005-0000-0000-000096340000}"/>
    <cellStyle name="Check 3 2 2 2 2 2" xfId="13471" xr:uid="{00000000-0005-0000-0000-000097340000}"/>
    <cellStyle name="Check 3 2 2 2 2 3" xfId="13472" xr:uid="{00000000-0005-0000-0000-000098340000}"/>
    <cellStyle name="Check 3 2 2 2 2 4" xfId="13473" xr:uid="{00000000-0005-0000-0000-000099340000}"/>
    <cellStyle name="Check 3 2 2 2 2 5" xfId="13474" xr:uid="{00000000-0005-0000-0000-00009A340000}"/>
    <cellStyle name="Check 3 2 2 2 2 6" xfId="13475" xr:uid="{00000000-0005-0000-0000-00009B340000}"/>
    <cellStyle name="Check 3 2 2 2 3" xfId="13476" xr:uid="{00000000-0005-0000-0000-00009C340000}"/>
    <cellStyle name="Check 3 2 2 2 4" xfId="13477" xr:uid="{00000000-0005-0000-0000-00009D340000}"/>
    <cellStyle name="Check 3 2 2 2 5" xfId="13478" xr:uid="{00000000-0005-0000-0000-00009E340000}"/>
    <cellStyle name="Check 3 2 2 2 6" xfId="13479" xr:uid="{00000000-0005-0000-0000-00009F340000}"/>
    <cellStyle name="Check 3 2 2 3" xfId="13480" xr:uid="{00000000-0005-0000-0000-0000A0340000}"/>
    <cellStyle name="Check 3 2 2 3 2" xfId="13481" xr:uid="{00000000-0005-0000-0000-0000A1340000}"/>
    <cellStyle name="Check 3 2 2 3 2 2" xfId="13482" xr:uid="{00000000-0005-0000-0000-0000A2340000}"/>
    <cellStyle name="Check 3 2 2 3 2 3" xfId="13483" xr:uid="{00000000-0005-0000-0000-0000A3340000}"/>
    <cellStyle name="Check 3 2 2 3 2 4" xfId="13484" xr:uid="{00000000-0005-0000-0000-0000A4340000}"/>
    <cellStyle name="Check 3 2 2 3 2 5" xfId="13485" xr:uid="{00000000-0005-0000-0000-0000A5340000}"/>
    <cellStyle name="Check 3 2 2 3 2 6" xfId="13486" xr:uid="{00000000-0005-0000-0000-0000A6340000}"/>
    <cellStyle name="Check 3 2 2 3 3" xfId="13487" xr:uid="{00000000-0005-0000-0000-0000A7340000}"/>
    <cellStyle name="Check 3 2 2 3 4" xfId="13488" xr:uid="{00000000-0005-0000-0000-0000A8340000}"/>
    <cellStyle name="Check 3 2 2 3 5" xfId="13489" xr:uid="{00000000-0005-0000-0000-0000A9340000}"/>
    <cellStyle name="Check 3 2 2 3 6" xfId="13490" xr:uid="{00000000-0005-0000-0000-0000AA340000}"/>
    <cellStyle name="Check 3 2 2 4" xfId="13491" xr:uid="{00000000-0005-0000-0000-0000AB340000}"/>
    <cellStyle name="Check 3 2 2 4 2" xfId="13492" xr:uid="{00000000-0005-0000-0000-0000AC340000}"/>
    <cellStyle name="Check 3 2 2 4 3" xfId="13493" xr:uid="{00000000-0005-0000-0000-0000AD340000}"/>
    <cellStyle name="Check 3 2 2 4 4" xfId="13494" xr:uid="{00000000-0005-0000-0000-0000AE340000}"/>
    <cellStyle name="Check 3 2 2 4 5" xfId="13495" xr:uid="{00000000-0005-0000-0000-0000AF340000}"/>
    <cellStyle name="Check 3 2 2 4 6" xfId="13496" xr:uid="{00000000-0005-0000-0000-0000B0340000}"/>
    <cellStyle name="Check 3 2 2 5" xfId="13497" xr:uid="{00000000-0005-0000-0000-0000B1340000}"/>
    <cellStyle name="Check 3 2 2 6" xfId="13498" xr:uid="{00000000-0005-0000-0000-0000B2340000}"/>
    <cellStyle name="Check 3 2 2 7" xfId="13499" xr:uid="{00000000-0005-0000-0000-0000B3340000}"/>
    <cellStyle name="Check 3 2 2 8" xfId="13500" xr:uid="{00000000-0005-0000-0000-0000B4340000}"/>
    <cellStyle name="Check 3 2 3" xfId="13501" xr:uid="{00000000-0005-0000-0000-0000B5340000}"/>
    <cellStyle name="Check 3 2 3 2" xfId="13502" xr:uid="{00000000-0005-0000-0000-0000B6340000}"/>
    <cellStyle name="Check 3 2 3 2 2" xfId="13503" xr:uid="{00000000-0005-0000-0000-0000B7340000}"/>
    <cellStyle name="Check 3 2 3 2 2 2" xfId="13504" xr:uid="{00000000-0005-0000-0000-0000B8340000}"/>
    <cellStyle name="Check 3 2 3 2 2 3" xfId="13505" xr:uid="{00000000-0005-0000-0000-0000B9340000}"/>
    <cellStyle name="Check 3 2 3 2 2 4" xfId="13506" xr:uid="{00000000-0005-0000-0000-0000BA340000}"/>
    <cellStyle name="Check 3 2 3 2 2 5" xfId="13507" xr:uid="{00000000-0005-0000-0000-0000BB340000}"/>
    <cellStyle name="Check 3 2 3 2 2 6" xfId="13508" xr:uid="{00000000-0005-0000-0000-0000BC340000}"/>
    <cellStyle name="Check 3 2 3 2 3" xfId="13509" xr:uid="{00000000-0005-0000-0000-0000BD340000}"/>
    <cellStyle name="Check 3 2 3 2 4" xfId="13510" xr:uid="{00000000-0005-0000-0000-0000BE340000}"/>
    <cellStyle name="Check 3 2 3 2 5" xfId="13511" xr:uid="{00000000-0005-0000-0000-0000BF340000}"/>
    <cellStyle name="Check 3 2 3 2 6" xfId="13512" xr:uid="{00000000-0005-0000-0000-0000C0340000}"/>
    <cellStyle name="Check 3 2 3 3" xfId="13513" xr:uid="{00000000-0005-0000-0000-0000C1340000}"/>
    <cellStyle name="Check 3 2 3 3 2" xfId="13514" xr:uid="{00000000-0005-0000-0000-0000C2340000}"/>
    <cellStyle name="Check 3 2 3 3 2 2" xfId="13515" xr:uid="{00000000-0005-0000-0000-0000C3340000}"/>
    <cellStyle name="Check 3 2 3 3 2 3" xfId="13516" xr:uid="{00000000-0005-0000-0000-0000C4340000}"/>
    <cellStyle name="Check 3 2 3 3 2 4" xfId="13517" xr:uid="{00000000-0005-0000-0000-0000C5340000}"/>
    <cellStyle name="Check 3 2 3 3 2 5" xfId="13518" xr:uid="{00000000-0005-0000-0000-0000C6340000}"/>
    <cellStyle name="Check 3 2 3 3 2 6" xfId="13519" xr:uid="{00000000-0005-0000-0000-0000C7340000}"/>
    <cellStyle name="Check 3 2 3 3 3" xfId="13520" xr:uid="{00000000-0005-0000-0000-0000C8340000}"/>
    <cellStyle name="Check 3 2 3 3 4" xfId="13521" xr:uid="{00000000-0005-0000-0000-0000C9340000}"/>
    <cellStyle name="Check 3 2 3 3 5" xfId="13522" xr:uid="{00000000-0005-0000-0000-0000CA340000}"/>
    <cellStyle name="Check 3 2 3 3 6" xfId="13523" xr:uid="{00000000-0005-0000-0000-0000CB340000}"/>
    <cellStyle name="Check 3 2 3 4" xfId="13524" xr:uid="{00000000-0005-0000-0000-0000CC340000}"/>
    <cellStyle name="Check 3 2 3 4 2" xfId="13525" xr:uid="{00000000-0005-0000-0000-0000CD340000}"/>
    <cellStyle name="Check 3 2 3 4 3" xfId="13526" xr:uid="{00000000-0005-0000-0000-0000CE340000}"/>
    <cellStyle name="Check 3 2 3 4 4" xfId="13527" xr:uid="{00000000-0005-0000-0000-0000CF340000}"/>
    <cellStyle name="Check 3 2 3 4 5" xfId="13528" xr:uid="{00000000-0005-0000-0000-0000D0340000}"/>
    <cellStyle name="Check 3 2 3 4 6" xfId="13529" xr:uid="{00000000-0005-0000-0000-0000D1340000}"/>
    <cellStyle name="Check 3 2 3 5" xfId="13530" xr:uid="{00000000-0005-0000-0000-0000D2340000}"/>
    <cellStyle name="Check 3 2 3 6" xfId="13531" xr:uid="{00000000-0005-0000-0000-0000D3340000}"/>
    <cellStyle name="Check 3 2 3 7" xfId="13532" xr:uid="{00000000-0005-0000-0000-0000D4340000}"/>
    <cellStyle name="Check 3 2 3 8" xfId="13533" xr:uid="{00000000-0005-0000-0000-0000D5340000}"/>
    <cellStyle name="Check 3 2 4" xfId="13534" xr:uid="{00000000-0005-0000-0000-0000D6340000}"/>
    <cellStyle name="Check 3 2 4 2" xfId="13535" xr:uid="{00000000-0005-0000-0000-0000D7340000}"/>
    <cellStyle name="Check 3 2 4 2 2" xfId="13536" xr:uid="{00000000-0005-0000-0000-0000D8340000}"/>
    <cellStyle name="Check 3 2 4 2 2 2" xfId="13537" xr:uid="{00000000-0005-0000-0000-0000D9340000}"/>
    <cellStyle name="Check 3 2 4 2 2 3" xfId="13538" xr:uid="{00000000-0005-0000-0000-0000DA340000}"/>
    <cellStyle name="Check 3 2 4 2 2 4" xfId="13539" xr:uid="{00000000-0005-0000-0000-0000DB340000}"/>
    <cellStyle name="Check 3 2 4 2 2 5" xfId="13540" xr:uid="{00000000-0005-0000-0000-0000DC340000}"/>
    <cellStyle name="Check 3 2 4 2 2 6" xfId="13541" xr:uid="{00000000-0005-0000-0000-0000DD340000}"/>
    <cellStyle name="Check 3 2 4 2 3" xfId="13542" xr:uid="{00000000-0005-0000-0000-0000DE340000}"/>
    <cellStyle name="Check 3 2 4 2 4" xfId="13543" xr:uid="{00000000-0005-0000-0000-0000DF340000}"/>
    <cellStyle name="Check 3 2 4 2 5" xfId="13544" xr:uid="{00000000-0005-0000-0000-0000E0340000}"/>
    <cellStyle name="Check 3 2 4 2 6" xfId="13545" xr:uid="{00000000-0005-0000-0000-0000E1340000}"/>
    <cellStyle name="Check 3 2 4 3" xfId="13546" xr:uid="{00000000-0005-0000-0000-0000E2340000}"/>
    <cellStyle name="Check 3 2 4 3 2" xfId="13547" xr:uid="{00000000-0005-0000-0000-0000E3340000}"/>
    <cellStyle name="Check 3 2 4 3 2 2" xfId="13548" xr:uid="{00000000-0005-0000-0000-0000E4340000}"/>
    <cellStyle name="Check 3 2 4 3 2 3" xfId="13549" xr:uid="{00000000-0005-0000-0000-0000E5340000}"/>
    <cellStyle name="Check 3 2 4 3 2 4" xfId="13550" xr:uid="{00000000-0005-0000-0000-0000E6340000}"/>
    <cellStyle name="Check 3 2 4 3 2 5" xfId="13551" xr:uid="{00000000-0005-0000-0000-0000E7340000}"/>
    <cellStyle name="Check 3 2 4 3 2 6" xfId="13552" xr:uid="{00000000-0005-0000-0000-0000E8340000}"/>
    <cellStyle name="Check 3 2 4 3 3" xfId="13553" xr:uid="{00000000-0005-0000-0000-0000E9340000}"/>
    <cellStyle name="Check 3 2 4 3 4" xfId="13554" xr:uid="{00000000-0005-0000-0000-0000EA340000}"/>
    <cellStyle name="Check 3 2 4 3 5" xfId="13555" xr:uid="{00000000-0005-0000-0000-0000EB340000}"/>
    <cellStyle name="Check 3 2 4 3 6" xfId="13556" xr:uid="{00000000-0005-0000-0000-0000EC340000}"/>
    <cellStyle name="Check 3 2 4 4" xfId="13557" xr:uid="{00000000-0005-0000-0000-0000ED340000}"/>
    <cellStyle name="Check 3 2 4 4 2" xfId="13558" xr:uid="{00000000-0005-0000-0000-0000EE340000}"/>
    <cellStyle name="Check 3 2 4 4 3" xfId="13559" xr:uid="{00000000-0005-0000-0000-0000EF340000}"/>
    <cellStyle name="Check 3 2 4 4 4" xfId="13560" xr:uid="{00000000-0005-0000-0000-0000F0340000}"/>
    <cellStyle name="Check 3 2 4 4 5" xfId="13561" xr:uid="{00000000-0005-0000-0000-0000F1340000}"/>
    <cellStyle name="Check 3 2 4 4 6" xfId="13562" xr:uid="{00000000-0005-0000-0000-0000F2340000}"/>
    <cellStyle name="Check 3 2 4 5" xfId="13563" xr:uid="{00000000-0005-0000-0000-0000F3340000}"/>
    <cellStyle name="Check 3 2 4 6" xfId="13564" xr:uid="{00000000-0005-0000-0000-0000F4340000}"/>
    <cellStyle name="Check 3 2 4 7" xfId="13565" xr:uid="{00000000-0005-0000-0000-0000F5340000}"/>
    <cellStyle name="Check 3 2 4 8" xfId="13566" xr:uid="{00000000-0005-0000-0000-0000F6340000}"/>
    <cellStyle name="Check 3 2 5" xfId="13567" xr:uid="{00000000-0005-0000-0000-0000F7340000}"/>
    <cellStyle name="Check 3 2 5 2" xfId="13568" xr:uid="{00000000-0005-0000-0000-0000F8340000}"/>
    <cellStyle name="Check 3 2 5 2 2" xfId="13569" xr:uid="{00000000-0005-0000-0000-0000F9340000}"/>
    <cellStyle name="Check 3 2 5 2 2 2" xfId="13570" xr:uid="{00000000-0005-0000-0000-0000FA340000}"/>
    <cellStyle name="Check 3 2 5 2 2 3" xfId="13571" xr:uid="{00000000-0005-0000-0000-0000FB340000}"/>
    <cellStyle name="Check 3 2 5 2 2 4" xfId="13572" xr:uid="{00000000-0005-0000-0000-0000FC340000}"/>
    <cellStyle name="Check 3 2 5 2 2 5" xfId="13573" xr:uid="{00000000-0005-0000-0000-0000FD340000}"/>
    <cellStyle name="Check 3 2 5 2 2 6" xfId="13574" xr:uid="{00000000-0005-0000-0000-0000FE340000}"/>
    <cellStyle name="Check 3 2 5 2 3" xfId="13575" xr:uid="{00000000-0005-0000-0000-0000FF340000}"/>
    <cellStyle name="Check 3 2 5 2 4" xfId="13576" xr:uid="{00000000-0005-0000-0000-000000350000}"/>
    <cellStyle name="Check 3 2 5 2 5" xfId="13577" xr:uid="{00000000-0005-0000-0000-000001350000}"/>
    <cellStyle name="Check 3 2 5 2 6" xfId="13578" xr:uid="{00000000-0005-0000-0000-000002350000}"/>
    <cellStyle name="Check 3 2 5 3" xfId="13579" xr:uid="{00000000-0005-0000-0000-000003350000}"/>
    <cellStyle name="Check 3 2 5 3 2" xfId="13580" xr:uid="{00000000-0005-0000-0000-000004350000}"/>
    <cellStyle name="Check 3 2 5 3 2 2" xfId="13581" xr:uid="{00000000-0005-0000-0000-000005350000}"/>
    <cellStyle name="Check 3 2 5 3 2 3" xfId="13582" xr:uid="{00000000-0005-0000-0000-000006350000}"/>
    <cellStyle name="Check 3 2 5 3 2 4" xfId="13583" xr:uid="{00000000-0005-0000-0000-000007350000}"/>
    <cellStyle name="Check 3 2 5 3 2 5" xfId="13584" xr:uid="{00000000-0005-0000-0000-000008350000}"/>
    <cellStyle name="Check 3 2 5 3 2 6" xfId="13585" xr:uid="{00000000-0005-0000-0000-000009350000}"/>
    <cellStyle name="Check 3 2 5 3 3" xfId="13586" xr:uid="{00000000-0005-0000-0000-00000A350000}"/>
    <cellStyle name="Check 3 2 5 3 4" xfId="13587" xr:uid="{00000000-0005-0000-0000-00000B350000}"/>
    <cellStyle name="Check 3 2 5 3 5" xfId="13588" xr:uid="{00000000-0005-0000-0000-00000C350000}"/>
    <cellStyle name="Check 3 2 5 3 6" xfId="13589" xr:uid="{00000000-0005-0000-0000-00000D350000}"/>
    <cellStyle name="Check 3 2 5 4" xfId="13590" xr:uid="{00000000-0005-0000-0000-00000E350000}"/>
    <cellStyle name="Check 3 2 5 4 2" xfId="13591" xr:uid="{00000000-0005-0000-0000-00000F350000}"/>
    <cellStyle name="Check 3 2 5 4 3" xfId="13592" xr:uid="{00000000-0005-0000-0000-000010350000}"/>
    <cellStyle name="Check 3 2 5 4 4" xfId="13593" xr:uid="{00000000-0005-0000-0000-000011350000}"/>
    <cellStyle name="Check 3 2 5 4 5" xfId="13594" xr:uid="{00000000-0005-0000-0000-000012350000}"/>
    <cellStyle name="Check 3 2 5 4 6" xfId="13595" xr:uid="{00000000-0005-0000-0000-000013350000}"/>
    <cellStyle name="Check 3 2 5 5" xfId="13596" xr:uid="{00000000-0005-0000-0000-000014350000}"/>
    <cellStyle name="Check 3 2 5 6" xfId="13597" xr:uid="{00000000-0005-0000-0000-000015350000}"/>
    <cellStyle name="Check 3 2 5 7" xfId="13598" xr:uid="{00000000-0005-0000-0000-000016350000}"/>
    <cellStyle name="Check 3 2 5 8" xfId="13599" xr:uid="{00000000-0005-0000-0000-000017350000}"/>
    <cellStyle name="Check 3 2 6" xfId="13600" xr:uid="{00000000-0005-0000-0000-000018350000}"/>
    <cellStyle name="Check 3 2 6 2" xfId="13601" xr:uid="{00000000-0005-0000-0000-000019350000}"/>
    <cellStyle name="Check 3 2 6 2 2" xfId="13602" xr:uid="{00000000-0005-0000-0000-00001A350000}"/>
    <cellStyle name="Check 3 2 6 2 2 2" xfId="13603" xr:uid="{00000000-0005-0000-0000-00001B350000}"/>
    <cellStyle name="Check 3 2 6 2 2 3" xfId="13604" xr:uid="{00000000-0005-0000-0000-00001C350000}"/>
    <cellStyle name="Check 3 2 6 2 2 4" xfId="13605" xr:uid="{00000000-0005-0000-0000-00001D350000}"/>
    <cellStyle name="Check 3 2 6 2 2 5" xfId="13606" xr:uid="{00000000-0005-0000-0000-00001E350000}"/>
    <cellStyle name="Check 3 2 6 2 2 6" xfId="13607" xr:uid="{00000000-0005-0000-0000-00001F350000}"/>
    <cellStyle name="Check 3 2 6 2 3" xfId="13608" xr:uid="{00000000-0005-0000-0000-000020350000}"/>
    <cellStyle name="Check 3 2 6 2 4" xfId="13609" xr:uid="{00000000-0005-0000-0000-000021350000}"/>
    <cellStyle name="Check 3 2 6 2 5" xfId="13610" xr:uid="{00000000-0005-0000-0000-000022350000}"/>
    <cellStyle name="Check 3 2 6 2 6" xfId="13611" xr:uid="{00000000-0005-0000-0000-000023350000}"/>
    <cellStyle name="Check 3 2 6 3" xfId="13612" xr:uid="{00000000-0005-0000-0000-000024350000}"/>
    <cellStyle name="Check 3 2 6 3 2" xfId="13613" xr:uid="{00000000-0005-0000-0000-000025350000}"/>
    <cellStyle name="Check 3 2 6 3 2 2" xfId="13614" xr:uid="{00000000-0005-0000-0000-000026350000}"/>
    <cellStyle name="Check 3 2 6 3 2 3" xfId="13615" xr:uid="{00000000-0005-0000-0000-000027350000}"/>
    <cellStyle name="Check 3 2 6 3 2 4" xfId="13616" xr:uid="{00000000-0005-0000-0000-000028350000}"/>
    <cellStyle name="Check 3 2 6 3 2 5" xfId="13617" xr:uid="{00000000-0005-0000-0000-000029350000}"/>
    <cellStyle name="Check 3 2 6 3 2 6" xfId="13618" xr:uid="{00000000-0005-0000-0000-00002A350000}"/>
    <cellStyle name="Check 3 2 6 3 3" xfId="13619" xr:uid="{00000000-0005-0000-0000-00002B350000}"/>
    <cellStyle name="Check 3 2 6 3 4" xfId="13620" xr:uid="{00000000-0005-0000-0000-00002C350000}"/>
    <cellStyle name="Check 3 2 6 3 5" xfId="13621" xr:uid="{00000000-0005-0000-0000-00002D350000}"/>
    <cellStyle name="Check 3 2 6 3 6" xfId="13622" xr:uid="{00000000-0005-0000-0000-00002E350000}"/>
    <cellStyle name="Check 3 2 6 4" xfId="13623" xr:uid="{00000000-0005-0000-0000-00002F350000}"/>
    <cellStyle name="Check 3 2 6 4 2" xfId="13624" xr:uid="{00000000-0005-0000-0000-000030350000}"/>
    <cellStyle name="Check 3 2 6 4 3" xfId="13625" xr:uid="{00000000-0005-0000-0000-000031350000}"/>
    <cellStyle name="Check 3 2 6 4 4" xfId="13626" xr:uid="{00000000-0005-0000-0000-000032350000}"/>
    <cellStyle name="Check 3 2 6 4 5" xfId="13627" xr:uid="{00000000-0005-0000-0000-000033350000}"/>
    <cellStyle name="Check 3 2 6 4 6" xfId="13628" xr:uid="{00000000-0005-0000-0000-000034350000}"/>
    <cellStyle name="Check 3 2 6 5" xfId="13629" xr:uid="{00000000-0005-0000-0000-000035350000}"/>
    <cellStyle name="Check 3 2 6 6" xfId="13630" xr:uid="{00000000-0005-0000-0000-000036350000}"/>
    <cellStyle name="Check 3 2 6 7" xfId="13631" xr:uid="{00000000-0005-0000-0000-000037350000}"/>
    <cellStyle name="Check 3 2 6 8" xfId="13632" xr:uid="{00000000-0005-0000-0000-000038350000}"/>
    <cellStyle name="Check 3 2 7" xfId="13633" xr:uid="{00000000-0005-0000-0000-000039350000}"/>
    <cellStyle name="Check 3 2 7 2" xfId="13634" xr:uid="{00000000-0005-0000-0000-00003A350000}"/>
    <cellStyle name="Check 3 2 7 2 2" xfId="13635" xr:uid="{00000000-0005-0000-0000-00003B350000}"/>
    <cellStyle name="Check 3 2 7 2 3" xfId="13636" xr:uid="{00000000-0005-0000-0000-00003C350000}"/>
    <cellStyle name="Check 3 2 7 2 4" xfId="13637" xr:uid="{00000000-0005-0000-0000-00003D350000}"/>
    <cellStyle name="Check 3 2 7 2 5" xfId="13638" xr:uid="{00000000-0005-0000-0000-00003E350000}"/>
    <cellStyle name="Check 3 2 7 2 6" xfId="13639" xr:uid="{00000000-0005-0000-0000-00003F350000}"/>
    <cellStyle name="Check 3 2 7 3" xfId="13640" xr:uid="{00000000-0005-0000-0000-000040350000}"/>
    <cellStyle name="Check 3 2 7 4" xfId="13641" xr:uid="{00000000-0005-0000-0000-000041350000}"/>
    <cellStyle name="Check 3 2 7 5" xfId="13642" xr:uid="{00000000-0005-0000-0000-000042350000}"/>
    <cellStyle name="Check 3 2 7 6" xfId="13643" xr:uid="{00000000-0005-0000-0000-000043350000}"/>
    <cellStyle name="Check 3 2 8" xfId="13644" xr:uid="{00000000-0005-0000-0000-000044350000}"/>
    <cellStyle name="Check 3 2 8 2" xfId="13645" xr:uid="{00000000-0005-0000-0000-000045350000}"/>
    <cellStyle name="Check 3 2 8 2 2" xfId="13646" xr:uid="{00000000-0005-0000-0000-000046350000}"/>
    <cellStyle name="Check 3 2 8 2 3" xfId="13647" xr:uid="{00000000-0005-0000-0000-000047350000}"/>
    <cellStyle name="Check 3 2 8 2 4" xfId="13648" xr:uid="{00000000-0005-0000-0000-000048350000}"/>
    <cellStyle name="Check 3 2 8 2 5" xfId="13649" xr:uid="{00000000-0005-0000-0000-000049350000}"/>
    <cellStyle name="Check 3 2 8 2 6" xfId="13650" xr:uid="{00000000-0005-0000-0000-00004A350000}"/>
    <cellStyle name="Check 3 2 8 3" xfId="13651" xr:uid="{00000000-0005-0000-0000-00004B350000}"/>
    <cellStyle name="Check 3 2 8 4" xfId="13652" xr:uid="{00000000-0005-0000-0000-00004C350000}"/>
    <cellStyle name="Check 3 2 8 5" xfId="13653" xr:uid="{00000000-0005-0000-0000-00004D350000}"/>
    <cellStyle name="Check 3 2 8 6" xfId="13654" xr:uid="{00000000-0005-0000-0000-00004E350000}"/>
    <cellStyle name="Check 3 2 9" xfId="13655" xr:uid="{00000000-0005-0000-0000-00004F350000}"/>
    <cellStyle name="Check 3 2 9 2" xfId="13656" xr:uid="{00000000-0005-0000-0000-000050350000}"/>
    <cellStyle name="Check 3 2 9 3" xfId="13657" xr:uid="{00000000-0005-0000-0000-000051350000}"/>
    <cellStyle name="Check 3 2 9 4" xfId="13658" xr:uid="{00000000-0005-0000-0000-000052350000}"/>
    <cellStyle name="Check 3 2 9 5" xfId="13659" xr:uid="{00000000-0005-0000-0000-000053350000}"/>
    <cellStyle name="Check 3 2 9 6" xfId="13660" xr:uid="{00000000-0005-0000-0000-000054350000}"/>
    <cellStyle name="Check 3 3" xfId="13661" xr:uid="{00000000-0005-0000-0000-000055350000}"/>
    <cellStyle name="Check 3 3 2" xfId="13662" xr:uid="{00000000-0005-0000-0000-000056350000}"/>
    <cellStyle name="Check 3 3 2 2" xfId="13663" xr:uid="{00000000-0005-0000-0000-000057350000}"/>
    <cellStyle name="Check 3 3 2 2 2" xfId="13664" xr:uid="{00000000-0005-0000-0000-000058350000}"/>
    <cellStyle name="Check 3 3 2 2 3" xfId="13665" xr:uid="{00000000-0005-0000-0000-000059350000}"/>
    <cellStyle name="Check 3 3 2 2 4" xfId="13666" xr:uid="{00000000-0005-0000-0000-00005A350000}"/>
    <cellStyle name="Check 3 3 2 2 5" xfId="13667" xr:uid="{00000000-0005-0000-0000-00005B350000}"/>
    <cellStyle name="Check 3 3 2 2 6" xfId="13668" xr:uid="{00000000-0005-0000-0000-00005C350000}"/>
    <cellStyle name="Check 3 3 2 3" xfId="13669" xr:uid="{00000000-0005-0000-0000-00005D350000}"/>
    <cellStyle name="Check 3 3 2 4" xfId="13670" xr:uid="{00000000-0005-0000-0000-00005E350000}"/>
    <cellStyle name="Check 3 3 2 5" xfId="13671" xr:uid="{00000000-0005-0000-0000-00005F350000}"/>
    <cellStyle name="Check 3 3 2 6" xfId="13672" xr:uid="{00000000-0005-0000-0000-000060350000}"/>
    <cellStyle name="Check 3 3 3" xfId="13673" xr:uid="{00000000-0005-0000-0000-000061350000}"/>
    <cellStyle name="Check 3 3 3 2" xfId="13674" xr:uid="{00000000-0005-0000-0000-000062350000}"/>
    <cellStyle name="Check 3 3 3 2 2" xfId="13675" xr:uid="{00000000-0005-0000-0000-000063350000}"/>
    <cellStyle name="Check 3 3 3 2 3" xfId="13676" xr:uid="{00000000-0005-0000-0000-000064350000}"/>
    <cellStyle name="Check 3 3 3 2 4" xfId="13677" xr:uid="{00000000-0005-0000-0000-000065350000}"/>
    <cellStyle name="Check 3 3 3 2 5" xfId="13678" xr:uid="{00000000-0005-0000-0000-000066350000}"/>
    <cellStyle name="Check 3 3 3 2 6" xfId="13679" xr:uid="{00000000-0005-0000-0000-000067350000}"/>
    <cellStyle name="Check 3 3 3 3" xfId="13680" xr:uid="{00000000-0005-0000-0000-000068350000}"/>
    <cellStyle name="Check 3 3 3 4" xfId="13681" xr:uid="{00000000-0005-0000-0000-000069350000}"/>
    <cellStyle name="Check 3 3 3 5" xfId="13682" xr:uid="{00000000-0005-0000-0000-00006A350000}"/>
    <cellStyle name="Check 3 3 3 6" xfId="13683" xr:uid="{00000000-0005-0000-0000-00006B350000}"/>
    <cellStyle name="Check 3 3 4" xfId="13684" xr:uid="{00000000-0005-0000-0000-00006C350000}"/>
    <cellStyle name="Check 3 3 4 2" xfId="13685" xr:uid="{00000000-0005-0000-0000-00006D350000}"/>
    <cellStyle name="Check 3 3 4 3" xfId="13686" xr:uid="{00000000-0005-0000-0000-00006E350000}"/>
    <cellStyle name="Check 3 3 4 4" xfId="13687" xr:uid="{00000000-0005-0000-0000-00006F350000}"/>
    <cellStyle name="Check 3 3 4 5" xfId="13688" xr:uid="{00000000-0005-0000-0000-000070350000}"/>
    <cellStyle name="Check 3 3 4 6" xfId="13689" xr:uid="{00000000-0005-0000-0000-000071350000}"/>
    <cellStyle name="Check 3 3 5" xfId="13690" xr:uid="{00000000-0005-0000-0000-000072350000}"/>
    <cellStyle name="Check 3 3 6" xfId="13691" xr:uid="{00000000-0005-0000-0000-000073350000}"/>
    <cellStyle name="Check 3 3 7" xfId="13692" xr:uid="{00000000-0005-0000-0000-000074350000}"/>
    <cellStyle name="Check 3 3 8" xfId="13693" xr:uid="{00000000-0005-0000-0000-000075350000}"/>
    <cellStyle name="Check 3 4" xfId="13694" xr:uid="{00000000-0005-0000-0000-000076350000}"/>
    <cellStyle name="Check 3 4 2" xfId="13695" xr:uid="{00000000-0005-0000-0000-000077350000}"/>
    <cellStyle name="Check 3 4 2 2" xfId="13696" xr:uid="{00000000-0005-0000-0000-000078350000}"/>
    <cellStyle name="Check 3 4 2 2 2" xfId="13697" xr:uid="{00000000-0005-0000-0000-000079350000}"/>
    <cellStyle name="Check 3 4 2 2 3" xfId="13698" xr:uid="{00000000-0005-0000-0000-00007A350000}"/>
    <cellStyle name="Check 3 4 2 2 4" xfId="13699" xr:uid="{00000000-0005-0000-0000-00007B350000}"/>
    <cellStyle name="Check 3 4 2 2 5" xfId="13700" xr:uid="{00000000-0005-0000-0000-00007C350000}"/>
    <cellStyle name="Check 3 4 2 2 6" xfId="13701" xr:uid="{00000000-0005-0000-0000-00007D350000}"/>
    <cellStyle name="Check 3 4 2 3" xfId="13702" xr:uid="{00000000-0005-0000-0000-00007E350000}"/>
    <cellStyle name="Check 3 4 2 4" xfId="13703" xr:uid="{00000000-0005-0000-0000-00007F350000}"/>
    <cellStyle name="Check 3 4 2 5" xfId="13704" xr:uid="{00000000-0005-0000-0000-000080350000}"/>
    <cellStyle name="Check 3 4 2 6" xfId="13705" xr:uid="{00000000-0005-0000-0000-000081350000}"/>
    <cellStyle name="Check 3 4 3" xfId="13706" xr:uid="{00000000-0005-0000-0000-000082350000}"/>
    <cellStyle name="Check 3 4 3 2" xfId="13707" xr:uid="{00000000-0005-0000-0000-000083350000}"/>
    <cellStyle name="Check 3 4 3 2 2" xfId="13708" xr:uid="{00000000-0005-0000-0000-000084350000}"/>
    <cellStyle name="Check 3 4 3 2 3" xfId="13709" xr:uid="{00000000-0005-0000-0000-000085350000}"/>
    <cellStyle name="Check 3 4 3 2 4" xfId="13710" xr:uid="{00000000-0005-0000-0000-000086350000}"/>
    <cellStyle name="Check 3 4 3 2 5" xfId="13711" xr:uid="{00000000-0005-0000-0000-000087350000}"/>
    <cellStyle name="Check 3 4 3 2 6" xfId="13712" xr:uid="{00000000-0005-0000-0000-000088350000}"/>
    <cellStyle name="Check 3 4 3 3" xfId="13713" xr:uid="{00000000-0005-0000-0000-000089350000}"/>
    <cellStyle name="Check 3 4 3 4" xfId="13714" xr:uid="{00000000-0005-0000-0000-00008A350000}"/>
    <cellStyle name="Check 3 4 3 5" xfId="13715" xr:uid="{00000000-0005-0000-0000-00008B350000}"/>
    <cellStyle name="Check 3 4 3 6" xfId="13716" xr:uid="{00000000-0005-0000-0000-00008C350000}"/>
    <cellStyle name="Check 3 4 4" xfId="13717" xr:uid="{00000000-0005-0000-0000-00008D350000}"/>
    <cellStyle name="Check 3 4 4 2" xfId="13718" xr:uid="{00000000-0005-0000-0000-00008E350000}"/>
    <cellStyle name="Check 3 4 4 3" xfId="13719" xr:uid="{00000000-0005-0000-0000-00008F350000}"/>
    <cellStyle name="Check 3 4 4 4" xfId="13720" xr:uid="{00000000-0005-0000-0000-000090350000}"/>
    <cellStyle name="Check 3 4 4 5" xfId="13721" xr:uid="{00000000-0005-0000-0000-000091350000}"/>
    <cellStyle name="Check 3 4 4 6" xfId="13722" xr:uid="{00000000-0005-0000-0000-000092350000}"/>
    <cellStyle name="Check 3 4 5" xfId="13723" xr:uid="{00000000-0005-0000-0000-000093350000}"/>
    <cellStyle name="Check 3 4 6" xfId="13724" xr:uid="{00000000-0005-0000-0000-000094350000}"/>
    <cellStyle name="Check 3 4 7" xfId="13725" xr:uid="{00000000-0005-0000-0000-000095350000}"/>
    <cellStyle name="Check 3 4 8" xfId="13726" xr:uid="{00000000-0005-0000-0000-000096350000}"/>
    <cellStyle name="Check 3 5" xfId="13727" xr:uid="{00000000-0005-0000-0000-000097350000}"/>
    <cellStyle name="Check 3 5 2" xfId="13728" xr:uid="{00000000-0005-0000-0000-000098350000}"/>
    <cellStyle name="Check 3 5 2 2" xfId="13729" xr:uid="{00000000-0005-0000-0000-000099350000}"/>
    <cellStyle name="Check 3 5 2 2 2" xfId="13730" xr:uid="{00000000-0005-0000-0000-00009A350000}"/>
    <cellStyle name="Check 3 5 2 2 3" xfId="13731" xr:uid="{00000000-0005-0000-0000-00009B350000}"/>
    <cellStyle name="Check 3 5 2 2 4" xfId="13732" xr:uid="{00000000-0005-0000-0000-00009C350000}"/>
    <cellStyle name="Check 3 5 2 2 5" xfId="13733" xr:uid="{00000000-0005-0000-0000-00009D350000}"/>
    <cellStyle name="Check 3 5 2 2 6" xfId="13734" xr:uid="{00000000-0005-0000-0000-00009E350000}"/>
    <cellStyle name="Check 3 5 2 3" xfId="13735" xr:uid="{00000000-0005-0000-0000-00009F350000}"/>
    <cellStyle name="Check 3 5 2 4" xfId="13736" xr:uid="{00000000-0005-0000-0000-0000A0350000}"/>
    <cellStyle name="Check 3 5 2 5" xfId="13737" xr:uid="{00000000-0005-0000-0000-0000A1350000}"/>
    <cellStyle name="Check 3 5 2 6" xfId="13738" xr:uid="{00000000-0005-0000-0000-0000A2350000}"/>
    <cellStyle name="Check 3 5 3" xfId="13739" xr:uid="{00000000-0005-0000-0000-0000A3350000}"/>
    <cellStyle name="Check 3 5 3 2" xfId="13740" xr:uid="{00000000-0005-0000-0000-0000A4350000}"/>
    <cellStyle name="Check 3 5 3 2 2" xfId="13741" xr:uid="{00000000-0005-0000-0000-0000A5350000}"/>
    <cellStyle name="Check 3 5 3 2 3" xfId="13742" xr:uid="{00000000-0005-0000-0000-0000A6350000}"/>
    <cellStyle name="Check 3 5 3 2 4" xfId="13743" xr:uid="{00000000-0005-0000-0000-0000A7350000}"/>
    <cellStyle name="Check 3 5 3 2 5" xfId="13744" xr:uid="{00000000-0005-0000-0000-0000A8350000}"/>
    <cellStyle name="Check 3 5 3 2 6" xfId="13745" xr:uid="{00000000-0005-0000-0000-0000A9350000}"/>
    <cellStyle name="Check 3 5 3 3" xfId="13746" xr:uid="{00000000-0005-0000-0000-0000AA350000}"/>
    <cellStyle name="Check 3 5 3 4" xfId="13747" xr:uid="{00000000-0005-0000-0000-0000AB350000}"/>
    <cellStyle name="Check 3 5 3 5" xfId="13748" xr:uid="{00000000-0005-0000-0000-0000AC350000}"/>
    <cellStyle name="Check 3 5 3 6" xfId="13749" xr:uid="{00000000-0005-0000-0000-0000AD350000}"/>
    <cellStyle name="Check 3 5 4" xfId="13750" xr:uid="{00000000-0005-0000-0000-0000AE350000}"/>
    <cellStyle name="Check 3 5 4 2" xfId="13751" xr:uid="{00000000-0005-0000-0000-0000AF350000}"/>
    <cellStyle name="Check 3 5 4 3" xfId="13752" xr:uid="{00000000-0005-0000-0000-0000B0350000}"/>
    <cellStyle name="Check 3 5 4 4" xfId="13753" xr:uid="{00000000-0005-0000-0000-0000B1350000}"/>
    <cellStyle name="Check 3 5 4 5" xfId="13754" xr:uid="{00000000-0005-0000-0000-0000B2350000}"/>
    <cellStyle name="Check 3 5 4 6" xfId="13755" xr:uid="{00000000-0005-0000-0000-0000B3350000}"/>
    <cellStyle name="Check 3 5 5" xfId="13756" xr:uid="{00000000-0005-0000-0000-0000B4350000}"/>
    <cellStyle name="Check 3 5 6" xfId="13757" xr:uid="{00000000-0005-0000-0000-0000B5350000}"/>
    <cellStyle name="Check 3 5 7" xfId="13758" xr:uid="{00000000-0005-0000-0000-0000B6350000}"/>
    <cellStyle name="Check 3 5 8" xfId="13759" xr:uid="{00000000-0005-0000-0000-0000B7350000}"/>
    <cellStyle name="Check 3 6" xfId="13760" xr:uid="{00000000-0005-0000-0000-0000B8350000}"/>
    <cellStyle name="Check 3 6 2" xfId="13761" xr:uid="{00000000-0005-0000-0000-0000B9350000}"/>
    <cellStyle name="Check 3 6 2 2" xfId="13762" xr:uid="{00000000-0005-0000-0000-0000BA350000}"/>
    <cellStyle name="Check 3 6 2 2 2" xfId="13763" xr:uid="{00000000-0005-0000-0000-0000BB350000}"/>
    <cellStyle name="Check 3 6 2 2 3" xfId="13764" xr:uid="{00000000-0005-0000-0000-0000BC350000}"/>
    <cellStyle name="Check 3 6 2 2 4" xfId="13765" xr:uid="{00000000-0005-0000-0000-0000BD350000}"/>
    <cellStyle name="Check 3 6 2 2 5" xfId="13766" xr:uid="{00000000-0005-0000-0000-0000BE350000}"/>
    <cellStyle name="Check 3 6 2 2 6" xfId="13767" xr:uid="{00000000-0005-0000-0000-0000BF350000}"/>
    <cellStyle name="Check 3 6 2 3" xfId="13768" xr:uid="{00000000-0005-0000-0000-0000C0350000}"/>
    <cellStyle name="Check 3 6 2 4" xfId="13769" xr:uid="{00000000-0005-0000-0000-0000C1350000}"/>
    <cellStyle name="Check 3 6 2 5" xfId="13770" xr:uid="{00000000-0005-0000-0000-0000C2350000}"/>
    <cellStyle name="Check 3 6 2 6" xfId="13771" xr:uid="{00000000-0005-0000-0000-0000C3350000}"/>
    <cellStyle name="Check 3 6 3" xfId="13772" xr:uid="{00000000-0005-0000-0000-0000C4350000}"/>
    <cellStyle name="Check 3 6 3 2" xfId="13773" xr:uid="{00000000-0005-0000-0000-0000C5350000}"/>
    <cellStyle name="Check 3 6 3 2 2" xfId="13774" xr:uid="{00000000-0005-0000-0000-0000C6350000}"/>
    <cellStyle name="Check 3 6 3 2 3" xfId="13775" xr:uid="{00000000-0005-0000-0000-0000C7350000}"/>
    <cellStyle name="Check 3 6 3 2 4" xfId="13776" xr:uid="{00000000-0005-0000-0000-0000C8350000}"/>
    <cellStyle name="Check 3 6 3 2 5" xfId="13777" xr:uid="{00000000-0005-0000-0000-0000C9350000}"/>
    <cellStyle name="Check 3 6 3 2 6" xfId="13778" xr:uid="{00000000-0005-0000-0000-0000CA350000}"/>
    <cellStyle name="Check 3 6 3 3" xfId="13779" xr:uid="{00000000-0005-0000-0000-0000CB350000}"/>
    <cellStyle name="Check 3 6 3 4" xfId="13780" xr:uid="{00000000-0005-0000-0000-0000CC350000}"/>
    <cellStyle name="Check 3 6 3 5" xfId="13781" xr:uid="{00000000-0005-0000-0000-0000CD350000}"/>
    <cellStyle name="Check 3 6 3 6" xfId="13782" xr:uid="{00000000-0005-0000-0000-0000CE350000}"/>
    <cellStyle name="Check 3 6 4" xfId="13783" xr:uid="{00000000-0005-0000-0000-0000CF350000}"/>
    <cellStyle name="Check 3 6 4 2" xfId="13784" xr:uid="{00000000-0005-0000-0000-0000D0350000}"/>
    <cellStyle name="Check 3 6 4 3" xfId="13785" xr:uid="{00000000-0005-0000-0000-0000D1350000}"/>
    <cellStyle name="Check 3 6 4 4" xfId="13786" xr:uid="{00000000-0005-0000-0000-0000D2350000}"/>
    <cellStyle name="Check 3 6 4 5" xfId="13787" xr:uid="{00000000-0005-0000-0000-0000D3350000}"/>
    <cellStyle name="Check 3 6 4 6" xfId="13788" xr:uid="{00000000-0005-0000-0000-0000D4350000}"/>
    <cellStyle name="Check 3 6 5" xfId="13789" xr:uid="{00000000-0005-0000-0000-0000D5350000}"/>
    <cellStyle name="Check 3 6 6" xfId="13790" xr:uid="{00000000-0005-0000-0000-0000D6350000}"/>
    <cellStyle name="Check 3 6 7" xfId="13791" xr:uid="{00000000-0005-0000-0000-0000D7350000}"/>
    <cellStyle name="Check 3 6 8" xfId="13792" xr:uid="{00000000-0005-0000-0000-0000D8350000}"/>
    <cellStyle name="Check 3 7" xfId="13793" xr:uid="{00000000-0005-0000-0000-0000D9350000}"/>
    <cellStyle name="Check 3 7 2" xfId="13794" xr:uid="{00000000-0005-0000-0000-0000DA350000}"/>
    <cellStyle name="Check 3 7 2 2" xfId="13795" xr:uid="{00000000-0005-0000-0000-0000DB350000}"/>
    <cellStyle name="Check 3 7 2 2 2" xfId="13796" xr:uid="{00000000-0005-0000-0000-0000DC350000}"/>
    <cellStyle name="Check 3 7 2 2 3" xfId="13797" xr:uid="{00000000-0005-0000-0000-0000DD350000}"/>
    <cellStyle name="Check 3 7 2 2 4" xfId="13798" xr:uid="{00000000-0005-0000-0000-0000DE350000}"/>
    <cellStyle name="Check 3 7 2 2 5" xfId="13799" xr:uid="{00000000-0005-0000-0000-0000DF350000}"/>
    <cellStyle name="Check 3 7 2 2 6" xfId="13800" xr:uid="{00000000-0005-0000-0000-0000E0350000}"/>
    <cellStyle name="Check 3 7 2 3" xfId="13801" xr:uid="{00000000-0005-0000-0000-0000E1350000}"/>
    <cellStyle name="Check 3 7 2 4" xfId="13802" xr:uid="{00000000-0005-0000-0000-0000E2350000}"/>
    <cellStyle name="Check 3 7 2 5" xfId="13803" xr:uid="{00000000-0005-0000-0000-0000E3350000}"/>
    <cellStyle name="Check 3 7 2 6" xfId="13804" xr:uid="{00000000-0005-0000-0000-0000E4350000}"/>
    <cellStyle name="Check 3 7 3" xfId="13805" xr:uid="{00000000-0005-0000-0000-0000E5350000}"/>
    <cellStyle name="Check 3 7 3 2" xfId="13806" xr:uid="{00000000-0005-0000-0000-0000E6350000}"/>
    <cellStyle name="Check 3 7 3 2 2" xfId="13807" xr:uid="{00000000-0005-0000-0000-0000E7350000}"/>
    <cellStyle name="Check 3 7 3 2 3" xfId="13808" xr:uid="{00000000-0005-0000-0000-0000E8350000}"/>
    <cellStyle name="Check 3 7 3 2 4" xfId="13809" xr:uid="{00000000-0005-0000-0000-0000E9350000}"/>
    <cellStyle name="Check 3 7 3 2 5" xfId="13810" xr:uid="{00000000-0005-0000-0000-0000EA350000}"/>
    <cellStyle name="Check 3 7 3 2 6" xfId="13811" xr:uid="{00000000-0005-0000-0000-0000EB350000}"/>
    <cellStyle name="Check 3 7 3 3" xfId="13812" xr:uid="{00000000-0005-0000-0000-0000EC350000}"/>
    <cellStyle name="Check 3 7 3 4" xfId="13813" xr:uid="{00000000-0005-0000-0000-0000ED350000}"/>
    <cellStyle name="Check 3 7 3 5" xfId="13814" xr:uid="{00000000-0005-0000-0000-0000EE350000}"/>
    <cellStyle name="Check 3 7 3 6" xfId="13815" xr:uid="{00000000-0005-0000-0000-0000EF350000}"/>
    <cellStyle name="Check 3 7 4" xfId="13816" xr:uid="{00000000-0005-0000-0000-0000F0350000}"/>
    <cellStyle name="Check 3 7 4 2" xfId="13817" xr:uid="{00000000-0005-0000-0000-0000F1350000}"/>
    <cellStyle name="Check 3 7 4 3" xfId="13818" xr:uid="{00000000-0005-0000-0000-0000F2350000}"/>
    <cellStyle name="Check 3 7 4 4" xfId="13819" xr:uid="{00000000-0005-0000-0000-0000F3350000}"/>
    <cellStyle name="Check 3 7 4 5" xfId="13820" xr:uid="{00000000-0005-0000-0000-0000F4350000}"/>
    <cellStyle name="Check 3 7 4 6" xfId="13821" xr:uid="{00000000-0005-0000-0000-0000F5350000}"/>
    <cellStyle name="Check 3 7 5" xfId="13822" xr:uid="{00000000-0005-0000-0000-0000F6350000}"/>
    <cellStyle name="Check 3 7 6" xfId="13823" xr:uid="{00000000-0005-0000-0000-0000F7350000}"/>
    <cellStyle name="Check 3 7 7" xfId="13824" xr:uid="{00000000-0005-0000-0000-0000F8350000}"/>
    <cellStyle name="Check 3 7 8" xfId="13825" xr:uid="{00000000-0005-0000-0000-0000F9350000}"/>
    <cellStyle name="Check 3 8" xfId="13826" xr:uid="{00000000-0005-0000-0000-0000FA350000}"/>
    <cellStyle name="Check 3 8 2" xfId="13827" xr:uid="{00000000-0005-0000-0000-0000FB350000}"/>
    <cellStyle name="Check 3 8 2 2" xfId="13828" xr:uid="{00000000-0005-0000-0000-0000FC350000}"/>
    <cellStyle name="Check 3 8 2 3" xfId="13829" xr:uid="{00000000-0005-0000-0000-0000FD350000}"/>
    <cellStyle name="Check 3 8 2 4" xfId="13830" xr:uid="{00000000-0005-0000-0000-0000FE350000}"/>
    <cellStyle name="Check 3 8 2 5" xfId="13831" xr:uid="{00000000-0005-0000-0000-0000FF350000}"/>
    <cellStyle name="Check 3 8 2 6" xfId="13832" xr:uid="{00000000-0005-0000-0000-000000360000}"/>
    <cellStyle name="Check 3 8 3" xfId="13833" xr:uid="{00000000-0005-0000-0000-000001360000}"/>
    <cellStyle name="Check 3 8 4" xfId="13834" xr:uid="{00000000-0005-0000-0000-000002360000}"/>
    <cellStyle name="Check 3 8 5" xfId="13835" xr:uid="{00000000-0005-0000-0000-000003360000}"/>
    <cellStyle name="Check 3 8 6" xfId="13836" xr:uid="{00000000-0005-0000-0000-000004360000}"/>
    <cellStyle name="Check 3 9" xfId="13837" xr:uid="{00000000-0005-0000-0000-000005360000}"/>
    <cellStyle name="Check 3 9 2" xfId="13838" xr:uid="{00000000-0005-0000-0000-000006360000}"/>
    <cellStyle name="Check 3 9 2 2" xfId="13839" xr:uid="{00000000-0005-0000-0000-000007360000}"/>
    <cellStyle name="Check 3 9 2 3" xfId="13840" xr:uid="{00000000-0005-0000-0000-000008360000}"/>
    <cellStyle name="Check 3 9 2 4" xfId="13841" xr:uid="{00000000-0005-0000-0000-000009360000}"/>
    <cellStyle name="Check 3 9 2 5" xfId="13842" xr:uid="{00000000-0005-0000-0000-00000A360000}"/>
    <cellStyle name="Check 3 9 2 6" xfId="13843" xr:uid="{00000000-0005-0000-0000-00000B360000}"/>
    <cellStyle name="Check 3 9 3" xfId="13844" xr:uid="{00000000-0005-0000-0000-00000C360000}"/>
    <cellStyle name="Check 3 9 4" xfId="13845" xr:uid="{00000000-0005-0000-0000-00000D360000}"/>
    <cellStyle name="Check 3 9 5" xfId="13846" xr:uid="{00000000-0005-0000-0000-00000E360000}"/>
    <cellStyle name="Check 3 9 6" xfId="13847" xr:uid="{00000000-0005-0000-0000-00000F360000}"/>
    <cellStyle name="Check 4" xfId="13848" xr:uid="{00000000-0005-0000-0000-000010360000}"/>
    <cellStyle name="Check 4 10" xfId="13849" xr:uid="{00000000-0005-0000-0000-000011360000}"/>
    <cellStyle name="Check 4 11" xfId="13850" xr:uid="{00000000-0005-0000-0000-000012360000}"/>
    <cellStyle name="Check 4 12" xfId="13851" xr:uid="{00000000-0005-0000-0000-000013360000}"/>
    <cellStyle name="Check 4 13" xfId="13852" xr:uid="{00000000-0005-0000-0000-000014360000}"/>
    <cellStyle name="Check 4 2" xfId="13853" xr:uid="{00000000-0005-0000-0000-000015360000}"/>
    <cellStyle name="Check 4 2 2" xfId="13854" xr:uid="{00000000-0005-0000-0000-000016360000}"/>
    <cellStyle name="Check 4 2 2 2" xfId="13855" xr:uid="{00000000-0005-0000-0000-000017360000}"/>
    <cellStyle name="Check 4 2 2 2 2" xfId="13856" xr:uid="{00000000-0005-0000-0000-000018360000}"/>
    <cellStyle name="Check 4 2 2 2 3" xfId="13857" xr:uid="{00000000-0005-0000-0000-000019360000}"/>
    <cellStyle name="Check 4 2 2 2 4" xfId="13858" xr:uid="{00000000-0005-0000-0000-00001A360000}"/>
    <cellStyle name="Check 4 2 2 2 5" xfId="13859" xr:uid="{00000000-0005-0000-0000-00001B360000}"/>
    <cellStyle name="Check 4 2 2 2 6" xfId="13860" xr:uid="{00000000-0005-0000-0000-00001C360000}"/>
    <cellStyle name="Check 4 2 2 3" xfId="13861" xr:uid="{00000000-0005-0000-0000-00001D360000}"/>
    <cellStyle name="Check 4 2 2 4" xfId="13862" xr:uid="{00000000-0005-0000-0000-00001E360000}"/>
    <cellStyle name="Check 4 2 2 5" xfId="13863" xr:uid="{00000000-0005-0000-0000-00001F360000}"/>
    <cellStyle name="Check 4 2 2 6" xfId="13864" xr:uid="{00000000-0005-0000-0000-000020360000}"/>
    <cellStyle name="Check 4 2 3" xfId="13865" xr:uid="{00000000-0005-0000-0000-000021360000}"/>
    <cellStyle name="Check 4 2 3 2" xfId="13866" xr:uid="{00000000-0005-0000-0000-000022360000}"/>
    <cellStyle name="Check 4 2 3 2 2" xfId="13867" xr:uid="{00000000-0005-0000-0000-000023360000}"/>
    <cellStyle name="Check 4 2 3 2 3" xfId="13868" xr:uid="{00000000-0005-0000-0000-000024360000}"/>
    <cellStyle name="Check 4 2 3 2 4" xfId="13869" xr:uid="{00000000-0005-0000-0000-000025360000}"/>
    <cellStyle name="Check 4 2 3 2 5" xfId="13870" xr:uid="{00000000-0005-0000-0000-000026360000}"/>
    <cellStyle name="Check 4 2 3 2 6" xfId="13871" xr:uid="{00000000-0005-0000-0000-000027360000}"/>
    <cellStyle name="Check 4 2 3 3" xfId="13872" xr:uid="{00000000-0005-0000-0000-000028360000}"/>
    <cellStyle name="Check 4 2 3 4" xfId="13873" xr:uid="{00000000-0005-0000-0000-000029360000}"/>
    <cellStyle name="Check 4 2 3 5" xfId="13874" xr:uid="{00000000-0005-0000-0000-00002A360000}"/>
    <cellStyle name="Check 4 2 3 6" xfId="13875" xr:uid="{00000000-0005-0000-0000-00002B360000}"/>
    <cellStyle name="Check 4 2 4" xfId="13876" xr:uid="{00000000-0005-0000-0000-00002C360000}"/>
    <cellStyle name="Check 4 2 4 2" xfId="13877" xr:uid="{00000000-0005-0000-0000-00002D360000}"/>
    <cellStyle name="Check 4 2 4 3" xfId="13878" xr:uid="{00000000-0005-0000-0000-00002E360000}"/>
    <cellStyle name="Check 4 2 4 4" xfId="13879" xr:uid="{00000000-0005-0000-0000-00002F360000}"/>
    <cellStyle name="Check 4 2 4 5" xfId="13880" xr:uid="{00000000-0005-0000-0000-000030360000}"/>
    <cellStyle name="Check 4 2 4 6" xfId="13881" xr:uid="{00000000-0005-0000-0000-000031360000}"/>
    <cellStyle name="Check 4 2 5" xfId="13882" xr:uid="{00000000-0005-0000-0000-000032360000}"/>
    <cellStyle name="Check 4 2 6" xfId="13883" xr:uid="{00000000-0005-0000-0000-000033360000}"/>
    <cellStyle name="Check 4 2 7" xfId="13884" xr:uid="{00000000-0005-0000-0000-000034360000}"/>
    <cellStyle name="Check 4 2 8" xfId="13885" xr:uid="{00000000-0005-0000-0000-000035360000}"/>
    <cellStyle name="Check 4 3" xfId="13886" xr:uid="{00000000-0005-0000-0000-000036360000}"/>
    <cellStyle name="Check 4 3 2" xfId="13887" xr:uid="{00000000-0005-0000-0000-000037360000}"/>
    <cellStyle name="Check 4 3 2 2" xfId="13888" xr:uid="{00000000-0005-0000-0000-000038360000}"/>
    <cellStyle name="Check 4 3 2 2 2" xfId="13889" xr:uid="{00000000-0005-0000-0000-000039360000}"/>
    <cellStyle name="Check 4 3 2 2 3" xfId="13890" xr:uid="{00000000-0005-0000-0000-00003A360000}"/>
    <cellStyle name="Check 4 3 2 2 4" xfId="13891" xr:uid="{00000000-0005-0000-0000-00003B360000}"/>
    <cellStyle name="Check 4 3 2 2 5" xfId="13892" xr:uid="{00000000-0005-0000-0000-00003C360000}"/>
    <cellStyle name="Check 4 3 2 2 6" xfId="13893" xr:uid="{00000000-0005-0000-0000-00003D360000}"/>
    <cellStyle name="Check 4 3 2 3" xfId="13894" xr:uid="{00000000-0005-0000-0000-00003E360000}"/>
    <cellStyle name="Check 4 3 2 4" xfId="13895" xr:uid="{00000000-0005-0000-0000-00003F360000}"/>
    <cellStyle name="Check 4 3 2 5" xfId="13896" xr:uid="{00000000-0005-0000-0000-000040360000}"/>
    <cellStyle name="Check 4 3 2 6" xfId="13897" xr:uid="{00000000-0005-0000-0000-000041360000}"/>
    <cellStyle name="Check 4 3 3" xfId="13898" xr:uid="{00000000-0005-0000-0000-000042360000}"/>
    <cellStyle name="Check 4 3 3 2" xfId="13899" xr:uid="{00000000-0005-0000-0000-000043360000}"/>
    <cellStyle name="Check 4 3 3 2 2" xfId="13900" xr:uid="{00000000-0005-0000-0000-000044360000}"/>
    <cellStyle name="Check 4 3 3 2 3" xfId="13901" xr:uid="{00000000-0005-0000-0000-000045360000}"/>
    <cellStyle name="Check 4 3 3 2 4" xfId="13902" xr:uid="{00000000-0005-0000-0000-000046360000}"/>
    <cellStyle name="Check 4 3 3 2 5" xfId="13903" xr:uid="{00000000-0005-0000-0000-000047360000}"/>
    <cellStyle name="Check 4 3 3 2 6" xfId="13904" xr:uid="{00000000-0005-0000-0000-000048360000}"/>
    <cellStyle name="Check 4 3 3 3" xfId="13905" xr:uid="{00000000-0005-0000-0000-000049360000}"/>
    <cellStyle name="Check 4 3 3 4" xfId="13906" xr:uid="{00000000-0005-0000-0000-00004A360000}"/>
    <cellStyle name="Check 4 3 3 5" xfId="13907" xr:uid="{00000000-0005-0000-0000-00004B360000}"/>
    <cellStyle name="Check 4 3 3 6" xfId="13908" xr:uid="{00000000-0005-0000-0000-00004C360000}"/>
    <cellStyle name="Check 4 3 4" xfId="13909" xr:uid="{00000000-0005-0000-0000-00004D360000}"/>
    <cellStyle name="Check 4 3 4 2" xfId="13910" xr:uid="{00000000-0005-0000-0000-00004E360000}"/>
    <cellStyle name="Check 4 3 4 3" xfId="13911" xr:uid="{00000000-0005-0000-0000-00004F360000}"/>
    <cellStyle name="Check 4 3 4 4" xfId="13912" xr:uid="{00000000-0005-0000-0000-000050360000}"/>
    <cellStyle name="Check 4 3 4 5" xfId="13913" xr:uid="{00000000-0005-0000-0000-000051360000}"/>
    <cellStyle name="Check 4 3 4 6" xfId="13914" xr:uid="{00000000-0005-0000-0000-000052360000}"/>
    <cellStyle name="Check 4 3 5" xfId="13915" xr:uid="{00000000-0005-0000-0000-000053360000}"/>
    <cellStyle name="Check 4 3 6" xfId="13916" xr:uid="{00000000-0005-0000-0000-000054360000}"/>
    <cellStyle name="Check 4 3 7" xfId="13917" xr:uid="{00000000-0005-0000-0000-000055360000}"/>
    <cellStyle name="Check 4 3 8" xfId="13918" xr:uid="{00000000-0005-0000-0000-000056360000}"/>
    <cellStyle name="Check 4 4" xfId="13919" xr:uid="{00000000-0005-0000-0000-000057360000}"/>
    <cellStyle name="Check 4 4 2" xfId="13920" xr:uid="{00000000-0005-0000-0000-000058360000}"/>
    <cellStyle name="Check 4 4 2 2" xfId="13921" xr:uid="{00000000-0005-0000-0000-000059360000}"/>
    <cellStyle name="Check 4 4 2 2 2" xfId="13922" xr:uid="{00000000-0005-0000-0000-00005A360000}"/>
    <cellStyle name="Check 4 4 2 2 3" xfId="13923" xr:uid="{00000000-0005-0000-0000-00005B360000}"/>
    <cellStyle name="Check 4 4 2 2 4" xfId="13924" xr:uid="{00000000-0005-0000-0000-00005C360000}"/>
    <cellStyle name="Check 4 4 2 2 5" xfId="13925" xr:uid="{00000000-0005-0000-0000-00005D360000}"/>
    <cellStyle name="Check 4 4 2 2 6" xfId="13926" xr:uid="{00000000-0005-0000-0000-00005E360000}"/>
    <cellStyle name="Check 4 4 2 3" xfId="13927" xr:uid="{00000000-0005-0000-0000-00005F360000}"/>
    <cellStyle name="Check 4 4 2 4" xfId="13928" xr:uid="{00000000-0005-0000-0000-000060360000}"/>
    <cellStyle name="Check 4 4 2 5" xfId="13929" xr:uid="{00000000-0005-0000-0000-000061360000}"/>
    <cellStyle name="Check 4 4 2 6" xfId="13930" xr:uid="{00000000-0005-0000-0000-000062360000}"/>
    <cellStyle name="Check 4 4 3" xfId="13931" xr:uid="{00000000-0005-0000-0000-000063360000}"/>
    <cellStyle name="Check 4 4 3 2" xfId="13932" xr:uid="{00000000-0005-0000-0000-000064360000}"/>
    <cellStyle name="Check 4 4 3 2 2" xfId="13933" xr:uid="{00000000-0005-0000-0000-000065360000}"/>
    <cellStyle name="Check 4 4 3 2 3" xfId="13934" xr:uid="{00000000-0005-0000-0000-000066360000}"/>
    <cellStyle name="Check 4 4 3 2 4" xfId="13935" xr:uid="{00000000-0005-0000-0000-000067360000}"/>
    <cellStyle name="Check 4 4 3 2 5" xfId="13936" xr:uid="{00000000-0005-0000-0000-000068360000}"/>
    <cellStyle name="Check 4 4 3 2 6" xfId="13937" xr:uid="{00000000-0005-0000-0000-000069360000}"/>
    <cellStyle name="Check 4 4 3 3" xfId="13938" xr:uid="{00000000-0005-0000-0000-00006A360000}"/>
    <cellStyle name="Check 4 4 3 4" xfId="13939" xr:uid="{00000000-0005-0000-0000-00006B360000}"/>
    <cellStyle name="Check 4 4 3 5" xfId="13940" xr:uid="{00000000-0005-0000-0000-00006C360000}"/>
    <cellStyle name="Check 4 4 3 6" xfId="13941" xr:uid="{00000000-0005-0000-0000-00006D360000}"/>
    <cellStyle name="Check 4 4 4" xfId="13942" xr:uid="{00000000-0005-0000-0000-00006E360000}"/>
    <cellStyle name="Check 4 4 4 2" xfId="13943" xr:uid="{00000000-0005-0000-0000-00006F360000}"/>
    <cellStyle name="Check 4 4 4 3" xfId="13944" xr:uid="{00000000-0005-0000-0000-000070360000}"/>
    <cellStyle name="Check 4 4 4 4" xfId="13945" xr:uid="{00000000-0005-0000-0000-000071360000}"/>
    <cellStyle name="Check 4 4 4 5" xfId="13946" xr:uid="{00000000-0005-0000-0000-000072360000}"/>
    <cellStyle name="Check 4 4 4 6" xfId="13947" xr:uid="{00000000-0005-0000-0000-000073360000}"/>
    <cellStyle name="Check 4 4 5" xfId="13948" xr:uid="{00000000-0005-0000-0000-000074360000}"/>
    <cellStyle name="Check 4 4 6" xfId="13949" xr:uid="{00000000-0005-0000-0000-000075360000}"/>
    <cellStyle name="Check 4 4 7" xfId="13950" xr:uid="{00000000-0005-0000-0000-000076360000}"/>
    <cellStyle name="Check 4 4 8" xfId="13951" xr:uid="{00000000-0005-0000-0000-000077360000}"/>
    <cellStyle name="Check 4 5" xfId="13952" xr:uid="{00000000-0005-0000-0000-000078360000}"/>
    <cellStyle name="Check 4 5 2" xfId="13953" xr:uid="{00000000-0005-0000-0000-000079360000}"/>
    <cellStyle name="Check 4 5 2 2" xfId="13954" xr:uid="{00000000-0005-0000-0000-00007A360000}"/>
    <cellStyle name="Check 4 5 2 2 2" xfId="13955" xr:uid="{00000000-0005-0000-0000-00007B360000}"/>
    <cellStyle name="Check 4 5 2 2 3" xfId="13956" xr:uid="{00000000-0005-0000-0000-00007C360000}"/>
    <cellStyle name="Check 4 5 2 2 4" xfId="13957" xr:uid="{00000000-0005-0000-0000-00007D360000}"/>
    <cellStyle name="Check 4 5 2 2 5" xfId="13958" xr:uid="{00000000-0005-0000-0000-00007E360000}"/>
    <cellStyle name="Check 4 5 2 2 6" xfId="13959" xr:uid="{00000000-0005-0000-0000-00007F360000}"/>
    <cellStyle name="Check 4 5 2 3" xfId="13960" xr:uid="{00000000-0005-0000-0000-000080360000}"/>
    <cellStyle name="Check 4 5 2 4" xfId="13961" xr:uid="{00000000-0005-0000-0000-000081360000}"/>
    <cellStyle name="Check 4 5 2 5" xfId="13962" xr:uid="{00000000-0005-0000-0000-000082360000}"/>
    <cellStyle name="Check 4 5 2 6" xfId="13963" xr:uid="{00000000-0005-0000-0000-000083360000}"/>
    <cellStyle name="Check 4 5 3" xfId="13964" xr:uid="{00000000-0005-0000-0000-000084360000}"/>
    <cellStyle name="Check 4 5 3 2" xfId="13965" xr:uid="{00000000-0005-0000-0000-000085360000}"/>
    <cellStyle name="Check 4 5 3 2 2" xfId="13966" xr:uid="{00000000-0005-0000-0000-000086360000}"/>
    <cellStyle name="Check 4 5 3 2 3" xfId="13967" xr:uid="{00000000-0005-0000-0000-000087360000}"/>
    <cellStyle name="Check 4 5 3 2 4" xfId="13968" xr:uid="{00000000-0005-0000-0000-000088360000}"/>
    <cellStyle name="Check 4 5 3 2 5" xfId="13969" xr:uid="{00000000-0005-0000-0000-000089360000}"/>
    <cellStyle name="Check 4 5 3 2 6" xfId="13970" xr:uid="{00000000-0005-0000-0000-00008A360000}"/>
    <cellStyle name="Check 4 5 3 3" xfId="13971" xr:uid="{00000000-0005-0000-0000-00008B360000}"/>
    <cellStyle name="Check 4 5 3 4" xfId="13972" xr:uid="{00000000-0005-0000-0000-00008C360000}"/>
    <cellStyle name="Check 4 5 3 5" xfId="13973" xr:uid="{00000000-0005-0000-0000-00008D360000}"/>
    <cellStyle name="Check 4 5 3 6" xfId="13974" xr:uid="{00000000-0005-0000-0000-00008E360000}"/>
    <cellStyle name="Check 4 5 4" xfId="13975" xr:uid="{00000000-0005-0000-0000-00008F360000}"/>
    <cellStyle name="Check 4 5 4 2" xfId="13976" xr:uid="{00000000-0005-0000-0000-000090360000}"/>
    <cellStyle name="Check 4 5 4 3" xfId="13977" xr:uid="{00000000-0005-0000-0000-000091360000}"/>
    <cellStyle name="Check 4 5 4 4" xfId="13978" xr:uid="{00000000-0005-0000-0000-000092360000}"/>
    <cellStyle name="Check 4 5 4 5" xfId="13979" xr:uid="{00000000-0005-0000-0000-000093360000}"/>
    <cellStyle name="Check 4 5 4 6" xfId="13980" xr:uid="{00000000-0005-0000-0000-000094360000}"/>
    <cellStyle name="Check 4 5 5" xfId="13981" xr:uid="{00000000-0005-0000-0000-000095360000}"/>
    <cellStyle name="Check 4 5 6" xfId="13982" xr:uid="{00000000-0005-0000-0000-000096360000}"/>
    <cellStyle name="Check 4 5 7" xfId="13983" xr:uid="{00000000-0005-0000-0000-000097360000}"/>
    <cellStyle name="Check 4 5 8" xfId="13984" xr:uid="{00000000-0005-0000-0000-000098360000}"/>
    <cellStyle name="Check 4 6" xfId="13985" xr:uid="{00000000-0005-0000-0000-000099360000}"/>
    <cellStyle name="Check 4 6 2" xfId="13986" xr:uid="{00000000-0005-0000-0000-00009A360000}"/>
    <cellStyle name="Check 4 6 2 2" xfId="13987" xr:uid="{00000000-0005-0000-0000-00009B360000}"/>
    <cellStyle name="Check 4 6 2 2 2" xfId="13988" xr:uid="{00000000-0005-0000-0000-00009C360000}"/>
    <cellStyle name="Check 4 6 2 2 3" xfId="13989" xr:uid="{00000000-0005-0000-0000-00009D360000}"/>
    <cellStyle name="Check 4 6 2 2 4" xfId="13990" xr:uid="{00000000-0005-0000-0000-00009E360000}"/>
    <cellStyle name="Check 4 6 2 2 5" xfId="13991" xr:uid="{00000000-0005-0000-0000-00009F360000}"/>
    <cellStyle name="Check 4 6 2 2 6" xfId="13992" xr:uid="{00000000-0005-0000-0000-0000A0360000}"/>
    <cellStyle name="Check 4 6 2 3" xfId="13993" xr:uid="{00000000-0005-0000-0000-0000A1360000}"/>
    <cellStyle name="Check 4 6 2 4" xfId="13994" xr:uid="{00000000-0005-0000-0000-0000A2360000}"/>
    <cellStyle name="Check 4 6 2 5" xfId="13995" xr:uid="{00000000-0005-0000-0000-0000A3360000}"/>
    <cellStyle name="Check 4 6 2 6" xfId="13996" xr:uid="{00000000-0005-0000-0000-0000A4360000}"/>
    <cellStyle name="Check 4 6 3" xfId="13997" xr:uid="{00000000-0005-0000-0000-0000A5360000}"/>
    <cellStyle name="Check 4 6 3 2" xfId="13998" xr:uid="{00000000-0005-0000-0000-0000A6360000}"/>
    <cellStyle name="Check 4 6 3 2 2" xfId="13999" xr:uid="{00000000-0005-0000-0000-0000A7360000}"/>
    <cellStyle name="Check 4 6 3 2 3" xfId="14000" xr:uid="{00000000-0005-0000-0000-0000A8360000}"/>
    <cellStyle name="Check 4 6 3 2 4" xfId="14001" xr:uid="{00000000-0005-0000-0000-0000A9360000}"/>
    <cellStyle name="Check 4 6 3 2 5" xfId="14002" xr:uid="{00000000-0005-0000-0000-0000AA360000}"/>
    <cellStyle name="Check 4 6 3 2 6" xfId="14003" xr:uid="{00000000-0005-0000-0000-0000AB360000}"/>
    <cellStyle name="Check 4 6 3 3" xfId="14004" xr:uid="{00000000-0005-0000-0000-0000AC360000}"/>
    <cellStyle name="Check 4 6 3 4" xfId="14005" xr:uid="{00000000-0005-0000-0000-0000AD360000}"/>
    <cellStyle name="Check 4 6 3 5" xfId="14006" xr:uid="{00000000-0005-0000-0000-0000AE360000}"/>
    <cellStyle name="Check 4 6 3 6" xfId="14007" xr:uid="{00000000-0005-0000-0000-0000AF360000}"/>
    <cellStyle name="Check 4 6 4" xfId="14008" xr:uid="{00000000-0005-0000-0000-0000B0360000}"/>
    <cellStyle name="Check 4 6 4 2" xfId="14009" xr:uid="{00000000-0005-0000-0000-0000B1360000}"/>
    <cellStyle name="Check 4 6 4 3" xfId="14010" xr:uid="{00000000-0005-0000-0000-0000B2360000}"/>
    <cellStyle name="Check 4 6 4 4" xfId="14011" xr:uid="{00000000-0005-0000-0000-0000B3360000}"/>
    <cellStyle name="Check 4 6 4 5" xfId="14012" xr:uid="{00000000-0005-0000-0000-0000B4360000}"/>
    <cellStyle name="Check 4 6 4 6" xfId="14013" xr:uid="{00000000-0005-0000-0000-0000B5360000}"/>
    <cellStyle name="Check 4 6 5" xfId="14014" xr:uid="{00000000-0005-0000-0000-0000B6360000}"/>
    <cellStyle name="Check 4 6 6" xfId="14015" xr:uid="{00000000-0005-0000-0000-0000B7360000}"/>
    <cellStyle name="Check 4 6 7" xfId="14016" xr:uid="{00000000-0005-0000-0000-0000B8360000}"/>
    <cellStyle name="Check 4 6 8" xfId="14017" xr:uid="{00000000-0005-0000-0000-0000B9360000}"/>
    <cellStyle name="Check 4 7" xfId="14018" xr:uid="{00000000-0005-0000-0000-0000BA360000}"/>
    <cellStyle name="Check 4 7 2" xfId="14019" xr:uid="{00000000-0005-0000-0000-0000BB360000}"/>
    <cellStyle name="Check 4 7 2 2" xfId="14020" xr:uid="{00000000-0005-0000-0000-0000BC360000}"/>
    <cellStyle name="Check 4 7 2 3" xfId="14021" xr:uid="{00000000-0005-0000-0000-0000BD360000}"/>
    <cellStyle name="Check 4 7 2 4" xfId="14022" xr:uid="{00000000-0005-0000-0000-0000BE360000}"/>
    <cellStyle name="Check 4 7 2 5" xfId="14023" xr:uid="{00000000-0005-0000-0000-0000BF360000}"/>
    <cellStyle name="Check 4 7 2 6" xfId="14024" xr:uid="{00000000-0005-0000-0000-0000C0360000}"/>
    <cellStyle name="Check 4 7 3" xfId="14025" xr:uid="{00000000-0005-0000-0000-0000C1360000}"/>
    <cellStyle name="Check 4 7 4" xfId="14026" xr:uid="{00000000-0005-0000-0000-0000C2360000}"/>
    <cellStyle name="Check 4 7 5" xfId="14027" xr:uid="{00000000-0005-0000-0000-0000C3360000}"/>
    <cellStyle name="Check 4 7 6" xfId="14028" xr:uid="{00000000-0005-0000-0000-0000C4360000}"/>
    <cellStyle name="Check 4 8" xfId="14029" xr:uid="{00000000-0005-0000-0000-0000C5360000}"/>
    <cellStyle name="Check 4 8 2" xfId="14030" xr:uid="{00000000-0005-0000-0000-0000C6360000}"/>
    <cellStyle name="Check 4 8 2 2" xfId="14031" xr:uid="{00000000-0005-0000-0000-0000C7360000}"/>
    <cellStyle name="Check 4 8 2 3" xfId="14032" xr:uid="{00000000-0005-0000-0000-0000C8360000}"/>
    <cellStyle name="Check 4 8 2 4" xfId="14033" xr:uid="{00000000-0005-0000-0000-0000C9360000}"/>
    <cellStyle name="Check 4 8 2 5" xfId="14034" xr:uid="{00000000-0005-0000-0000-0000CA360000}"/>
    <cellStyle name="Check 4 8 2 6" xfId="14035" xr:uid="{00000000-0005-0000-0000-0000CB360000}"/>
    <cellStyle name="Check 4 8 3" xfId="14036" xr:uid="{00000000-0005-0000-0000-0000CC360000}"/>
    <cellStyle name="Check 4 8 4" xfId="14037" xr:uid="{00000000-0005-0000-0000-0000CD360000}"/>
    <cellStyle name="Check 4 8 5" xfId="14038" xr:uid="{00000000-0005-0000-0000-0000CE360000}"/>
    <cellStyle name="Check 4 8 6" xfId="14039" xr:uid="{00000000-0005-0000-0000-0000CF360000}"/>
    <cellStyle name="Check 4 9" xfId="14040" xr:uid="{00000000-0005-0000-0000-0000D0360000}"/>
    <cellStyle name="Check 4 9 2" xfId="14041" xr:uid="{00000000-0005-0000-0000-0000D1360000}"/>
    <cellStyle name="Check 4 9 3" xfId="14042" xr:uid="{00000000-0005-0000-0000-0000D2360000}"/>
    <cellStyle name="Check 4 9 4" xfId="14043" xr:uid="{00000000-0005-0000-0000-0000D3360000}"/>
    <cellStyle name="Check 4 9 5" xfId="14044" xr:uid="{00000000-0005-0000-0000-0000D4360000}"/>
    <cellStyle name="Check 4 9 6" xfId="14045" xr:uid="{00000000-0005-0000-0000-0000D5360000}"/>
    <cellStyle name="Check 5" xfId="14046" xr:uid="{00000000-0005-0000-0000-0000D6360000}"/>
    <cellStyle name="Check 5 2" xfId="14047" xr:uid="{00000000-0005-0000-0000-0000D7360000}"/>
    <cellStyle name="Check 5 2 2" xfId="14048" xr:uid="{00000000-0005-0000-0000-0000D8360000}"/>
    <cellStyle name="Check 5 2 2 2" xfId="14049" xr:uid="{00000000-0005-0000-0000-0000D9360000}"/>
    <cellStyle name="Check 5 2 2 3" xfId="14050" xr:uid="{00000000-0005-0000-0000-0000DA360000}"/>
    <cellStyle name="Check 5 2 2 4" xfId="14051" xr:uid="{00000000-0005-0000-0000-0000DB360000}"/>
    <cellStyle name="Check 5 2 2 5" xfId="14052" xr:uid="{00000000-0005-0000-0000-0000DC360000}"/>
    <cellStyle name="Check 5 2 2 6" xfId="14053" xr:uid="{00000000-0005-0000-0000-0000DD360000}"/>
    <cellStyle name="Check 5 2 3" xfId="14054" xr:uid="{00000000-0005-0000-0000-0000DE360000}"/>
    <cellStyle name="Check 5 2 4" xfId="14055" xr:uid="{00000000-0005-0000-0000-0000DF360000}"/>
    <cellStyle name="Check 5 2 5" xfId="14056" xr:uid="{00000000-0005-0000-0000-0000E0360000}"/>
    <cellStyle name="Check 5 2 6" xfId="14057" xr:uid="{00000000-0005-0000-0000-0000E1360000}"/>
    <cellStyle name="Check 5 3" xfId="14058" xr:uid="{00000000-0005-0000-0000-0000E2360000}"/>
    <cellStyle name="Check 5 3 2" xfId="14059" xr:uid="{00000000-0005-0000-0000-0000E3360000}"/>
    <cellStyle name="Check 5 3 2 2" xfId="14060" xr:uid="{00000000-0005-0000-0000-0000E4360000}"/>
    <cellStyle name="Check 5 3 2 3" xfId="14061" xr:uid="{00000000-0005-0000-0000-0000E5360000}"/>
    <cellStyle name="Check 5 3 2 4" xfId="14062" xr:uid="{00000000-0005-0000-0000-0000E6360000}"/>
    <cellStyle name="Check 5 3 2 5" xfId="14063" xr:uid="{00000000-0005-0000-0000-0000E7360000}"/>
    <cellStyle name="Check 5 3 2 6" xfId="14064" xr:uid="{00000000-0005-0000-0000-0000E8360000}"/>
    <cellStyle name="Check 5 3 3" xfId="14065" xr:uid="{00000000-0005-0000-0000-0000E9360000}"/>
    <cellStyle name="Check 5 3 4" xfId="14066" xr:uid="{00000000-0005-0000-0000-0000EA360000}"/>
    <cellStyle name="Check 5 3 5" xfId="14067" xr:uid="{00000000-0005-0000-0000-0000EB360000}"/>
    <cellStyle name="Check 5 3 6" xfId="14068" xr:uid="{00000000-0005-0000-0000-0000EC360000}"/>
    <cellStyle name="Check 5 4" xfId="14069" xr:uid="{00000000-0005-0000-0000-0000ED360000}"/>
    <cellStyle name="Check 5 4 2" xfId="14070" xr:uid="{00000000-0005-0000-0000-0000EE360000}"/>
    <cellStyle name="Check 5 4 3" xfId="14071" xr:uid="{00000000-0005-0000-0000-0000EF360000}"/>
    <cellStyle name="Check 5 4 4" xfId="14072" xr:uid="{00000000-0005-0000-0000-0000F0360000}"/>
    <cellStyle name="Check 5 4 5" xfId="14073" xr:uid="{00000000-0005-0000-0000-0000F1360000}"/>
    <cellStyle name="Check 5 4 6" xfId="14074" xr:uid="{00000000-0005-0000-0000-0000F2360000}"/>
    <cellStyle name="Check 5 5" xfId="14075" xr:uid="{00000000-0005-0000-0000-0000F3360000}"/>
    <cellStyle name="Check 5 6" xfId="14076" xr:uid="{00000000-0005-0000-0000-0000F4360000}"/>
    <cellStyle name="Check 5 7" xfId="14077" xr:uid="{00000000-0005-0000-0000-0000F5360000}"/>
    <cellStyle name="Check 5 8" xfId="14078" xr:uid="{00000000-0005-0000-0000-0000F6360000}"/>
    <cellStyle name="Check 6" xfId="14079" xr:uid="{00000000-0005-0000-0000-0000F7360000}"/>
    <cellStyle name="Check 6 2" xfId="14080" xr:uid="{00000000-0005-0000-0000-0000F8360000}"/>
    <cellStyle name="Check 6 2 2" xfId="14081" xr:uid="{00000000-0005-0000-0000-0000F9360000}"/>
    <cellStyle name="Check 6 2 2 2" xfId="14082" xr:uid="{00000000-0005-0000-0000-0000FA360000}"/>
    <cellStyle name="Check 6 2 2 3" xfId="14083" xr:uid="{00000000-0005-0000-0000-0000FB360000}"/>
    <cellStyle name="Check 6 2 2 4" xfId="14084" xr:uid="{00000000-0005-0000-0000-0000FC360000}"/>
    <cellStyle name="Check 6 2 2 5" xfId="14085" xr:uid="{00000000-0005-0000-0000-0000FD360000}"/>
    <cellStyle name="Check 6 2 2 6" xfId="14086" xr:uid="{00000000-0005-0000-0000-0000FE360000}"/>
    <cellStyle name="Check 6 2 3" xfId="14087" xr:uid="{00000000-0005-0000-0000-0000FF360000}"/>
    <cellStyle name="Check 6 2 4" xfId="14088" xr:uid="{00000000-0005-0000-0000-000000370000}"/>
    <cellStyle name="Check 6 2 5" xfId="14089" xr:uid="{00000000-0005-0000-0000-000001370000}"/>
    <cellStyle name="Check 6 2 6" xfId="14090" xr:uid="{00000000-0005-0000-0000-000002370000}"/>
    <cellStyle name="Check 6 3" xfId="14091" xr:uid="{00000000-0005-0000-0000-000003370000}"/>
    <cellStyle name="Check 6 3 2" xfId="14092" xr:uid="{00000000-0005-0000-0000-000004370000}"/>
    <cellStyle name="Check 6 3 2 2" xfId="14093" xr:uid="{00000000-0005-0000-0000-000005370000}"/>
    <cellStyle name="Check 6 3 2 3" xfId="14094" xr:uid="{00000000-0005-0000-0000-000006370000}"/>
    <cellStyle name="Check 6 3 2 4" xfId="14095" xr:uid="{00000000-0005-0000-0000-000007370000}"/>
    <cellStyle name="Check 6 3 2 5" xfId="14096" xr:uid="{00000000-0005-0000-0000-000008370000}"/>
    <cellStyle name="Check 6 3 2 6" xfId="14097" xr:uid="{00000000-0005-0000-0000-000009370000}"/>
    <cellStyle name="Check 6 3 3" xfId="14098" xr:uid="{00000000-0005-0000-0000-00000A370000}"/>
    <cellStyle name="Check 6 3 4" xfId="14099" xr:uid="{00000000-0005-0000-0000-00000B370000}"/>
    <cellStyle name="Check 6 3 5" xfId="14100" xr:uid="{00000000-0005-0000-0000-00000C370000}"/>
    <cellStyle name="Check 6 3 6" xfId="14101" xr:uid="{00000000-0005-0000-0000-00000D370000}"/>
    <cellStyle name="Check 6 4" xfId="14102" xr:uid="{00000000-0005-0000-0000-00000E370000}"/>
    <cellStyle name="Check 6 4 2" xfId="14103" xr:uid="{00000000-0005-0000-0000-00000F370000}"/>
    <cellStyle name="Check 6 4 3" xfId="14104" xr:uid="{00000000-0005-0000-0000-000010370000}"/>
    <cellStyle name="Check 6 4 4" xfId="14105" xr:uid="{00000000-0005-0000-0000-000011370000}"/>
    <cellStyle name="Check 6 4 5" xfId="14106" xr:uid="{00000000-0005-0000-0000-000012370000}"/>
    <cellStyle name="Check 6 4 6" xfId="14107" xr:uid="{00000000-0005-0000-0000-000013370000}"/>
    <cellStyle name="Check 6 5" xfId="14108" xr:uid="{00000000-0005-0000-0000-000014370000}"/>
    <cellStyle name="Check 6 6" xfId="14109" xr:uid="{00000000-0005-0000-0000-000015370000}"/>
    <cellStyle name="Check 6 7" xfId="14110" xr:uid="{00000000-0005-0000-0000-000016370000}"/>
    <cellStyle name="Check 6 8" xfId="14111" xr:uid="{00000000-0005-0000-0000-000017370000}"/>
    <cellStyle name="Check 7" xfId="14112" xr:uid="{00000000-0005-0000-0000-000018370000}"/>
    <cellStyle name="Check 7 2" xfId="14113" xr:uid="{00000000-0005-0000-0000-000019370000}"/>
    <cellStyle name="Check 7 2 2" xfId="14114" xr:uid="{00000000-0005-0000-0000-00001A370000}"/>
    <cellStyle name="Check 7 2 2 2" xfId="14115" xr:uid="{00000000-0005-0000-0000-00001B370000}"/>
    <cellStyle name="Check 7 2 2 3" xfId="14116" xr:uid="{00000000-0005-0000-0000-00001C370000}"/>
    <cellStyle name="Check 7 2 2 4" xfId="14117" xr:uid="{00000000-0005-0000-0000-00001D370000}"/>
    <cellStyle name="Check 7 2 2 5" xfId="14118" xr:uid="{00000000-0005-0000-0000-00001E370000}"/>
    <cellStyle name="Check 7 2 2 6" xfId="14119" xr:uid="{00000000-0005-0000-0000-00001F370000}"/>
    <cellStyle name="Check 7 2 3" xfId="14120" xr:uid="{00000000-0005-0000-0000-000020370000}"/>
    <cellStyle name="Check 7 2 4" xfId="14121" xr:uid="{00000000-0005-0000-0000-000021370000}"/>
    <cellStyle name="Check 7 2 5" xfId="14122" xr:uid="{00000000-0005-0000-0000-000022370000}"/>
    <cellStyle name="Check 7 2 6" xfId="14123" xr:uid="{00000000-0005-0000-0000-000023370000}"/>
    <cellStyle name="Check 7 3" xfId="14124" xr:uid="{00000000-0005-0000-0000-000024370000}"/>
    <cellStyle name="Check 7 3 2" xfId="14125" xr:uid="{00000000-0005-0000-0000-000025370000}"/>
    <cellStyle name="Check 7 3 2 2" xfId="14126" xr:uid="{00000000-0005-0000-0000-000026370000}"/>
    <cellStyle name="Check 7 3 2 3" xfId="14127" xr:uid="{00000000-0005-0000-0000-000027370000}"/>
    <cellStyle name="Check 7 3 2 4" xfId="14128" xr:uid="{00000000-0005-0000-0000-000028370000}"/>
    <cellStyle name="Check 7 3 2 5" xfId="14129" xr:uid="{00000000-0005-0000-0000-000029370000}"/>
    <cellStyle name="Check 7 3 2 6" xfId="14130" xr:uid="{00000000-0005-0000-0000-00002A370000}"/>
    <cellStyle name="Check 7 3 3" xfId="14131" xr:uid="{00000000-0005-0000-0000-00002B370000}"/>
    <cellStyle name="Check 7 3 4" xfId="14132" xr:uid="{00000000-0005-0000-0000-00002C370000}"/>
    <cellStyle name="Check 7 3 5" xfId="14133" xr:uid="{00000000-0005-0000-0000-00002D370000}"/>
    <cellStyle name="Check 7 3 6" xfId="14134" xr:uid="{00000000-0005-0000-0000-00002E370000}"/>
    <cellStyle name="Check 7 4" xfId="14135" xr:uid="{00000000-0005-0000-0000-00002F370000}"/>
    <cellStyle name="Check 7 4 2" xfId="14136" xr:uid="{00000000-0005-0000-0000-000030370000}"/>
    <cellStyle name="Check 7 4 3" xfId="14137" xr:uid="{00000000-0005-0000-0000-000031370000}"/>
    <cellStyle name="Check 7 4 4" xfId="14138" xr:uid="{00000000-0005-0000-0000-000032370000}"/>
    <cellStyle name="Check 7 4 5" xfId="14139" xr:uid="{00000000-0005-0000-0000-000033370000}"/>
    <cellStyle name="Check 7 4 6" xfId="14140" xr:uid="{00000000-0005-0000-0000-000034370000}"/>
    <cellStyle name="Check 7 5" xfId="14141" xr:uid="{00000000-0005-0000-0000-000035370000}"/>
    <cellStyle name="Check 7 6" xfId="14142" xr:uid="{00000000-0005-0000-0000-000036370000}"/>
    <cellStyle name="Check 7 7" xfId="14143" xr:uid="{00000000-0005-0000-0000-000037370000}"/>
    <cellStyle name="Check 7 8" xfId="14144" xr:uid="{00000000-0005-0000-0000-000038370000}"/>
    <cellStyle name="Check 8" xfId="14145" xr:uid="{00000000-0005-0000-0000-000039370000}"/>
    <cellStyle name="Check 8 2" xfId="14146" xr:uid="{00000000-0005-0000-0000-00003A370000}"/>
    <cellStyle name="Check 8 2 2" xfId="14147" xr:uid="{00000000-0005-0000-0000-00003B370000}"/>
    <cellStyle name="Check 8 2 3" xfId="14148" xr:uid="{00000000-0005-0000-0000-00003C370000}"/>
    <cellStyle name="Check 8 2 4" xfId="14149" xr:uid="{00000000-0005-0000-0000-00003D370000}"/>
    <cellStyle name="Check 8 2 5" xfId="14150" xr:uid="{00000000-0005-0000-0000-00003E370000}"/>
    <cellStyle name="Check 8 2 6" xfId="14151" xr:uid="{00000000-0005-0000-0000-00003F370000}"/>
    <cellStyle name="Check 8 3" xfId="14152" xr:uid="{00000000-0005-0000-0000-000040370000}"/>
    <cellStyle name="Check 8 4" xfId="14153" xr:uid="{00000000-0005-0000-0000-000041370000}"/>
    <cellStyle name="Check 8 5" xfId="14154" xr:uid="{00000000-0005-0000-0000-000042370000}"/>
    <cellStyle name="Check 8 6" xfId="14155" xr:uid="{00000000-0005-0000-0000-000043370000}"/>
    <cellStyle name="Check 9" xfId="14156" xr:uid="{00000000-0005-0000-0000-000044370000}"/>
    <cellStyle name="Check 9 2" xfId="14157" xr:uid="{00000000-0005-0000-0000-000045370000}"/>
    <cellStyle name="Check 9 2 2" xfId="14158" xr:uid="{00000000-0005-0000-0000-000046370000}"/>
    <cellStyle name="Check 9 2 3" xfId="14159" xr:uid="{00000000-0005-0000-0000-000047370000}"/>
    <cellStyle name="Check 9 2 4" xfId="14160" xr:uid="{00000000-0005-0000-0000-000048370000}"/>
    <cellStyle name="Check 9 2 5" xfId="14161" xr:uid="{00000000-0005-0000-0000-000049370000}"/>
    <cellStyle name="Check 9 2 6" xfId="14162" xr:uid="{00000000-0005-0000-0000-00004A370000}"/>
    <cellStyle name="Check 9 3" xfId="14163" xr:uid="{00000000-0005-0000-0000-00004B370000}"/>
    <cellStyle name="Check 9 4" xfId="14164" xr:uid="{00000000-0005-0000-0000-00004C370000}"/>
    <cellStyle name="Check 9 5" xfId="14165" xr:uid="{00000000-0005-0000-0000-00004D370000}"/>
    <cellStyle name="Check 9 6" xfId="14166" xr:uid="{00000000-0005-0000-0000-00004E370000}"/>
    <cellStyle name="Check Cell 2" xfId="14167" xr:uid="{00000000-0005-0000-0000-00004F370000}"/>
    <cellStyle name="Check Cell 2 2" xfId="14168" xr:uid="{00000000-0005-0000-0000-000050370000}"/>
    <cellStyle name="Check Cell 3" xfId="14169" xr:uid="{00000000-0005-0000-0000-000051370000}"/>
    <cellStyle name="Check Cell 4" xfId="14170" xr:uid="{00000000-0005-0000-0000-000052370000}"/>
    <cellStyle name="ColHead" xfId="14171" xr:uid="{00000000-0005-0000-0000-000053370000}"/>
    <cellStyle name="ColHead 2" xfId="14172" xr:uid="{00000000-0005-0000-0000-000054370000}"/>
    <cellStyle name="Column Headers" xfId="14173" xr:uid="{00000000-0005-0000-0000-000055370000}"/>
    <cellStyle name="Comma" xfId="1" builtinId="3"/>
    <cellStyle name="Comma [0] 2" xfId="14174" xr:uid="{00000000-0005-0000-0000-000057370000}"/>
    <cellStyle name="Comma [00]" xfId="14175" xr:uid="{00000000-0005-0000-0000-000058370000}"/>
    <cellStyle name="Comma 10" xfId="14176" xr:uid="{00000000-0005-0000-0000-000059370000}"/>
    <cellStyle name="Comma 10 2" xfId="14177" xr:uid="{00000000-0005-0000-0000-00005A370000}"/>
    <cellStyle name="Comma 10 2 2" xfId="14178" xr:uid="{00000000-0005-0000-0000-00005B370000}"/>
    <cellStyle name="Comma 10 2 2 2" xfId="14179" xr:uid="{00000000-0005-0000-0000-00005C370000}"/>
    <cellStyle name="Comma 10 2 3" xfId="14180" xr:uid="{00000000-0005-0000-0000-00005D370000}"/>
    <cellStyle name="Comma 10 2 4" xfId="14181" xr:uid="{00000000-0005-0000-0000-00005E370000}"/>
    <cellStyle name="Comma 10 3" xfId="14182" xr:uid="{00000000-0005-0000-0000-00005F370000}"/>
    <cellStyle name="Comma 10 3 2" xfId="14183" xr:uid="{00000000-0005-0000-0000-000060370000}"/>
    <cellStyle name="Comma 10 4" xfId="14184" xr:uid="{00000000-0005-0000-0000-000061370000}"/>
    <cellStyle name="Comma 10 5" xfId="14185" xr:uid="{00000000-0005-0000-0000-000062370000}"/>
    <cellStyle name="Comma 11" xfId="14186" xr:uid="{00000000-0005-0000-0000-000063370000}"/>
    <cellStyle name="Comma 11 2" xfId="14187" xr:uid="{00000000-0005-0000-0000-000064370000}"/>
    <cellStyle name="Comma 11 2 2" xfId="14188" xr:uid="{00000000-0005-0000-0000-000065370000}"/>
    <cellStyle name="Comma 11 2 2 2" xfId="14189" xr:uid="{00000000-0005-0000-0000-000066370000}"/>
    <cellStyle name="Comma 11 2 3" xfId="14190" xr:uid="{00000000-0005-0000-0000-000067370000}"/>
    <cellStyle name="Comma 11 3" xfId="14191" xr:uid="{00000000-0005-0000-0000-000068370000}"/>
    <cellStyle name="Comma 11 3 2" xfId="14192" xr:uid="{00000000-0005-0000-0000-000069370000}"/>
    <cellStyle name="Comma 11 4" xfId="14193" xr:uid="{00000000-0005-0000-0000-00006A370000}"/>
    <cellStyle name="Comma 11 5" xfId="14194" xr:uid="{00000000-0005-0000-0000-00006B370000}"/>
    <cellStyle name="Comma 12" xfId="14195" xr:uid="{00000000-0005-0000-0000-00006C370000}"/>
    <cellStyle name="Comma 12 2" xfId="14196" xr:uid="{00000000-0005-0000-0000-00006D370000}"/>
    <cellStyle name="Comma 12 2 2" xfId="14197" xr:uid="{00000000-0005-0000-0000-00006E370000}"/>
    <cellStyle name="Comma 12 2 2 2" xfId="14198" xr:uid="{00000000-0005-0000-0000-00006F370000}"/>
    <cellStyle name="Comma 12 2 2 2 2" xfId="14199" xr:uid="{00000000-0005-0000-0000-000070370000}"/>
    <cellStyle name="Comma 12 2 2 3" xfId="14200" xr:uid="{00000000-0005-0000-0000-000071370000}"/>
    <cellStyle name="Comma 12 2 3" xfId="14201" xr:uid="{00000000-0005-0000-0000-000072370000}"/>
    <cellStyle name="Comma 12 2 3 2" xfId="14202" xr:uid="{00000000-0005-0000-0000-000073370000}"/>
    <cellStyle name="Comma 12 2 4" xfId="14203" xr:uid="{00000000-0005-0000-0000-000074370000}"/>
    <cellStyle name="Comma 12 3" xfId="14204" xr:uid="{00000000-0005-0000-0000-000075370000}"/>
    <cellStyle name="Comma 12 3 2" xfId="14205" xr:uid="{00000000-0005-0000-0000-000076370000}"/>
    <cellStyle name="Comma 12 3 2 2" xfId="14206" xr:uid="{00000000-0005-0000-0000-000077370000}"/>
    <cellStyle name="Comma 12 3 3" xfId="14207" xr:uid="{00000000-0005-0000-0000-000078370000}"/>
    <cellStyle name="Comma 12 4" xfId="14208" xr:uid="{00000000-0005-0000-0000-000079370000}"/>
    <cellStyle name="Comma 12 4 2" xfId="14209" xr:uid="{00000000-0005-0000-0000-00007A370000}"/>
    <cellStyle name="Comma 12 5" xfId="14210" xr:uid="{00000000-0005-0000-0000-00007B370000}"/>
    <cellStyle name="Comma 13" xfId="14211" xr:uid="{00000000-0005-0000-0000-00007C370000}"/>
    <cellStyle name="Comma 13 2" xfId="14212" xr:uid="{00000000-0005-0000-0000-00007D370000}"/>
    <cellStyle name="Comma 13 2 2" xfId="14213" xr:uid="{00000000-0005-0000-0000-00007E370000}"/>
    <cellStyle name="Comma 13 3" xfId="14214" xr:uid="{00000000-0005-0000-0000-00007F370000}"/>
    <cellStyle name="Comma 13 3 2" xfId="14215" xr:uid="{00000000-0005-0000-0000-000080370000}"/>
    <cellStyle name="Comma 13 4" xfId="14216" xr:uid="{00000000-0005-0000-0000-000081370000}"/>
    <cellStyle name="Comma 14" xfId="14217" xr:uid="{00000000-0005-0000-0000-000082370000}"/>
    <cellStyle name="Comma 14 2" xfId="14218" xr:uid="{00000000-0005-0000-0000-000083370000}"/>
    <cellStyle name="Comma 14 2 2" xfId="14219" xr:uid="{00000000-0005-0000-0000-000084370000}"/>
    <cellStyle name="Comma 14 3" xfId="14220" xr:uid="{00000000-0005-0000-0000-000085370000}"/>
    <cellStyle name="Comma 15" xfId="14221" xr:uid="{00000000-0005-0000-0000-000086370000}"/>
    <cellStyle name="Comma 15 2" xfId="14222" xr:uid="{00000000-0005-0000-0000-000087370000}"/>
    <cellStyle name="Comma 15 2 2" xfId="14223" xr:uid="{00000000-0005-0000-0000-000088370000}"/>
    <cellStyle name="Comma 15 3" xfId="14224" xr:uid="{00000000-0005-0000-0000-000089370000}"/>
    <cellStyle name="Comma 16" xfId="14225" xr:uid="{00000000-0005-0000-0000-00008A370000}"/>
    <cellStyle name="Comma 16 2" xfId="14226" xr:uid="{00000000-0005-0000-0000-00008B370000}"/>
    <cellStyle name="Comma 16 2 2" xfId="14227" xr:uid="{00000000-0005-0000-0000-00008C370000}"/>
    <cellStyle name="Comma 16 2 3" xfId="14228" xr:uid="{00000000-0005-0000-0000-00008D370000}"/>
    <cellStyle name="Comma 16 3" xfId="14229" xr:uid="{00000000-0005-0000-0000-00008E370000}"/>
    <cellStyle name="Comma 17" xfId="14230" xr:uid="{00000000-0005-0000-0000-00008F370000}"/>
    <cellStyle name="Comma 17 2" xfId="14231" xr:uid="{00000000-0005-0000-0000-000090370000}"/>
    <cellStyle name="Comma 18" xfId="14232" xr:uid="{00000000-0005-0000-0000-000091370000}"/>
    <cellStyle name="Comma 18 2" xfId="14233" xr:uid="{00000000-0005-0000-0000-000092370000}"/>
    <cellStyle name="Comma 19" xfId="14234" xr:uid="{00000000-0005-0000-0000-000093370000}"/>
    <cellStyle name="Comma 19 2" xfId="14235" xr:uid="{00000000-0005-0000-0000-000094370000}"/>
    <cellStyle name="Comma 2" xfId="14236" xr:uid="{00000000-0005-0000-0000-000095370000}"/>
    <cellStyle name="Comma 2 2" xfId="14237" xr:uid="{00000000-0005-0000-0000-000096370000}"/>
    <cellStyle name="Comma 2 2 2" xfId="14238" xr:uid="{00000000-0005-0000-0000-000097370000}"/>
    <cellStyle name="Comma 2 3" xfId="14239" xr:uid="{00000000-0005-0000-0000-000098370000}"/>
    <cellStyle name="Comma 2 3 2" xfId="14240" xr:uid="{00000000-0005-0000-0000-000099370000}"/>
    <cellStyle name="Comma 2 3 2 2" xfId="14241" xr:uid="{00000000-0005-0000-0000-00009A370000}"/>
    <cellStyle name="Comma 2 3 2 2 2" xfId="14242" xr:uid="{00000000-0005-0000-0000-00009B370000}"/>
    <cellStyle name="Comma 2 3 2 2 3" xfId="14243" xr:uid="{00000000-0005-0000-0000-00009C370000}"/>
    <cellStyle name="Comma 2 3 2 3" xfId="14244" xr:uid="{00000000-0005-0000-0000-00009D370000}"/>
    <cellStyle name="Comma 2 3 2 4" xfId="14245" xr:uid="{00000000-0005-0000-0000-00009E370000}"/>
    <cellStyle name="Comma 2 3 3" xfId="14246" xr:uid="{00000000-0005-0000-0000-00009F370000}"/>
    <cellStyle name="Comma 2 3 3 2" xfId="14247" xr:uid="{00000000-0005-0000-0000-0000A0370000}"/>
    <cellStyle name="Comma 2 3 3 2 2" xfId="14248" xr:uid="{00000000-0005-0000-0000-0000A1370000}"/>
    <cellStyle name="Comma 2 3 3 2 3" xfId="14249" xr:uid="{00000000-0005-0000-0000-0000A2370000}"/>
    <cellStyle name="Comma 2 3 3 3" xfId="14250" xr:uid="{00000000-0005-0000-0000-0000A3370000}"/>
    <cellStyle name="Comma 2 3 3 4" xfId="14251" xr:uid="{00000000-0005-0000-0000-0000A4370000}"/>
    <cellStyle name="Comma 2 3 4" xfId="14252" xr:uid="{00000000-0005-0000-0000-0000A5370000}"/>
    <cellStyle name="Comma 2 4" xfId="14253" xr:uid="{00000000-0005-0000-0000-0000A6370000}"/>
    <cellStyle name="Comma 2 4 2" xfId="14254" xr:uid="{00000000-0005-0000-0000-0000A7370000}"/>
    <cellStyle name="Comma 2 5" xfId="14255" xr:uid="{00000000-0005-0000-0000-0000A8370000}"/>
    <cellStyle name="Comma 2 5 2" xfId="14256" xr:uid="{00000000-0005-0000-0000-0000A9370000}"/>
    <cellStyle name="Comma 2 5 2 2" xfId="14257" xr:uid="{00000000-0005-0000-0000-0000AA370000}"/>
    <cellStyle name="Comma 2 5 2 3" xfId="14258" xr:uid="{00000000-0005-0000-0000-0000AB370000}"/>
    <cellStyle name="Comma 2 5 3" xfId="14259" xr:uid="{00000000-0005-0000-0000-0000AC370000}"/>
    <cellStyle name="Comma 2 5 4" xfId="14260" xr:uid="{00000000-0005-0000-0000-0000AD370000}"/>
    <cellStyle name="Comma 2 6" xfId="14261" xr:uid="{00000000-0005-0000-0000-0000AE370000}"/>
    <cellStyle name="Comma 2 7" xfId="14262" xr:uid="{00000000-0005-0000-0000-0000AF370000}"/>
    <cellStyle name="Comma 2 8" xfId="14263" xr:uid="{00000000-0005-0000-0000-0000B0370000}"/>
    <cellStyle name="Comma 20" xfId="14264" xr:uid="{00000000-0005-0000-0000-0000B1370000}"/>
    <cellStyle name="Comma 21" xfId="14265" xr:uid="{00000000-0005-0000-0000-0000B2370000}"/>
    <cellStyle name="Comma 22" xfId="14266" xr:uid="{00000000-0005-0000-0000-0000B3370000}"/>
    <cellStyle name="Comma 23" xfId="14267" xr:uid="{00000000-0005-0000-0000-0000B4370000}"/>
    <cellStyle name="Comma 24" xfId="14268" xr:uid="{00000000-0005-0000-0000-0000B5370000}"/>
    <cellStyle name="Comma 25" xfId="14269" xr:uid="{00000000-0005-0000-0000-0000B6370000}"/>
    <cellStyle name="Comma 26" xfId="14270" xr:uid="{00000000-0005-0000-0000-0000B7370000}"/>
    <cellStyle name="Comma 27" xfId="14271" xr:uid="{00000000-0005-0000-0000-0000B8370000}"/>
    <cellStyle name="Comma 28" xfId="14272" xr:uid="{00000000-0005-0000-0000-0000B9370000}"/>
    <cellStyle name="Comma 28 2" xfId="14273" xr:uid="{00000000-0005-0000-0000-0000BA370000}"/>
    <cellStyle name="Comma 29" xfId="14274" xr:uid="{00000000-0005-0000-0000-0000BB370000}"/>
    <cellStyle name="Comma 3" xfId="14275" xr:uid="{00000000-0005-0000-0000-0000BC370000}"/>
    <cellStyle name="Comma 3 10" xfId="14276" xr:uid="{00000000-0005-0000-0000-0000BD370000}"/>
    <cellStyle name="Comma 3 11" xfId="14277" xr:uid="{00000000-0005-0000-0000-0000BE370000}"/>
    <cellStyle name="Comma 3 12" xfId="14278" xr:uid="{00000000-0005-0000-0000-0000BF370000}"/>
    <cellStyle name="Comma 3 13" xfId="14279" xr:uid="{00000000-0005-0000-0000-0000C0370000}"/>
    <cellStyle name="Comma 3 14" xfId="14280" xr:uid="{00000000-0005-0000-0000-0000C1370000}"/>
    <cellStyle name="Comma 3 15" xfId="14281" xr:uid="{00000000-0005-0000-0000-0000C2370000}"/>
    <cellStyle name="Comma 3 16" xfId="14282" xr:uid="{00000000-0005-0000-0000-0000C3370000}"/>
    <cellStyle name="Comma 3 17" xfId="14283" xr:uid="{00000000-0005-0000-0000-0000C4370000}"/>
    <cellStyle name="Comma 3 18" xfId="14284" xr:uid="{00000000-0005-0000-0000-0000C5370000}"/>
    <cellStyle name="Comma 3 19" xfId="14285" xr:uid="{00000000-0005-0000-0000-0000C6370000}"/>
    <cellStyle name="Comma 3 2" xfId="14286" xr:uid="{00000000-0005-0000-0000-0000C7370000}"/>
    <cellStyle name="Comma 3 2 2" xfId="14287" xr:uid="{00000000-0005-0000-0000-0000C8370000}"/>
    <cellStyle name="Comma 3 2 2 2" xfId="14288" xr:uid="{00000000-0005-0000-0000-0000C9370000}"/>
    <cellStyle name="Comma 3 2 3" xfId="14289" xr:uid="{00000000-0005-0000-0000-0000CA370000}"/>
    <cellStyle name="Comma 3 2 3 2" xfId="14290" xr:uid="{00000000-0005-0000-0000-0000CB370000}"/>
    <cellStyle name="Comma 3 2 4" xfId="14291" xr:uid="{00000000-0005-0000-0000-0000CC370000}"/>
    <cellStyle name="Comma 3 20" xfId="14292" xr:uid="{00000000-0005-0000-0000-0000CD370000}"/>
    <cellStyle name="Comma 3 21" xfId="14293" xr:uid="{00000000-0005-0000-0000-0000CE370000}"/>
    <cellStyle name="Comma 3 22" xfId="14294" xr:uid="{00000000-0005-0000-0000-0000CF370000}"/>
    <cellStyle name="Comma 3 23" xfId="14295" xr:uid="{00000000-0005-0000-0000-0000D0370000}"/>
    <cellStyle name="Comma 3 24" xfId="14296" xr:uid="{00000000-0005-0000-0000-0000D1370000}"/>
    <cellStyle name="Comma 3 25" xfId="14297" xr:uid="{00000000-0005-0000-0000-0000D2370000}"/>
    <cellStyle name="Comma 3 26" xfId="14298" xr:uid="{00000000-0005-0000-0000-0000D3370000}"/>
    <cellStyle name="Comma 3 27" xfId="14299" xr:uid="{00000000-0005-0000-0000-0000D4370000}"/>
    <cellStyle name="Comma 3 28" xfId="14300" xr:uid="{00000000-0005-0000-0000-0000D5370000}"/>
    <cellStyle name="Comma 3 29" xfId="14301" xr:uid="{00000000-0005-0000-0000-0000D6370000}"/>
    <cellStyle name="Comma 3 3" xfId="14302" xr:uid="{00000000-0005-0000-0000-0000D7370000}"/>
    <cellStyle name="Comma 3 3 2" xfId="14303" xr:uid="{00000000-0005-0000-0000-0000D8370000}"/>
    <cellStyle name="Comma 3 3 2 2" xfId="14304" xr:uid="{00000000-0005-0000-0000-0000D9370000}"/>
    <cellStyle name="Comma 3 3 3" xfId="14305" xr:uid="{00000000-0005-0000-0000-0000DA370000}"/>
    <cellStyle name="Comma 3 3 3 2" xfId="14306" xr:uid="{00000000-0005-0000-0000-0000DB370000}"/>
    <cellStyle name="Comma 3 3 4" xfId="14307" xr:uid="{00000000-0005-0000-0000-0000DC370000}"/>
    <cellStyle name="Comma 3 30" xfId="14308" xr:uid="{00000000-0005-0000-0000-0000DD370000}"/>
    <cellStyle name="Comma 3 31" xfId="14309" xr:uid="{00000000-0005-0000-0000-0000DE370000}"/>
    <cellStyle name="Comma 3 32" xfId="14310" xr:uid="{00000000-0005-0000-0000-0000DF370000}"/>
    <cellStyle name="Comma 3 33" xfId="14311" xr:uid="{00000000-0005-0000-0000-0000E0370000}"/>
    <cellStyle name="Comma 3 34" xfId="14312" xr:uid="{00000000-0005-0000-0000-0000E1370000}"/>
    <cellStyle name="Comma 3 35" xfId="14313" xr:uid="{00000000-0005-0000-0000-0000E2370000}"/>
    <cellStyle name="Comma 3 36" xfId="14314" xr:uid="{00000000-0005-0000-0000-0000E3370000}"/>
    <cellStyle name="Comma 3 37" xfId="14315" xr:uid="{00000000-0005-0000-0000-0000E4370000}"/>
    <cellStyle name="Comma 3 38" xfId="14316" xr:uid="{00000000-0005-0000-0000-0000E5370000}"/>
    <cellStyle name="Comma 3 39" xfId="14317" xr:uid="{00000000-0005-0000-0000-0000E6370000}"/>
    <cellStyle name="Comma 3 4" xfId="14318" xr:uid="{00000000-0005-0000-0000-0000E7370000}"/>
    <cellStyle name="Comma 3 4 2" xfId="14319" xr:uid="{00000000-0005-0000-0000-0000E8370000}"/>
    <cellStyle name="Comma 3 4 2 2" xfId="14320" xr:uid="{00000000-0005-0000-0000-0000E9370000}"/>
    <cellStyle name="Comma 3 4 3" xfId="14321" xr:uid="{00000000-0005-0000-0000-0000EA370000}"/>
    <cellStyle name="Comma 3 4 3 2" xfId="14322" xr:uid="{00000000-0005-0000-0000-0000EB370000}"/>
    <cellStyle name="Comma 3 4 4" xfId="14323" xr:uid="{00000000-0005-0000-0000-0000EC370000}"/>
    <cellStyle name="Comma 3 40" xfId="14324" xr:uid="{00000000-0005-0000-0000-0000ED370000}"/>
    <cellStyle name="Comma 3 41" xfId="14325" xr:uid="{00000000-0005-0000-0000-0000EE370000}"/>
    <cellStyle name="Comma 3 42" xfId="14326" xr:uid="{00000000-0005-0000-0000-0000EF370000}"/>
    <cellStyle name="Comma 3 43" xfId="14327" xr:uid="{00000000-0005-0000-0000-0000F0370000}"/>
    <cellStyle name="Comma 3 44" xfId="14328" xr:uid="{00000000-0005-0000-0000-0000F1370000}"/>
    <cellStyle name="Comma 3 45" xfId="14329" xr:uid="{00000000-0005-0000-0000-0000F2370000}"/>
    <cellStyle name="Comma 3 46" xfId="14330" xr:uid="{00000000-0005-0000-0000-0000F3370000}"/>
    <cellStyle name="Comma 3 47" xfId="14331" xr:uid="{00000000-0005-0000-0000-0000F4370000}"/>
    <cellStyle name="Comma 3 48" xfId="14332" xr:uid="{00000000-0005-0000-0000-0000F5370000}"/>
    <cellStyle name="Comma 3 49" xfId="14333" xr:uid="{00000000-0005-0000-0000-0000F6370000}"/>
    <cellStyle name="Comma 3 5" xfId="14334" xr:uid="{00000000-0005-0000-0000-0000F7370000}"/>
    <cellStyle name="Comma 3 5 2" xfId="14335" xr:uid="{00000000-0005-0000-0000-0000F8370000}"/>
    <cellStyle name="Comma 3 5 3" xfId="14336" xr:uid="{00000000-0005-0000-0000-0000F9370000}"/>
    <cellStyle name="Comma 3 50" xfId="14337" xr:uid="{00000000-0005-0000-0000-0000FA370000}"/>
    <cellStyle name="Comma 3 51" xfId="14338" xr:uid="{00000000-0005-0000-0000-0000FB370000}"/>
    <cellStyle name="Comma 3 52" xfId="14339" xr:uid="{00000000-0005-0000-0000-0000FC370000}"/>
    <cellStyle name="Comma 3 53" xfId="14340" xr:uid="{00000000-0005-0000-0000-0000FD370000}"/>
    <cellStyle name="Comma 3 54" xfId="14341" xr:uid="{00000000-0005-0000-0000-0000FE370000}"/>
    <cellStyle name="Comma 3 55" xfId="14342" xr:uid="{00000000-0005-0000-0000-0000FF370000}"/>
    <cellStyle name="Comma 3 56" xfId="14343" xr:uid="{00000000-0005-0000-0000-000000380000}"/>
    <cellStyle name="Comma 3 57" xfId="14344" xr:uid="{00000000-0005-0000-0000-000001380000}"/>
    <cellStyle name="Comma 3 58" xfId="14345" xr:uid="{00000000-0005-0000-0000-000002380000}"/>
    <cellStyle name="Comma 3 59" xfId="14346" xr:uid="{00000000-0005-0000-0000-000003380000}"/>
    <cellStyle name="Comma 3 6" xfId="14347" xr:uid="{00000000-0005-0000-0000-000004380000}"/>
    <cellStyle name="Comma 3 6 2" xfId="14348" xr:uid="{00000000-0005-0000-0000-000005380000}"/>
    <cellStyle name="Comma 3 60" xfId="14349" xr:uid="{00000000-0005-0000-0000-000006380000}"/>
    <cellStyle name="Comma 3 61" xfId="14350" xr:uid="{00000000-0005-0000-0000-000007380000}"/>
    <cellStyle name="Comma 3 62" xfId="14351" xr:uid="{00000000-0005-0000-0000-000008380000}"/>
    <cellStyle name="Comma 3 63" xfId="14352" xr:uid="{00000000-0005-0000-0000-000009380000}"/>
    <cellStyle name="Comma 3 64" xfId="14353" xr:uid="{00000000-0005-0000-0000-00000A380000}"/>
    <cellStyle name="Comma 3 65" xfId="14354" xr:uid="{00000000-0005-0000-0000-00000B380000}"/>
    <cellStyle name="Comma 3 66" xfId="14355" xr:uid="{00000000-0005-0000-0000-00000C380000}"/>
    <cellStyle name="Comma 3 67" xfId="14356" xr:uid="{00000000-0005-0000-0000-00000D380000}"/>
    <cellStyle name="Comma 3 68" xfId="14357" xr:uid="{00000000-0005-0000-0000-00000E380000}"/>
    <cellStyle name="Comma 3 69" xfId="14358" xr:uid="{00000000-0005-0000-0000-00000F380000}"/>
    <cellStyle name="Comma 3 7" xfId="14359" xr:uid="{00000000-0005-0000-0000-000010380000}"/>
    <cellStyle name="Comma 3 7 2" xfId="14360" xr:uid="{00000000-0005-0000-0000-000011380000}"/>
    <cellStyle name="Comma 3 7 2 2" xfId="14361" xr:uid="{00000000-0005-0000-0000-000012380000}"/>
    <cellStyle name="Comma 3 7 2 2 2" xfId="14362" xr:uid="{00000000-0005-0000-0000-000013380000}"/>
    <cellStyle name="Comma 3 7 2 2 2 2" xfId="14363" xr:uid="{00000000-0005-0000-0000-000014380000}"/>
    <cellStyle name="Comma 3 7 2 2 3" xfId="14364" xr:uid="{00000000-0005-0000-0000-000015380000}"/>
    <cellStyle name="Comma 3 7 2 3" xfId="14365" xr:uid="{00000000-0005-0000-0000-000016380000}"/>
    <cellStyle name="Comma 3 7 2 3 2" xfId="14366" xr:uid="{00000000-0005-0000-0000-000017380000}"/>
    <cellStyle name="Comma 3 7 2 4" xfId="14367" xr:uid="{00000000-0005-0000-0000-000018380000}"/>
    <cellStyle name="Comma 3 7 3" xfId="14368" xr:uid="{00000000-0005-0000-0000-000019380000}"/>
    <cellStyle name="Comma 3 7 3 2" xfId="14369" xr:uid="{00000000-0005-0000-0000-00001A380000}"/>
    <cellStyle name="Comma 3 7 3 2 2" xfId="14370" xr:uid="{00000000-0005-0000-0000-00001B380000}"/>
    <cellStyle name="Comma 3 7 3 3" xfId="14371" xr:uid="{00000000-0005-0000-0000-00001C380000}"/>
    <cellStyle name="Comma 3 7 4" xfId="14372" xr:uid="{00000000-0005-0000-0000-00001D380000}"/>
    <cellStyle name="Comma 3 7 4 2" xfId="14373" xr:uid="{00000000-0005-0000-0000-00001E380000}"/>
    <cellStyle name="Comma 3 7 5" xfId="14374" xr:uid="{00000000-0005-0000-0000-00001F380000}"/>
    <cellStyle name="Comma 3 7 6" xfId="14375" xr:uid="{00000000-0005-0000-0000-000020380000}"/>
    <cellStyle name="Comma 3 70" xfId="14376" xr:uid="{00000000-0005-0000-0000-000021380000}"/>
    <cellStyle name="Comma 3 71" xfId="14377" xr:uid="{00000000-0005-0000-0000-000022380000}"/>
    <cellStyle name="Comma 3 72" xfId="14378" xr:uid="{00000000-0005-0000-0000-000023380000}"/>
    <cellStyle name="Comma 3 73" xfId="14379" xr:uid="{00000000-0005-0000-0000-000024380000}"/>
    <cellStyle name="Comma 3 74" xfId="14380" xr:uid="{00000000-0005-0000-0000-000025380000}"/>
    <cellStyle name="Comma 3 75" xfId="14381" xr:uid="{00000000-0005-0000-0000-000026380000}"/>
    <cellStyle name="Comma 3 76" xfId="14382" xr:uid="{00000000-0005-0000-0000-000027380000}"/>
    <cellStyle name="Comma 3 77" xfId="14383" xr:uid="{00000000-0005-0000-0000-000028380000}"/>
    <cellStyle name="Comma 3 78" xfId="14384" xr:uid="{00000000-0005-0000-0000-000029380000}"/>
    <cellStyle name="Comma 3 79" xfId="14385" xr:uid="{00000000-0005-0000-0000-00002A380000}"/>
    <cellStyle name="Comma 3 8" xfId="14386" xr:uid="{00000000-0005-0000-0000-00002B380000}"/>
    <cellStyle name="Comma 3 80" xfId="14387" xr:uid="{00000000-0005-0000-0000-00002C380000}"/>
    <cellStyle name="Comma 3 81" xfId="14388" xr:uid="{00000000-0005-0000-0000-00002D380000}"/>
    <cellStyle name="Comma 3 82" xfId="14389" xr:uid="{00000000-0005-0000-0000-00002E380000}"/>
    <cellStyle name="Comma 3 83" xfId="14390" xr:uid="{00000000-0005-0000-0000-00002F380000}"/>
    <cellStyle name="Comma 3 84" xfId="14391" xr:uid="{00000000-0005-0000-0000-000030380000}"/>
    <cellStyle name="Comma 3 84 2" xfId="14392" xr:uid="{00000000-0005-0000-0000-000031380000}"/>
    <cellStyle name="Comma 3 84 3" xfId="14393" xr:uid="{00000000-0005-0000-0000-000032380000}"/>
    <cellStyle name="Comma 3 85" xfId="14394" xr:uid="{00000000-0005-0000-0000-000033380000}"/>
    <cellStyle name="Comma 3 86" xfId="14395" xr:uid="{00000000-0005-0000-0000-000034380000}"/>
    <cellStyle name="Comma 3 86 2" xfId="14396" xr:uid="{00000000-0005-0000-0000-000035380000}"/>
    <cellStyle name="Comma 3 87" xfId="14397" xr:uid="{00000000-0005-0000-0000-000036380000}"/>
    <cellStyle name="Comma 3 88" xfId="14398" xr:uid="{00000000-0005-0000-0000-000037380000}"/>
    <cellStyle name="Comma 3 9" xfId="14399" xr:uid="{00000000-0005-0000-0000-000038380000}"/>
    <cellStyle name="Comma 30" xfId="14400" xr:uid="{00000000-0005-0000-0000-000039380000}"/>
    <cellStyle name="Comma 31" xfId="14401" xr:uid="{00000000-0005-0000-0000-00003A380000}"/>
    <cellStyle name="Comma 32" xfId="14402" xr:uid="{00000000-0005-0000-0000-00003B380000}"/>
    <cellStyle name="Comma 33" xfId="14403" xr:uid="{00000000-0005-0000-0000-00003C380000}"/>
    <cellStyle name="Comma 4" xfId="14404" xr:uid="{00000000-0005-0000-0000-00003D380000}"/>
    <cellStyle name="Comma 4 2" xfId="14405" xr:uid="{00000000-0005-0000-0000-00003E380000}"/>
    <cellStyle name="Comma 4 2 2" xfId="14406" xr:uid="{00000000-0005-0000-0000-00003F380000}"/>
    <cellStyle name="Comma 4 2 2 2" xfId="14407" xr:uid="{00000000-0005-0000-0000-000040380000}"/>
    <cellStyle name="Comma 4 2 2 2 2" xfId="14408" xr:uid="{00000000-0005-0000-0000-000041380000}"/>
    <cellStyle name="Comma 4 2 2 2 3" xfId="14409" xr:uid="{00000000-0005-0000-0000-000042380000}"/>
    <cellStyle name="Comma 4 2 2 3" xfId="14410" xr:uid="{00000000-0005-0000-0000-000043380000}"/>
    <cellStyle name="Comma 4 2 2 4" xfId="14411" xr:uid="{00000000-0005-0000-0000-000044380000}"/>
    <cellStyle name="Comma 4 3" xfId="14412" xr:uid="{00000000-0005-0000-0000-000045380000}"/>
    <cellStyle name="Comma 4 4" xfId="14413" xr:uid="{00000000-0005-0000-0000-000046380000}"/>
    <cellStyle name="Comma 4 4 2" xfId="14414" xr:uid="{00000000-0005-0000-0000-000047380000}"/>
    <cellStyle name="Comma 4 4 2 2" xfId="14415" xr:uid="{00000000-0005-0000-0000-000048380000}"/>
    <cellStyle name="Comma 4 4 2 2 2" xfId="14416" xr:uid="{00000000-0005-0000-0000-000049380000}"/>
    <cellStyle name="Comma 4 4 2 3" xfId="14417" xr:uid="{00000000-0005-0000-0000-00004A380000}"/>
    <cellStyle name="Comma 4 4 3" xfId="14418" xr:uid="{00000000-0005-0000-0000-00004B380000}"/>
    <cellStyle name="Comma 4 4 3 2" xfId="14419" xr:uid="{00000000-0005-0000-0000-00004C380000}"/>
    <cellStyle name="Comma 4 4 4" xfId="14420" xr:uid="{00000000-0005-0000-0000-00004D380000}"/>
    <cellStyle name="Comma 4 5" xfId="14421" xr:uid="{00000000-0005-0000-0000-00004E380000}"/>
    <cellStyle name="Comma 4 5 2" xfId="14422" xr:uid="{00000000-0005-0000-0000-00004F380000}"/>
    <cellStyle name="Comma 4 5 2 2" xfId="14423" xr:uid="{00000000-0005-0000-0000-000050380000}"/>
    <cellStyle name="Comma 4 5 2 3" xfId="14424" xr:uid="{00000000-0005-0000-0000-000051380000}"/>
    <cellStyle name="Comma 4 5 3" xfId="14425" xr:uid="{00000000-0005-0000-0000-000052380000}"/>
    <cellStyle name="Comma 4 5 4" xfId="14426" xr:uid="{00000000-0005-0000-0000-000053380000}"/>
    <cellStyle name="Comma 4 6" xfId="14427" xr:uid="{00000000-0005-0000-0000-000054380000}"/>
    <cellStyle name="Comma 4 6 2" xfId="14428" xr:uid="{00000000-0005-0000-0000-000055380000}"/>
    <cellStyle name="Comma 4 6 2 2" xfId="14429" xr:uid="{00000000-0005-0000-0000-000056380000}"/>
    <cellStyle name="Comma 4 6 2 3" xfId="14430" xr:uid="{00000000-0005-0000-0000-000057380000}"/>
    <cellStyle name="Comma 4 6 3" xfId="14431" xr:uid="{00000000-0005-0000-0000-000058380000}"/>
    <cellStyle name="Comma 4 6 4" xfId="14432" xr:uid="{00000000-0005-0000-0000-000059380000}"/>
    <cellStyle name="Comma 4 7" xfId="14433" xr:uid="{00000000-0005-0000-0000-00005A380000}"/>
    <cellStyle name="Comma 4 7 2" xfId="14434" xr:uid="{00000000-0005-0000-0000-00005B380000}"/>
    <cellStyle name="Comma 5" xfId="14435" xr:uid="{00000000-0005-0000-0000-00005C380000}"/>
    <cellStyle name="Comma 5 2" xfId="14436" xr:uid="{00000000-0005-0000-0000-00005D380000}"/>
    <cellStyle name="Comma 5 3" xfId="14437" xr:uid="{00000000-0005-0000-0000-00005E380000}"/>
    <cellStyle name="Comma 5 3 2" xfId="14438" xr:uid="{00000000-0005-0000-0000-00005F380000}"/>
    <cellStyle name="Comma 5 4" xfId="14439" xr:uid="{00000000-0005-0000-0000-000060380000}"/>
    <cellStyle name="Comma 5 4 2" xfId="14440" xr:uid="{00000000-0005-0000-0000-000061380000}"/>
    <cellStyle name="Comma 5 4 2 2" xfId="14441" xr:uid="{00000000-0005-0000-0000-000062380000}"/>
    <cellStyle name="Comma 5 4 2 3" xfId="14442" xr:uid="{00000000-0005-0000-0000-000063380000}"/>
    <cellStyle name="Comma 5 4 3" xfId="14443" xr:uid="{00000000-0005-0000-0000-000064380000}"/>
    <cellStyle name="Comma 5 4 4" xfId="14444" xr:uid="{00000000-0005-0000-0000-000065380000}"/>
    <cellStyle name="Comma 5 5" xfId="14445" xr:uid="{00000000-0005-0000-0000-000066380000}"/>
    <cellStyle name="Comma 5 6" xfId="14446" xr:uid="{00000000-0005-0000-0000-000067380000}"/>
    <cellStyle name="Comma 5 6 2" xfId="14447" xr:uid="{00000000-0005-0000-0000-000068380000}"/>
    <cellStyle name="Comma 5 6 3" xfId="14448" xr:uid="{00000000-0005-0000-0000-000069380000}"/>
    <cellStyle name="Comma 5 7" xfId="14449" xr:uid="{00000000-0005-0000-0000-00006A380000}"/>
    <cellStyle name="Comma 5 7 2" xfId="14450" xr:uid="{00000000-0005-0000-0000-00006B380000}"/>
    <cellStyle name="Comma 5 7 3" xfId="14451" xr:uid="{00000000-0005-0000-0000-00006C380000}"/>
    <cellStyle name="Comma 5 8" xfId="14452" xr:uid="{00000000-0005-0000-0000-00006D380000}"/>
    <cellStyle name="Comma 5 9" xfId="14453" xr:uid="{00000000-0005-0000-0000-00006E380000}"/>
    <cellStyle name="Comma 6" xfId="14454" xr:uid="{00000000-0005-0000-0000-00006F380000}"/>
    <cellStyle name="Comma 6 2" xfId="14455" xr:uid="{00000000-0005-0000-0000-000070380000}"/>
    <cellStyle name="Comma 6 2 2" xfId="14456" xr:uid="{00000000-0005-0000-0000-000071380000}"/>
    <cellStyle name="Comma 6 2 3" xfId="14457" xr:uid="{00000000-0005-0000-0000-000072380000}"/>
    <cellStyle name="Comma 6 3" xfId="14458" xr:uid="{00000000-0005-0000-0000-000073380000}"/>
    <cellStyle name="Comma 6 3 2" xfId="14459" xr:uid="{00000000-0005-0000-0000-000074380000}"/>
    <cellStyle name="Comma 6 3 3" xfId="14460" xr:uid="{00000000-0005-0000-0000-000075380000}"/>
    <cellStyle name="Comma 6 4" xfId="14461" xr:uid="{00000000-0005-0000-0000-000076380000}"/>
    <cellStyle name="Comma 7" xfId="14462" xr:uid="{00000000-0005-0000-0000-000077380000}"/>
    <cellStyle name="Comma 7 2" xfId="14463" xr:uid="{00000000-0005-0000-0000-000078380000}"/>
    <cellStyle name="Comma 7 2 2" xfId="14464" xr:uid="{00000000-0005-0000-0000-000079380000}"/>
    <cellStyle name="Comma 7 3" xfId="14465" xr:uid="{00000000-0005-0000-0000-00007A380000}"/>
    <cellStyle name="Comma 7 4" xfId="14466" xr:uid="{00000000-0005-0000-0000-00007B380000}"/>
    <cellStyle name="Comma 8" xfId="14467" xr:uid="{00000000-0005-0000-0000-00007C380000}"/>
    <cellStyle name="Comma 8 2" xfId="14468" xr:uid="{00000000-0005-0000-0000-00007D380000}"/>
    <cellStyle name="Comma 8 2 2" xfId="14469" xr:uid="{00000000-0005-0000-0000-00007E380000}"/>
    <cellStyle name="Comma 8 3" xfId="14470" xr:uid="{00000000-0005-0000-0000-00007F380000}"/>
    <cellStyle name="Comma 9" xfId="14471" xr:uid="{00000000-0005-0000-0000-000080380000}"/>
    <cellStyle name="Comma 9 2" xfId="14472" xr:uid="{00000000-0005-0000-0000-000081380000}"/>
    <cellStyle name="Comma 9 2 2" xfId="14473" xr:uid="{00000000-0005-0000-0000-000082380000}"/>
    <cellStyle name="Comma 9 2 3" xfId="14474" xr:uid="{00000000-0005-0000-0000-000083380000}"/>
    <cellStyle name="Comma 9 3" xfId="14475" xr:uid="{00000000-0005-0000-0000-000084380000}"/>
    <cellStyle name="Comma 9 4" xfId="14476" xr:uid="{00000000-0005-0000-0000-000085380000}"/>
    <cellStyle name="Comma 9 5" xfId="14477" xr:uid="{00000000-0005-0000-0000-000086380000}"/>
    <cellStyle name="Comma0" xfId="14478" xr:uid="{00000000-0005-0000-0000-000087380000}"/>
    <cellStyle name="Comma0 - Modelo1" xfId="14479" xr:uid="{00000000-0005-0000-0000-000088380000}"/>
    <cellStyle name="Comma0 - Style1" xfId="14480" xr:uid="{00000000-0005-0000-0000-000089380000}"/>
    <cellStyle name="Comma0 2" xfId="14481" xr:uid="{00000000-0005-0000-0000-00008A380000}"/>
    <cellStyle name="Comma0 2 2" xfId="14482" xr:uid="{00000000-0005-0000-0000-00008B380000}"/>
    <cellStyle name="Comma0 3" xfId="14483" xr:uid="{00000000-0005-0000-0000-00008C380000}"/>
    <cellStyle name="Comma0 4" xfId="14484" xr:uid="{00000000-0005-0000-0000-00008D380000}"/>
    <cellStyle name="Comma0 5" xfId="14485" xr:uid="{00000000-0005-0000-0000-00008E380000}"/>
    <cellStyle name="Comma0 6" xfId="14486" xr:uid="{00000000-0005-0000-0000-00008F380000}"/>
    <cellStyle name="Comma0 7" xfId="14487" xr:uid="{00000000-0005-0000-0000-000090380000}"/>
    <cellStyle name="Comma0 8" xfId="14488" xr:uid="{00000000-0005-0000-0000-000091380000}"/>
    <cellStyle name="Comma0_3 SAIC Infrastructure Services Pricing Tables Security Operations 09April2008" xfId="14489" xr:uid="{00000000-0005-0000-0000-000092380000}"/>
    <cellStyle name="Comma1 - Modelo2" xfId="14490" xr:uid="{00000000-0005-0000-0000-000093380000}"/>
    <cellStyle name="Comma1 - Style2" xfId="14491" xr:uid="{00000000-0005-0000-0000-000094380000}"/>
    <cellStyle name="CommaSimple" xfId="14492" xr:uid="{00000000-0005-0000-0000-000095380000}"/>
    <cellStyle name="Comment" xfId="14493" xr:uid="{00000000-0005-0000-0000-000096380000}"/>
    <cellStyle name="Copied" xfId="14494" xr:uid="{00000000-0005-0000-0000-000097380000}"/>
    <cellStyle name="Currency" xfId="2" builtinId="4"/>
    <cellStyle name="Currency ($)" xfId="14495" xr:uid="{00000000-0005-0000-0000-000099380000}"/>
    <cellStyle name="Currency [00]" xfId="14496" xr:uid="{00000000-0005-0000-0000-00009A380000}"/>
    <cellStyle name="Currency 10" xfId="14497" xr:uid="{00000000-0005-0000-0000-00009B380000}"/>
    <cellStyle name="Currency 10 2" xfId="14498" xr:uid="{00000000-0005-0000-0000-00009C380000}"/>
    <cellStyle name="Currency 10 2 2" xfId="14499" xr:uid="{00000000-0005-0000-0000-00009D380000}"/>
    <cellStyle name="Currency 10 2 2 2" xfId="14500" xr:uid="{00000000-0005-0000-0000-00009E380000}"/>
    <cellStyle name="Currency 10 2 2 2 2" xfId="14501" xr:uid="{00000000-0005-0000-0000-00009F380000}"/>
    <cellStyle name="Currency 10 2 2 3" xfId="14502" xr:uid="{00000000-0005-0000-0000-0000A0380000}"/>
    <cellStyle name="Currency 10 2 3" xfId="14503" xr:uid="{00000000-0005-0000-0000-0000A1380000}"/>
    <cellStyle name="Currency 10 2 3 2" xfId="14504" xr:uid="{00000000-0005-0000-0000-0000A2380000}"/>
    <cellStyle name="Currency 10 2 4" xfId="14505" xr:uid="{00000000-0005-0000-0000-0000A3380000}"/>
    <cellStyle name="Currency 10 3" xfId="14506" xr:uid="{00000000-0005-0000-0000-0000A4380000}"/>
    <cellStyle name="Currency 10 3 2" xfId="14507" xr:uid="{00000000-0005-0000-0000-0000A5380000}"/>
    <cellStyle name="Currency 10 3 2 2" xfId="14508" xr:uid="{00000000-0005-0000-0000-0000A6380000}"/>
    <cellStyle name="Currency 10 3 3" xfId="14509" xr:uid="{00000000-0005-0000-0000-0000A7380000}"/>
    <cellStyle name="Currency 10 4" xfId="14510" xr:uid="{00000000-0005-0000-0000-0000A8380000}"/>
    <cellStyle name="Currency 10 4 2" xfId="14511" xr:uid="{00000000-0005-0000-0000-0000A9380000}"/>
    <cellStyle name="Currency 10 5" xfId="14512" xr:uid="{00000000-0005-0000-0000-0000AA380000}"/>
    <cellStyle name="Currency 10 6" xfId="14513" xr:uid="{00000000-0005-0000-0000-0000AB380000}"/>
    <cellStyle name="Currency 11" xfId="14514" xr:uid="{00000000-0005-0000-0000-0000AC380000}"/>
    <cellStyle name="Currency 11 2" xfId="14515" xr:uid="{00000000-0005-0000-0000-0000AD380000}"/>
    <cellStyle name="Currency 11 2 2" xfId="14516" xr:uid="{00000000-0005-0000-0000-0000AE380000}"/>
    <cellStyle name="Currency 11 2 2 2" xfId="14517" xr:uid="{00000000-0005-0000-0000-0000AF380000}"/>
    <cellStyle name="Currency 11 2 2 2 2" xfId="14518" xr:uid="{00000000-0005-0000-0000-0000B0380000}"/>
    <cellStyle name="Currency 11 2 2 3" xfId="14519" xr:uid="{00000000-0005-0000-0000-0000B1380000}"/>
    <cellStyle name="Currency 11 2 3" xfId="14520" xr:uid="{00000000-0005-0000-0000-0000B2380000}"/>
    <cellStyle name="Currency 11 2 3 2" xfId="14521" xr:uid="{00000000-0005-0000-0000-0000B3380000}"/>
    <cellStyle name="Currency 11 2 4" xfId="14522" xr:uid="{00000000-0005-0000-0000-0000B4380000}"/>
    <cellStyle name="Currency 11 3" xfId="14523" xr:uid="{00000000-0005-0000-0000-0000B5380000}"/>
    <cellStyle name="Currency 11 3 2" xfId="14524" xr:uid="{00000000-0005-0000-0000-0000B6380000}"/>
    <cellStyle name="Currency 11 3 2 2" xfId="14525" xr:uid="{00000000-0005-0000-0000-0000B7380000}"/>
    <cellStyle name="Currency 11 3 3" xfId="14526" xr:uid="{00000000-0005-0000-0000-0000B8380000}"/>
    <cellStyle name="Currency 11 4" xfId="14527" xr:uid="{00000000-0005-0000-0000-0000B9380000}"/>
    <cellStyle name="Currency 11 4 2" xfId="14528" xr:uid="{00000000-0005-0000-0000-0000BA380000}"/>
    <cellStyle name="Currency 11 5" xfId="14529" xr:uid="{00000000-0005-0000-0000-0000BB380000}"/>
    <cellStyle name="Currency 11 6" xfId="14530" xr:uid="{00000000-0005-0000-0000-0000BC380000}"/>
    <cellStyle name="Currency 12" xfId="14531" xr:uid="{00000000-0005-0000-0000-0000BD380000}"/>
    <cellStyle name="Currency 12 2" xfId="14532" xr:uid="{00000000-0005-0000-0000-0000BE380000}"/>
    <cellStyle name="Currency 12 2 2" xfId="14533" xr:uid="{00000000-0005-0000-0000-0000BF380000}"/>
    <cellStyle name="Currency 12 2 2 2" xfId="14534" xr:uid="{00000000-0005-0000-0000-0000C0380000}"/>
    <cellStyle name="Currency 12 2 2 2 2" xfId="14535" xr:uid="{00000000-0005-0000-0000-0000C1380000}"/>
    <cellStyle name="Currency 12 2 2 3" xfId="14536" xr:uid="{00000000-0005-0000-0000-0000C2380000}"/>
    <cellStyle name="Currency 12 2 3" xfId="14537" xr:uid="{00000000-0005-0000-0000-0000C3380000}"/>
    <cellStyle name="Currency 12 2 3 2" xfId="14538" xr:uid="{00000000-0005-0000-0000-0000C4380000}"/>
    <cellStyle name="Currency 12 2 4" xfId="14539" xr:uid="{00000000-0005-0000-0000-0000C5380000}"/>
    <cellStyle name="Currency 12 2 5" xfId="14540" xr:uid="{00000000-0005-0000-0000-0000C6380000}"/>
    <cellStyle name="Currency 12 3" xfId="14541" xr:uid="{00000000-0005-0000-0000-0000C7380000}"/>
    <cellStyle name="Currency 12 3 2" xfId="14542" xr:uid="{00000000-0005-0000-0000-0000C8380000}"/>
    <cellStyle name="Currency 12 3 2 2" xfId="14543" xr:uid="{00000000-0005-0000-0000-0000C9380000}"/>
    <cellStyle name="Currency 12 3 3" xfId="14544" xr:uid="{00000000-0005-0000-0000-0000CA380000}"/>
    <cellStyle name="Currency 12 3 4" xfId="14545" xr:uid="{00000000-0005-0000-0000-0000CB380000}"/>
    <cellStyle name="Currency 12 4" xfId="14546" xr:uid="{00000000-0005-0000-0000-0000CC380000}"/>
    <cellStyle name="Currency 12 4 2" xfId="14547" xr:uid="{00000000-0005-0000-0000-0000CD380000}"/>
    <cellStyle name="Currency 12 4 3" xfId="14548" xr:uid="{00000000-0005-0000-0000-0000CE380000}"/>
    <cellStyle name="Currency 12 5" xfId="14549" xr:uid="{00000000-0005-0000-0000-0000CF380000}"/>
    <cellStyle name="Currency 12 5 2" xfId="14550" xr:uid="{00000000-0005-0000-0000-0000D0380000}"/>
    <cellStyle name="Currency 12 6" xfId="14551" xr:uid="{00000000-0005-0000-0000-0000D1380000}"/>
    <cellStyle name="Currency 13" xfId="14552" xr:uid="{00000000-0005-0000-0000-0000D2380000}"/>
    <cellStyle name="Currency 13 2" xfId="14553" xr:uid="{00000000-0005-0000-0000-0000D3380000}"/>
    <cellStyle name="Currency 14" xfId="14554" xr:uid="{00000000-0005-0000-0000-0000D4380000}"/>
    <cellStyle name="Currency 14 2" xfId="14555" xr:uid="{00000000-0005-0000-0000-0000D5380000}"/>
    <cellStyle name="Currency 14 2 2" xfId="14556" xr:uid="{00000000-0005-0000-0000-0000D6380000}"/>
    <cellStyle name="Currency 14 2 3" xfId="14557" xr:uid="{00000000-0005-0000-0000-0000D7380000}"/>
    <cellStyle name="Currency 14 3" xfId="14558" xr:uid="{00000000-0005-0000-0000-0000D8380000}"/>
    <cellStyle name="Currency 14 4" xfId="14559" xr:uid="{00000000-0005-0000-0000-0000D9380000}"/>
    <cellStyle name="Currency 15" xfId="14560" xr:uid="{00000000-0005-0000-0000-0000DA380000}"/>
    <cellStyle name="Currency 15 2" xfId="14561" xr:uid="{00000000-0005-0000-0000-0000DB380000}"/>
    <cellStyle name="Currency 15 2 2" xfId="14562" xr:uid="{00000000-0005-0000-0000-0000DC380000}"/>
    <cellStyle name="Currency 15 2 3" xfId="14563" xr:uid="{00000000-0005-0000-0000-0000DD380000}"/>
    <cellStyle name="Currency 15 3" xfId="14564" xr:uid="{00000000-0005-0000-0000-0000DE380000}"/>
    <cellStyle name="Currency 15 4" xfId="14565" xr:uid="{00000000-0005-0000-0000-0000DF380000}"/>
    <cellStyle name="Currency 16" xfId="14566" xr:uid="{00000000-0005-0000-0000-0000E0380000}"/>
    <cellStyle name="Currency 16 2" xfId="14567" xr:uid="{00000000-0005-0000-0000-0000E1380000}"/>
    <cellStyle name="Currency 17" xfId="14568" xr:uid="{00000000-0005-0000-0000-0000E2380000}"/>
    <cellStyle name="Currency 17 2" xfId="14569" xr:uid="{00000000-0005-0000-0000-0000E3380000}"/>
    <cellStyle name="Currency 18" xfId="14570" xr:uid="{00000000-0005-0000-0000-0000E4380000}"/>
    <cellStyle name="Currency 18 2" xfId="14571" xr:uid="{00000000-0005-0000-0000-0000E5380000}"/>
    <cellStyle name="Currency 18 3" xfId="14572" xr:uid="{00000000-0005-0000-0000-0000E6380000}"/>
    <cellStyle name="Currency 19" xfId="14573" xr:uid="{00000000-0005-0000-0000-0000E7380000}"/>
    <cellStyle name="Currency 19 2" xfId="14574" xr:uid="{00000000-0005-0000-0000-0000E8380000}"/>
    <cellStyle name="Currency 19 3" xfId="14575" xr:uid="{00000000-0005-0000-0000-0000E9380000}"/>
    <cellStyle name="Currency 2" xfId="14576" xr:uid="{00000000-0005-0000-0000-0000EA380000}"/>
    <cellStyle name="Currency 2 10" xfId="14577" xr:uid="{00000000-0005-0000-0000-0000EB380000}"/>
    <cellStyle name="Currency 2 11" xfId="14578" xr:uid="{00000000-0005-0000-0000-0000EC380000}"/>
    <cellStyle name="Currency 2 12" xfId="14579" xr:uid="{00000000-0005-0000-0000-0000ED380000}"/>
    <cellStyle name="Currency 2 13" xfId="14580" xr:uid="{00000000-0005-0000-0000-0000EE380000}"/>
    <cellStyle name="Currency 2 14" xfId="14581" xr:uid="{00000000-0005-0000-0000-0000EF380000}"/>
    <cellStyle name="Currency 2 15" xfId="14582" xr:uid="{00000000-0005-0000-0000-0000F0380000}"/>
    <cellStyle name="Currency 2 16" xfId="14583" xr:uid="{00000000-0005-0000-0000-0000F1380000}"/>
    <cellStyle name="Currency 2 17" xfId="14584" xr:uid="{00000000-0005-0000-0000-0000F2380000}"/>
    <cellStyle name="Currency 2 18" xfId="14585" xr:uid="{00000000-0005-0000-0000-0000F3380000}"/>
    <cellStyle name="Currency 2 19" xfId="14586" xr:uid="{00000000-0005-0000-0000-0000F4380000}"/>
    <cellStyle name="Currency 2 2" xfId="14587" xr:uid="{00000000-0005-0000-0000-0000F5380000}"/>
    <cellStyle name="Currency 2 2 2" xfId="14588" xr:uid="{00000000-0005-0000-0000-0000F6380000}"/>
    <cellStyle name="Currency 2 2 3" xfId="14589" xr:uid="{00000000-0005-0000-0000-0000F7380000}"/>
    <cellStyle name="Currency 2 2 4" xfId="14590" xr:uid="{00000000-0005-0000-0000-0000F8380000}"/>
    <cellStyle name="Currency 2 2 5" xfId="14591" xr:uid="{00000000-0005-0000-0000-0000F9380000}"/>
    <cellStyle name="Currency 2 20" xfId="14592" xr:uid="{00000000-0005-0000-0000-0000FA380000}"/>
    <cellStyle name="Currency 2 21" xfId="14593" xr:uid="{00000000-0005-0000-0000-0000FB380000}"/>
    <cellStyle name="Currency 2 22" xfId="14594" xr:uid="{00000000-0005-0000-0000-0000FC380000}"/>
    <cellStyle name="Currency 2 23" xfId="14595" xr:uid="{00000000-0005-0000-0000-0000FD380000}"/>
    <cellStyle name="Currency 2 24" xfId="14596" xr:uid="{00000000-0005-0000-0000-0000FE380000}"/>
    <cellStyle name="Currency 2 3" xfId="14597" xr:uid="{00000000-0005-0000-0000-0000FF380000}"/>
    <cellStyle name="Currency 2 3 2" xfId="14598" xr:uid="{00000000-0005-0000-0000-000000390000}"/>
    <cellStyle name="Currency 2 3 2 2" xfId="14599" xr:uid="{00000000-0005-0000-0000-000001390000}"/>
    <cellStyle name="Currency 2 3 2 3" xfId="14600" xr:uid="{00000000-0005-0000-0000-000002390000}"/>
    <cellStyle name="Currency 2 4" xfId="14601" xr:uid="{00000000-0005-0000-0000-000003390000}"/>
    <cellStyle name="Currency 2 4 2" xfId="14602" xr:uid="{00000000-0005-0000-0000-000004390000}"/>
    <cellStyle name="Currency 2 5" xfId="14603" xr:uid="{00000000-0005-0000-0000-000005390000}"/>
    <cellStyle name="Currency 2 5 2" xfId="14604" xr:uid="{00000000-0005-0000-0000-000006390000}"/>
    <cellStyle name="Currency 2 5 2 2" xfId="14605" xr:uid="{00000000-0005-0000-0000-000007390000}"/>
    <cellStyle name="Currency 2 5 2 2 2" xfId="14606" xr:uid="{00000000-0005-0000-0000-000008390000}"/>
    <cellStyle name="Currency 2 5 2 3" xfId="14607" xr:uid="{00000000-0005-0000-0000-000009390000}"/>
    <cellStyle name="Currency 2 5 3" xfId="14608" xr:uid="{00000000-0005-0000-0000-00000A390000}"/>
    <cellStyle name="Currency 2 5 3 2" xfId="14609" xr:uid="{00000000-0005-0000-0000-00000B390000}"/>
    <cellStyle name="Currency 2 5 4" xfId="14610" xr:uid="{00000000-0005-0000-0000-00000C390000}"/>
    <cellStyle name="Currency 2 5 5" xfId="14611" xr:uid="{00000000-0005-0000-0000-00000D390000}"/>
    <cellStyle name="Currency 2 6" xfId="14612" xr:uid="{00000000-0005-0000-0000-00000E390000}"/>
    <cellStyle name="Currency 2 6 2" xfId="14613" xr:uid="{00000000-0005-0000-0000-00000F390000}"/>
    <cellStyle name="Currency 2 6 2 2" xfId="14614" xr:uid="{00000000-0005-0000-0000-000010390000}"/>
    <cellStyle name="Currency 2 6 3" xfId="14615" xr:uid="{00000000-0005-0000-0000-000011390000}"/>
    <cellStyle name="Currency 2 6 4" xfId="14616" xr:uid="{00000000-0005-0000-0000-000012390000}"/>
    <cellStyle name="Currency 2 7" xfId="14617" xr:uid="{00000000-0005-0000-0000-000013390000}"/>
    <cellStyle name="Currency 2 7 2" xfId="14618" xr:uid="{00000000-0005-0000-0000-000014390000}"/>
    <cellStyle name="Currency 2 7 3" xfId="14619" xr:uid="{00000000-0005-0000-0000-000015390000}"/>
    <cellStyle name="Currency 2 8" xfId="14620" xr:uid="{00000000-0005-0000-0000-000016390000}"/>
    <cellStyle name="Currency 2 8 2" xfId="14621" xr:uid="{00000000-0005-0000-0000-000017390000}"/>
    <cellStyle name="Currency 2 9" xfId="14622" xr:uid="{00000000-0005-0000-0000-000018390000}"/>
    <cellStyle name="Currency 20" xfId="14623" xr:uid="{00000000-0005-0000-0000-000019390000}"/>
    <cellStyle name="Currency 20 2" xfId="14624" xr:uid="{00000000-0005-0000-0000-00001A390000}"/>
    <cellStyle name="Currency 20 3" xfId="14625" xr:uid="{00000000-0005-0000-0000-00001B390000}"/>
    <cellStyle name="Currency 21" xfId="14626" xr:uid="{00000000-0005-0000-0000-00001C390000}"/>
    <cellStyle name="Currency 21 2" xfId="14627" xr:uid="{00000000-0005-0000-0000-00001D390000}"/>
    <cellStyle name="Currency 21 3" xfId="14628" xr:uid="{00000000-0005-0000-0000-00001E390000}"/>
    <cellStyle name="Currency 22" xfId="14629" xr:uid="{00000000-0005-0000-0000-00001F390000}"/>
    <cellStyle name="Currency 22 2" xfId="14630" xr:uid="{00000000-0005-0000-0000-000020390000}"/>
    <cellStyle name="Currency 22 3" xfId="14631" xr:uid="{00000000-0005-0000-0000-000021390000}"/>
    <cellStyle name="Currency 23" xfId="14632" xr:uid="{00000000-0005-0000-0000-000022390000}"/>
    <cellStyle name="Currency 23 2" xfId="14633" xr:uid="{00000000-0005-0000-0000-000023390000}"/>
    <cellStyle name="Currency 23 3" xfId="14634" xr:uid="{00000000-0005-0000-0000-000024390000}"/>
    <cellStyle name="Currency 24" xfId="14635" xr:uid="{00000000-0005-0000-0000-000025390000}"/>
    <cellStyle name="Currency 24 2" xfId="14636" xr:uid="{00000000-0005-0000-0000-000026390000}"/>
    <cellStyle name="Currency 24 3" xfId="14637" xr:uid="{00000000-0005-0000-0000-000027390000}"/>
    <cellStyle name="Currency 25" xfId="14638" xr:uid="{00000000-0005-0000-0000-000028390000}"/>
    <cellStyle name="Currency 25 2" xfId="14639" xr:uid="{00000000-0005-0000-0000-000029390000}"/>
    <cellStyle name="Currency 25 3" xfId="14640" xr:uid="{00000000-0005-0000-0000-00002A390000}"/>
    <cellStyle name="Currency 26" xfId="14641" xr:uid="{00000000-0005-0000-0000-00002B390000}"/>
    <cellStyle name="Currency 26 2" xfId="14642" xr:uid="{00000000-0005-0000-0000-00002C390000}"/>
    <cellStyle name="Currency 26 3" xfId="14643" xr:uid="{00000000-0005-0000-0000-00002D390000}"/>
    <cellStyle name="Currency 27" xfId="14644" xr:uid="{00000000-0005-0000-0000-00002E390000}"/>
    <cellStyle name="Currency 27 2" xfId="14645" xr:uid="{00000000-0005-0000-0000-00002F390000}"/>
    <cellStyle name="Currency 27 3" xfId="14646" xr:uid="{00000000-0005-0000-0000-000030390000}"/>
    <cellStyle name="Currency 28" xfId="14647" xr:uid="{00000000-0005-0000-0000-000031390000}"/>
    <cellStyle name="Currency 28 2" xfId="14648" xr:uid="{00000000-0005-0000-0000-000032390000}"/>
    <cellStyle name="Currency 28 3" xfId="14649" xr:uid="{00000000-0005-0000-0000-000033390000}"/>
    <cellStyle name="Currency 29" xfId="14650" xr:uid="{00000000-0005-0000-0000-000034390000}"/>
    <cellStyle name="Currency 29 2" xfId="14651" xr:uid="{00000000-0005-0000-0000-000035390000}"/>
    <cellStyle name="Currency 29 3" xfId="14652" xr:uid="{00000000-0005-0000-0000-000036390000}"/>
    <cellStyle name="Currency 3" xfId="14653" xr:uid="{00000000-0005-0000-0000-000037390000}"/>
    <cellStyle name="Currency 3 2" xfId="14654" xr:uid="{00000000-0005-0000-0000-000038390000}"/>
    <cellStyle name="Currency 3 2 2" xfId="14655" xr:uid="{00000000-0005-0000-0000-000039390000}"/>
    <cellStyle name="Currency 3 2 2 2" xfId="14656" xr:uid="{00000000-0005-0000-0000-00003A390000}"/>
    <cellStyle name="Currency 3 2 3" xfId="14657" xr:uid="{00000000-0005-0000-0000-00003B390000}"/>
    <cellStyle name="Currency 3 2 4" xfId="14658" xr:uid="{00000000-0005-0000-0000-00003C390000}"/>
    <cellStyle name="Currency 3 2 5" xfId="14659" xr:uid="{00000000-0005-0000-0000-00003D390000}"/>
    <cellStyle name="Currency 3 3" xfId="14660" xr:uid="{00000000-0005-0000-0000-00003E390000}"/>
    <cellStyle name="Currency 3 3 2" xfId="14661" xr:uid="{00000000-0005-0000-0000-00003F390000}"/>
    <cellStyle name="Currency 3 4" xfId="14662" xr:uid="{00000000-0005-0000-0000-000040390000}"/>
    <cellStyle name="Currency 3 4 2" xfId="14663" xr:uid="{00000000-0005-0000-0000-000041390000}"/>
    <cellStyle name="Currency 3 4 3" xfId="14664" xr:uid="{00000000-0005-0000-0000-000042390000}"/>
    <cellStyle name="Currency 3 5" xfId="14665" xr:uid="{00000000-0005-0000-0000-000043390000}"/>
    <cellStyle name="Currency 3 5 2" xfId="14666" xr:uid="{00000000-0005-0000-0000-000044390000}"/>
    <cellStyle name="Currency 3 5 3" xfId="14667" xr:uid="{00000000-0005-0000-0000-000045390000}"/>
    <cellStyle name="Currency 3 6" xfId="14668" xr:uid="{00000000-0005-0000-0000-000046390000}"/>
    <cellStyle name="Currency 3 7" xfId="14669" xr:uid="{00000000-0005-0000-0000-000047390000}"/>
    <cellStyle name="Currency 30" xfId="14670" xr:uid="{00000000-0005-0000-0000-000048390000}"/>
    <cellStyle name="Currency 30 2" xfId="14671" xr:uid="{00000000-0005-0000-0000-000049390000}"/>
    <cellStyle name="Currency 30 3" xfId="14672" xr:uid="{00000000-0005-0000-0000-00004A390000}"/>
    <cellStyle name="Currency 31" xfId="14673" xr:uid="{00000000-0005-0000-0000-00004B390000}"/>
    <cellStyle name="Currency 31 2" xfId="14674" xr:uid="{00000000-0005-0000-0000-00004C390000}"/>
    <cellStyle name="Currency 31 3" xfId="14675" xr:uid="{00000000-0005-0000-0000-00004D390000}"/>
    <cellStyle name="Currency 32" xfId="14676" xr:uid="{00000000-0005-0000-0000-00004E390000}"/>
    <cellStyle name="Currency 32 2" xfId="14677" xr:uid="{00000000-0005-0000-0000-00004F390000}"/>
    <cellStyle name="Currency 32 3" xfId="14678" xr:uid="{00000000-0005-0000-0000-000050390000}"/>
    <cellStyle name="Currency 33" xfId="14679" xr:uid="{00000000-0005-0000-0000-000051390000}"/>
    <cellStyle name="Currency 33 2" xfId="14680" xr:uid="{00000000-0005-0000-0000-000052390000}"/>
    <cellStyle name="Currency 33 3" xfId="14681" xr:uid="{00000000-0005-0000-0000-000053390000}"/>
    <cellStyle name="Currency 34" xfId="14682" xr:uid="{00000000-0005-0000-0000-000054390000}"/>
    <cellStyle name="Currency 34 2" xfId="14683" xr:uid="{00000000-0005-0000-0000-000055390000}"/>
    <cellStyle name="Currency 34 3" xfId="14684" xr:uid="{00000000-0005-0000-0000-000056390000}"/>
    <cellStyle name="Currency 35" xfId="14685" xr:uid="{00000000-0005-0000-0000-000057390000}"/>
    <cellStyle name="Currency 35 2" xfId="14686" xr:uid="{00000000-0005-0000-0000-000058390000}"/>
    <cellStyle name="Currency 35 3" xfId="14687" xr:uid="{00000000-0005-0000-0000-000059390000}"/>
    <cellStyle name="Currency 36" xfId="14688" xr:uid="{00000000-0005-0000-0000-00005A390000}"/>
    <cellStyle name="Currency 36 2" xfId="14689" xr:uid="{00000000-0005-0000-0000-00005B390000}"/>
    <cellStyle name="Currency 36 3" xfId="14690" xr:uid="{00000000-0005-0000-0000-00005C390000}"/>
    <cellStyle name="Currency 37" xfId="14691" xr:uid="{00000000-0005-0000-0000-00005D390000}"/>
    <cellStyle name="Currency 37 2" xfId="14692" xr:uid="{00000000-0005-0000-0000-00005E390000}"/>
    <cellStyle name="Currency 37 3" xfId="14693" xr:uid="{00000000-0005-0000-0000-00005F390000}"/>
    <cellStyle name="Currency 38" xfId="14694" xr:uid="{00000000-0005-0000-0000-000060390000}"/>
    <cellStyle name="Currency 38 2" xfId="14695" xr:uid="{00000000-0005-0000-0000-000061390000}"/>
    <cellStyle name="Currency 38 3" xfId="14696" xr:uid="{00000000-0005-0000-0000-000062390000}"/>
    <cellStyle name="Currency 39" xfId="14697" xr:uid="{00000000-0005-0000-0000-000063390000}"/>
    <cellStyle name="Currency 39 2" xfId="14698" xr:uid="{00000000-0005-0000-0000-000064390000}"/>
    <cellStyle name="Currency 39 3" xfId="14699" xr:uid="{00000000-0005-0000-0000-000065390000}"/>
    <cellStyle name="Currency 4" xfId="14700" xr:uid="{00000000-0005-0000-0000-000066390000}"/>
    <cellStyle name="Currency 4 2" xfId="14701" xr:uid="{00000000-0005-0000-0000-000067390000}"/>
    <cellStyle name="Currency 4 2 2" xfId="14702" xr:uid="{00000000-0005-0000-0000-000068390000}"/>
    <cellStyle name="Currency 4 2 2 2" xfId="14703" xr:uid="{00000000-0005-0000-0000-000069390000}"/>
    <cellStyle name="Currency 4 2 2 2 2" xfId="14704" xr:uid="{00000000-0005-0000-0000-00006A390000}"/>
    <cellStyle name="Currency 4 2 2 2 2 2" xfId="14705" xr:uid="{00000000-0005-0000-0000-00006B390000}"/>
    <cellStyle name="Currency 4 2 2 2 3" xfId="14706" xr:uid="{00000000-0005-0000-0000-00006C390000}"/>
    <cellStyle name="Currency 4 2 2 3" xfId="14707" xr:uid="{00000000-0005-0000-0000-00006D390000}"/>
    <cellStyle name="Currency 4 2 2 3 2" xfId="14708" xr:uid="{00000000-0005-0000-0000-00006E390000}"/>
    <cellStyle name="Currency 4 2 2 4" xfId="14709" xr:uid="{00000000-0005-0000-0000-00006F390000}"/>
    <cellStyle name="Currency 4 2 2 5" xfId="14710" xr:uid="{00000000-0005-0000-0000-000070390000}"/>
    <cellStyle name="Currency 4 2 3" xfId="14711" xr:uid="{00000000-0005-0000-0000-000071390000}"/>
    <cellStyle name="Currency 4 2 3 2" xfId="14712" xr:uid="{00000000-0005-0000-0000-000072390000}"/>
    <cellStyle name="Currency 4 2 3 2 2" xfId="14713" xr:uid="{00000000-0005-0000-0000-000073390000}"/>
    <cellStyle name="Currency 4 2 3 3" xfId="14714" xr:uid="{00000000-0005-0000-0000-000074390000}"/>
    <cellStyle name="Currency 4 2 4" xfId="14715" xr:uid="{00000000-0005-0000-0000-000075390000}"/>
    <cellStyle name="Currency 4 2 4 2" xfId="14716" xr:uid="{00000000-0005-0000-0000-000076390000}"/>
    <cellStyle name="Currency 4 2 5" xfId="14717" xr:uid="{00000000-0005-0000-0000-000077390000}"/>
    <cellStyle name="Currency 4 2 6" xfId="14718" xr:uid="{00000000-0005-0000-0000-000078390000}"/>
    <cellStyle name="Currency 4 3" xfId="14719" xr:uid="{00000000-0005-0000-0000-000079390000}"/>
    <cellStyle name="Currency 4 3 2" xfId="14720" xr:uid="{00000000-0005-0000-0000-00007A390000}"/>
    <cellStyle name="Currency 4 3 2 2" xfId="14721" xr:uid="{00000000-0005-0000-0000-00007B390000}"/>
    <cellStyle name="Currency 4 3 2 3" xfId="14722" xr:uid="{00000000-0005-0000-0000-00007C390000}"/>
    <cellStyle name="Currency 4 3 3" xfId="14723" xr:uid="{00000000-0005-0000-0000-00007D390000}"/>
    <cellStyle name="Currency 4 3 4" xfId="14724" xr:uid="{00000000-0005-0000-0000-00007E390000}"/>
    <cellStyle name="Currency 4 4" xfId="14725" xr:uid="{00000000-0005-0000-0000-00007F390000}"/>
    <cellStyle name="Currency 4 5" xfId="14726" xr:uid="{00000000-0005-0000-0000-000080390000}"/>
    <cellStyle name="Currency 4 5 2" xfId="14727" xr:uid="{00000000-0005-0000-0000-000081390000}"/>
    <cellStyle name="Currency 4 5 3" xfId="14728" xr:uid="{00000000-0005-0000-0000-000082390000}"/>
    <cellStyle name="Currency 4 6" xfId="14729" xr:uid="{00000000-0005-0000-0000-000083390000}"/>
    <cellStyle name="Currency 4 7" xfId="14730" xr:uid="{00000000-0005-0000-0000-000084390000}"/>
    <cellStyle name="Currency 40" xfId="14731" xr:uid="{00000000-0005-0000-0000-000085390000}"/>
    <cellStyle name="Currency 40 2" xfId="14732" xr:uid="{00000000-0005-0000-0000-000086390000}"/>
    <cellStyle name="Currency 40 3" xfId="14733" xr:uid="{00000000-0005-0000-0000-000087390000}"/>
    <cellStyle name="Currency 41" xfId="14734" xr:uid="{00000000-0005-0000-0000-000088390000}"/>
    <cellStyle name="Currency 41 2" xfId="14735" xr:uid="{00000000-0005-0000-0000-000089390000}"/>
    <cellStyle name="Currency 41 3" xfId="14736" xr:uid="{00000000-0005-0000-0000-00008A390000}"/>
    <cellStyle name="Currency 42" xfId="14737" xr:uid="{00000000-0005-0000-0000-00008B390000}"/>
    <cellStyle name="Currency 42 2" xfId="14738" xr:uid="{00000000-0005-0000-0000-00008C390000}"/>
    <cellStyle name="Currency 42 3" xfId="14739" xr:uid="{00000000-0005-0000-0000-00008D390000}"/>
    <cellStyle name="Currency 43" xfId="14740" xr:uid="{00000000-0005-0000-0000-00008E390000}"/>
    <cellStyle name="Currency 43 2" xfId="14741" xr:uid="{00000000-0005-0000-0000-00008F390000}"/>
    <cellStyle name="Currency 43 3" xfId="14742" xr:uid="{00000000-0005-0000-0000-000090390000}"/>
    <cellStyle name="Currency 44" xfId="14743" xr:uid="{00000000-0005-0000-0000-000091390000}"/>
    <cellStyle name="Currency 44 2" xfId="14744" xr:uid="{00000000-0005-0000-0000-000092390000}"/>
    <cellStyle name="Currency 44 3" xfId="14745" xr:uid="{00000000-0005-0000-0000-000093390000}"/>
    <cellStyle name="Currency 45" xfId="14746" xr:uid="{00000000-0005-0000-0000-000094390000}"/>
    <cellStyle name="Currency 45 2" xfId="14747" xr:uid="{00000000-0005-0000-0000-000095390000}"/>
    <cellStyle name="Currency 45 3" xfId="14748" xr:uid="{00000000-0005-0000-0000-000096390000}"/>
    <cellStyle name="Currency 46" xfId="14749" xr:uid="{00000000-0005-0000-0000-000097390000}"/>
    <cellStyle name="Currency 46 2" xfId="14750" xr:uid="{00000000-0005-0000-0000-000098390000}"/>
    <cellStyle name="Currency 46 3" xfId="14751" xr:uid="{00000000-0005-0000-0000-000099390000}"/>
    <cellStyle name="Currency 47" xfId="14752" xr:uid="{00000000-0005-0000-0000-00009A390000}"/>
    <cellStyle name="Currency 47 2" xfId="14753" xr:uid="{00000000-0005-0000-0000-00009B390000}"/>
    <cellStyle name="Currency 47 3" xfId="14754" xr:uid="{00000000-0005-0000-0000-00009C390000}"/>
    <cellStyle name="Currency 48" xfId="14755" xr:uid="{00000000-0005-0000-0000-00009D390000}"/>
    <cellStyle name="Currency 48 2" xfId="14756" xr:uid="{00000000-0005-0000-0000-00009E390000}"/>
    <cellStyle name="Currency 48 3" xfId="14757" xr:uid="{00000000-0005-0000-0000-00009F390000}"/>
    <cellStyle name="Currency 49" xfId="14758" xr:uid="{00000000-0005-0000-0000-0000A0390000}"/>
    <cellStyle name="Currency 49 2" xfId="14759" xr:uid="{00000000-0005-0000-0000-0000A1390000}"/>
    <cellStyle name="Currency 49 3" xfId="14760" xr:uid="{00000000-0005-0000-0000-0000A2390000}"/>
    <cellStyle name="Currency 5" xfId="14761" xr:uid="{00000000-0005-0000-0000-0000A3390000}"/>
    <cellStyle name="Currency 5 2" xfId="14762" xr:uid="{00000000-0005-0000-0000-0000A4390000}"/>
    <cellStyle name="Currency 5 2 2" xfId="14763" xr:uid="{00000000-0005-0000-0000-0000A5390000}"/>
    <cellStyle name="Currency 5 2 2 2" xfId="14764" xr:uid="{00000000-0005-0000-0000-0000A6390000}"/>
    <cellStyle name="Currency 5 2 2 3" xfId="14765" xr:uid="{00000000-0005-0000-0000-0000A7390000}"/>
    <cellStyle name="Currency 5 2 3" xfId="14766" xr:uid="{00000000-0005-0000-0000-0000A8390000}"/>
    <cellStyle name="Currency 5 2 3 2" xfId="14767" xr:uid="{00000000-0005-0000-0000-0000A9390000}"/>
    <cellStyle name="Currency 5 2 3 3" xfId="14768" xr:uid="{00000000-0005-0000-0000-0000AA390000}"/>
    <cellStyle name="Currency 5 2 4" xfId="14769" xr:uid="{00000000-0005-0000-0000-0000AB390000}"/>
    <cellStyle name="Currency 5 2 5" xfId="14770" xr:uid="{00000000-0005-0000-0000-0000AC390000}"/>
    <cellStyle name="Currency 5 3" xfId="14771" xr:uid="{00000000-0005-0000-0000-0000AD390000}"/>
    <cellStyle name="Currency 5 4" xfId="14772" xr:uid="{00000000-0005-0000-0000-0000AE390000}"/>
    <cellStyle name="Currency 5 4 2" xfId="14773" xr:uid="{00000000-0005-0000-0000-0000AF390000}"/>
    <cellStyle name="Currency 5 4 2 2" xfId="14774" xr:uid="{00000000-0005-0000-0000-0000B0390000}"/>
    <cellStyle name="Currency 5 4 2 3" xfId="14775" xr:uid="{00000000-0005-0000-0000-0000B1390000}"/>
    <cellStyle name="Currency 5 4 3" xfId="14776" xr:uid="{00000000-0005-0000-0000-0000B2390000}"/>
    <cellStyle name="Currency 5 4 4" xfId="14777" xr:uid="{00000000-0005-0000-0000-0000B3390000}"/>
    <cellStyle name="Currency 5 5" xfId="14778" xr:uid="{00000000-0005-0000-0000-0000B4390000}"/>
    <cellStyle name="Currency 5 6" xfId="14779" xr:uid="{00000000-0005-0000-0000-0000B5390000}"/>
    <cellStyle name="Currency 5 6 2" xfId="14780" xr:uid="{00000000-0005-0000-0000-0000B6390000}"/>
    <cellStyle name="Currency 5 6 3" xfId="14781" xr:uid="{00000000-0005-0000-0000-0000B7390000}"/>
    <cellStyle name="Currency 5 7" xfId="14782" xr:uid="{00000000-0005-0000-0000-0000B8390000}"/>
    <cellStyle name="Currency 5 8" xfId="14783" xr:uid="{00000000-0005-0000-0000-0000B9390000}"/>
    <cellStyle name="Currency 50" xfId="14784" xr:uid="{00000000-0005-0000-0000-0000BA390000}"/>
    <cellStyle name="Currency 50 2" xfId="14785" xr:uid="{00000000-0005-0000-0000-0000BB390000}"/>
    <cellStyle name="Currency 50 3" xfId="14786" xr:uid="{00000000-0005-0000-0000-0000BC390000}"/>
    <cellStyle name="Currency 51" xfId="14787" xr:uid="{00000000-0005-0000-0000-0000BD390000}"/>
    <cellStyle name="Currency 51 2" xfId="14788" xr:uid="{00000000-0005-0000-0000-0000BE390000}"/>
    <cellStyle name="Currency 51 3" xfId="14789" xr:uid="{00000000-0005-0000-0000-0000BF390000}"/>
    <cellStyle name="Currency 52" xfId="14790" xr:uid="{00000000-0005-0000-0000-0000C0390000}"/>
    <cellStyle name="Currency 52 2" xfId="14791" xr:uid="{00000000-0005-0000-0000-0000C1390000}"/>
    <cellStyle name="Currency 52 3" xfId="14792" xr:uid="{00000000-0005-0000-0000-0000C2390000}"/>
    <cellStyle name="Currency 53" xfId="14793" xr:uid="{00000000-0005-0000-0000-0000C3390000}"/>
    <cellStyle name="Currency 53 2" xfId="14794" xr:uid="{00000000-0005-0000-0000-0000C4390000}"/>
    <cellStyle name="Currency 53 3" xfId="14795" xr:uid="{00000000-0005-0000-0000-0000C5390000}"/>
    <cellStyle name="Currency 54" xfId="14796" xr:uid="{00000000-0005-0000-0000-0000C6390000}"/>
    <cellStyle name="Currency 54 2" xfId="14797" xr:uid="{00000000-0005-0000-0000-0000C7390000}"/>
    <cellStyle name="Currency 54 3" xfId="14798" xr:uid="{00000000-0005-0000-0000-0000C8390000}"/>
    <cellStyle name="Currency 55" xfId="14799" xr:uid="{00000000-0005-0000-0000-0000C9390000}"/>
    <cellStyle name="Currency 55 2" xfId="14800" xr:uid="{00000000-0005-0000-0000-0000CA390000}"/>
    <cellStyle name="Currency 55 3" xfId="14801" xr:uid="{00000000-0005-0000-0000-0000CB390000}"/>
    <cellStyle name="Currency 56" xfId="14802" xr:uid="{00000000-0005-0000-0000-0000CC390000}"/>
    <cellStyle name="Currency 56 2" xfId="14803" xr:uid="{00000000-0005-0000-0000-0000CD390000}"/>
    <cellStyle name="Currency 56 3" xfId="14804" xr:uid="{00000000-0005-0000-0000-0000CE390000}"/>
    <cellStyle name="Currency 57" xfId="14805" xr:uid="{00000000-0005-0000-0000-0000CF390000}"/>
    <cellStyle name="Currency 57 2" xfId="14806" xr:uid="{00000000-0005-0000-0000-0000D0390000}"/>
    <cellStyle name="Currency 57 3" xfId="14807" xr:uid="{00000000-0005-0000-0000-0000D1390000}"/>
    <cellStyle name="Currency 58" xfId="14808" xr:uid="{00000000-0005-0000-0000-0000D2390000}"/>
    <cellStyle name="Currency 58 2" xfId="14809" xr:uid="{00000000-0005-0000-0000-0000D3390000}"/>
    <cellStyle name="Currency 58 3" xfId="14810" xr:uid="{00000000-0005-0000-0000-0000D4390000}"/>
    <cellStyle name="Currency 59" xfId="14811" xr:uid="{00000000-0005-0000-0000-0000D5390000}"/>
    <cellStyle name="Currency 59 2" xfId="14812" xr:uid="{00000000-0005-0000-0000-0000D6390000}"/>
    <cellStyle name="Currency 59 3" xfId="14813" xr:uid="{00000000-0005-0000-0000-0000D7390000}"/>
    <cellStyle name="Currency 6" xfId="14814" xr:uid="{00000000-0005-0000-0000-0000D8390000}"/>
    <cellStyle name="Currency 6 2" xfId="14815" xr:uid="{00000000-0005-0000-0000-0000D9390000}"/>
    <cellStyle name="Currency 6 2 2" xfId="14816" xr:uid="{00000000-0005-0000-0000-0000DA390000}"/>
    <cellStyle name="Currency 6 2 3" xfId="14817" xr:uid="{00000000-0005-0000-0000-0000DB390000}"/>
    <cellStyle name="Currency 6 3" xfId="14818" xr:uid="{00000000-0005-0000-0000-0000DC390000}"/>
    <cellStyle name="Currency 6 4" xfId="14819" xr:uid="{00000000-0005-0000-0000-0000DD390000}"/>
    <cellStyle name="Currency 6 4 2" xfId="14820" xr:uid="{00000000-0005-0000-0000-0000DE390000}"/>
    <cellStyle name="Currency 6 4 3" xfId="14821" xr:uid="{00000000-0005-0000-0000-0000DF390000}"/>
    <cellStyle name="Currency 6 5" xfId="14822" xr:uid="{00000000-0005-0000-0000-0000E0390000}"/>
    <cellStyle name="Currency 6 6" xfId="14823" xr:uid="{00000000-0005-0000-0000-0000E1390000}"/>
    <cellStyle name="Currency 60" xfId="14824" xr:uid="{00000000-0005-0000-0000-0000E2390000}"/>
    <cellStyle name="Currency 60 2" xfId="14825" xr:uid="{00000000-0005-0000-0000-0000E3390000}"/>
    <cellStyle name="Currency 60 3" xfId="14826" xr:uid="{00000000-0005-0000-0000-0000E4390000}"/>
    <cellStyle name="Currency 61" xfId="14827" xr:uid="{00000000-0005-0000-0000-0000E5390000}"/>
    <cellStyle name="Currency 61 2" xfId="14828" xr:uid="{00000000-0005-0000-0000-0000E6390000}"/>
    <cellStyle name="Currency 61 3" xfId="14829" xr:uid="{00000000-0005-0000-0000-0000E7390000}"/>
    <cellStyle name="Currency 62" xfId="14830" xr:uid="{00000000-0005-0000-0000-0000E8390000}"/>
    <cellStyle name="Currency 62 2" xfId="14831" xr:uid="{00000000-0005-0000-0000-0000E9390000}"/>
    <cellStyle name="Currency 62 3" xfId="14832" xr:uid="{00000000-0005-0000-0000-0000EA390000}"/>
    <cellStyle name="Currency 63" xfId="14833" xr:uid="{00000000-0005-0000-0000-0000EB390000}"/>
    <cellStyle name="Currency 63 2" xfId="14834" xr:uid="{00000000-0005-0000-0000-0000EC390000}"/>
    <cellStyle name="Currency 63 3" xfId="14835" xr:uid="{00000000-0005-0000-0000-0000ED390000}"/>
    <cellStyle name="Currency 64" xfId="14836" xr:uid="{00000000-0005-0000-0000-0000EE390000}"/>
    <cellStyle name="Currency 64 2" xfId="14837" xr:uid="{00000000-0005-0000-0000-0000EF390000}"/>
    <cellStyle name="Currency 64 3" xfId="14838" xr:uid="{00000000-0005-0000-0000-0000F0390000}"/>
    <cellStyle name="Currency 65" xfId="14839" xr:uid="{00000000-0005-0000-0000-0000F1390000}"/>
    <cellStyle name="Currency 65 2" xfId="14840" xr:uid="{00000000-0005-0000-0000-0000F2390000}"/>
    <cellStyle name="Currency 65 3" xfId="14841" xr:uid="{00000000-0005-0000-0000-0000F3390000}"/>
    <cellStyle name="Currency 66" xfId="14842" xr:uid="{00000000-0005-0000-0000-0000F4390000}"/>
    <cellStyle name="Currency 66 2" xfId="14843" xr:uid="{00000000-0005-0000-0000-0000F5390000}"/>
    <cellStyle name="Currency 66 3" xfId="14844" xr:uid="{00000000-0005-0000-0000-0000F6390000}"/>
    <cellStyle name="Currency 67" xfId="14845" xr:uid="{00000000-0005-0000-0000-0000F7390000}"/>
    <cellStyle name="Currency 67 2" xfId="14846" xr:uid="{00000000-0005-0000-0000-0000F8390000}"/>
    <cellStyle name="Currency 67 3" xfId="14847" xr:uid="{00000000-0005-0000-0000-0000F9390000}"/>
    <cellStyle name="Currency 68" xfId="14848" xr:uid="{00000000-0005-0000-0000-0000FA390000}"/>
    <cellStyle name="Currency 68 2" xfId="14849" xr:uid="{00000000-0005-0000-0000-0000FB390000}"/>
    <cellStyle name="Currency 68 3" xfId="14850" xr:uid="{00000000-0005-0000-0000-0000FC390000}"/>
    <cellStyle name="Currency 69" xfId="14851" xr:uid="{00000000-0005-0000-0000-0000FD390000}"/>
    <cellStyle name="Currency 69 2" xfId="14852" xr:uid="{00000000-0005-0000-0000-0000FE390000}"/>
    <cellStyle name="Currency 69 3" xfId="14853" xr:uid="{00000000-0005-0000-0000-0000FF390000}"/>
    <cellStyle name="Currency 7" xfId="14854" xr:uid="{00000000-0005-0000-0000-0000003A0000}"/>
    <cellStyle name="Currency 70" xfId="14855" xr:uid="{00000000-0005-0000-0000-0000013A0000}"/>
    <cellStyle name="Currency 70 2" xfId="14856" xr:uid="{00000000-0005-0000-0000-0000023A0000}"/>
    <cellStyle name="Currency 70 3" xfId="14857" xr:uid="{00000000-0005-0000-0000-0000033A0000}"/>
    <cellStyle name="Currency 71" xfId="14858" xr:uid="{00000000-0005-0000-0000-0000043A0000}"/>
    <cellStyle name="Currency 71 2" xfId="14859" xr:uid="{00000000-0005-0000-0000-0000053A0000}"/>
    <cellStyle name="Currency 71 3" xfId="14860" xr:uid="{00000000-0005-0000-0000-0000063A0000}"/>
    <cellStyle name="Currency 72" xfId="14861" xr:uid="{00000000-0005-0000-0000-0000073A0000}"/>
    <cellStyle name="Currency 72 2" xfId="14862" xr:uid="{00000000-0005-0000-0000-0000083A0000}"/>
    <cellStyle name="Currency 72 3" xfId="14863" xr:uid="{00000000-0005-0000-0000-0000093A0000}"/>
    <cellStyle name="Currency 73" xfId="14864" xr:uid="{00000000-0005-0000-0000-00000A3A0000}"/>
    <cellStyle name="Currency 73 2" xfId="14865" xr:uid="{00000000-0005-0000-0000-00000B3A0000}"/>
    <cellStyle name="Currency 73 3" xfId="14866" xr:uid="{00000000-0005-0000-0000-00000C3A0000}"/>
    <cellStyle name="Currency 74" xfId="14867" xr:uid="{00000000-0005-0000-0000-00000D3A0000}"/>
    <cellStyle name="Currency 74 2" xfId="14868" xr:uid="{00000000-0005-0000-0000-00000E3A0000}"/>
    <cellStyle name="Currency 74 3" xfId="14869" xr:uid="{00000000-0005-0000-0000-00000F3A0000}"/>
    <cellStyle name="Currency 75" xfId="14870" xr:uid="{00000000-0005-0000-0000-0000103A0000}"/>
    <cellStyle name="Currency 75 2" xfId="14871" xr:uid="{00000000-0005-0000-0000-0000113A0000}"/>
    <cellStyle name="Currency 75 3" xfId="14872" xr:uid="{00000000-0005-0000-0000-0000123A0000}"/>
    <cellStyle name="Currency 76" xfId="14873" xr:uid="{00000000-0005-0000-0000-0000133A0000}"/>
    <cellStyle name="Currency 76 2" xfId="14874" xr:uid="{00000000-0005-0000-0000-0000143A0000}"/>
    <cellStyle name="Currency 76 3" xfId="14875" xr:uid="{00000000-0005-0000-0000-0000153A0000}"/>
    <cellStyle name="Currency 77" xfId="14876" xr:uid="{00000000-0005-0000-0000-0000163A0000}"/>
    <cellStyle name="Currency 77 2" xfId="14877" xr:uid="{00000000-0005-0000-0000-0000173A0000}"/>
    <cellStyle name="Currency 77 3" xfId="14878" xr:uid="{00000000-0005-0000-0000-0000183A0000}"/>
    <cellStyle name="Currency 78" xfId="14879" xr:uid="{00000000-0005-0000-0000-0000193A0000}"/>
    <cellStyle name="Currency 78 2" xfId="14880" xr:uid="{00000000-0005-0000-0000-00001A3A0000}"/>
    <cellStyle name="Currency 78 3" xfId="14881" xr:uid="{00000000-0005-0000-0000-00001B3A0000}"/>
    <cellStyle name="Currency 79" xfId="14882" xr:uid="{00000000-0005-0000-0000-00001C3A0000}"/>
    <cellStyle name="Currency 79 2" xfId="14883" xr:uid="{00000000-0005-0000-0000-00001D3A0000}"/>
    <cellStyle name="Currency 79 3" xfId="14884" xr:uid="{00000000-0005-0000-0000-00001E3A0000}"/>
    <cellStyle name="Currency 8" xfId="14885" xr:uid="{00000000-0005-0000-0000-00001F3A0000}"/>
    <cellStyle name="Currency 8 2" xfId="14886" xr:uid="{00000000-0005-0000-0000-0000203A0000}"/>
    <cellStyle name="Currency 8 2 2" xfId="14887" xr:uid="{00000000-0005-0000-0000-0000213A0000}"/>
    <cellStyle name="Currency 8 3" xfId="14888" xr:uid="{00000000-0005-0000-0000-0000223A0000}"/>
    <cellStyle name="Currency 8 3 2" xfId="14889" xr:uid="{00000000-0005-0000-0000-0000233A0000}"/>
    <cellStyle name="Currency 8 4" xfId="14890" xr:uid="{00000000-0005-0000-0000-0000243A0000}"/>
    <cellStyle name="Currency 80" xfId="14891" xr:uid="{00000000-0005-0000-0000-0000253A0000}"/>
    <cellStyle name="Currency 80 2" xfId="14892" xr:uid="{00000000-0005-0000-0000-0000263A0000}"/>
    <cellStyle name="Currency 80 3" xfId="14893" xr:uid="{00000000-0005-0000-0000-0000273A0000}"/>
    <cellStyle name="Currency 81" xfId="14894" xr:uid="{00000000-0005-0000-0000-0000283A0000}"/>
    <cellStyle name="Currency 81 2" xfId="14895" xr:uid="{00000000-0005-0000-0000-0000293A0000}"/>
    <cellStyle name="Currency 82" xfId="14896" xr:uid="{00000000-0005-0000-0000-00002A3A0000}"/>
    <cellStyle name="Currency 82 2" xfId="14897" xr:uid="{00000000-0005-0000-0000-00002B3A0000}"/>
    <cellStyle name="Currency 83" xfId="14898" xr:uid="{00000000-0005-0000-0000-00002C3A0000}"/>
    <cellStyle name="Currency 83 2" xfId="14899" xr:uid="{00000000-0005-0000-0000-00002D3A0000}"/>
    <cellStyle name="Currency 84" xfId="14900" xr:uid="{00000000-0005-0000-0000-00002E3A0000}"/>
    <cellStyle name="Currency 84 2" xfId="14901" xr:uid="{00000000-0005-0000-0000-00002F3A0000}"/>
    <cellStyle name="Currency 85" xfId="14902" xr:uid="{00000000-0005-0000-0000-0000303A0000}"/>
    <cellStyle name="Currency 85 2" xfId="14903" xr:uid="{00000000-0005-0000-0000-0000313A0000}"/>
    <cellStyle name="Currency 86" xfId="14904" xr:uid="{00000000-0005-0000-0000-0000323A0000}"/>
    <cellStyle name="Currency 86 2" xfId="14905" xr:uid="{00000000-0005-0000-0000-0000333A0000}"/>
    <cellStyle name="Currency 87" xfId="14906" xr:uid="{00000000-0005-0000-0000-0000343A0000}"/>
    <cellStyle name="Currency 87 2" xfId="14907" xr:uid="{00000000-0005-0000-0000-0000353A0000}"/>
    <cellStyle name="Currency 88" xfId="14908" xr:uid="{00000000-0005-0000-0000-0000363A0000}"/>
    <cellStyle name="Currency 88 2" xfId="14909" xr:uid="{00000000-0005-0000-0000-0000373A0000}"/>
    <cellStyle name="Currency 89" xfId="14910" xr:uid="{00000000-0005-0000-0000-0000383A0000}"/>
    <cellStyle name="Currency 89 2" xfId="14911" xr:uid="{00000000-0005-0000-0000-0000393A0000}"/>
    <cellStyle name="Currency 9" xfId="14912" xr:uid="{00000000-0005-0000-0000-00003A3A0000}"/>
    <cellStyle name="Currency 9 2" xfId="14913" xr:uid="{00000000-0005-0000-0000-00003B3A0000}"/>
    <cellStyle name="Currency 9 2 2" xfId="14914" xr:uid="{00000000-0005-0000-0000-00003C3A0000}"/>
    <cellStyle name="Currency 9 2 2 2" xfId="14915" xr:uid="{00000000-0005-0000-0000-00003D3A0000}"/>
    <cellStyle name="Currency 9 2 2 2 2" xfId="14916" xr:uid="{00000000-0005-0000-0000-00003E3A0000}"/>
    <cellStyle name="Currency 9 2 2 3" xfId="14917" xr:uid="{00000000-0005-0000-0000-00003F3A0000}"/>
    <cellStyle name="Currency 9 2 3" xfId="14918" xr:uid="{00000000-0005-0000-0000-0000403A0000}"/>
    <cellStyle name="Currency 9 2 3 2" xfId="14919" xr:uid="{00000000-0005-0000-0000-0000413A0000}"/>
    <cellStyle name="Currency 9 2 4" xfId="14920" xr:uid="{00000000-0005-0000-0000-0000423A0000}"/>
    <cellStyle name="Currency 9 3" xfId="14921" xr:uid="{00000000-0005-0000-0000-0000433A0000}"/>
    <cellStyle name="Currency 9 3 2" xfId="14922" xr:uid="{00000000-0005-0000-0000-0000443A0000}"/>
    <cellStyle name="Currency 9 3 2 2" xfId="14923" xr:uid="{00000000-0005-0000-0000-0000453A0000}"/>
    <cellStyle name="Currency 9 3 3" xfId="14924" xr:uid="{00000000-0005-0000-0000-0000463A0000}"/>
    <cellStyle name="Currency 9 4" xfId="14925" xr:uid="{00000000-0005-0000-0000-0000473A0000}"/>
    <cellStyle name="Currency 9 4 2" xfId="14926" xr:uid="{00000000-0005-0000-0000-0000483A0000}"/>
    <cellStyle name="Currency 9 5" xfId="14927" xr:uid="{00000000-0005-0000-0000-0000493A0000}"/>
    <cellStyle name="Currency 9 6" xfId="14928" xr:uid="{00000000-0005-0000-0000-00004A3A0000}"/>
    <cellStyle name="Currency 90" xfId="14929" xr:uid="{00000000-0005-0000-0000-00004B3A0000}"/>
    <cellStyle name="Currency 90 2" xfId="14930" xr:uid="{00000000-0005-0000-0000-00004C3A0000}"/>
    <cellStyle name="Currency 91" xfId="14931" xr:uid="{00000000-0005-0000-0000-00004D3A0000}"/>
    <cellStyle name="Currency 91 2" xfId="14932" xr:uid="{00000000-0005-0000-0000-00004E3A0000}"/>
    <cellStyle name="Currency 92" xfId="14933" xr:uid="{00000000-0005-0000-0000-00004F3A0000}"/>
    <cellStyle name="Currency 92 2" xfId="14934" xr:uid="{00000000-0005-0000-0000-0000503A0000}"/>
    <cellStyle name="Currency 93" xfId="14935" xr:uid="{00000000-0005-0000-0000-0000513A0000}"/>
    <cellStyle name="Currency 93 2" xfId="14936" xr:uid="{00000000-0005-0000-0000-0000523A0000}"/>
    <cellStyle name="Currency 94" xfId="14937" xr:uid="{00000000-0005-0000-0000-0000533A0000}"/>
    <cellStyle name="Currency 95" xfId="14938" xr:uid="{00000000-0005-0000-0000-0000543A0000}"/>
    <cellStyle name="Currency 96" xfId="14939" xr:uid="{00000000-0005-0000-0000-0000553A0000}"/>
    <cellStyle name="Currency 97" xfId="14940" xr:uid="{00000000-0005-0000-0000-0000563A0000}"/>
    <cellStyle name="Currency Simple" xfId="14941" xr:uid="{00000000-0005-0000-0000-0000573A0000}"/>
    <cellStyle name="Currency0" xfId="14942" xr:uid="{00000000-0005-0000-0000-0000583A0000}"/>
    <cellStyle name="Currency0 2" xfId="14943" xr:uid="{00000000-0005-0000-0000-0000593A0000}"/>
    <cellStyle name="Currency0 2 2" xfId="14944" xr:uid="{00000000-0005-0000-0000-00005A3A0000}"/>
    <cellStyle name="Currency0 2 2 2" xfId="14945" xr:uid="{00000000-0005-0000-0000-00005B3A0000}"/>
    <cellStyle name="Currency0 2 3" xfId="14946" xr:uid="{00000000-0005-0000-0000-00005C3A0000}"/>
    <cellStyle name="Currency0 3" xfId="14947" xr:uid="{00000000-0005-0000-0000-00005D3A0000}"/>
    <cellStyle name="Currency0 3 2" xfId="14948" xr:uid="{00000000-0005-0000-0000-00005E3A0000}"/>
    <cellStyle name="Currency0 3 3" xfId="14949" xr:uid="{00000000-0005-0000-0000-00005F3A0000}"/>
    <cellStyle name="Currency0 4" xfId="14950" xr:uid="{00000000-0005-0000-0000-0000603A0000}"/>
    <cellStyle name="Currency0 5" xfId="14951" xr:uid="{00000000-0005-0000-0000-0000613A0000}"/>
    <cellStyle name="Currency0 6" xfId="14952" xr:uid="{00000000-0005-0000-0000-0000623A0000}"/>
    <cellStyle name="Currency0 7" xfId="14953" xr:uid="{00000000-0005-0000-0000-0000633A0000}"/>
    <cellStyle name="Currency0 8" xfId="14954" xr:uid="{00000000-0005-0000-0000-0000643A0000}"/>
    <cellStyle name="Currency0 9" xfId="14955" xr:uid="{00000000-0005-0000-0000-0000653A0000}"/>
    <cellStyle name="CurrencyA" xfId="14956" xr:uid="{00000000-0005-0000-0000-0000663A0000}"/>
    <cellStyle name="CurrencyA 10" xfId="14957" xr:uid="{00000000-0005-0000-0000-0000673A0000}"/>
    <cellStyle name="CurrencyA 10 2" xfId="14958" xr:uid="{00000000-0005-0000-0000-0000683A0000}"/>
    <cellStyle name="CurrencyA 10 3" xfId="14959" xr:uid="{00000000-0005-0000-0000-0000693A0000}"/>
    <cellStyle name="CurrencyA 10 4" xfId="14960" xr:uid="{00000000-0005-0000-0000-00006A3A0000}"/>
    <cellStyle name="CurrencyA 10 5" xfId="14961" xr:uid="{00000000-0005-0000-0000-00006B3A0000}"/>
    <cellStyle name="CurrencyA 10 6" xfId="14962" xr:uid="{00000000-0005-0000-0000-00006C3A0000}"/>
    <cellStyle name="CurrencyA 11" xfId="14963" xr:uid="{00000000-0005-0000-0000-00006D3A0000}"/>
    <cellStyle name="CurrencyA 12" xfId="14964" xr:uid="{00000000-0005-0000-0000-00006E3A0000}"/>
    <cellStyle name="CurrencyA 13" xfId="14965" xr:uid="{00000000-0005-0000-0000-00006F3A0000}"/>
    <cellStyle name="CurrencyA 14" xfId="14966" xr:uid="{00000000-0005-0000-0000-0000703A0000}"/>
    <cellStyle name="CurrencyA 2" xfId="14967" xr:uid="{00000000-0005-0000-0000-0000713A0000}"/>
    <cellStyle name="CurrencyA 2 10" xfId="14968" xr:uid="{00000000-0005-0000-0000-0000723A0000}"/>
    <cellStyle name="CurrencyA 2 11" xfId="14969" xr:uid="{00000000-0005-0000-0000-0000733A0000}"/>
    <cellStyle name="CurrencyA 2 12" xfId="14970" xr:uid="{00000000-0005-0000-0000-0000743A0000}"/>
    <cellStyle name="CurrencyA 2 13" xfId="14971" xr:uid="{00000000-0005-0000-0000-0000753A0000}"/>
    <cellStyle name="CurrencyA 2 2" xfId="14972" xr:uid="{00000000-0005-0000-0000-0000763A0000}"/>
    <cellStyle name="CurrencyA 2 2 10" xfId="14973" xr:uid="{00000000-0005-0000-0000-0000773A0000}"/>
    <cellStyle name="CurrencyA 2 2 10 2" xfId="14974" xr:uid="{00000000-0005-0000-0000-0000783A0000}"/>
    <cellStyle name="CurrencyA 2 2 10 3" xfId="14975" xr:uid="{00000000-0005-0000-0000-0000793A0000}"/>
    <cellStyle name="CurrencyA 2 2 10 4" xfId="14976" xr:uid="{00000000-0005-0000-0000-00007A3A0000}"/>
    <cellStyle name="CurrencyA 2 2 10 5" xfId="14977" xr:uid="{00000000-0005-0000-0000-00007B3A0000}"/>
    <cellStyle name="CurrencyA 2 2 10 6" xfId="14978" xr:uid="{00000000-0005-0000-0000-00007C3A0000}"/>
    <cellStyle name="CurrencyA 2 2 11" xfId="14979" xr:uid="{00000000-0005-0000-0000-00007D3A0000}"/>
    <cellStyle name="CurrencyA 2 2 12" xfId="14980" xr:uid="{00000000-0005-0000-0000-00007E3A0000}"/>
    <cellStyle name="CurrencyA 2 2 13" xfId="14981" xr:uid="{00000000-0005-0000-0000-00007F3A0000}"/>
    <cellStyle name="CurrencyA 2 2 14" xfId="14982" xr:uid="{00000000-0005-0000-0000-0000803A0000}"/>
    <cellStyle name="CurrencyA 2 2 2" xfId="14983" xr:uid="{00000000-0005-0000-0000-0000813A0000}"/>
    <cellStyle name="CurrencyA 2 2 2 10" xfId="14984" xr:uid="{00000000-0005-0000-0000-0000823A0000}"/>
    <cellStyle name="CurrencyA 2 2 2 11" xfId="14985" xr:uid="{00000000-0005-0000-0000-0000833A0000}"/>
    <cellStyle name="CurrencyA 2 2 2 12" xfId="14986" xr:uid="{00000000-0005-0000-0000-0000843A0000}"/>
    <cellStyle name="CurrencyA 2 2 2 13" xfId="14987" xr:uid="{00000000-0005-0000-0000-0000853A0000}"/>
    <cellStyle name="CurrencyA 2 2 2 2" xfId="14988" xr:uid="{00000000-0005-0000-0000-0000863A0000}"/>
    <cellStyle name="CurrencyA 2 2 2 2 2" xfId="14989" xr:uid="{00000000-0005-0000-0000-0000873A0000}"/>
    <cellStyle name="CurrencyA 2 2 2 2 2 2" xfId="14990" xr:uid="{00000000-0005-0000-0000-0000883A0000}"/>
    <cellStyle name="CurrencyA 2 2 2 2 2 2 2" xfId="14991" xr:uid="{00000000-0005-0000-0000-0000893A0000}"/>
    <cellStyle name="CurrencyA 2 2 2 2 2 2 3" xfId="14992" xr:uid="{00000000-0005-0000-0000-00008A3A0000}"/>
    <cellStyle name="CurrencyA 2 2 2 2 2 2 4" xfId="14993" xr:uid="{00000000-0005-0000-0000-00008B3A0000}"/>
    <cellStyle name="CurrencyA 2 2 2 2 2 2 5" xfId="14994" xr:uid="{00000000-0005-0000-0000-00008C3A0000}"/>
    <cellStyle name="CurrencyA 2 2 2 2 2 2 6" xfId="14995" xr:uid="{00000000-0005-0000-0000-00008D3A0000}"/>
    <cellStyle name="CurrencyA 2 2 2 2 2 3" xfId="14996" xr:uid="{00000000-0005-0000-0000-00008E3A0000}"/>
    <cellStyle name="CurrencyA 2 2 2 2 2 4" xfId="14997" xr:uid="{00000000-0005-0000-0000-00008F3A0000}"/>
    <cellStyle name="CurrencyA 2 2 2 2 2 5" xfId="14998" xr:uid="{00000000-0005-0000-0000-0000903A0000}"/>
    <cellStyle name="CurrencyA 2 2 2 2 2 6" xfId="14999" xr:uid="{00000000-0005-0000-0000-0000913A0000}"/>
    <cellStyle name="CurrencyA 2 2 2 2 3" xfId="15000" xr:uid="{00000000-0005-0000-0000-0000923A0000}"/>
    <cellStyle name="CurrencyA 2 2 2 2 3 2" xfId="15001" xr:uid="{00000000-0005-0000-0000-0000933A0000}"/>
    <cellStyle name="CurrencyA 2 2 2 2 3 2 2" xfId="15002" xr:uid="{00000000-0005-0000-0000-0000943A0000}"/>
    <cellStyle name="CurrencyA 2 2 2 2 3 2 3" xfId="15003" xr:uid="{00000000-0005-0000-0000-0000953A0000}"/>
    <cellStyle name="CurrencyA 2 2 2 2 3 2 4" xfId="15004" xr:uid="{00000000-0005-0000-0000-0000963A0000}"/>
    <cellStyle name="CurrencyA 2 2 2 2 3 2 5" xfId="15005" xr:uid="{00000000-0005-0000-0000-0000973A0000}"/>
    <cellStyle name="CurrencyA 2 2 2 2 3 2 6" xfId="15006" xr:uid="{00000000-0005-0000-0000-0000983A0000}"/>
    <cellStyle name="CurrencyA 2 2 2 2 3 3" xfId="15007" xr:uid="{00000000-0005-0000-0000-0000993A0000}"/>
    <cellStyle name="CurrencyA 2 2 2 2 3 4" xfId="15008" xr:uid="{00000000-0005-0000-0000-00009A3A0000}"/>
    <cellStyle name="CurrencyA 2 2 2 2 3 5" xfId="15009" xr:uid="{00000000-0005-0000-0000-00009B3A0000}"/>
    <cellStyle name="CurrencyA 2 2 2 2 3 6" xfId="15010" xr:uid="{00000000-0005-0000-0000-00009C3A0000}"/>
    <cellStyle name="CurrencyA 2 2 2 2 4" xfId="15011" xr:uid="{00000000-0005-0000-0000-00009D3A0000}"/>
    <cellStyle name="CurrencyA 2 2 2 2 4 2" xfId="15012" xr:uid="{00000000-0005-0000-0000-00009E3A0000}"/>
    <cellStyle name="CurrencyA 2 2 2 2 4 3" xfId="15013" xr:uid="{00000000-0005-0000-0000-00009F3A0000}"/>
    <cellStyle name="CurrencyA 2 2 2 2 4 4" xfId="15014" xr:uid="{00000000-0005-0000-0000-0000A03A0000}"/>
    <cellStyle name="CurrencyA 2 2 2 2 4 5" xfId="15015" xr:uid="{00000000-0005-0000-0000-0000A13A0000}"/>
    <cellStyle name="CurrencyA 2 2 2 2 4 6" xfId="15016" xr:uid="{00000000-0005-0000-0000-0000A23A0000}"/>
    <cellStyle name="CurrencyA 2 2 2 2 5" xfId="15017" xr:uid="{00000000-0005-0000-0000-0000A33A0000}"/>
    <cellStyle name="CurrencyA 2 2 2 2 6" xfId="15018" xr:uid="{00000000-0005-0000-0000-0000A43A0000}"/>
    <cellStyle name="CurrencyA 2 2 2 2 7" xfId="15019" xr:uid="{00000000-0005-0000-0000-0000A53A0000}"/>
    <cellStyle name="CurrencyA 2 2 2 2 8" xfId="15020" xr:uid="{00000000-0005-0000-0000-0000A63A0000}"/>
    <cellStyle name="CurrencyA 2 2 2 3" xfId="15021" xr:uid="{00000000-0005-0000-0000-0000A73A0000}"/>
    <cellStyle name="CurrencyA 2 2 2 3 2" xfId="15022" xr:uid="{00000000-0005-0000-0000-0000A83A0000}"/>
    <cellStyle name="CurrencyA 2 2 2 3 2 2" xfId="15023" xr:uid="{00000000-0005-0000-0000-0000A93A0000}"/>
    <cellStyle name="CurrencyA 2 2 2 3 2 2 2" xfId="15024" xr:uid="{00000000-0005-0000-0000-0000AA3A0000}"/>
    <cellStyle name="CurrencyA 2 2 2 3 2 2 3" xfId="15025" xr:uid="{00000000-0005-0000-0000-0000AB3A0000}"/>
    <cellStyle name="CurrencyA 2 2 2 3 2 2 4" xfId="15026" xr:uid="{00000000-0005-0000-0000-0000AC3A0000}"/>
    <cellStyle name="CurrencyA 2 2 2 3 2 2 5" xfId="15027" xr:uid="{00000000-0005-0000-0000-0000AD3A0000}"/>
    <cellStyle name="CurrencyA 2 2 2 3 2 2 6" xfId="15028" xr:uid="{00000000-0005-0000-0000-0000AE3A0000}"/>
    <cellStyle name="CurrencyA 2 2 2 3 2 3" xfId="15029" xr:uid="{00000000-0005-0000-0000-0000AF3A0000}"/>
    <cellStyle name="CurrencyA 2 2 2 3 2 4" xfId="15030" xr:uid="{00000000-0005-0000-0000-0000B03A0000}"/>
    <cellStyle name="CurrencyA 2 2 2 3 2 5" xfId="15031" xr:uid="{00000000-0005-0000-0000-0000B13A0000}"/>
    <cellStyle name="CurrencyA 2 2 2 3 2 6" xfId="15032" xr:uid="{00000000-0005-0000-0000-0000B23A0000}"/>
    <cellStyle name="CurrencyA 2 2 2 3 3" xfId="15033" xr:uid="{00000000-0005-0000-0000-0000B33A0000}"/>
    <cellStyle name="CurrencyA 2 2 2 3 3 2" xfId="15034" xr:uid="{00000000-0005-0000-0000-0000B43A0000}"/>
    <cellStyle name="CurrencyA 2 2 2 3 3 2 2" xfId="15035" xr:uid="{00000000-0005-0000-0000-0000B53A0000}"/>
    <cellStyle name="CurrencyA 2 2 2 3 3 2 3" xfId="15036" xr:uid="{00000000-0005-0000-0000-0000B63A0000}"/>
    <cellStyle name="CurrencyA 2 2 2 3 3 2 4" xfId="15037" xr:uid="{00000000-0005-0000-0000-0000B73A0000}"/>
    <cellStyle name="CurrencyA 2 2 2 3 3 2 5" xfId="15038" xr:uid="{00000000-0005-0000-0000-0000B83A0000}"/>
    <cellStyle name="CurrencyA 2 2 2 3 3 2 6" xfId="15039" xr:uid="{00000000-0005-0000-0000-0000B93A0000}"/>
    <cellStyle name="CurrencyA 2 2 2 3 3 3" xfId="15040" xr:uid="{00000000-0005-0000-0000-0000BA3A0000}"/>
    <cellStyle name="CurrencyA 2 2 2 3 3 4" xfId="15041" xr:uid="{00000000-0005-0000-0000-0000BB3A0000}"/>
    <cellStyle name="CurrencyA 2 2 2 3 3 5" xfId="15042" xr:uid="{00000000-0005-0000-0000-0000BC3A0000}"/>
    <cellStyle name="CurrencyA 2 2 2 3 3 6" xfId="15043" xr:uid="{00000000-0005-0000-0000-0000BD3A0000}"/>
    <cellStyle name="CurrencyA 2 2 2 3 4" xfId="15044" xr:uid="{00000000-0005-0000-0000-0000BE3A0000}"/>
    <cellStyle name="CurrencyA 2 2 2 3 4 2" xfId="15045" xr:uid="{00000000-0005-0000-0000-0000BF3A0000}"/>
    <cellStyle name="CurrencyA 2 2 2 3 4 3" xfId="15046" xr:uid="{00000000-0005-0000-0000-0000C03A0000}"/>
    <cellStyle name="CurrencyA 2 2 2 3 4 4" xfId="15047" xr:uid="{00000000-0005-0000-0000-0000C13A0000}"/>
    <cellStyle name="CurrencyA 2 2 2 3 4 5" xfId="15048" xr:uid="{00000000-0005-0000-0000-0000C23A0000}"/>
    <cellStyle name="CurrencyA 2 2 2 3 4 6" xfId="15049" xr:uid="{00000000-0005-0000-0000-0000C33A0000}"/>
    <cellStyle name="CurrencyA 2 2 2 3 5" xfId="15050" xr:uid="{00000000-0005-0000-0000-0000C43A0000}"/>
    <cellStyle name="CurrencyA 2 2 2 3 6" xfId="15051" xr:uid="{00000000-0005-0000-0000-0000C53A0000}"/>
    <cellStyle name="CurrencyA 2 2 2 3 7" xfId="15052" xr:uid="{00000000-0005-0000-0000-0000C63A0000}"/>
    <cellStyle name="CurrencyA 2 2 2 3 8" xfId="15053" xr:uid="{00000000-0005-0000-0000-0000C73A0000}"/>
    <cellStyle name="CurrencyA 2 2 2 4" xfId="15054" xr:uid="{00000000-0005-0000-0000-0000C83A0000}"/>
    <cellStyle name="CurrencyA 2 2 2 4 2" xfId="15055" xr:uid="{00000000-0005-0000-0000-0000C93A0000}"/>
    <cellStyle name="CurrencyA 2 2 2 4 2 2" xfId="15056" xr:uid="{00000000-0005-0000-0000-0000CA3A0000}"/>
    <cellStyle name="CurrencyA 2 2 2 4 2 2 2" xfId="15057" xr:uid="{00000000-0005-0000-0000-0000CB3A0000}"/>
    <cellStyle name="CurrencyA 2 2 2 4 2 2 3" xfId="15058" xr:uid="{00000000-0005-0000-0000-0000CC3A0000}"/>
    <cellStyle name="CurrencyA 2 2 2 4 2 2 4" xfId="15059" xr:uid="{00000000-0005-0000-0000-0000CD3A0000}"/>
    <cellStyle name="CurrencyA 2 2 2 4 2 2 5" xfId="15060" xr:uid="{00000000-0005-0000-0000-0000CE3A0000}"/>
    <cellStyle name="CurrencyA 2 2 2 4 2 2 6" xfId="15061" xr:uid="{00000000-0005-0000-0000-0000CF3A0000}"/>
    <cellStyle name="CurrencyA 2 2 2 4 2 3" xfId="15062" xr:uid="{00000000-0005-0000-0000-0000D03A0000}"/>
    <cellStyle name="CurrencyA 2 2 2 4 2 4" xfId="15063" xr:uid="{00000000-0005-0000-0000-0000D13A0000}"/>
    <cellStyle name="CurrencyA 2 2 2 4 2 5" xfId="15064" xr:uid="{00000000-0005-0000-0000-0000D23A0000}"/>
    <cellStyle name="CurrencyA 2 2 2 4 2 6" xfId="15065" xr:uid="{00000000-0005-0000-0000-0000D33A0000}"/>
    <cellStyle name="CurrencyA 2 2 2 4 3" xfId="15066" xr:uid="{00000000-0005-0000-0000-0000D43A0000}"/>
    <cellStyle name="CurrencyA 2 2 2 4 3 2" xfId="15067" xr:uid="{00000000-0005-0000-0000-0000D53A0000}"/>
    <cellStyle name="CurrencyA 2 2 2 4 3 2 2" xfId="15068" xr:uid="{00000000-0005-0000-0000-0000D63A0000}"/>
    <cellStyle name="CurrencyA 2 2 2 4 3 2 3" xfId="15069" xr:uid="{00000000-0005-0000-0000-0000D73A0000}"/>
    <cellStyle name="CurrencyA 2 2 2 4 3 2 4" xfId="15070" xr:uid="{00000000-0005-0000-0000-0000D83A0000}"/>
    <cellStyle name="CurrencyA 2 2 2 4 3 2 5" xfId="15071" xr:uid="{00000000-0005-0000-0000-0000D93A0000}"/>
    <cellStyle name="CurrencyA 2 2 2 4 3 2 6" xfId="15072" xr:uid="{00000000-0005-0000-0000-0000DA3A0000}"/>
    <cellStyle name="CurrencyA 2 2 2 4 3 3" xfId="15073" xr:uid="{00000000-0005-0000-0000-0000DB3A0000}"/>
    <cellStyle name="CurrencyA 2 2 2 4 3 4" xfId="15074" xr:uid="{00000000-0005-0000-0000-0000DC3A0000}"/>
    <cellStyle name="CurrencyA 2 2 2 4 3 5" xfId="15075" xr:uid="{00000000-0005-0000-0000-0000DD3A0000}"/>
    <cellStyle name="CurrencyA 2 2 2 4 3 6" xfId="15076" xr:uid="{00000000-0005-0000-0000-0000DE3A0000}"/>
    <cellStyle name="CurrencyA 2 2 2 4 4" xfId="15077" xr:uid="{00000000-0005-0000-0000-0000DF3A0000}"/>
    <cellStyle name="CurrencyA 2 2 2 4 4 2" xfId="15078" xr:uid="{00000000-0005-0000-0000-0000E03A0000}"/>
    <cellStyle name="CurrencyA 2 2 2 4 4 3" xfId="15079" xr:uid="{00000000-0005-0000-0000-0000E13A0000}"/>
    <cellStyle name="CurrencyA 2 2 2 4 4 4" xfId="15080" xr:uid="{00000000-0005-0000-0000-0000E23A0000}"/>
    <cellStyle name="CurrencyA 2 2 2 4 4 5" xfId="15081" xr:uid="{00000000-0005-0000-0000-0000E33A0000}"/>
    <cellStyle name="CurrencyA 2 2 2 4 4 6" xfId="15082" xr:uid="{00000000-0005-0000-0000-0000E43A0000}"/>
    <cellStyle name="CurrencyA 2 2 2 4 5" xfId="15083" xr:uid="{00000000-0005-0000-0000-0000E53A0000}"/>
    <cellStyle name="CurrencyA 2 2 2 4 6" xfId="15084" xr:uid="{00000000-0005-0000-0000-0000E63A0000}"/>
    <cellStyle name="CurrencyA 2 2 2 4 7" xfId="15085" xr:uid="{00000000-0005-0000-0000-0000E73A0000}"/>
    <cellStyle name="CurrencyA 2 2 2 4 8" xfId="15086" xr:uid="{00000000-0005-0000-0000-0000E83A0000}"/>
    <cellStyle name="CurrencyA 2 2 2 5" xfId="15087" xr:uid="{00000000-0005-0000-0000-0000E93A0000}"/>
    <cellStyle name="CurrencyA 2 2 2 5 2" xfId="15088" xr:uid="{00000000-0005-0000-0000-0000EA3A0000}"/>
    <cellStyle name="CurrencyA 2 2 2 5 2 2" xfId="15089" xr:uid="{00000000-0005-0000-0000-0000EB3A0000}"/>
    <cellStyle name="CurrencyA 2 2 2 5 2 2 2" xfId="15090" xr:uid="{00000000-0005-0000-0000-0000EC3A0000}"/>
    <cellStyle name="CurrencyA 2 2 2 5 2 2 3" xfId="15091" xr:uid="{00000000-0005-0000-0000-0000ED3A0000}"/>
    <cellStyle name="CurrencyA 2 2 2 5 2 2 4" xfId="15092" xr:uid="{00000000-0005-0000-0000-0000EE3A0000}"/>
    <cellStyle name="CurrencyA 2 2 2 5 2 2 5" xfId="15093" xr:uid="{00000000-0005-0000-0000-0000EF3A0000}"/>
    <cellStyle name="CurrencyA 2 2 2 5 2 2 6" xfId="15094" xr:uid="{00000000-0005-0000-0000-0000F03A0000}"/>
    <cellStyle name="CurrencyA 2 2 2 5 2 3" xfId="15095" xr:uid="{00000000-0005-0000-0000-0000F13A0000}"/>
    <cellStyle name="CurrencyA 2 2 2 5 2 4" xfId="15096" xr:uid="{00000000-0005-0000-0000-0000F23A0000}"/>
    <cellStyle name="CurrencyA 2 2 2 5 2 5" xfId="15097" xr:uid="{00000000-0005-0000-0000-0000F33A0000}"/>
    <cellStyle name="CurrencyA 2 2 2 5 2 6" xfId="15098" xr:uid="{00000000-0005-0000-0000-0000F43A0000}"/>
    <cellStyle name="CurrencyA 2 2 2 5 3" xfId="15099" xr:uid="{00000000-0005-0000-0000-0000F53A0000}"/>
    <cellStyle name="CurrencyA 2 2 2 5 3 2" xfId="15100" xr:uid="{00000000-0005-0000-0000-0000F63A0000}"/>
    <cellStyle name="CurrencyA 2 2 2 5 3 2 2" xfId="15101" xr:uid="{00000000-0005-0000-0000-0000F73A0000}"/>
    <cellStyle name="CurrencyA 2 2 2 5 3 2 3" xfId="15102" xr:uid="{00000000-0005-0000-0000-0000F83A0000}"/>
    <cellStyle name="CurrencyA 2 2 2 5 3 2 4" xfId="15103" xr:uid="{00000000-0005-0000-0000-0000F93A0000}"/>
    <cellStyle name="CurrencyA 2 2 2 5 3 2 5" xfId="15104" xr:uid="{00000000-0005-0000-0000-0000FA3A0000}"/>
    <cellStyle name="CurrencyA 2 2 2 5 3 2 6" xfId="15105" xr:uid="{00000000-0005-0000-0000-0000FB3A0000}"/>
    <cellStyle name="CurrencyA 2 2 2 5 3 3" xfId="15106" xr:uid="{00000000-0005-0000-0000-0000FC3A0000}"/>
    <cellStyle name="CurrencyA 2 2 2 5 3 4" xfId="15107" xr:uid="{00000000-0005-0000-0000-0000FD3A0000}"/>
    <cellStyle name="CurrencyA 2 2 2 5 3 5" xfId="15108" xr:uid="{00000000-0005-0000-0000-0000FE3A0000}"/>
    <cellStyle name="CurrencyA 2 2 2 5 3 6" xfId="15109" xr:uid="{00000000-0005-0000-0000-0000FF3A0000}"/>
    <cellStyle name="CurrencyA 2 2 2 5 4" xfId="15110" xr:uid="{00000000-0005-0000-0000-0000003B0000}"/>
    <cellStyle name="CurrencyA 2 2 2 5 4 2" xfId="15111" xr:uid="{00000000-0005-0000-0000-0000013B0000}"/>
    <cellStyle name="CurrencyA 2 2 2 5 4 3" xfId="15112" xr:uid="{00000000-0005-0000-0000-0000023B0000}"/>
    <cellStyle name="CurrencyA 2 2 2 5 4 4" xfId="15113" xr:uid="{00000000-0005-0000-0000-0000033B0000}"/>
    <cellStyle name="CurrencyA 2 2 2 5 4 5" xfId="15114" xr:uid="{00000000-0005-0000-0000-0000043B0000}"/>
    <cellStyle name="CurrencyA 2 2 2 5 4 6" xfId="15115" xr:uid="{00000000-0005-0000-0000-0000053B0000}"/>
    <cellStyle name="CurrencyA 2 2 2 5 5" xfId="15116" xr:uid="{00000000-0005-0000-0000-0000063B0000}"/>
    <cellStyle name="CurrencyA 2 2 2 5 6" xfId="15117" xr:uid="{00000000-0005-0000-0000-0000073B0000}"/>
    <cellStyle name="CurrencyA 2 2 2 5 7" xfId="15118" xr:uid="{00000000-0005-0000-0000-0000083B0000}"/>
    <cellStyle name="CurrencyA 2 2 2 5 8" xfId="15119" xr:uid="{00000000-0005-0000-0000-0000093B0000}"/>
    <cellStyle name="CurrencyA 2 2 2 6" xfId="15120" xr:uid="{00000000-0005-0000-0000-00000A3B0000}"/>
    <cellStyle name="CurrencyA 2 2 2 6 2" xfId="15121" xr:uid="{00000000-0005-0000-0000-00000B3B0000}"/>
    <cellStyle name="CurrencyA 2 2 2 6 2 2" xfId="15122" xr:uid="{00000000-0005-0000-0000-00000C3B0000}"/>
    <cellStyle name="CurrencyA 2 2 2 6 2 2 2" xfId="15123" xr:uid="{00000000-0005-0000-0000-00000D3B0000}"/>
    <cellStyle name="CurrencyA 2 2 2 6 2 2 3" xfId="15124" xr:uid="{00000000-0005-0000-0000-00000E3B0000}"/>
    <cellStyle name="CurrencyA 2 2 2 6 2 2 4" xfId="15125" xr:uid="{00000000-0005-0000-0000-00000F3B0000}"/>
    <cellStyle name="CurrencyA 2 2 2 6 2 2 5" xfId="15126" xr:uid="{00000000-0005-0000-0000-0000103B0000}"/>
    <cellStyle name="CurrencyA 2 2 2 6 2 2 6" xfId="15127" xr:uid="{00000000-0005-0000-0000-0000113B0000}"/>
    <cellStyle name="CurrencyA 2 2 2 6 2 3" xfId="15128" xr:uid="{00000000-0005-0000-0000-0000123B0000}"/>
    <cellStyle name="CurrencyA 2 2 2 6 2 4" xfId="15129" xr:uid="{00000000-0005-0000-0000-0000133B0000}"/>
    <cellStyle name="CurrencyA 2 2 2 6 2 5" xfId="15130" xr:uid="{00000000-0005-0000-0000-0000143B0000}"/>
    <cellStyle name="CurrencyA 2 2 2 6 2 6" xfId="15131" xr:uid="{00000000-0005-0000-0000-0000153B0000}"/>
    <cellStyle name="CurrencyA 2 2 2 6 3" xfId="15132" xr:uid="{00000000-0005-0000-0000-0000163B0000}"/>
    <cellStyle name="CurrencyA 2 2 2 6 3 2" xfId="15133" xr:uid="{00000000-0005-0000-0000-0000173B0000}"/>
    <cellStyle name="CurrencyA 2 2 2 6 3 2 2" xfId="15134" xr:uid="{00000000-0005-0000-0000-0000183B0000}"/>
    <cellStyle name="CurrencyA 2 2 2 6 3 2 3" xfId="15135" xr:uid="{00000000-0005-0000-0000-0000193B0000}"/>
    <cellStyle name="CurrencyA 2 2 2 6 3 2 4" xfId="15136" xr:uid="{00000000-0005-0000-0000-00001A3B0000}"/>
    <cellStyle name="CurrencyA 2 2 2 6 3 2 5" xfId="15137" xr:uid="{00000000-0005-0000-0000-00001B3B0000}"/>
    <cellStyle name="CurrencyA 2 2 2 6 3 2 6" xfId="15138" xr:uid="{00000000-0005-0000-0000-00001C3B0000}"/>
    <cellStyle name="CurrencyA 2 2 2 6 3 3" xfId="15139" xr:uid="{00000000-0005-0000-0000-00001D3B0000}"/>
    <cellStyle name="CurrencyA 2 2 2 6 3 4" xfId="15140" xr:uid="{00000000-0005-0000-0000-00001E3B0000}"/>
    <cellStyle name="CurrencyA 2 2 2 6 3 5" xfId="15141" xr:uid="{00000000-0005-0000-0000-00001F3B0000}"/>
    <cellStyle name="CurrencyA 2 2 2 6 3 6" xfId="15142" xr:uid="{00000000-0005-0000-0000-0000203B0000}"/>
    <cellStyle name="CurrencyA 2 2 2 6 4" xfId="15143" xr:uid="{00000000-0005-0000-0000-0000213B0000}"/>
    <cellStyle name="CurrencyA 2 2 2 6 4 2" xfId="15144" xr:uid="{00000000-0005-0000-0000-0000223B0000}"/>
    <cellStyle name="CurrencyA 2 2 2 6 4 3" xfId="15145" xr:uid="{00000000-0005-0000-0000-0000233B0000}"/>
    <cellStyle name="CurrencyA 2 2 2 6 4 4" xfId="15146" xr:uid="{00000000-0005-0000-0000-0000243B0000}"/>
    <cellStyle name="CurrencyA 2 2 2 6 4 5" xfId="15147" xr:uid="{00000000-0005-0000-0000-0000253B0000}"/>
    <cellStyle name="CurrencyA 2 2 2 6 4 6" xfId="15148" xr:uid="{00000000-0005-0000-0000-0000263B0000}"/>
    <cellStyle name="CurrencyA 2 2 2 6 5" xfId="15149" xr:uid="{00000000-0005-0000-0000-0000273B0000}"/>
    <cellStyle name="CurrencyA 2 2 2 6 6" xfId="15150" xr:uid="{00000000-0005-0000-0000-0000283B0000}"/>
    <cellStyle name="CurrencyA 2 2 2 6 7" xfId="15151" xr:uid="{00000000-0005-0000-0000-0000293B0000}"/>
    <cellStyle name="CurrencyA 2 2 2 6 8" xfId="15152" xr:uid="{00000000-0005-0000-0000-00002A3B0000}"/>
    <cellStyle name="CurrencyA 2 2 2 7" xfId="15153" xr:uid="{00000000-0005-0000-0000-00002B3B0000}"/>
    <cellStyle name="CurrencyA 2 2 2 7 2" xfId="15154" xr:uid="{00000000-0005-0000-0000-00002C3B0000}"/>
    <cellStyle name="CurrencyA 2 2 2 7 2 2" xfId="15155" xr:uid="{00000000-0005-0000-0000-00002D3B0000}"/>
    <cellStyle name="CurrencyA 2 2 2 7 2 3" xfId="15156" xr:uid="{00000000-0005-0000-0000-00002E3B0000}"/>
    <cellStyle name="CurrencyA 2 2 2 7 2 4" xfId="15157" xr:uid="{00000000-0005-0000-0000-00002F3B0000}"/>
    <cellStyle name="CurrencyA 2 2 2 7 2 5" xfId="15158" xr:uid="{00000000-0005-0000-0000-0000303B0000}"/>
    <cellStyle name="CurrencyA 2 2 2 7 2 6" xfId="15159" xr:uid="{00000000-0005-0000-0000-0000313B0000}"/>
    <cellStyle name="CurrencyA 2 2 2 7 3" xfId="15160" xr:uid="{00000000-0005-0000-0000-0000323B0000}"/>
    <cellStyle name="CurrencyA 2 2 2 7 4" xfId="15161" xr:uid="{00000000-0005-0000-0000-0000333B0000}"/>
    <cellStyle name="CurrencyA 2 2 2 7 5" xfId="15162" xr:uid="{00000000-0005-0000-0000-0000343B0000}"/>
    <cellStyle name="CurrencyA 2 2 2 7 6" xfId="15163" xr:uid="{00000000-0005-0000-0000-0000353B0000}"/>
    <cellStyle name="CurrencyA 2 2 2 8" xfId="15164" xr:uid="{00000000-0005-0000-0000-0000363B0000}"/>
    <cellStyle name="CurrencyA 2 2 2 8 2" xfId="15165" xr:uid="{00000000-0005-0000-0000-0000373B0000}"/>
    <cellStyle name="CurrencyA 2 2 2 8 2 2" xfId="15166" xr:uid="{00000000-0005-0000-0000-0000383B0000}"/>
    <cellStyle name="CurrencyA 2 2 2 8 2 3" xfId="15167" xr:uid="{00000000-0005-0000-0000-0000393B0000}"/>
    <cellStyle name="CurrencyA 2 2 2 8 2 4" xfId="15168" xr:uid="{00000000-0005-0000-0000-00003A3B0000}"/>
    <cellStyle name="CurrencyA 2 2 2 8 2 5" xfId="15169" xr:uid="{00000000-0005-0000-0000-00003B3B0000}"/>
    <cellStyle name="CurrencyA 2 2 2 8 2 6" xfId="15170" xr:uid="{00000000-0005-0000-0000-00003C3B0000}"/>
    <cellStyle name="CurrencyA 2 2 2 8 3" xfId="15171" xr:uid="{00000000-0005-0000-0000-00003D3B0000}"/>
    <cellStyle name="CurrencyA 2 2 2 8 4" xfId="15172" xr:uid="{00000000-0005-0000-0000-00003E3B0000}"/>
    <cellStyle name="CurrencyA 2 2 2 8 5" xfId="15173" xr:uid="{00000000-0005-0000-0000-00003F3B0000}"/>
    <cellStyle name="CurrencyA 2 2 2 8 6" xfId="15174" xr:uid="{00000000-0005-0000-0000-0000403B0000}"/>
    <cellStyle name="CurrencyA 2 2 2 9" xfId="15175" xr:uid="{00000000-0005-0000-0000-0000413B0000}"/>
    <cellStyle name="CurrencyA 2 2 2 9 2" xfId="15176" xr:uid="{00000000-0005-0000-0000-0000423B0000}"/>
    <cellStyle name="CurrencyA 2 2 2 9 3" xfId="15177" xr:uid="{00000000-0005-0000-0000-0000433B0000}"/>
    <cellStyle name="CurrencyA 2 2 2 9 4" xfId="15178" xr:uid="{00000000-0005-0000-0000-0000443B0000}"/>
    <cellStyle name="CurrencyA 2 2 2 9 5" xfId="15179" xr:uid="{00000000-0005-0000-0000-0000453B0000}"/>
    <cellStyle name="CurrencyA 2 2 2 9 6" xfId="15180" xr:uid="{00000000-0005-0000-0000-0000463B0000}"/>
    <cellStyle name="CurrencyA 2 2 3" xfId="15181" xr:uid="{00000000-0005-0000-0000-0000473B0000}"/>
    <cellStyle name="CurrencyA 2 2 3 2" xfId="15182" xr:uid="{00000000-0005-0000-0000-0000483B0000}"/>
    <cellStyle name="CurrencyA 2 2 3 2 2" xfId="15183" xr:uid="{00000000-0005-0000-0000-0000493B0000}"/>
    <cellStyle name="CurrencyA 2 2 3 2 2 2" xfId="15184" xr:uid="{00000000-0005-0000-0000-00004A3B0000}"/>
    <cellStyle name="CurrencyA 2 2 3 2 2 3" xfId="15185" xr:uid="{00000000-0005-0000-0000-00004B3B0000}"/>
    <cellStyle name="CurrencyA 2 2 3 2 2 4" xfId="15186" xr:uid="{00000000-0005-0000-0000-00004C3B0000}"/>
    <cellStyle name="CurrencyA 2 2 3 2 2 5" xfId="15187" xr:uid="{00000000-0005-0000-0000-00004D3B0000}"/>
    <cellStyle name="CurrencyA 2 2 3 2 2 6" xfId="15188" xr:uid="{00000000-0005-0000-0000-00004E3B0000}"/>
    <cellStyle name="CurrencyA 2 2 3 2 3" xfId="15189" xr:uid="{00000000-0005-0000-0000-00004F3B0000}"/>
    <cellStyle name="CurrencyA 2 2 3 2 4" xfId="15190" xr:uid="{00000000-0005-0000-0000-0000503B0000}"/>
    <cellStyle name="CurrencyA 2 2 3 2 5" xfId="15191" xr:uid="{00000000-0005-0000-0000-0000513B0000}"/>
    <cellStyle name="CurrencyA 2 2 3 2 6" xfId="15192" xr:uid="{00000000-0005-0000-0000-0000523B0000}"/>
    <cellStyle name="CurrencyA 2 2 3 3" xfId="15193" xr:uid="{00000000-0005-0000-0000-0000533B0000}"/>
    <cellStyle name="CurrencyA 2 2 3 3 2" xfId="15194" xr:uid="{00000000-0005-0000-0000-0000543B0000}"/>
    <cellStyle name="CurrencyA 2 2 3 3 2 2" xfId="15195" xr:uid="{00000000-0005-0000-0000-0000553B0000}"/>
    <cellStyle name="CurrencyA 2 2 3 3 2 3" xfId="15196" xr:uid="{00000000-0005-0000-0000-0000563B0000}"/>
    <cellStyle name="CurrencyA 2 2 3 3 2 4" xfId="15197" xr:uid="{00000000-0005-0000-0000-0000573B0000}"/>
    <cellStyle name="CurrencyA 2 2 3 3 2 5" xfId="15198" xr:uid="{00000000-0005-0000-0000-0000583B0000}"/>
    <cellStyle name="CurrencyA 2 2 3 3 2 6" xfId="15199" xr:uid="{00000000-0005-0000-0000-0000593B0000}"/>
    <cellStyle name="CurrencyA 2 2 3 3 3" xfId="15200" xr:uid="{00000000-0005-0000-0000-00005A3B0000}"/>
    <cellStyle name="CurrencyA 2 2 3 3 4" xfId="15201" xr:uid="{00000000-0005-0000-0000-00005B3B0000}"/>
    <cellStyle name="CurrencyA 2 2 3 3 5" xfId="15202" xr:uid="{00000000-0005-0000-0000-00005C3B0000}"/>
    <cellStyle name="CurrencyA 2 2 3 3 6" xfId="15203" xr:uid="{00000000-0005-0000-0000-00005D3B0000}"/>
    <cellStyle name="CurrencyA 2 2 3 4" xfId="15204" xr:uid="{00000000-0005-0000-0000-00005E3B0000}"/>
    <cellStyle name="CurrencyA 2 2 3 4 2" xfId="15205" xr:uid="{00000000-0005-0000-0000-00005F3B0000}"/>
    <cellStyle name="CurrencyA 2 2 3 4 3" xfId="15206" xr:uid="{00000000-0005-0000-0000-0000603B0000}"/>
    <cellStyle name="CurrencyA 2 2 3 4 4" xfId="15207" xr:uid="{00000000-0005-0000-0000-0000613B0000}"/>
    <cellStyle name="CurrencyA 2 2 3 4 5" xfId="15208" xr:uid="{00000000-0005-0000-0000-0000623B0000}"/>
    <cellStyle name="CurrencyA 2 2 3 4 6" xfId="15209" xr:uid="{00000000-0005-0000-0000-0000633B0000}"/>
    <cellStyle name="CurrencyA 2 2 3 5" xfId="15210" xr:uid="{00000000-0005-0000-0000-0000643B0000}"/>
    <cellStyle name="CurrencyA 2 2 3 6" xfId="15211" xr:uid="{00000000-0005-0000-0000-0000653B0000}"/>
    <cellStyle name="CurrencyA 2 2 3 7" xfId="15212" xr:uid="{00000000-0005-0000-0000-0000663B0000}"/>
    <cellStyle name="CurrencyA 2 2 3 8" xfId="15213" xr:uid="{00000000-0005-0000-0000-0000673B0000}"/>
    <cellStyle name="CurrencyA 2 2 4" xfId="15214" xr:uid="{00000000-0005-0000-0000-0000683B0000}"/>
    <cellStyle name="CurrencyA 2 2 4 2" xfId="15215" xr:uid="{00000000-0005-0000-0000-0000693B0000}"/>
    <cellStyle name="CurrencyA 2 2 4 2 2" xfId="15216" xr:uid="{00000000-0005-0000-0000-00006A3B0000}"/>
    <cellStyle name="CurrencyA 2 2 4 2 2 2" xfId="15217" xr:uid="{00000000-0005-0000-0000-00006B3B0000}"/>
    <cellStyle name="CurrencyA 2 2 4 2 2 3" xfId="15218" xr:uid="{00000000-0005-0000-0000-00006C3B0000}"/>
    <cellStyle name="CurrencyA 2 2 4 2 2 4" xfId="15219" xr:uid="{00000000-0005-0000-0000-00006D3B0000}"/>
    <cellStyle name="CurrencyA 2 2 4 2 2 5" xfId="15220" xr:uid="{00000000-0005-0000-0000-00006E3B0000}"/>
    <cellStyle name="CurrencyA 2 2 4 2 2 6" xfId="15221" xr:uid="{00000000-0005-0000-0000-00006F3B0000}"/>
    <cellStyle name="CurrencyA 2 2 4 2 3" xfId="15222" xr:uid="{00000000-0005-0000-0000-0000703B0000}"/>
    <cellStyle name="CurrencyA 2 2 4 2 4" xfId="15223" xr:uid="{00000000-0005-0000-0000-0000713B0000}"/>
    <cellStyle name="CurrencyA 2 2 4 2 5" xfId="15224" xr:uid="{00000000-0005-0000-0000-0000723B0000}"/>
    <cellStyle name="CurrencyA 2 2 4 2 6" xfId="15225" xr:uid="{00000000-0005-0000-0000-0000733B0000}"/>
    <cellStyle name="CurrencyA 2 2 4 3" xfId="15226" xr:uid="{00000000-0005-0000-0000-0000743B0000}"/>
    <cellStyle name="CurrencyA 2 2 4 3 2" xfId="15227" xr:uid="{00000000-0005-0000-0000-0000753B0000}"/>
    <cellStyle name="CurrencyA 2 2 4 3 2 2" xfId="15228" xr:uid="{00000000-0005-0000-0000-0000763B0000}"/>
    <cellStyle name="CurrencyA 2 2 4 3 2 3" xfId="15229" xr:uid="{00000000-0005-0000-0000-0000773B0000}"/>
    <cellStyle name="CurrencyA 2 2 4 3 2 4" xfId="15230" xr:uid="{00000000-0005-0000-0000-0000783B0000}"/>
    <cellStyle name="CurrencyA 2 2 4 3 2 5" xfId="15231" xr:uid="{00000000-0005-0000-0000-0000793B0000}"/>
    <cellStyle name="CurrencyA 2 2 4 3 2 6" xfId="15232" xr:uid="{00000000-0005-0000-0000-00007A3B0000}"/>
    <cellStyle name="CurrencyA 2 2 4 3 3" xfId="15233" xr:uid="{00000000-0005-0000-0000-00007B3B0000}"/>
    <cellStyle name="CurrencyA 2 2 4 3 4" xfId="15234" xr:uid="{00000000-0005-0000-0000-00007C3B0000}"/>
    <cellStyle name="CurrencyA 2 2 4 3 5" xfId="15235" xr:uid="{00000000-0005-0000-0000-00007D3B0000}"/>
    <cellStyle name="CurrencyA 2 2 4 3 6" xfId="15236" xr:uid="{00000000-0005-0000-0000-00007E3B0000}"/>
    <cellStyle name="CurrencyA 2 2 4 4" xfId="15237" xr:uid="{00000000-0005-0000-0000-00007F3B0000}"/>
    <cellStyle name="CurrencyA 2 2 4 4 2" xfId="15238" xr:uid="{00000000-0005-0000-0000-0000803B0000}"/>
    <cellStyle name="CurrencyA 2 2 4 4 3" xfId="15239" xr:uid="{00000000-0005-0000-0000-0000813B0000}"/>
    <cellStyle name="CurrencyA 2 2 4 4 4" xfId="15240" xr:uid="{00000000-0005-0000-0000-0000823B0000}"/>
    <cellStyle name="CurrencyA 2 2 4 4 5" xfId="15241" xr:uid="{00000000-0005-0000-0000-0000833B0000}"/>
    <cellStyle name="CurrencyA 2 2 4 4 6" xfId="15242" xr:uid="{00000000-0005-0000-0000-0000843B0000}"/>
    <cellStyle name="CurrencyA 2 2 4 5" xfId="15243" xr:uid="{00000000-0005-0000-0000-0000853B0000}"/>
    <cellStyle name="CurrencyA 2 2 4 6" xfId="15244" xr:uid="{00000000-0005-0000-0000-0000863B0000}"/>
    <cellStyle name="CurrencyA 2 2 4 7" xfId="15245" xr:uid="{00000000-0005-0000-0000-0000873B0000}"/>
    <cellStyle name="CurrencyA 2 2 4 8" xfId="15246" xr:uid="{00000000-0005-0000-0000-0000883B0000}"/>
    <cellStyle name="CurrencyA 2 2 5" xfId="15247" xr:uid="{00000000-0005-0000-0000-0000893B0000}"/>
    <cellStyle name="CurrencyA 2 2 5 2" xfId="15248" xr:uid="{00000000-0005-0000-0000-00008A3B0000}"/>
    <cellStyle name="CurrencyA 2 2 5 2 2" xfId="15249" xr:uid="{00000000-0005-0000-0000-00008B3B0000}"/>
    <cellStyle name="CurrencyA 2 2 5 2 2 2" xfId="15250" xr:uid="{00000000-0005-0000-0000-00008C3B0000}"/>
    <cellStyle name="CurrencyA 2 2 5 2 2 3" xfId="15251" xr:uid="{00000000-0005-0000-0000-00008D3B0000}"/>
    <cellStyle name="CurrencyA 2 2 5 2 2 4" xfId="15252" xr:uid="{00000000-0005-0000-0000-00008E3B0000}"/>
    <cellStyle name="CurrencyA 2 2 5 2 2 5" xfId="15253" xr:uid="{00000000-0005-0000-0000-00008F3B0000}"/>
    <cellStyle name="CurrencyA 2 2 5 2 2 6" xfId="15254" xr:uid="{00000000-0005-0000-0000-0000903B0000}"/>
    <cellStyle name="CurrencyA 2 2 5 2 3" xfId="15255" xr:uid="{00000000-0005-0000-0000-0000913B0000}"/>
    <cellStyle name="CurrencyA 2 2 5 2 4" xfId="15256" xr:uid="{00000000-0005-0000-0000-0000923B0000}"/>
    <cellStyle name="CurrencyA 2 2 5 2 5" xfId="15257" xr:uid="{00000000-0005-0000-0000-0000933B0000}"/>
    <cellStyle name="CurrencyA 2 2 5 2 6" xfId="15258" xr:uid="{00000000-0005-0000-0000-0000943B0000}"/>
    <cellStyle name="CurrencyA 2 2 5 3" xfId="15259" xr:uid="{00000000-0005-0000-0000-0000953B0000}"/>
    <cellStyle name="CurrencyA 2 2 5 3 2" xfId="15260" xr:uid="{00000000-0005-0000-0000-0000963B0000}"/>
    <cellStyle name="CurrencyA 2 2 5 3 2 2" xfId="15261" xr:uid="{00000000-0005-0000-0000-0000973B0000}"/>
    <cellStyle name="CurrencyA 2 2 5 3 2 3" xfId="15262" xr:uid="{00000000-0005-0000-0000-0000983B0000}"/>
    <cellStyle name="CurrencyA 2 2 5 3 2 4" xfId="15263" xr:uid="{00000000-0005-0000-0000-0000993B0000}"/>
    <cellStyle name="CurrencyA 2 2 5 3 2 5" xfId="15264" xr:uid="{00000000-0005-0000-0000-00009A3B0000}"/>
    <cellStyle name="CurrencyA 2 2 5 3 2 6" xfId="15265" xr:uid="{00000000-0005-0000-0000-00009B3B0000}"/>
    <cellStyle name="CurrencyA 2 2 5 3 3" xfId="15266" xr:uid="{00000000-0005-0000-0000-00009C3B0000}"/>
    <cellStyle name="CurrencyA 2 2 5 3 4" xfId="15267" xr:uid="{00000000-0005-0000-0000-00009D3B0000}"/>
    <cellStyle name="CurrencyA 2 2 5 3 5" xfId="15268" xr:uid="{00000000-0005-0000-0000-00009E3B0000}"/>
    <cellStyle name="CurrencyA 2 2 5 3 6" xfId="15269" xr:uid="{00000000-0005-0000-0000-00009F3B0000}"/>
    <cellStyle name="CurrencyA 2 2 5 4" xfId="15270" xr:uid="{00000000-0005-0000-0000-0000A03B0000}"/>
    <cellStyle name="CurrencyA 2 2 5 4 2" xfId="15271" xr:uid="{00000000-0005-0000-0000-0000A13B0000}"/>
    <cellStyle name="CurrencyA 2 2 5 4 3" xfId="15272" xr:uid="{00000000-0005-0000-0000-0000A23B0000}"/>
    <cellStyle name="CurrencyA 2 2 5 4 4" xfId="15273" xr:uid="{00000000-0005-0000-0000-0000A33B0000}"/>
    <cellStyle name="CurrencyA 2 2 5 4 5" xfId="15274" xr:uid="{00000000-0005-0000-0000-0000A43B0000}"/>
    <cellStyle name="CurrencyA 2 2 5 4 6" xfId="15275" xr:uid="{00000000-0005-0000-0000-0000A53B0000}"/>
    <cellStyle name="CurrencyA 2 2 5 5" xfId="15276" xr:uid="{00000000-0005-0000-0000-0000A63B0000}"/>
    <cellStyle name="CurrencyA 2 2 5 6" xfId="15277" xr:uid="{00000000-0005-0000-0000-0000A73B0000}"/>
    <cellStyle name="CurrencyA 2 2 5 7" xfId="15278" xr:uid="{00000000-0005-0000-0000-0000A83B0000}"/>
    <cellStyle name="CurrencyA 2 2 5 8" xfId="15279" xr:uid="{00000000-0005-0000-0000-0000A93B0000}"/>
    <cellStyle name="CurrencyA 2 2 6" xfId="15280" xr:uid="{00000000-0005-0000-0000-0000AA3B0000}"/>
    <cellStyle name="CurrencyA 2 2 6 2" xfId="15281" xr:uid="{00000000-0005-0000-0000-0000AB3B0000}"/>
    <cellStyle name="CurrencyA 2 2 6 2 2" xfId="15282" xr:uid="{00000000-0005-0000-0000-0000AC3B0000}"/>
    <cellStyle name="CurrencyA 2 2 6 2 2 2" xfId="15283" xr:uid="{00000000-0005-0000-0000-0000AD3B0000}"/>
    <cellStyle name="CurrencyA 2 2 6 2 2 3" xfId="15284" xr:uid="{00000000-0005-0000-0000-0000AE3B0000}"/>
    <cellStyle name="CurrencyA 2 2 6 2 2 4" xfId="15285" xr:uid="{00000000-0005-0000-0000-0000AF3B0000}"/>
    <cellStyle name="CurrencyA 2 2 6 2 2 5" xfId="15286" xr:uid="{00000000-0005-0000-0000-0000B03B0000}"/>
    <cellStyle name="CurrencyA 2 2 6 2 2 6" xfId="15287" xr:uid="{00000000-0005-0000-0000-0000B13B0000}"/>
    <cellStyle name="CurrencyA 2 2 6 2 3" xfId="15288" xr:uid="{00000000-0005-0000-0000-0000B23B0000}"/>
    <cellStyle name="CurrencyA 2 2 6 2 4" xfId="15289" xr:uid="{00000000-0005-0000-0000-0000B33B0000}"/>
    <cellStyle name="CurrencyA 2 2 6 2 5" xfId="15290" xr:uid="{00000000-0005-0000-0000-0000B43B0000}"/>
    <cellStyle name="CurrencyA 2 2 6 2 6" xfId="15291" xr:uid="{00000000-0005-0000-0000-0000B53B0000}"/>
    <cellStyle name="CurrencyA 2 2 6 3" xfId="15292" xr:uid="{00000000-0005-0000-0000-0000B63B0000}"/>
    <cellStyle name="CurrencyA 2 2 6 3 2" xfId="15293" xr:uid="{00000000-0005-0000-0000-0000B73B0000}"/>
    <cellStyle name="CurrencyA 2 2 6 3 2 2" xfId="15294" xr:uid="{00000000-0005-0000-0000-0000B83B0000}"/>
    <cellStyle name="CurrencyA 2 2 6 3 2 3" xfId="15295" xr:uid="{00000000-0005-0000-0000-0000B93B0000}"/>
    <cellStyle name="CurrencyA 2 2 6 3 2 4" xfId="15296" xr:uid="{00000000-0005-0000-0000-0000BA3B0000}"/>
    <cellStyle name="CurrencyA 2 2 6 3 2 5" xfId="15297" xr:uid="{00000000-0005-0000-0000-0000BB3B0000}"/>
    <cellStyle name="CurrencyA 2 2 6 3 2 6" xfId="15298" xr:uid="{00000000-0005-0000-0000-0000BC3B0000}"/>
    <cellStyle name="CurrencyA 2 2 6 3 3" xfId="15299" xr:uid="{00000000-0005-0000-0000-0000BD3B0000}"/>
    <cellStyle name="CurrencyA 2 2 6 3 4" xfId="15300" xr:uid="{00000000-0005-0000-0000-0000BE3B0000}"/>
    <cellStyle name="CurrencyA 2 2 6 3 5" xfId="15301" xr:uid="{00000000-0005-0000-0000-0000BF3B0000}"/>
    <cellStyle name="CurrencyA 2 2 6 3 6" xfId="15302" xr:uid="{00000000-0005-0000-0000-0000C03B0000}"/>
    <cellStyle name="CurrencyA 2 2 6 4" xfId="15303" xr:uid="{00000000-0005-0000-0000-0000C13B0000}"/>
    <cellStyle name="CurrencyA 2 2 6 4 2" xfId="15304" xr:uid="{00000000-0005-0000-0000-0000C23B0000}"/>
    <cellStyle name="CurrencyA 2 2 6 4 3" xfId="15305" xr:uid="{00000000-0005-0000-0000-0000C33B0000}"/>
    <cellStyle name="CurrencyA 2 2 6 4 4" xfId="15306" xr:uid="{00000000-0005-0000-0000-0000C43B0000}"/>
    <cellStyle name="CurrencyA 2 2 6 4 5" xfId="15307" xr:uid="{00000000-0005-0000-0000-0000C53B0000}"/>
    <cellStyle name="CurrencyA 2 2 6 4 6" xfId="15308" xr:uid="{00000000-0005-0000-0000-0000C63B0000}"/>
    <cellStyle name="CurrencyA 2 2 6 5" xfId="15309" xr:uid="{00000000-0005-0000-0000-0000C73B0000}"/>
    <cellStyle name="CurrencyA 2 2 6 6" xfId="15310" xr:uid="{00000000-0005-0000-0000-0000C83B0000}"/>
    <cellStyle name="CurrencyA 2 2 6 7" xfId="15311" xr:uid="{00000000-0005-0000-0000-0000C93B0000}"/>
    <cellStyle name="CurrencyA 2 2 6 8" xfId="15312" xr:uid="{00000000-0005-0000-0000-0000CA3B0000}"/>
    <cellStyle name="CurrencyA 2 2 7" xfId="15313" xr:uid="{00000000-0005-0000-0000-0000CB3B0000}"/>
    <cellStyle name="CurrencyA 2 2 7 2" xfId="15314" xr:uid="{00000000-0005-0000-0000-0000CC3B0000}"/>
    <cellStyle name="CurrencyA 2 2 7 2 2" xfId="15315" xr:uid="{00000000-0005-0000-0000-0000CD3B0000}"/>
    <cellStyle name="CurrencyA 2 2 7 2 2 2" xfId="15316" xr:uid="{00000000-0005-0000-0000-0000CE3B0000}"/>
    <cellStyle name="CurrencyA 2 2 7 2 2 3" xfId="15317" xr:uid="{00000000-0005-0000-0000-0000CF3B0000}"/>
    <cellStyle name="CurrencyA 2 2 7 2 2 4" xfId="15318" xr:uid="{00000000-0005-0000-0000-0000D03B0000}"/>
    <cellStyle name="CurrencyA 2 2 7 2 2 5" xfId="15319" xr:uid="{00000000-0005-0000-0000-0000D13B0000}"/>
    <cellStyle name="CurrencyA 2 2 7 2 2 6" xfId="15320" xr:uid="{00000000-0005-0000-0000-0000D23B0000}"/>
    <cellStyle name="CurrencyA 2 2 7 2 3" xfId="15321" xr:uid="{00000000-0005-0000-0000-0000D33B0000}"/>
    <cellStyle name="CurrencyA 2 2 7 2 4" xfId="15322" xr:uid="{00000000-0005-0000-0000-0000D43B0000}"/>
    <cellStyle name="CurrencyA 2 2 7 2 5" xfId="15323" xr:uid="{00000000-0005-0000-0000-0000D53B0000}"/>
    <cellStyle name="CurrencyA 2 2 7 2 6" xfId="15324" xr:uid="{00000000-0005-0000-0000-0000D63B0000}"/>
    <cellStyle name="CurrencyA 2 2 7 3" xfId="15325" xr:uid="{00000000-0005-0000-0000-0000D73B0000}"/>
    <cellStyle name="CurrencyA 2 2 7 3 2" xfId="15326" xr:uid="{00000000-0005-0000-0000-0000D83B0000}"/>
    <cellStyle name="CurrencyA 2 2 7 3 2 2" xfId="15327" xr:uid="{00000000-0005-0000-0000-0000D93B0000}"/>
    <cellStyle name="CurrencyA 2 2 7 3 2 3" xfId="15328" xr:uid="{00000000-0005-0000-0000-0000DA3B0000}"/>
    <cellStyle name="CurrencyA 2 2 7 3 2 4" xfId="15329" xr:uid="{00000000-0005-0000-0000-0000DB3B0000}"/>
    <cellStyle name="CurrencyA 2 2 7 3 2 5" xfId="15330" xr:uid="{00000000-0005-0000-0000-0000DC3B0000}"/>
    <cellStyle name="CurrencyA 2 2 7 3 2 6" xfId="15331" xr:uid="{00000000-0005-0000-0000-0000DD3B0000}"/>
    <cellStyle name="CurrencyA 2 2 7 3 3" xfId="15332" xr:uid="{00000000-0005-0000-0000-0000DE3B0000}"/>
    <cellStyle name="CurrencyA 2 2 7 3 4" xfId="15333" xr:uid="{00000000-0005-0000-0000-0000DF3B0000}"/>
    <cellStyle name="CurrencyA 2 2 7 3 5" xfId="15334" xr:uid="{00000000-0005-0000-0000-0000E03B0000}"/>
    <cellStyle name="CurrencyA 2 2 7 3 6" xfId="15335" xr:uid="{00000000-0005-0000-0000-0000E13B0000}"/>
    <cellStyle name="CurrencyA 2 2 7 4" xfId="15336" xr:uid="{00000000-0005-0000-0000-0000E23B0000}"/>
    <cellStyle name="CurrencyA 2 2 7 4 2" xfId="15337" xr:uid="{00000000-0005-0000-0000-0000E33B0000}"/>
    <cellStyle name="CurrencyA 2 2 7 4 3" xfId="15338" xr:uid="{00000000-0005-0000-0000-0000E43B0000}"/>
    <cellStyle name="CurrencyA 2 2 7 4 4" xfId="15339" xr:uid="{00000000-0005-0000-0000-0000E53B0000}"/>
    <cellStyle name="CurrencyA 2 2 7 4 5" xfId="15340" xr:uid="{00000000-0005-0000-0000-0000E63B0000}"/>
    <cellStyle name="CurrencyA 2 2 7 4 6" xfId="15341" xr:uid="{00000000-0005-0000-0000-0000E73B0000}"/>
    <cellStyle name="CurrencyA 2 2 7 5" xfId="15342" xr:uid="{00000000-0005-0000-0000-0000E83B0000}"/>
    <cellStyle name="CurrencyA 2 2 7 6" xfId="15343" xr:uid="{00000000-0005-0000-0000-0000E93B0000}"/>
    <cellStyle name="CurrencyA 2 2 7 7" xfId="15344" xr:uid="{00000000-0005-0000-0000-0000EA3B0000}"/>
    <cellStyle name="CurrencyA 2 2 7 8" xfId="15345" xr:uid="{00000000-0005-0000-0000-0000EB3B0000}"/>
    <cellStyle name="CurrencyA 2 2 8" xfId="15346" xr:uid="{00000000-0005-0000-0000-0000EC3B0000}"/>
    <cellStyle name="CurrencyA 2 2 8 2" xfId="15347" xr:uid="{00000000-0005-0000-0000-0000ED3B0000}"/>
    <cellStyle name="CurrencyA 2 2 8 2 2" xfId="15348" xr:uid="{00000000-0005-0000-0000-0000EE3B0000}"/>
    <cellStyle name="CurrencyA 2 2 8 2 3" xfId="15349" xr:uid="{00000000-0005-0000-0000-0000EF3B0000}"/>
    <cellStyle name="CurrencyA 2 2 8 2 4" xfId="15350" xr:uid="{00000000-0005-0000-0000-0000F03B0000}"/>
    <cellStyle name="CurrencyA 2 2 8 2 5" xfId="15351" xr:uid="{00000000-0005-0000-0000-0000F13B0000}"/>
    <cellStyle name="CurrencyA 2 2 8 2 6" xfId="15352" xr:uid="{00000000-0005-0000-0000-0000F23B0000}"/>
    <cellStyle name="CurrencyA 2 2 8 3" xfId="15353" xr:uid="{00000000-0005-0000-0000-0000F33B0000}"/>
    <cellStyle name="CurrencyA 2 2 8 4" xfId="15354" xr:uid="{00000000-0005-0000-0000-0000F43B0000}"/>
    <cellStyle name="CurrencyA 2 2 8 5" xfId="15355" xr:uid="{00000000-0005-0000-0000-0000F53B0000}"/>
    <cellStyle name="CurrencyA 2 2 8 6" xfId="15356" xr:uid="{00000000-0005-0000-0000-0000F63B0000}"/>
    <cellStyle name="CurrencyA 2 2 9" xfId="15357" xr:uid="{00000000-0005-0000-0000-0000F73B0000}"/>
    <cellStyle name="CurrencyA 2 2 9 2" xfId="15358" xr:uid="{00000000-0005-0000-0000-0000F83B0000}"/>
    <cellStyle name="CurrencyA 2 2 9 2 2" xfId="15359" xr:uid="{00000000-0005-0000-0000-0000F93B0000}"/>
    <cellStyle name="CurrencyA 2 2 9 2 3" xfId="15360" xr:uid="{00000000-0005-0000-0000-0000FA3B0000}"/>
    <cellStyle name="CurrencyA 2 2 9 2 4" xfId="15361" xr:uid="{00000000-0005-0000-0000-0000FB3B0000}"/>
    <cellStyle name="CurrencyA 2 2 9 2 5" xfId="15362" xr:uid="{00000000-0005-0000-0000-0000FC3B0000}"/>
    <cellStyle name="CurrencyA 2 2 9 2 6" xfId="15363" xr:uid="{00000000-0005-0000-0000-0000FD3B0000}"/>
    <cellStyle name="CurrencyA 2 2 9 3" xfId="15364" xr:uid="{00000000-0005-0000-0000-0000FE3B0000}"/>
    <cellStyle name="CurrencyA 2 2 9 4" xfId="15365" xr:uid="{00000000-0005-0000-0000-0000FF3B0000}"/>
    <cellStyle name="CurrencyA 2 2 9 5" xfId="15366" xr:uid="{00000000-0005-0000-0000-0000003C0000}"/>
    <cellStyle name="CurrencyA 2 2 9 6" xfId="15367" xr:uid="{00000000-0005-0000-0000-0000013C0000}"/>
    <cellStyle name="CurrencyA 2 3" xfId="15368" xr:uid="{00000000-0005-0000-0000-0000023C0000}"/>
    <cellStyle name="CurrencyA 2 3 10" xfId="15369" xr:uid="{00000000-0005-0000-0000-0000033C0000}"/>
    <cellStyle name="CurrencyA 2 3 11" xfId="15370" xr:uid="{00000000-0005-0000-0000-0000043C0000}"/>
    <cellStyle name="CurrencyA 2 3 12" xfId="15371" xr:uid="{00000000-0005-0000-0000-0000053C0000}"/>
    <cellStyle name="CurrencyA 2 3 13" xfId="15372" xr:uid="{00000000-0005-0000-0000-0000063C0000}"/>
    <cellStyle name="CurrencyA 2 3 2" xfId="15373" xr:uid="{00000000-0005-0000-0000-0000073C0000}"/>
    <cellStyle name="CurrencyA 2 3 2 2" xfId="15374" xr:uid="{00000000-0005-0000-0000-0000083C0000}"/>
    <cellStyle name="CurrencyA 2 3 2 2 2" xfId="15375" xr:uid="{00000000-0005-0000-0000-0000093C0000}"/>
    <cellStyle name="CurrencyA 2 3 2 2 2 2" xfId="15376" xr:uid="{00000000-0005-0000-0000-00000A3C0000}"/>
    <cellStyle name="CurrencyA 2 3 2 2 2 3" xfId="15377" xr:uid="{00000000-0005-0000-0000-00000B3C0000}"/>
    <cellStyle name="CurrencyA 2 3 2 2 2 4" xfId="15378" xr:uid="{00000000-0005-0000-0000-00000C3C0000}"/>
    <cellStyle name="CurrencyA 2 3 2 2 2 5" xfId="15379" xr:uid="{00000000-0005-0000-0000-00000D3C0000}"/>
    <cellStyle name="CurrencyA 2 3 2 2 2 6" xfId="15380" xr:uid="{00000000-0005-0000-0000-00000E3C0000}"/>
    <cellStyle name="CurrencyA 2 3 2 2 3" xfId="15381" xr:uid="{00000000-0005-0000-0000-00000F3C0000}"/>
    <cellStyle name="CurrencyA 2 3 2 2 4" xfId="15382" xr:uid="{00000000-0005-0000-0000-0000103C0000}"/>
    <cellStyle name="CurrencyA 2 3 2 2 5" xfId="15383" xr:uid="{00000000-0005-0000-0000-0000113C0000}"/>
    <cellStyle name="CurrencyA 2 3 2 2 6" xfId="15384" xr:uid="{00000000-0005-0000-0000-0000123C0000}"/>
    <cellStyle name="CurrencyA 2 3 2 3" xfId="15385" xr:uid="{00000000-0005-0000-0000-0000133C0000}"/>
    <cellStyle name="CurrencyA 2 3 2 3 2" xfId="15386" xr:uid="{00000000-0005-0000-0000-0000143C0000}"/>
    <cellStyle name="CurrencyA 2 3 2 3 2 2" xfId="15387" xr:uid="{00000000-0005-0000-0000-0000153C0000}"/>
    <cellStyle name="CurrencyA 2 3 2 3 2 3" xfId="15388" xr:uid="{00000000-0005-0000-0000-0000163C0000}"/>
    <cellStyle name="CurrencyA 2 3 2 3 2 4" xfId="15389" xr:uid="{00000000-0005-0000-0000-0000173C0000}"/>
    <cellStyle name="CurrencyA 2 3 2 3 2 5" xfId="15390" xr:uid="{00000000-0005-0000-0000-0000183C0000}"/>
    <cellStyle name="CurrencyA 2 3 2 3 2 6" xfId="15391" xr:uid="{00000000-0005-0000-0000-0000193C0000}"/>
    <cellStyle name="CurrencyA 2 3 2 3 3" xfId="15392" xr:uid="{00000000-0005-0000-0000-00001A3C0000}"/>
    <cellStyle name="CurrencyA 2 3 2 3 4" xfId="15393" xr:uid="{00000000-0005-0000-0000-00001B3C0000}"/>
    <cellStyle name="CurrencyA 2 3 2 3 5" xfId="15394" xr:uid="{00000000-0005-0000-0000-00001C3C0000}"/>
    <cellStyle name="CurrencyA 2 3 2 3 6" xfId="15395" xr:uid="{00000000-0005-0000-0000-00001D3C0000}"/>
    <cellStyle name="CurrencyA 2 3 2 4" xfId="15396" xr:uid="{00000000-0005-0000-0000-00001E3C0000}"/>
    <cellStyle name="CurrencyA 2 3 2 4 2" xfId="15397" xr:uid="{00000000-0005-0000-0000-00001F3C0000}"/>
    <cellStyle name="CurrencyA 2 3 2 4 3" xfId="15398" xr:uid="{00000000-0005-0000-0000-0000203C0000}"/>
    <cellStyle name="CurrencyA 2 3 2 4 4" xfId="15399" xr:uid="{00000000-0005-0000-0000-0000213C0000}"/>
    <cellStyle name="CurrencyA 2 3 2 4 5" xfId="15400" xr:uid="{00000000-0005-0000-0000-0000223C0000}"/>
    <cellStyle name="CurrencyA 2 3 2 4 6" xfId="15401" xr:uid="{00000000-0005-0000-0000-0000233C0000}"/>
    <cellStyle name="CurrencyA 2 3 2 5" xfId="15402" xr:uid="{00000000-0005-0000-0000-0000243C0000}"/>
    <cellStyle name="CurrencyA 2 3 2 6" xfId="15403" xr:uid="{00000000-0005-0000-0000-0000253C0000}"/>
    <cellStyle name="CurrencyA 2 3 2 7" xfId="15404" xr:uid="{00000000-0005-0000-0000-0000263C0000}"/>
    <cellStyle name="CurrencyA 2 3 2 8" xfId="15405" xr:uid="{00000000-0005-0000-0000-0000273C0000}"/>
    <cellStyle name="CurrencyA 2 3 3" xfId="15406" xr:uid="{00000000-0005-0000-0000-0000283C0000}"/>
    <cellStyle name="CurrencyA 2 3 3 2" xfId="15407" xr:uid="{00000000-0005-0000-0000-0000293C0000}"/>
    <cellStyle name="CurrencyA 2 3 3 2 2" xfId="15408" xr:uid="{00000000-0005-0000-0000-00002A3C0000}"/>
    <cellStyle name="CurrencyA 2 3 3 2 2 2" xfId="15409" xr:uid="{00000000-0005-0000-0000-00002B3C0000}"/>
    <cellStyle name="CurrencyA 2 3 3 2 2 3" xfId="15410" xr:uid="{00000000-0005-0000-0000-00002C3C0000}"/>
    <cellStyle name="CurrencyA 2 3 3 2 2 4" xfId="15411" xr:uid="{00000000-0005-0000-0000-00002D3C0000}"/>
    <cellStyle name="CurrencyA 2 3 3 2 2 5" xfId="15412" xr:uid="{00000000-0005-0000-0000-00002E3C0000}"/>
    <cellStyle name="CurrencyA 2 3 3 2 2 6" xfId="15413" xr:uid="{00000000-0005-0000-0000-00002F3C0000}"/>
    <cellStyle name="CurrencyA 2 3 3 2 3" xfId="15414" xr:uid="{00000000-0005-0000-0000-0000303C0000}"/>
    <cellStyle name="CurrencyA 2 3 3 2 4" xfId="15415" xr:uid="{00000000-0005-0000-0000-0000313C0000}"/>
    <cellStyle name="CurrencyA 2 3 3 2 5" xfId="15416" xr:uid="{00000000-0005-0000-0000-0000323C0000}"/>
    <cellStyle name="CurrencyA 2 3 3 2 6" xfId="15417" xr:uid="{00000000-0005-0000-0000-0000333C0000}"/>
    <cellStyle name="CurrencyA 2 3 3 3" xfId="15418" xr:uid="{00000000-0005-0000-0000-0000343C0000}"/>
    <cellStyle name="CurrencyA 2 3 3 3 2" xfId="15419" xr:uid="{00000000-0005-0000-0000-0000353C0000}"/>
    <cellStyle name="CurrencyA 2 3 3 3 2 2" xfId="15420" xr:uid="{00000000-0005-0000-0000-0000363C0000}"/>
    <cellStyle name="CurrencyA 2 3 3 3 2 3" xfId="15421" xr:uid="{00000000-0005-0000-0000-0000373C0000}"/>
    <cellStyle name="CurrencyA 2 3 3 3 2 4" xfId="15422" xr:uid="{00000000-0005-0000-0000-0000383C0000}"/>
    <cellStyle name="CurrencyA 2 3 3 3 2 5" xfId="15423" xr:uid="{00000000-0005-0000-0000-0000393C0000}"/>
    <cellStyle name="CurrencyA 2 3 3 3 2 6" xfId="15424" xr:uid="{00000000-0005-0000-0000-00003A3C0000}"/>
    <cellStyle name="CurrencyA 2 3 3 3 3" xfId="15425" xr:uid="{00000000-0005-0000-0000-00003B3C0000}"/>
    <cellStyle name="CurrencyA 2 3 3 3 4" xfId="15426" xr:uid="{00000000-0005-0000-0000-00003C3C0000}"/>
    <cellStyle name="CurrencyA 2 3 3 3 5" xfId="15427" xr:uid="{00000000-0005-0000-0000-00003D3C0000}"/>
    <cellStyle name="CurrencyA 2 3 3 3 6" xfId="15428" xr:uid="{00000000-0005-0000-0000-00003E3C0000}"/>
    <cellStyle name="CurrencyA 2 3 3 4" xfId="15429" xr:uid="{00000000-0005-0000-0000-00003F3C0000}"/>
    <cellStyle name="CurrencyA 2 3 3 4 2" xfId="15430" xr:uid="{00000000-0005-0000-0000-0000403C0000}"/>
    <cellStyle name="CurrencyA 2 3 3 4 3" xfId="15431" xr:uid="{00000000-0005-0000-0000-0000413C0000}"/>
    <cellStyle name="CurrencyA 2 3 3 4 4" xfId="15432" xr:uid="{00000000-0005-0000-0000-0000423C0000}"/>
    <cellStyle name="CurrencyA 2 3 3 4 5" xfId="15433" xr:uid="{00000000-0005-0000-0000-0000433C0000}"/>
    <cellStyle name="CurrencyA 2 3 3 4 6" xfId="15434" xr:uid="{00000000-0005-0000-0000-0000443C0000}"/>
    <cellStyle name="CurrencyA 2 3 3 5" xfId="15435" xr:uid="{00000000-0005-0000-0000-0000453C0000}"/>
    <cellStyle name="CurrencyA 2 3 3 6" xfId="15436" xr:uid="{00000000-0005-0000-0000-0000463C0000}"/>
    <cellStyle name="CurrencyA 2 3 3 7" xfId="15437" xr:uid="{00000000-0005-0000-0000-0000473C0000}"/>
    <cellStyle name="CurrencyA 2 3 3 8" xfId="15438" xr:uid="{00000000-0005-0000-0000-0000483C0000}"/>
    <cellStyle name="CurrencyA 2 3 4" xfId="15439" xr:uid="{00000000-0005-0000-0000-0000493C0000}"/>
    <cellStyle name="CurrencyA 2 3 4 2" xfId="15440" xr:uid="{00000000-0005-0000-0000-00004A3C0000}"/>
    <cellStyle name="CurrencyA 2 3 4 2 2" xfId="15441" xr:uid="{00000000-0005-0000-0000-00004B3C0000}"/>
    <cellStyle name="CurrencyA 2 3 4 2 2 2" xfId="15442" xr:uid="{00000000-0005-0000-0000-00004C3C0000}"/>
    <cellStyle name="CurrencyA 2 3 4 2 2 3" xfId="15443" xr:uid="{00000000-0005-0000-0000-00004D3C0000}"/>
    <cellStyle name="CurrencyA 2 3 4 2 2 4" xfId="15444" xr:uid="{00000000-0005-0000-0000-00004E3C0000}"/>
    <cellStyle name="CurrencyA 2 3 4 2 2 5" xfId="15445" xr:uid="{00000000-0005-0000-0000-00004F3C0000}"/>
    <cellStyle name="CurrencyA 2 3 4 2 2 6" xfId="15446" xr:uid="{00000000-0005-0000-0000-0000503C0000}"/>
    <cellStyle name="CurrencyA 2 3 4 2 3" xfId="15447" xr:uid="{00000000-0005-0000-0000-0000513C0000}"/>
    <cellStyle name="CurrencyA 2 3 4 2 4" xfId="15448" xr:uid="{00000000-0005-0000-0000-0000523C0000}"/>
    <cellStyle name="CurrencyA 2 3 4 2 5" xfId="15449" xr:uid="{00000000-0005-0000-0000-0000533C0000}"/>
    <cellStyle name="CurrencyA 2 3 4 2 6" xfId="15450" xr:uid="{00000000-0005-0000-0000-0000543C0000}"/>
    <cellStyle name="CurrencyA 2 3 4 3" xfId="15451" xr:uid="{00000000-0005-0000-0000-0000553C0000}"/>
    <cellStyle name="CurrencyA 2 3 4 3 2" xfId="15452" xr:uid="{00000000-0005-0000-0000-0000563C0000}"/>
    <cellStyle name="CurrencyA 2 3 4 3 2 2" xfId="15453" xr:uid="{00000000-0005-0000-0000-0000573C0000}"/>
    <cellStyle name="CurrencyA 2 3 4 3 2 3" xfId="15454" xr:uid="{00000000-0005-0000-0000-0000583C0000}"/>
    <cellStyle name="CurrencyA 2 3 4 3 2 4" xfId="15455" xr:uid="{00000000-0005-0000-0000-0000593C0000}"/>
    <cellStyle name="CurrencyA 2 3 4 3 2 5" xfId="15456" xr:uid="{00000000-0005-0000-0000-00005A3C0000}"/>
    <cellStyle name="CurrencyA 2 3 4 3 2 6" xfId="15457" xr:uid="{00000000-0005-0000-0000-00005B3C0000}"/>
    <cellStyle name="CurrencyA 2 3 4 3 3" xfId="15458" xr:uid="{00000000-0005-0000-0000-00005C3C0000}"/>
    <cellStyle name="CurrencyA 2 3 4 3 4" xfId="15459" xr:uid="{00000000-0005-0000-0000-00005D3C0000}"/>
    <cellStyle name="CurrencyA 2 3 4 3 5" xfId="15460" xr:uid="{00000000-0005-0000-0000-00005E3C0000}"/>
    <cellStyle name="CurrencyA 2 3 4 3 6" xfId="15461" xr:uid="{00000000-0005-0000-0000-00005F3C0000}"/>
    <cellStyle name="CurrencyA 2 3 4 4" xfId="15462" xr:uid="{00000000-0005-0000-0000-0000603C0000}"/>
    <cellStyle name="CurrencyA 2 3 4 4 2" xfId="15463" xr:uid="{00000000-0005-0000-0000-0000613C0000}"/>
    <cellStyle name="CurrencyA 2 3 4 4 3" xfId="15464" xr:uid="{00000000-0005-0000-0000-0000623C0000}"/>
    <cellStyle name="CurrencyA 2 3 4 4 4" xfId="15465" xr:uid="{00000000-0005-0000-0000-0000633C0000}"/>
    <cellStyle name="CurrencyA 2 3 4 4 5" xfId="15466" xr:uid="{00000000-0005-0000-0000-0000643C0000}"/>
    <cellStyle name="CurrencyA 2 3 4 4 6" xfId="15467" xr:uid="{00000000-0005-0000-0000-0000653C0000}"/>
    <cellStyle name="CurrencyA 2 3 4 5" xfId="15468" xr:uid="{00000000-0005-0000-0000-0000663C0000}"/>
    <cellStyle name="CurrencyA 2 3 4 6" xfId="15469" xr:uid="{00000000-0005-0000-0000-0000673C0000}"/>
    <cellStyle name="CurrencyA 2 3 4 7" xfId="15470" xr:uid="{00000000-0005-0000-0000-0000683C0000}"/>
    <cellStyle name="CurrencyA 2 3 4 8" xfId="15471" xr:uid="{00000000-0005-0000-0000-0000693C0000}"/>
    <cellStyle name="CurrencyA 2 3 5" xfId="15472" xr:uid="{00000000-0005-0000-0000-00006A3C0000}"/>
    <cellStyle name="CurrencyA 2 3 5 2" xfId="15473" xr:uid="{00000000-0005-0000-0000-00006B3C0000}"/>
    <cellStyle name="CurrencyA 2 3 5 2 2" xfId="15474" xr:uid="{00000000-0005-0000-0000-00006C3C0000}"/>
    <cellStyle name="CurrencyA 2 3 5 2 2 2" xfId="15475" xr:uid="{00000000-0005-0000-0000-00006D3C0000}"/>
    <cellStyle name="CurrencyA 2 3 5 2 2 3" xfId="15476" xr:uid="{00000000-0005-0000-0000-00006E3C0000}"/>
    <cellStyle name="CurrencyA 2 3 5 2 2 4" xfId="15477" xr:uid="{00000000-0005-0000-0000-00006F3C0000}"/>
    <cellStyle name="CurrencyA 2 3 5 2 2 5" xfId="15478" xr:uid="{00000000-0005-0000-0000-0000703C0000}"/>
    <cellStyle name="CurrencyA 2 3 5 2 2 6" xfId="15479" xr:uid="{00000000-0005-0000-0000-0000713C0000}"/>
    <cellStyle name="CurrencyA 2 3 5 2 3" xfId="15480" xr:uid="{00000000-0005-0000-0000-0000723C0000}"/>
    <cellStyle name="CurrencyA 2 3 5 2 4" xfId="15481" xr:uid="{00000000-0005-0000-0000-0000733C0000}"/>
    <cellStyle name="CurrencyA 2 3 5 2 5" xfId="15482" xr:uid="{00000000-0005-0000-0000-0000743C0000}"/>
    <cellStyle name="CurrencyA 2 3 5 2 6" xfId="15483" xr:uid="{00000000-0005-0000-0000-0000753C0000}"/>
    <cellStyle name="CurrencyA 2 3 5 3" xfId="15484" xr:uid="{00000000-0005-0000-0000-0000763C0000}"/>
    <cellStyle name="CurrencyA 2 3 5 3 2" xfId="15485" xr:uid="{00000000-0005-0000-0000-0000773C0000}"/>
    <cellStyle name="CurrencyA 2 3 5 3 2 2" xfId="15486" xr:uid="{00000000-0005-0000-0000-0000783C0000}"/>
    <cellStyle name="CurrencyA 2 3 5 3 2 3" xfId="15487" xr:uid="{00000000-0005-0000-0000-0000793C0000}"/>
    <cellStyle name="CurrencyA 2 3 5 3 2 4" xfId="15488" xr:uid="{00000000-0005-0000-0000-00007A3C0000}"/>
    <cellStyle name="CurrencyA 2 3 5 3 2 5" xfId="15489" xr:uid="{00000000-0005-0000-0000-00007B3C0000}"/>
    <cellStyle name="CurrencyA 2 3 5 3 2 6" xfId="15490" xr:uid="{00000000-0005-0000-0000-00007C3C0000}"/>
    <cellStyle name="CurrencyA 2 3 5 3 3" xfId="15491" xr:uid="{00000000-0005-0000-0000-00007D3C0000}"/>
    <cellStyle name="CurrencyA 2 3 5 3 4" xfId="15492" xr:uid="{00000000-0005-0000-0000-00007E3C0000}"/>
    <cellStyle name="CurrencyA 2 3 5 3 5" xfId="15493" xr:uid="{00000000-0005-0000-0000-00007F3C0000}"/>
    <cellStyle name="CurrencyA 2 3 5 3 6" xfId="15494" xr:uid="{00000000-0005-0000-0000-0000803C0000}"/>
    <cellStyle name="CurrencyA 2 3 5 4" xfId="15495" xr:uid="{00000000-0005-0000-0000-0000813C0000}"/>
    <cellStyle name="CurrencyA 2 3 5 4 2" xfId="15496" xr:uid="{00000000-0005-0000-0000-0000823C0000}"/>
    <cellStyle name="CurrencyA 2 3 5 4 3" xfId="15497" xr:uid="{00000000-0005-0000-0000-0000833C0000}"/>
    <cellStyle name="CurrencyA 2 3 5 4 4" xfId="15498" xr:uid="{00000000-0005-0000-0000-0000843C0000}"/>
    <cellStyle name="CurrencyA 2 3 5 4 5" xfId="15499" xr:uid="{00000000-0005-0000-0000-0000853C0000}"/>
    <cellStyle name="CurrencyA 2 3 5 4 6" xfId="15500" xr:uid="{00000000-0005-0000-0000-0000863C0000}"/>
    <cellStyle name="CurrencyA 2 3 5 5" xfId="15501" xr:uid="{00000000-0005-0000-0000-0000873C0000}"/>
    <cellStyle name="CurrencyA 2 3 5 6" xfId="15502" xr:uid="{00000000-0005-0000-0000-0000883C0000}"/>
    <cellStyle name="CurrencyA 2 3 5 7" xfId="15503" xr:uid="{00000000-0005-0000-0000-0000893C0000}"/>
    <cellStyle name="CurrencyA 2 3 5 8" xfId="15504" xr:uid="{00000000-0005-0000-0000-00008A3C0000}"/>
    <cellStyle name="CurrencyA 2 3 6" xfId="15505" xr:uid="{00000000-0005-0000-0000-00008B3C0000}"/>
    <cellStyle name="CurrencyA 2 3 6 2" xfId="15506" xr:uid="{00000000-0005-0000-0000-00008C3C0000}"/>
    <cellStyle name="CurrencyA 2 3 6 2 2" xfId="15507" xr:uid="{00000000-0005-0000-0000-00008D3C0000}"/>
    <cellStyle name="CurrencyA 2 3 6 2 2 2" xfId="15508" xr:uid="{00000000-0005-0000-0000-00008E3C0000}"/>
    <cellStyle name="CurrencyA 2 3 6 2 2 3" xfId="15509" xr:uid="{00000000-0005-0000-0000-00008F3C0000}"/>
    <cellStyle name="CurrencyA 2 3 6 2 2 4" xfId="15510" xr:uid="{00000000-0005-0000-0000-0000903C0000}"/>
    <cellStyle name="CurrencyA 2 3 6 2 2 5" xfId="15511" xr:uid="{00000000-0005-0000-0000-0000913C0000}"/>
    <cellStyle name="CurrencyA 2 3 6 2 2 6" xfId="15512" xr:uid="{00000000-0005-0000-0000-0000923C0000}"/>
    <cellStyle name="CurrencyA 2 3 6 2 3" xfId="15513" xr:uid="{00000000-0005-0000-0000-0000933C0000}"/>
    <cellStyle name="CurrencyA 2 3 6 2 4" xfId="15514" xr:uid="{00000000-0005-0000-0000-0000943C0000}"/>
    <cellStyle name="CurrencyA 2 3 6 2 5" xfId="15515" xr:uid="{00000000-0005-0000-0000-0000953C0000}"/>
    <cellStyle name="CurrencyA 2 3 6 2 6" xfId="15516" xr:uid="{00000000-0005-0000-0000-0000963C0000}"/>
    <cellStyle name="CurrencyA 2 3 6 3" xfId="15517" xr:uid="{00000000-0005-0000-0000-0000973C0000}"/>
    <cellStyle name="CurrencyA 2 3 6 3 2" xfId="15518" xr:uid="{00000000-0005-0000-0000-0000983C0000}"/>
    <cellStyle name="CurrencyA 2 3 6 3 2 2" xfId="15519" xr:uid="{00000000-0005-0000-0000-0000993C0000}"/>
    <cellStyle name="CurrencyA 2 3 6 3 2 3" xfId="15520" xr:uid="{00000000-0005-0000-0000-00009A3C0000}"/>
    <cellStyle name="CurrencyA 2 3 6 3 2 4" xfId="15521" xr:uid="{00000000-0005-0000-0000-00009B3C0000}"/>
    <cellStyle name="CurrencyA 2 3 6 3 2 5" xfId="15522" xr:uid="{00000000-0005-0000-0000-00009C3C0000}"/>
    <cellStyle name="CurrencyA 2 3 6 3 2 6" xfId="15523" xr:uid="{00000000-0005-0000-0000-00009D3C0000}"/>
    <cellStyle name="CurrencyA 2 3 6 3 3" xfId="15524" xr:uid="{00000000-0005-0000-0000-00009E3C0000}"/>
    <cellStyle name="CurrencyA 2 3 6 3 4" xfId="15525" xr:uid="{00000000-0005-0000-0000-00009F3C0000}"/>
    <cellStyle name="CurrencyA 2 3 6 3 5" xfId="15526" xr:uid="{00000000-0005-0000-0000-0000A03C0000}"/>
    <cellStyle name="CurrencyA 2 3 6 3 6" xfId="15527" xr:uid="{00000000-0005-0000-0000-0000A13C0000}"/>
    <cellStyle name="CurrencyA 2 3 6 4" xfId="15528" xr:uid="{00000000-0005-0000-0000-0000A23C0000}"/>
    <cellStyle name="CurrencyA 2 3 6 4 2" xfId="15529" xr:uid="{00000000-0005-0000-0000-0000A33C0000}"/>
    <cellStyle name="CurrencyA 2 3 6 4 3" xfId="15530" xr:uid="{00000000-0005-0000-0000-0000A43C0000}"/>
    <cellStyle name="CurrencyA 2 3 6 4 4" xfId="15531" xr:uid="{00000000-0005-0000-0000-0000A53C0000}"/>
    <cellStyle name="CurrencyA 2 3 6 4 5" xfId="15532" xr:uid="{00000000-0005-0000-0000-0000A63C0000}"/>
    <cellStyle name="CurrencyA 2 3 6 4 6" xfId="15533" xr:uid="{00000000-0005-0000-0000-0000A73C0000}"/>
    <cellStyle name="CurrencyA 2 3 6 5" xfId="15534" xr:uid="{00000000-0005-0000-0000-0000A83C0000}"/>
    <cellStyle name="CurrencyA 2 3 6 6" xfId="15535" xr:uid="{00000000-0005-0000-0000-0000A93C0000}"/>
    <cellStyle name="CurrencyA 2 3 6 7" xfId="15536" xr:uid="{00000000-0005-0000-0000-0000AA3C0000}"/>
    <cellStyle name="CurrencyA 2 3 6 8" xfId="15537" xr:uid="{00000000-0005-0000-0000-0000AB3C0000}"/>
    <cellStyle name="CurrencyA 2 3 7" xfId="15538" xr:uid="{00000000-0005-0000-0000-0000AC3C0000}"/>
    <cellStyle name="CurrencyA 2 3 7 2" xfId="15539" xr:uid="{00000000-0005-0000-0000-0000AD3C0000}"/>
    <cellStyle name="CurrencyA 2 3 7 2 2" xfId="15540" xr:uid="{00000000-0005-0000-0000-0000AE3C0000}"/>
    <cellStyle name="CurrencyA 2 3 7 2 3" xfId="15541" xr:uid="{00000000-0005-0000-0000-0000AF3C0000}"/>
    <cellStyle name="CurrencyA 2 3 7 2 4" xfId="15542" xr:uid="{00000000-0005-0000-0000-0000B03C0000}"/>
    <cellStyle name="CurrencyA 2 3 7 2 5" xfId="15543" xr:uid="{00000000-0005-0000-0000-0000B13C0000}"/>
    <cellStyle name="CurrencyA 2 3 7 2 6" xfId="15544" xr:uid="{00000000-0005-0000-0000-0000B23C0000}"/>
    <cellStyle name="CurrencyA 2 3 7 3" xfId="15545" xr:uid="{00000000-0005-0000-0000-0000B33C0000}"/>
    <cellStyle name="CurrencyA 2 3 7 4" xfId="15546" xr:uid="{00000000-0005-0000-0000-0000B43C0000}"/>
    <cellStyle name="CurrencyA 2 3 7 5" xfId="15547" xr:uid="{00000000-0005-0000-0000-0000B53C0000}"/>
    <cellStyle name="CurrencyA 2 3 7 6" xfId="15548" xr:uid="{00000000-0005-0000-0000-0000B63C0000}"/>
    <cellStyle name="CurrencyA 2 3 8" xfId="15549" xr:uid="{00000000-0005-0000-0000-0000B73C0000}"/>
    <cellStyle name="CurrencyA 2 3 8 2" xfId="15550" xr:uid="{00000000-0005-0000-0000-0000B83C0000}"/>
    <cellStyle name="CurrencyA 2 3 8 2 2" xfId="15551" xr:uid="{00000000-0005-0000-0000-0000B93C0000}"/>
    <cellStyle name="CurrencyA 2 3 8 2 3" xfId="15552" xr:uid="{00000000-0005-0000-0000-0000BA3C0000}"/>
    <cellStyle name="CurrencyA 2 3 8 2 4" xfId="15553" xr:uid="{00000000-0005-0000-0000-0000BB3C0000}"/>
    <cellStyle name="CurrencyA 2 3 8 2 5" xfId="15554" xr:uid="{00000000-0005-0000-0000-0000BC3C0000}"/>
    <cellStyle name="CurrencyA 2 3 8 2 6" xfId="15555" xr:uid="{00000000-0005-0000-0000-0000BD3C0000}"/>
    <cellStyle name="CurrencyA 2 3 8 3" xfId="15556" xr:uid="{00000000-0005-0000-0000-0000BE3C0000}"/>
    <cellStyle name="CurrencyA 2 3 8 4" xfId="15557" xr:uid="{00000000-0005-0000-0000-0000BF3C0000}"/>
    <cellStyle name="CurrencyA 2 3 8 5" xfId="15558" xr:uid="{00000000-0005-0000-0000-0000C03C0000}"/>
    <cellStyle name="CurrencyA 2 3 8 6" xfId="15559" xr:uid="{00000000-0005-0000-0000-0000C13C0000}"/>
    <cellStyle name="CurrencyA 2 3 9" xfId="15560" xr:uid="{00000000-0005-0000-0000-0000C23C0000}"/>
    <cellStyle name="CurrencyA 2 3 9 2" xfId="15561" xr:uid="{00000000-0005-0000-0000-0000C33C0000}"/>
    <cellStyle name="CurrencyA 2 3 9 3" xfId="15562" xr:uid="{00000000-0005-0000-0000-0000C43C0000}"/>
    <cellStyle name="CurrencyA 2 3 9 4" xfId="15563" xr:uid="{00000000-0005-0000-0000-0000C53C0000}"/>
    <cellStyle name="CurrencyA 2 3 9 5" xfId="15564" xr:uid="{00000000-0005-0000-0000-0000C63C0000}"/>
    <cellStyle name="CurrencyA 2 3 9 6" xfId="15565" xr:uid="{00000000-0005-0000-0000-0000C73C0000}"/>
    <cellStyle name="CurrencyA 2 4" xfId="15566" xr:uid="{00000000-0005-0000-0000-0000C83C0000}"/>
    <cellStyle name="CurrencyA 2 4 2" xfId="15567" xr:uid="{00000000-0005-0000-0000-0000C93C0000}"/>
    <cellStyle name="CurrencyA 2 4 2 2" xfId="15568" xr:uid="{00000000-0005-0000-0000-0000CA3C0000}"/>
    <cellStyle name="CurrencyA 2 4 2 2 2" xfId="15569" xr:uid="{00000000-0005-0000-0000-0000CB3C0000}"/>
    <cellStyle name="CurrencyA 2 4 2 2 3" xfId="15570" xr:uid="{00000000-0005-0000-0000-0000CC3C0000}"/>
    <cellStyle name="CurrencyA 2 4 2 2 4" xfId="15571" xr:uid="{00000000-0005-0000-0000-0000CD3C0000}"/>
    <cellStyle name="CurrencyA 2 4 2 2 5" xfId="15572" xr:uid="{00000000-0005-0000-0000-0000CE3C0000}"/>
    <cellStyle name="CurrencyA 2 4 2 2 6" xfId="15573" xr:uid="{00000000-0005-0000-0000-0000CF3C0000}"/>
    <cellStyle name="CurrencyA 2 4 2 3" xfId="15574" xr:uid="{00000000-0005-0000-0000-0000D03C0000}"/>
    <cellStyle name="CurrencyA 2 4 2 4" xfId="15575" xr:uid="{00000000-0005-0000-0000-0000D13C0000}"/>
    <cellStyle name="CurrencyA 2 4 2 5" xfId="15576" xr:uid="{00000000-0005-0000-0000-0000D23C0000}"/>
    <cellStyle name="CurrencyA 2 4 2 6" xfId="15577" xr:uid="{00000000-0005-0000-0000-0000D33C0000}"/>
    <cellStyle name="CurrencyA 2 4 3" xfId="15578" xr:uid="{00000000-0005-0000-0000-0000D43C0000}"/>
    <cellStyle name="CurrencyA 2 4 3 2" xfId="15579" xr:uid="{00000000-0005-0000-0000-0000D53C0000}"/>
    <cellStyle name="CurrencyA 2 4 3 2 2" xfId="15580" xr:uid="{00000000-0005-0000-0000-0000D63C0000}"/>
    <cellStyle name="CurrencyA 2 4 3 2 3" xfId="15581" xr:uid="{00000000-0005-0000-0000-0000D73C0000}"/>
    <cellStyle name="CurrencyA 2 4 3 2 4" xfId="15582" xr:uid="{00000000-0005-0000-0000-0000D83C0000}"/>
    <cellStyle name="CurrencyA 2 4 3 2 5" xfId="15583" xr:uid="{00000000-0005-0000-0000-0000D93C0000}"/>
    <cellStyle name="CurrencyA 2 4 3 2 6" xfId="15584" xr:uid="{00000000-0005-0000-0000-0000DA3C0000}"/>
    <cellStyle name="CurrencyA 2 4 3 3" xfId="15585" xr:uid="{00000000-0005-0000-0000-0000DB3C0000}"/>
    <cellStyle name="CurrencyA 2 4 3 4" xfId="15586" xr:uid="{00000000-0005-0000-0000-0000DC3C0000}"/>
    <cellStyle name="CurrencyA 2 4 3 5" xfId="15587" xr:uid="{00000000-0005-0000-0000-0000DD3C0000}"/>
    <cellStyle name="CurrencyA 2 4 3 6" xfId="15588" xr:uid="{00000000-0005-0000-0000-0000DE3C0000}"/>
    <cellStyle name="CurrencyA 2 4 4" xfId="15589" xr:uid="{00000000-0005-0000-0000-0000DF3C0000}"/>
    <cellStyle name="CurrencyA 2 4 4 2" xfId="15590" xr:uid="{00000000-0005-0000-0000-0000E03C0000}"/>
    <cellStyle name="CurrencyA 2 4 4 3" xfId="15591" xr:uid="{00000000-0005-0000-0000-0000E13C0000}"/>
    <cellStyle name="CurrencyA 2 4 4 4" xfId="15592" xr:uid="{00000000-0005-0000-0000-0000E23C0000}"/>
    <cellStyle name="CurrencyA 2 4 4 5" xfId="15593" xr:uid="{00000000-0005-0000-0000-0000E33C0000}"/>
    <cellStyle name="CurrencyA 2 4 4 6" xfId="15594" xr:uid="{00000000-0005-0000-0000-0000E43C0000}"/>
    <cellStyle name="CurrencyA 2 4 5" xfId="15595" xr:uid="{00000000-0005-0000-0000-0000E53C0000}"/>
    <cellStyle name="CurrencyA 2 4 6" xfId="15596" xr:uid="{00000000-0005-0000-0000-0000E63C0000}"/>
    <cellStyle name="CurrencyA 2 4 7" xfId="15597" xr:uid="{00000000-0005-0000-0000-0000E73C0000}"/>
    <cellStyle name="CurrencyA 2 4 8" xfId="15598" xr:uid="{00000000-0005-0000-0000-0000E83C0000}"/>
    <cellStyle name="CurrencyA 2 5" xfId="15599" xr:uid="{00000000-0005-0000-0000-0000E93C0000}"/>
    <cellStyle name="CurrencyA 2 5 2" xfId="15600" xr:uid="{00000000-0005-0000-0000-0000EA3C0000}"/>
    <cellStyle name="CurrencyA 2 5 2 2" xfId="15601" xr:uid="{00000000-0005-0000-0000-0000EB3C0000}"/>
    <cellStyle name="CurrencyA 2 5 2 2 2" xfId="15602" xr:uid="{00000000-0005-0000-0000-0000EC3C0000}"/>
    <cellStyle name="CurrencyA 2 5 2 2 3" xfId="15603" xr:uid="{00000000-0005-0000-0000-0000ED3C0000}"/>
    <cellStyle name="CurrencyA 2 5 2 2 4" xfId="15604" xr:uid="{00000000-0005-0000-0000-0000EE3C0000}"/>
    <cellStyle name="CurrencyA 2 5 2 2 5" xfId="15605" xr:uid="{00000000-0005-0000-0000-0000EF3C0000}"/>
    <cellStyle name="CurrencyA 2 5 2 2 6" xfId="15606" xr:uid="{00000000-0005-0000-0000-0000F03C0000}"/>
    <cellStyle name="CurrencyA 2 5 2 3" xfId="15607" xr:uid="{00000000-0005-0000-0000-0000F13C0000}"/>
    <cellStyle name="CurrencyA 2 5 2 4" xfId="15608" xr:uid="{00000000-0005-0000-0000-0000F23C0000}"/>
    <cellStyle name="CurrencyA 2 5 2 5" xfId="15609" xr:uid="{00000000-0005-0000-0000-0000F33C0000}"/>
    <cellStyle name="CurrencyA 2 5 2 6" xfId="15610" xr:uid="{00000000-0005-0000-0000-0000F43C0000}"/>
    <cellStyle name="CurrencyA 2 5 3" xfId="15611" xr:uid="{00000000-0005-0000-0000-0000F53C0000}"/>
    <cellStyle name="CurrencyA 2 5 3 2" xfId="15612" xr:uid="{00000000-0005-0000-0000-0000F63C0000}"/>
    <cellStyle name="CurrencyA 2 5 3 2 2" xfId="15613" xr:uid="{00000000-0005-0000-0000-0000F73C0000}"/>
    <cellStyle name="CurrencyA 2 5 3 2 3" xfId="15614" xr:uid="{00000000-0005-0000-0000-0000F83C0000}"/>
    <cellStyle name="CurrencyA 2 5 3 2 4" xfId="15615" xr:uid="{00000000-0005-0000-0000-0000F93C0000}"/>
    <cellStyle name="CurrencyA 2 5 3 2 5" xfId="15616" xr:uid="{00000000-0005-0000-0000-0000FA3C0000}"/>
    <cellStyle name="CurrencyA 2 5 3 2 6" xfId="15617" xr:uid="{00000000-0005-0000-0000-0000FB3C0000}"/>
    <cellStyle name="CurrencyA 2 5 3 3" xfId="15618" xr:uid="{00000000-0005-0000-0000-0000FC3C0000}"/>
    <cellStyle name="CurrencyA 2 5 3 4" xfId="15619" xr:uid="{00000000-0005-0000-0000-0000FD3C0000}"/>
    <cellStyle name="CurrencyA 2 5 3 5" xfId="15620" xr:uid="{00000000-0005-0000-0000-0000FE3C0000}"/>
    <cellStyle name="CurrencyA 2 5 3 6" xfId="15621" xr:uid="{00000000-0005-0000-0000-0000FF3C0000}"/>
    <cellStyle name="CurrencyA 2 5 4" xfId="15622" xr:uid="{00000000-0005-0000-0000-0000003D0000}"/>
    <cellStyle name="CurrencyA 2 5 4 2" xfId="15623" xr:uid="{00000000-0005-0000-0000-0000013D0000}"/>
    <cellStyle name="CurrencyA 2 5 4 3" xfId="15624" xr:uid="{00000000-0005-0000-0000-0000023D0000}"/>
    <cellStyle name="CurrencyA 2 5 4 4" xfId="15625" xr:uid="{00000000-0005-0000-0000-0000033D0000}"/>
    <cellStyle name="CurrencyA 2 5 4 5" xfId="15626" xr:uid="{00000000-0005-0000-0000-0000043D0000}"/>
    <cellStyle name="CurrencyA 2 5 4 6" xfId="15627" xr:uid="{00000000-0005-0000-0000-0000053D0000}"/>
    <cellStyle name="CurrencyA 2 5 5" xfId="15628" xr:uid="{00000000-0005-0000-0000-0000063D0000}"/>
    <cellStyle name="CurrencyA 2 5 6" xfId="15629" xr:uid="{00000000-0005-0000-0000-0000073D0000}"/>
    <cellStyle name="CurrencyA 2 5 7" xfId="15630" xr:uid="{00000000-0005-0000-0000-0000083D0000}"/>
    <cellStyle name="CurrencyA 2 5 8" xfId="15631" xr:uid="{00000000-0005-0000-0000-0000093D0000}"/>
    <cellStyle name="CurrencyA 2 6" xfId="15632" xr:uid="{00000000-0005-0000-0000-00000A3D0000}"/>
    <cellStyle name="CurrencyA 2 6 2" xfId="15633" xr:uid="{00000000-0005-0000-0000-00000B3D0000}"/>
    <cellStyle name="CurrencyA 2 6 2 2" xfId="15634" xr:uid="{00000000-0005-0000-0000-00000C3D0000}"/>
    <cellStyle name="CurrencyA 2 6 2 2 2" xfId="15635" xr:uid="{00000000-0005-0000-0000-00000D3D0000}"/>
    <cellStyle name="CurrencyA 2 6 2 2 3" xfId="15636" xr:uid="{00000000-0005-0000-0000-00000E3D0000}"/>
    <cellStyle name="CurrencyA 2 6 2 2 4" xfId="15637" xr:uid="{00000000-0005-0000-0000-00000F3D0000}"/>
    <cellStyle name="CurrencyA 2 6 2 2 5" xfId="15638" xr:uid="{00000000-0005-0000-0000-0000103D0000}"/>
    <cellStyle name="CurrencyA 2 6 2 2 6" xfId="15639" xr:uid="{00000000-0005-0000-0000-0000113D0000}"/>
    <cellStyle name="CurrencyA 2 6 2 3" xfId="15640" xr:uid="{00000000-0005-0000-0000-0000123D0000}"/>
    <cellStyle name="CurrencyA 2 6 2 4" xfId="15641" xr:uid="{00000000-0005-0000-0000-0000133D0000}"/>
    <cellStyle name="CurrencyA 2 6 2 5" xfId="15642" xr:uid="{00000000-0005-0000-0000-0000143D0000}"/>
    <cellStyle name="CurrencyA 2 6 2 6" xfId="15643" xr:uid="{00000000-0005-0000-0000-0000153D0000}"/>
    <cellStyle name="CurrencyA 2 6 3" xfId="15644" xr:uid="{00000000-0005-0000-0000-0000163D0000}"/>
    <cellStyle name="CurrencyA 2 6 3 2" xfId="15645" xr:uid="{00000000-0005-0000-0000-0000173D0000}"/>
    <cellStyle name="CurrencyA 2 6 3 2 2" xfId="15646" xr:uid="{00000000-0005-0000-0000-0000183D0000}"/>
    <cellStyle name="CurrencyA 2 6 3 2 3" xfId="15647" xr:uid="{00000000-0005-0000-0000-0000193D0000}"/>
    <cellStyle name="CurrencyA 2 6 3 2 4" xfId="15648" xr:uid="{00000000-0005-0000-0000-00001A3D0000}"/>
    <cellStyle name="CurrencyA 2 6 3 2 5" xfId="15649" xr:uid="{00000000-0005-0000-0000-00001B3D0000}"/>
    <cellStyle name="CurrencyA 2 6 3 2 6" xfId="15650" xr:uid="{00000000-0005-0000-0000-00001C3D0000}"/>
    <cellStyle name="CurrencyA 2 6 3 3" xfId="15651" xr:uid="{00000000-0005-0000-0000-00001D3D0000}"/>
    <cellStyle name="CurrencyA 2 6 3 4" xfId="15652" xr:uid="{00000000-0005-0000-0000-00001E3D0000}"/>
    <cellStyle name="CurrencyA 2 6 3 5" xfId="15653" xr:uid="{00000000-0005-0000-0000-00001F3D0000}"/>
    <cellStyle name="CurrencyA 2 6 3 6" xfId="15654" xr:uid="{00000000-0005-0000-0000-0000203D0000}"/>
    <cellStyle name="CurrencyA 2 6 4" xfId="15655" xr:uid="{00000000-0005-0000-0000-0000213D0000}"/>
    <cellStyle name="CurrencyA 2 6 4 2" xfId="15656" xr:uid="{00000000-0005-0000-0000-0000223D0000}"/>
    <cellStyle name="CurrencyA 2 6 4 3" xfId="15657" xr:uid="{00000000-0005-0000-0000-0000233D0000}"/>
    <cellStyle name="CurrencyA 2 6 4 4" xfId="15658" xr:uid="{00000000-0005-0000-0000-0000243D0000}"/>
    <cellStyle name="CurrencyA 2 6 4 5" xfId="15659" xr:uid="{00000000-0005-0000-0000-0000253D0000}"/>
    <cellStyle name="CurrencyA 2 6 4 6" xfId="15660" xr:uid="{00000000-0005-0000-0000-0000263D0000}"/>
    <cellStyle name="CurrencyA 2 6 5" xfId="15661" xr:uid="{00000000-0005-0000-0000-0000273D0000}"/>
    <cellStyle name="CurrencyA 2 6 6" xfId="15662" xr:uid="{00000000-0005-0000-0000-0000283D0000}"/>
    <cellStyle name="CurrencyA 2 6 7" xfId="15663" xr:uid="{00000000-0005-0000-0000-0000293D0000}"/>
    <cellStyle name="CurrencyA 2 6 8" xfId="15664" xr:uid="{00000000-0005-0000-0000-00002A3D0000}"/>
    <cellStyle name="CurrencyA 2 7" xfId="15665" xr:uid="{00000000-0005-0000-0000-00002B3D0000}"/>
    <cellStyle name="CurrencyA 2 7 2" xfId="15666" xr:uid="{00000000-0005-0000-0000-00002C3D0000}"/>
    <cellStyle name="CurrencyA 2 7 2 2" xfId="15667" xr:uid="{00000000-0005-0000-0000-00002D3D0000}"/>
    <cellStyle name="CurrencyA 2 7 2 3" xfId="15668" xr:uid="{00000000-0005-0000-0000-00002E3D0000}"/>
    <cellStyle name="CurrencyA 2 7 2 4" xfId="15669" xr:uid="{00000000-0005-0000-0000-00002F3D0000}"/>
    <cellStyle name="CurrencyA 2 7 2 5" xfId="15670" xr:uid="{00000000-0005-0000-0000-0000303D0000}"/>
    <cellStyle name="CurrencyA 2 7 2 6" xfId="15671" xr:uid="{00000000-0005-0000-0000-0000313D0000}"/>
    <cellStyle name="CurrencyA 2 7 3" xfId="15672" xr:uid="{00000000-0005-0000-0000-0000323D0000}"/>
    <cellStyle name="CurrencyA 2 7 4" xfId="15673" xr:uid="{00000000-0005-0000-0000-0000333D0000}"/>
    <cellStyle name="CurrencyA 2 7 5" xfId="15674" xr:uid="{00000000-0005-0000-0000-0000343D0000}"/>
    <cellStyle name="CurrencyA 2 7 6" xfId="15675" xr:uid="{00000000-0005-0000-0000-0000353D0000}"/>
    <cellStyle name="CurrencyA 2 8" xfId="15676" xr:uid="{00000000-0005-0000-0000-0000363D0000}"/>
    <cellStyle name="CurrencyA 2 8 2" xfId="15677" xr:uid="{00000000-0005-0000-0000-0000373D0000}"/>
    <cellStyle name="CurrencyA 2 8 2 2" xfId="15678" xr:uid="{00000000-0005-0000-0000-0000383D0000}"/>
    <cellStyle name="CurrencyA 2 8 2 3" xfId="15679" xr:uid="{00000000-0005-0000-0000-0000393D0000}"/>
    <cellStyle name="CurrencyA 2 8 2 4" xfId="15680" xr:uid="{00000000-0005-0000-0000-00003A3D0000}"/>
    <cellStyle name="CurrencyA 2 8 2 5" xfId="15681" xr:uid="{00000000-0005-0000-0000-00003B3D0000}"/>
    <cellStyle name="CurrencyA 2 8 2 6" xfId="15682" xr:uid="{00000000-0005-0000-0000-00003C3D0000}"/>
    <cellStyle name="CurrencyA 2 8 3" xfId="15683" xr:uid="{00000000-0005-0000-0000-00003D3D0000}"/>
    <cellStyle name="CurrencyA 2 8 4" xfId="15684" xr:uid="{00000000-0005-0000-0000-00003E3D0000}"/>
    <cellStyle name="CurrencyA 2 8 5" xfId="15685" xr:uid="{00000000-0005-0000-0000-00003F3D0000}"/>
    <cellStyle name="CurrencyA 2 8 6" xfId="15686" xr:uid="{00000000-0005-0000-0000-0000403D0000}"/>
    <cellStyle name="CurrencyA 2 9" xfId="15687" xr:uid="{00000000-0005-0000-0000-0000413D0000}"/>
    <cellStyle name="CurrencyA 2 9 2" xfId="15688" xr:uid="{00000000-0005-0000-0000-0000423D0000}"/>
    <cellStyle name="CurrencyA 2 9 3" xfId="15689" xr:uid="{00000000-0005-0000-0000-0000433D0000}"/>
    <cellStyle name="CurrencyA 2 9 4" xfId="15690" xr:uid="{00000000-0005-0000-0000-0000443D0000}"/>
    <cellStyle name="CurrencyA 2 9 5" xfId="15691" xr:uid="{00000000-0005-0000-0000-0000453D0000}"/>
    <cellStyle name="CurrencyA 2 9 6" xfId="15692" xr:uid="{00000000-0005-0000-0000-0000463D0000}"/>
    <cellStyle name="CurrencyA 3" xfId="15693" xr:uid="{00000000-0005-0000-0000-0000473D0000}"/>
    <cellStyle name="CurrencyA 3 10" xfId="15694" xr:uid="{00000000-0005-0000-0000-0000483D0000}"/>
    <cellStyle name="CurrencyA 3 10 2" xfId="15695" xr:uid="{00000000-0005-0000-0000-0000493D0000}"/>
    <cellStyle name="CurrencyA 3 10 3" xfId="15696" xr:uid="{00000000-0005-0000-0000-00004A3D0000}"/>
    <cellStyle name="CurrencyA 3 10 4" xfId="15697" xr:uid="{00000000-0005-0000-0000-00004B3D0000}"/>
    <cellStyle name="CurrencyA 3 10 5" xfId="15698" xr:uid="{00000000-0005-0000-0000-00004C3D0000}"/>
    <cellStyle name="CurrencyA 3 10 6" xfId="15699" xr:uid="{00000000-0005-0000-0000-00004D3D0000}"/>
    <cellStyle name="CurrencyA 3 11" xfId="15700" xr:uid="{00000000-0005-0000-0000-00004E3D0000}"/>
    <cellStyle name="CurrencyA 3 12" xfId="15701" xr:uid="{00000000-0005-0000-0000-00004F3D0000}"/>
    <cellStyle name="CurrencyA 3 13" xfId="15702" xr:uid="{00000000-0005-0000-0000-0000503D0000}"/>
    <cellStyle name="CurrencyA 3 14" xfId="15703" xr:uid="{00000000-0005-0000-0000-0000513D0000}"/>
    <cellStyle name="CurrencyA 3 2" xfId="15704" xr:uid="{00000000-0005-0000-0000-0000523D0000}"/>
    <cellStyle name="CurrencyA 3 2 10" xfId="15705" xr:uid="{00000000-0005-0000-0000-0000533D0000}"/>
    <cellStyle name="CurrencyA 3 2 11" xfId="15706" xr:uid="{00000000-0005-0000-0000-0000543D0000}"/>
    <cellStyle name="CurrencyA 3 2 12" xfId="15707" xr:uid="{00000000-0005-0000-0000-0000553D0000}"/>
    <cellStyle name="CurrencyA 3 2 13" xfId="15708" xr:uid="{00000000-0005-0000-0000-0000563D0000}"/>
    <cellStyle name="CurrencyA 3 2 2" xfId="15709" xr:uid="{00000000-0005-0000-0000-0000573D0000}"/>
    <cellStyle name="CurrencyA 3 2 2 2" xfId="15710" xr:uid="{00000000-0005-0000-0000-0000583D0000}"/>
    <cellStyle name="CurrencyA 3 2 2 2 2" xfId="15711" xr:uid="{00000000-0005-0000-0000-0000593D0000}"/>
    <cellStyle name="CurrencyA 3 2 2 2 2 2" xfId="15712" xr:uid="{00000000-0005-0000-0000-00005A3D0000}"/>
    <cellStyle name="CurrencyA 3 2 2 2 2 3" xfId="15713" xr:uid="{00000000-0005-0000-0000-00005B3D0000}"/>
    <cellStyle name="CurrencyA 3 2 2 2 2 4" xfId="15714" xr:uid="{00000000-0005-0000-0000-00005C3D0000}"/>
    <cellStyle name="CurrencyA 3 2 2 2 2 5" xfId="15715" xr:uid="{00000000-0005-0000-0000-00005D3D0000}"/>
    <cellStyle name="CurrencyA 3 2 2 2 2 6" xfId="15716" xr:uid="{00000000-0005-0000-0000-00005E3D0000}"/>
    <cellStyle name="CurrencyA 3 2 2 2 3" xfId="15717" xr:uid="{00000000-0005-0000-0000-00005F3D0000}"/>
    <cellStyle name="CurrencyA 3 2 2 2 4" xfId="15718" xr:uid="{00000000-0005-0000-0000-0000603D0000}"/>
    <cellStyle name="CurrencyA 3 2 2 2 5" xfId="15719" xr:uid="{00000000-0005-0000-0000-0000613D0000}"/>
    <cellStyle name="CurrencyA 3 2 2 2 6" xfId="15720" xr:uid="{00000000-0005-0000-0000-0000623D0000}"/>
    <cellStyle name="CurrencyA 3 2 2 3" xfId="15721" xr:uid="{00000000-0005-0000-0000-0000633D0000}"/>
    <cellStyle name="CurrencyA 3 2 2 3 2" xfId="15722" xr:uid="{00000000-0005-0000-0000-0000643D0000}"/>
    <cellStyle name="CurrencyA 3 2 2 3 2 2" xfId="15723" xr:uid="{00000000-0005-0000-0000-0000653D0000}"/>
    <cellStyle name="CurrencyA 3 2 2 3 2 3" xfId="15724" xr:uid="{00000000-0005-0000-0000-0000663D0000}"/>
    <cellStyle name="CurrencyA 3 2 2 3 2 4" xfId="15725" xr:uid="{00000000-0005-0000-0000-0000673D0000}"/>
    <cellStyle name="CurrencyA 3 2 2 3 2 5" xfId="15726" xr:uid="{00000000-0005-0000-0000-0000683D0000}"/>
    <cellStyle name="CurrencyA 3 2 2 3 2 6" xfId="15727" xr:uid="{00000000-0005-0000-0000-0000693D0000}"/>
    <cellStyle name="CurrencyA 3 2 2 3 3" xfId="15728" xr:uid="{00000000-0005-0000-0000-00006A3D0000}"/>
    <cellStyle name="CurrencyA 3 2 2 3 4" xfId="15729" xr:uid="{00000000-0005-0000-0000-00006B3D0000}"/>
    <cellStyle name="CurrencyA 3 2 2 3 5" xfId="15730" xr:uid="{00000000-0005-0000-0000-00006C3D0000}"/>
    <cellStyle name="CurrencyA 3 2 2 3 6" xfId="15731" xr:uid="{00000000-0005-0000-0000-00006D3D0000}"/>
    <cellStyle name="CurrencyA 3 2 2 4" xfId="15732" xr:uid="{00000000-0005-0000-0000-00006E3D0000}"/>
    <cellStyle name="CurrencyA 3 2 2 4 2" xfId="15733" xr:uid="{00000000-0005-0000-0000-00006F3D0000}"/>
    <cellStyle name="CurrencyA 3 2 2 4 3" xfId="15734" xr:uid="{00000000-0005-0000-0000-0000703D0000}"/>
    <cellStyle name="CurrencyA 3 2 2 4 4" xfId="15735" xr:uid="{00000000-0005-0000-0000-0000713D0000}"/>
    <cellStyle name="CurrencyA 3 2 2 4 5" xfId="15736" xr:uid="{00000000-0005-0000-0000-0000723D0000}"/>
    <cellStyle name="CurrencyA 3 2 2 4 6" xfId="15737" xr:uid="{00000000-0005-0000-0000-0000733D0000}"/>
    <cellStyle name="CurrencyA 3 2 2 5" xfId="15738" xr:uid="{00000000-0005-0000-0000-0000743D0000}"/>
    <cellStyle name="CurrencyA 3 2 2 6" xfId="15739" xr:uid="{00000000-0005-0000-0000-0000753D0000}"/>
    <cellStyle name="CurrencyA 3 2 2 7" xfId="15740" xr:uid="{00000000-0005-0000-0000-0000763D0000}"/>
    <cellStyle name="CurrencyA 3 2 2 8" xfId="15741" xr:uid="{00000000-0005-0000-0000-0000773D0000}"/>
    <cellStyle name="CurrencyA 3 2 3" xfId="15742" xr:uid="{00000000-0005-0000-0000-0000783D0000}"/>
    <cellStyle name="CurrencyA 3 2 3 2" xfId="15743" xr:uid="{00000000-0005-0000-0000-0000793D0000}"/>
    <cellStyle name="CurrencyA 3 2 3 2 2" xfId="15744" xr:uid="{00000000-0005-0000-0000-00007A3D0000}"/>
    <cellStyle name="CurrencyA 3 2 3 2 2 2" xfId="15745" xr:uid="{00000000-0005-0000-0000-00007B3D0000}"/>
    <cellStyle name="CurrencyA 3 2 3 2 2 3" xfId="15746" xr:uid="{00000000-0005-0000-0000-00007C3D0000}"/>
    <cellStyle name="CurrencyA 3 2 3 2 2 4" xfId="15747" xr:uid="{00000000-0005-0000-0000-00007D3D0000}"/>
    <cellStyle name="CurrencyA 3 2 3 2 2 5" xfId="15748" xr:uid="{00000000-0005-0000-0000-00007E3D0000}"/>
    <cellStyle name="CurrencyA 3 2 3 2 2 6" xfId="15749" xr:uid="{00000000-0005-0000-0000-00007F3D0000}"/>
    <cellStyle name="CurrencyA 3 2 3 2 3" xfId="15750" xr:uid="{00000000-0005-0000-0000-0000803D0000}"/>
    <cellStyle name="CurrencyA 3 2 3 2 4" xfId="15751" xr:uid="{00000000-0005-0000-0000-0000813D0000}"/>
    <cellStyle name="CurrencyA 3 2 3 2 5" xfId="15752" xr:uid="{00000000-0005-0000-0000-0000823D0000}"/>
    <cellStyle name="CurrencyA 3 2 3 2 6" xfId="15753" xr:uid="{00000000-0005-0000-0000-0000833D0000}"/>
    <cellStyle name="CurrencyA 3 2 3 3" xfId="15754" xr:uid="{00000000-0005-0000-0000-0000843D0000}"/>
    <cellStyle name="CurrencyA 3 2 3 3 2" xfId="15755" xr:uid="{00000000-0005-0000-0000-0000853D0000}"/>
    <cellStyle name="CurrencyA 3 2 3 3 2 2" xfId="15756" xr:uid="{00000000-0005-0000-0000-0000863D0000}"/>
    <cellStyle name="CurrencyA 3 2 3 3 2 3" xfId="15757" xr:uid="{00000000-0005-0000-0000-0000873D0000}"/>
    <cellStyle name="CurrencyA 3 2 3 3 2 4" xfId="15758" xr:uid="{00000000-0005-0000-0000-0000883D0000}"/>
    <cellStyle name="CurrencyA 3 2 3 3 2 5" xfId="15759" xr:uid="{00000000-0005-0000-0000-0000893D0000}"/>
    <cellStyle name="CurrencyA 3 2 3 3 2 6" xfId="15760" xr:uid="{00000000-0005-0000-0000-00008A3D0000}"/>
    <cellStyle name="CurrencyA 3 2 3 3 3" xfId="15761" xr:uid="{00000000-0005-0000-0000-00008B3D0000}"/>
    <cellStyle name="CurrencyA 3 2 3 3 4" xfId="15762" xr:uid="{00000000-0005-0000-0000-00008C3D0000}"/>
    <cellStyle name="CurrencyA 3 2 3 3 5" xfId="15763" xr:uid="{00000000-0005-0000-0000-00008D3D0000}"/>
    <cellStyle name="CurrencyA 3 2 3 3 6" xfId="15764" xr:uid="{00000000-0005-0000-0000-00008E3D0000}"/>
    <cellStyle name="CurrencyA 3 2 3 4" xfId="15765" xr:uid="{00000000-0005-0000-0000-00008F3D0000}"/>
    <cellStyle name="CurrencyA 3 2 3 4 2" xfId="15766" xr:uid="{00000000-0005-0000-0000-0000903D0000}"/>
    <cellStyle name="CurrencyA 3 2 3 4 3" xfId="15767" xr:uid="{00000000-0005-0000-0000-0000913D0000}"/>
    <cellStyle name="CurrencyA 3 2 3 4 4" xfId="15768" xr:uid="{00000000-0005-0000-0000-0000923D0000}"/>
    <cellStyle name="CurrencyA 3 2 3 4 5" xfId="15769" xr:uid="{00000000-0005-0000-0000-0000933D0000}"/>
    <cellStyle name="CurrencyA 3 2 3 4 6" xfId="15770" xr:uid="{00000000-0005-0000-0000-0000943D0000}"/>
    <cellStyle name="CurrencyA 3 2 3 5" xfId="15771" xr:uid="{00000000-0005-0000-0000-0000953D0000}"/>
    <cellStyle name="CurrencyA 3 2 3 6" xfId="15772" xr:uid="{00000000-0005-0000-0000-0000963D0000}"/>
    <cellStyle name="CurrencyA 3 2 3 7" xfId="15773" xr:uid="{00000000-0005-0000-0000-0000973D0000}"/>
    <cellStyle name="CurrencyA 3 2 3 8" xfId="15774" xr:uid="{00000000-0005-0000-0000-0000983D0000}"/>
    <cellStyle name="CurrencyA 3 2 4" xfId="15775" xr:uid="{00000000-0005-0000-0000-0000993D0000}"/>
    <cellStyle name="CurrencyA 3 2 4 2" xfId="15776" xr:uid="{00000000-0005-0000-0000-00009A3D0000}"/>
    <cellStyle name="CurrencyA 3 2 4 2 2" xfId="15777" xr:uid="{00000000-0005-0000-0000-00009B3D0000}"/>
    <cellStyle name="CurrencyA 3 2 4 2 2 2" xfId="15778" xr:uid="{00000000-0005-0000-0000-00009C3D0000}"/>
    <cellStyle name="CurrencyA 3 2 4 2 2 3" xfId="15779" xr:uid="{00000000-0005-0000-0000-00009D3D0000}"/>
    <cellStyle name="CurrencyA 3 2 4 2 2 4" xfId="15780" xr:uid="{00000000-0005-0000-0000-00009E3D0000}"/>
    <cellStyle name="CurrencyA 3 2 4 2 2 5" xfId="15781" xr:uid="{00000000-0005-0000-0000-00009F3D0000}"/>
    <cellStyle name="CurrencyA 3 2 4 2 2 6" xfId="15782" xr:uid="{00000000-0005-0000-0000-0000A03D0000}"/>
    <cellStyle name="CurrencyA 3 2 4 2 3" xfId="15783" xr:uid="{00000000-0005-0000-0000-0000A13D0000}"/>
    <cellStyle name="CurrencyA 3 2 4 2 4" xfId="15784" xr:uid="{00000000-0005-0000-0000-0000A23D0000}"/>
    <cellStyle name="CurrencyA 3 2 4 2 5" xfId="15785" xr:uid="{00000000-0005-0000-0000-0000A33D0000}"/>
    <cellStyle name="CurrencyA 3 2 4 2 6" xfId="15786" xr:uid="{00000000-0005-0000-0000-0000A43D0000}"/>
    <cellStyle name="CurrencyA 3 2 4 3" xfId="15787" xr:uid="{00000000-0005-0000-0000-0000A53D0000}"/>
    <cellStyle name="CurrencyA 3 2 4 3 2" xfId="15788" xr:uid="{00000000-0005-0000-0000-0000A63D0000}"/>
    <cellStyle name="CurrencyA 3 2 4 3 2 2" xfId="15789" xr:uid="{00000000-0005-0000-0000-0000A73D0000}"/>
    <cellStyle name="CurrencyA 3 2 4 3 2 3" xfId="15790" xr:uid="{00000000-0005-0000-0000-0000A83D0000}"/>
    <cellStyle name="CurrencyA 3 2 4 3 2 4" xfId="15791" xr:uid="{00000000-0005-0000-0000-0000A93D0000}"/>
    <cellStyle name="CurrencyA 3 2 4 3 2 5" xfId="15792" xr:uid="{00000000-0005-0000-0000-0000AA3D0000}"/>
    <cellStyle name="CurrencyA 3 2 4 3 2 6" xfId="15793" xr:uid="{00000000-0005-0000-0000-0000AB3D0000}"/>
    <cellStyle name="CurrencyA 3 2 4 3 3" xfId="15794" xr:uid="{00000000-0005-0000-0000-0000AC3D0000}"/>
    <cellStyle name="CurrencyA 3 2 4 3 4" xfId="15795" xr:uid="{00000000-0005-0000-0000-0000AD3D0000}"/>
    <cellStyle name="CurrencyA 3 2 4 3 5" xfId="15796" xr:uid="{00000000-0005-0000-0000-0000AE3D0000}"/>
    <cellStyle name="CurrencyA 3 2 4 3 6" xfId="15797" xr:uid="{00000000-0005-0000-0000-0000AF3D0000}"/>
    <cellStyle name="CurrencyA 3 2 4 4" xfId="15798" xr:uid="{00000000-0005-0000-0000-0000B03D0000}"/>
    <cellStyle name="CurrencyA 3 2 4 4 2" xfId="15799" xr:uid="{00000000-0005-0000-0000-0000B13D0000}"/>
    <cellStyle name="CurrencyA 3 2 4 4 3" xfId="15800" xr:uid="{00000000-0005-0000-0000-0000B23D0000}"/>
    <cellStyle name="CurrencyA 3 2 4 4 4" xfId="15801" xr:uid="{00000000-0005-0000-0000-0000B33D0000}"/>
    <cellStyle name="CurrencyA 3 2 4 4 5" xfId="15802" xr:uid="{00000000-0005-0000-0000-0000B43D0000}"/>
    <cellStyle name="CurrencyA 3 2 4 4 6" xfId="15803" xr:uid="{00000000-0005-0000-0000-0000B53D0000}"/>
    <cellStyle name="CurrencyA 3 2 4 5" xfId="15804" xr:uid="{00000000-0005-0000-0000-0000B63D0000}"/>
    <cellStyle name="CurrencyA 3 2 4 6" xfId="15805" xr:uid="{00000000-0005-0000-0000-0000B73D0000}"/>
    <cellStyle name="CurrencyA 3 2 4 7" xfId="15806" xr:uid="{00000000-0005-0000-0000-0000B83D0000}"/>
    <cellStyle name="CurrencyA 3 2 4 8" xfId="15807" xr:uid="{00000000-0005-0000-0000-0000B93D0000}"/>
    <cellStyle name="CurrencyA 3 2 5" xfId="15808" xr:uid="{00000000-0005-0000-0000-0000BA3D0000}"/>
    <cellStyle name="CurrencyA 3 2 5 2" xfId="15809" xr:uid="{00000000-0005-0000-0000-0000BB3D0000}"/>
    <cellStyle name="CurrencyA 3 2 5 2 2" xfId="15810" xr:uid="{00000000-0005-0000-0000-0000BC3D0000}"/>
    <cellStyle name="CurrencyA 3 2 5 2 2 2" xfId="15811" xr:uid="{00000000-0005-0000-0000-0000BD3D0000}"/>
    <cellStyle name="CurrencyA 3 2 5 2 2 3" xfId="15812" xr:uid="{00000000-0005-0000-0000-0000BE3D0000}"/>
    <cellStyle name="CurrencyA 3 2 5 2 2 4" xfId="15813" xr:uid="{00000000-0005-0000-0000-0000BF3D0000}"/>
    <cellStyle name="CurrencyA 3 2 5 2 2 5" xfId="15814" xr:uid="{00000000-0005-0000-0000-0000C03D0000}"/>
    <cellStyle name="CurrencyA 3 2 5 2 2 6" xfId="15815" xr:uid="{00000000-0005-0000-0000-0000C13D0000}"/>
    <cellStyle name="CurrencyA 3 2 5 2 3" xfId="15816" xr:uid="{00000000-0005-0000-0000-0000C23D0000}"/>
    <cellStyle name="CurrencyA 3 2 5 2 4" xfId="15817" xr:uid="{00000000-0005-0000-0000-0000C33D0000}"/>
    <cellStyle name="CurrencyA 3 2 5 2 5" xfId="15818" xr:uid="{00000000-0005-0000-0000-0000C43D0000}"/>
    <cellStyle name="CurrencyA 3 2 5 2 6" xfId="15819" xr:uid="{00000000-0005-0000-0000-0000C53D0000}"/>
    <cellStyle name="CurrencyA 3 2 5 3" xfId="15820" xr:uid="{00000000-0005-0000-0000-0000C63D0000}"/>
    <cellStyle name="CurrencyA 3 2 5 3 2" xfId="15821" xr:uid="{00000000-0005-0000-0000-0000C73D0000}"/>
    <cellStyle name="CurrencyA 3 2 5 3 2 2" xfId="15822" xr:uid="{00000000-0005-0000-0000-0000C83D0000}"/>
    <cellStyle name="CurrencyA 3 2 5 3 2 3" xfId="15823" xr:uid="{00000000-0005-0000-0000-0000C93D0000}"/>
    <cellStyle name="CurrencyA 3 2 5 3 2 4" xfId="15824" xr:uid="{00000000-0005-0000-0000-0000CA3D0000}"/>
    <cellStyle name="CurrencyA 3 2 5 3 2 5" xfId="15825" xr:uid="{00000000-0005-0000-0000-0000CB3D0000}"/>
    <cellStyle name="CurrencyA 3 2 5 3 2 6" xfId="15826" xr:uid="{00000000-0005-0000-0000-0000CC3D0000}"/>
    <cellStyle name="CurrencyA 3 2 5 3 3" xfId="15827" xr:uid="{00000000-0005-0000-0000-0000CD3D0000}"/>
    <cellStyle name="CurrencyA 3 2 5 3 4" xfId="15828" xr:uid="{00000000-0005-0000-0000-0000CE3D0000}"/>
    <cellStyle name="CurrencyA 3 2 5 3 5" xfId="15829" xr:uid="{00000000-0005-0000-0000-0000CF3D0000}"/>
    <cellStyle name="CurrencyA 3 2 5 3 6" xfId="15830" xr:uid="{00000000-0005-0000-0000-0000D03D0000}"/>
    <cellStyle name="CurrencyA 3 2 5 4" xfId="15831" xr:uid="{00000000-0005-0000-0000-0000D13D0000}"/>
    <cellStyle name="CurrencyA 3 2 5 4 2" xfId="15832" xr:uid="{00000000-0005-0000-0000-0000D23D0000}"/>
    <cellStyle name="CurrencyA 3 2 5 4 3" xfId="15833" xr:uid="{00000000-0005-0000-0000-0000D33D0000}"/>
    <cellStyle name="CurrencyA 3 2 5 4 4" xfId="15834" xr:uid="{00000000-0005-0000-0000-0000D43D0000}"/>
    <cellStyle name="CurrencyA 3 2 5 4 5" xfId="15835" xr:uid="{00000000-0005-0000-0000-0000D53D0000}"/>
    <cellStyle name="CurrencyA 3 2 5 4 6" xfId="15836" xr:uid="{00000000-0005-0000-0000-0000D63D0000}"/>
    <cellStyle name="CurrencyA 3 2 5 5" xfId="15837" xr:uid="{00000000-0005-0000-0000-0000D73D0000}"/>
    <cellStyle name="CurrencyA 3 2 5 6" xfId="15838" xr:uid="{00000000-0005-0000-0000-0000D83D0000}"/>
    <cellStyle name="CurrencyA 3 2 5 7" xfId="15839" xr:uid="{00000000-0005-0000-0000-0000D93D0000}"/>
    <cellStyle name="CurrencyA 3 2 5 8" xfId="15840" xr:uid="{00000000-0005-0000-0000-0000DA3D0000}"/>
    <cellStyle name="CurrencyA 3 2 6" xfId="15841" xr:uid="{00000000-0005-0000-0000-0000DB3D0000}"/>
    <cellStyle name="CurrencyA 3 2 6 2" xfId="15842" xr:uid="{00000000-0005-0000-0000-0000DC3D0000}"/>
    <cellStyle name="CurrencyA 3 2 6 2 2" xfId="15843" xr:uid="{00000000-0005-0000-0000-0000DD3D0000}"/>
    <cellStyle name="CurrencyA 3 2 6 2 2 2" xfId="15844" xr:uid="{00000000-0005-0000-0000-0000DE3D0000}"/>
    <cellStyle name="CurrencyA 3 2 6 2 2 3" xfId="15845" xr:uid="{00000000-0005-0000-0000-0000DF3D0000}"/>
    <cellStyle name="CurrencyA 3 2 6 2 2 4" xfId="15846" xr:uid="{00000000-0005-0000-0000-0000E03D0000}"/>
    <cellStyle name="CurrencyA 3 2 6 2 2 5" xfId="15847" xr:uid="{00000000-0005-0000-0000-0000E13D0000}"/>
    <cellStyle name="CurrencyA 3 2 6 2 2 6" xfId="15848" xr:uid="{00000000-0005-0000-0000-0000E23D0000}"/>
    <cellStyle name="CurrencyA 3 2 6 2 3" xfId="15849" xr:uid="{00000000-0005-0000-0000-0000E33D0000}"/>
    <cellStyle name="CurrencyA 3 2 6 2 4" xfId="15850" xr:uid="{00000000-0005-0000-0000-0000E43D0000}"/>
    <cellStyle name="CurrencyA 3 2 6 2 5" xfId="15851" xr:uid="{00000000-0005-0000-0000-0000E53D0000}"/>
    <cellStyle name="CurrencyA 3 2 6 2 6" xfId="15852" xr:uid="{00000000-0005-0000-0000-0000E63D0000}"/>
    <cellStyle name="CurrencyA 3 2 6 3" xfId="15853" xr:uid="{00000000-0005-0000-0000-0000E73D0000}"/>
    <cellStyle name="CurrencyA 3 2 6 3 2" xfId="15854" xr:uid="{00000000-0005-0000-0000-0000E83D0000}"/>
    <cellStyle name="CurrencyA 3 2 6 3 2 2" xfId="15855" xr:uid="{00000000-0005-0000-0000-0000E93D0000}"/>
    <cellStyle name="CurrencyA 3 2 6 3 2 3" xfId="15856" xr:uid="{00000000-0005-0000-0000-0000EA3D0000}"/>
    <cellStyle name="CurrencyA 3 2 6 3 2 4" xfId="15857" xr:uid="{00000000-0005-0000-0000-0000EB3D0000}"/>
    <cellStyle name="CurrencyA 3 2 6 3 2 5" xfId="15858" xr:uid="{00000000-0005-0000-0000-0000EC3D0000}"/>
    <cellStyle name="CurrencyA 3 2 6 3 2 6" xfId="15859" xr:uid="{00000000-0005-0000-0000-0000ED3D0000}"/>
    <cellStyle name="CurrencyA 3 2 6 3 3" xfId="15860" xr:uid="{00000000-0005-0000-0000-0000EE3D0000}"/>
    <cellStyle name="CurrencyA 3 2 6 3 4" xfId="15861" xr:uid="{00000000-0005-0000-0000-0000EF3D0000}"/>
    <cellStyle name="CurrencyA 3 2 6 3 5" xfId="15862" xr:uid="{00000000-0005-0000-0000-0000F03D0000}"/>
    <cellStyle name="CurrencyA 3 2 6 3 6" xfId="15863" xr:uid="{00000000-0005-0000-0000-0000F13D0000}"/>
    <cellStyle name="CurrencyA 3 2 6 4" xfId="15864" xr:uid="{00000000-0005-0000-0000-0000F23D0000}"/>
    <cellStyle name="CurrencyA 3 2 6 4 2" xfId="15865" xr:uid="{00000000-0005-0000-0000-0000F33D0000}"/>
    <cellStyle name="CurrencyA 3 2 6 4 3" xfId="15866" xr:uid="{00000000-0005-0000-0000-0000F43D0000}"/>
    <cellStyle name="CurrencyA 3 2 6 4 4" xfId="15867" xr:uid="{00000000-0005-0000-0000-0000F53D0000}"/>
    <cellStyle name="CurrencyA 3 2 6 4 5" xfId="15868" xr:uid="{00000000-0005-0000-0000-0000F63D0000}"/>
    <cellStyle name="CurrencyA 3 2 6 4 6" xfId="15869" xr:uid="{00000000-0005-0000-0000-0000F73D0000}"/>
    <cellStyle name="CurrencyA 3 2 6 5" xfId="15870" xr:uid="{00000000-0005-0000-0000-0000F83D0000}"/>
    <cellStyle name="CurrencyA 3 2 6 6" xfId="15871" xr:uid="{00000000-0005-0000-0000-0000F93D0000}"/>
    <cellStyle name="CurrencyA 3 2 6 7" xfId="15872" xr:uid="{00000000-0005-0000-0000-0000FA3D0000}"/>
    <cellStyle name="CurrencyA 3 2 6 8" xfId="15873" xr:uid="{00000000-0005-0000-0000-0000FB3D0000}"/>
    <cellStyle name="CurrencyA 3 2 7" xfId="15874" xr:uid="{00000000-0005-0000-0000-0000FC3D0000}"/>
    <cellStyle name="CurrencyA 3 2 7 2" xfId="15875" xr:uid="{00000000-0005-0000-0000-0000FD3D0000}"/>
    <cellStyle name="CurrencyA 3 2 7 2 2" xfId="15876" xr:uid="{00000000-0005-0000-0000-0000FE3D0000}"/>
    <cellStyle name="CurrencyA 3 2 7 2 3" xfId="15877" xr:uid="{00000000-0005-0000-0000-0000FF3D0000}"/>
    <cellStyle name="CurrencyA 3 2 7 2 4" xfId="15878" xr:uid="{00000000-0005-0000-0000-0000003E0000}"/>
    <cellStyle name="CurrencyA 3 2 7 2 5" xfId="15879" xr:uid="{00000000-0005-0000-0000-0000013E0000}"/>
    <cellStyle name="CurrencyA 3 2 7 2 6" xfId="15880" xr:uid="{00000000-0005-0000-0000-0000023E0000}"/>
    <cellStyle name="CurrencyA 3 2 7 3" xfId="15881" xr:uid="{00000000-0005-0000-0000-0000033E0000}"/>
    <cellStyle name="CurrencyA 3 2 7 4" xfId="15882" xr:uid="{00000000-0005-0000-0000-0000043E0000}"/>
    <cellStyle name="CurrencyA 3 2 7 5" xfId="15883" xr:uid="{00000000-0005-0000-0000-0000053E0000}"/>
    <cellStyle name="CurrencyA 3 2 7 6" xfId="15884" xr:uid="{00000000-0005-0000-0000-0000063E0000}"/>
    <cellStyle name="CurrencyA 3 2 8" xfId="15885" xr:uid="{00000000-0005-0000-0000-0000073E0000}"/>
    <cellStyle name="CurrencyA 3 2 8 2" xfId="15886" xr:uid="{00000000-0005-0000-0000-0000083E0000}"/>
    <cellStyle name="CurrencyA 3 2 8 2 2" xfId="15887" xr:uid="{00000000-0005-0000-0000-0000093E0000}"/>
    <cellStyle name="CurrencyA 3 2 8 2 3" xfId="15888" xr:uid="{00000000-0005-0000-0000-00000A3E0000}"/>
    <cellStyle name="CurrencyA 3 2 8 2 4" xfId="15889" xr:uid="{00000000-0005-0000-0000-00000B3E0000}"/>
    <cellStyle name="CurrencyA 3 2 8 2 5" xfId="15890" xr:uid="{00000000-0005-0000-0000-00000C3E0000}"/>
    <cellStyle name="CurrencyA 3 2 8 2 6" xfId="15891" xr:uid="{00000000-0005-0000-0000-00000D3E0000}"/>
    <cellStyle name="CurrencyA 3 2 8 3" xfId="15892" xr:uid="{00000000-0005-0000-0000-00000E3E0000}"/>
    <cellStyle name="CurrencyA 3 2 8 4" xfId="15893" xr:uid="{00000000-0005-0000-0000-00000F3E0000}"/>
    <cellStyle name="CurrencyA 3 2 8 5" xfId="15894" xr:uid="{00000000-0005-0000-0000-0000103E0000}"/>
    <cellStyle name="CurrencyA 3 2 8 6" xfId="15895" xr:uid="{00000000-0005-0000-0000-0000113E0000}"/>
    <cellStyle name="CurrencyA 3 2 9" xfId="15896" xr:uid="{00000000-0005-0000-0000-0000123E0000}"/>
    <cellStyle name="CurrencyA 3 2 9 2" xfId="15897" xr:uid="{00000000-0005-0000-0000-0000133E0000}"/>
    <cellStyle name="CurrencyA 3 2 9 3" xfId="15898" xr:uid="{00000000-0005-0000-0000-0000143E0000}"/>
    <cellStyle name="CurrencyA 3 2 9 4" xfId="15899" xr:uid="{00000000-0005-0000-0000-0000153E0000}"/>
    <cellStyle name="CurrencyA 3 2 9 5" xfId="15900" xr:uid="{00000000-0005-0000-0000-0000163E0000}"/>
    <cellStyle name="CurrencyA 3 2 9 6" xfId="15901" xr:uid="{00000000-0005-0000-0000-0000173E0000}"/>
    <cellStyle name="CurrencyA 3 3" xfId="15902" xr:uid="{00000000-0005-0000-0000-0000183E0000}"/>
    <cellStyle name="CurrencyA 3 3 2" xfId="15903" xr:uid="{00000000-0005-0000-0000-0000193E0000}"/>
    <cellStyle name="CurrencyA 3 3 2 2" xfId="15904" xr:uid="{00000000-0005-0000-0000-00001A3E0000}"/>
    <cellStyle name="CurrencyA 3 3 2 2 2" xfId="15905" xr:uid="{00000000-0005-0000-0000-00001B3E0000}"/>
    <cellStyle name="CurrencyA 3 3 2 2 3" xfId="15906" xr:uid="{00000000-0005-0000-0000-00001C3E0000}"/>
    <cellStyle name="CurrencyA 3 3 2 2 4" xfId="15907" xr:uid="{00000000-0005-0000-0000-00001D3E0000}"/>
    <cellStyle name="CurrencyA 3 3 2 2 5" xfId="15908" xr:uid="{00000000-0005-0000-0000-00001E3E0000}"/>
    <cellStyle name="CurrencyA 3 3 2 2 6" xfId="15909" xr:uid="{00000000-0005-0000-0000-00001F3E0000}"/>
    <cellStyle name="CurrencyA 3 3 2 3" xfId="15910" xr:uid="{00000000-0005-0000-0000-0000203E0000}"/>
    <cellStyle name="CurrencyA 3 3 2 4" xfId="15911" xr:uid="{00000000-0005-0000-0000-0000213E0000}"/>
    <cellStyle name="CurrencyA 3 3 2 5" xfId="15912" xr:uid="{00000000-0005-0000-0000-0000223E0000}"/>
    <cellStyle name="CurrencyA 3 3 2 6" xfId="15913" xr:uid="{00000000-0005-0000-0000-0000233E0000}"/>
    <cellStyle name="CurrencyA 3 3 3" xfId="15914" xr:uid="{00000000-0005-0000-0000-0000243E0000}"/>
    <cellStyle name="CurrencyA 3 3 3 2" xfId="15915" xr:uid="{00000000-0005-0000-0000-0000253E0000}"/>
    <cellStyle name="CurrencyA 3 3 3 2 2" xfId="15916" xr:uid="{00000000-0005-0000-0000-0000263E0000}"/>
    <cellStyle name="CurrencyA 3 3 3 2 3" xfId="15917" xr:uid="{00000000-0005-0000-0000-0000273E0000}"/>
    <cellStyle name="CurrencyA 3 3 3 2 4" xfId="15918" xr:uid="{00000000-0005-0000-0000-0000283E0000}"/>
    <cellStyle name="CurrencyA 3 3 3 2 5" xfId="15919" xr:uid="{00000000-0005-0000-0000-0000293E0000}"/>
    <cellStyle name="CurrencyA 3 3 3 2 6" xfId="15920" xr:uid="{00000000-0005-0000-0000-00002A3E0000}"/>
    <cellStyle name="CurrencyA 3 3 3 3" xfId="15921" xr:uid="{00000000-0005-0000-0000-00002B3E0000}"/>
    <cellStyle name="CurrencyA 3 3 3 4" xfId="15922" xr:uid="{00000000-0005-0000-0000-00002C3E0000}"/>
    <cellStyle name="CurrencyA 3 3 3 5" xfId="15923" xr:uid="{00000000-0005-0000-0000-00002D3E0000}"/>
    <cellStyle name="CurrencyA 3 3 3 6" xfId="15924" xr:uid="{00000000-0005-0000-0000-00002E3E0000}"/>
    <cellStyle name="CurrencyA 3 3 4" xfId="15925" xr:uid="{00000000-0005-0000-0000-00002F3E0000}"/>
    <cellStyle name="CurrencyA 3 3 4 2" xfId="15926" xr:uid="{00000000-0005-0000-0000-0000303E0000}"/>
    <cellStyle name="CurrencyA 3 3 4 3" xfId="15927" xr:uid="{00000000-0005-0000-0000-0000313E0000}"/>
    <cellStyle name="CurrencyA 3 3 4 4" xfId="15928" xr:uid="{00000000-0005-0000-0000-0000323E0000}"/>
    <cellStyle name="CurrencyA 3 3 4 5" xfId="15929" xr:uid="{00000000-0005-0000-0000-0000333E0000}"/>
    <cellStyle name="CurrencyA 3 3 4 6" xfId="15930" xr:uid="{00000000-0005-0000-0000-0000343E0000}"/>
    <cellStyle name="CurrencyA 3 3 5" xfId="15931" xr:uid="{00000000-0005-0000-0000-0000353E0000}"/>
    <cellStyle name="CurrencyA 3 3 6" xfId="15932" xr:uid="{00000000-0005-0000-0000-0000363E0000}"/>
    <cellStyle name="CurrencyA 3 3 7" xfId="15933" xr:uid="{00000000-0005-0000-0000-0000373E0000}"/>
    <cellStyle name="CurrencyA 3 3 8" xfId="15934" xr:uid="{00000000-0005-0000-0000-0000383E0000}"/>
    <cellStyle name="CurrencyA 3 4" xfId="15935" xr:uid="{00000000-0005-0000-0000-0000393E0000}"/>
    <cellStyle name="CurrencyA 3 4 2" xfId="15936" xr:uid="{00000000-0005-0000-0000-00003A3E0000}"/>
    <cellStyle name="CurrencyA 3 4 2 2" xfId="15937" xr:uid="{00000000-0005-0000-0000-00003B3E0000}"/>
    <cellStyle name="CurrencyA 3 4 2 2 2" xfId="15938" xr:uid="{00000000-0005-0000-0000-00003C3E0000}"/>
    <cellStyle name="CurrencyA 3 4 2 2 3" xfId="15939" xr:uid="{00000000-0005-0000-0000-00003D3E0000}"/>
    <cellStyle name="CurrencyA 3 4 2 2 4" xfId="15940" xr:uid="{00000000-0005-0000-0000-00003E3E0000}"/>
    <cellStyle name="CurrencyA 3 4 2 2 5" xfId="15941" xr:uid="{00000000-0005-0000-0000-00003F3E0000}"/>
    <cellStyle name="CurrencyA 3 4 2 2 6" xfId="15942" xr:uid="{00000000-0005-0000-0000-0000403E0000}"/>
    <cellStyle name="CurrencyA 3 4 2 3" xfId="15943" xr:uid="{00000000-0005-0000-0000-0000413E0000}"/>
    <cellStyle name="CurrencyA 3 4 2 4" xfId="15944" xr:uid="{00000000-0005-0000-0000-0000423E0000}"/>
    <cellStyle name="CurrencyA 3 4 2 5" xfId="15945" xr:uid="{00000000-0005-0000-0000-0000433E0000}"/>
    <cellStyle name="CurrencyA 3 4 2 6" xfId="15946" xr:uid="{00000000-0005-0000-0000-0000443E0000}"/>
    <cellStyle name="CurrencyA 3 4 3" xfId="15947" xr:uid="{00000000-0005-0000-0000-0000453E0000}"/>
    <cellStyle name="CurrencyA 3 4 3 2" xfId="15948" xr:uid="{00000000-0005-0000-0000-0000463E0000}"/>
    <cellStyle name="CurrencyA 3 4 3 2 2" xfId="15949" xr:uid="{00000000-0005-0000-0000-0000473E0000}"/>
    <cellStyle name="CurrencyA 3 4 3 2 3" xfId="15950" xr:uid="{00000000-0005-0000-0000-0000483E0000}"/>
    <cellStyle name="CurrencyA 3 4 3 2 4" xfId="15951" xr:uid="{00000000-0005-0000-0000-0000493E0000}"/>
    <cellStyle name="CurrencyA 3 4 3 2 5" xfId="15952" xr:uid="{00000000-0005-0000-0000-00004A3E0000}"/>
    <cellStyle name="CurrencyA 3 4 3 2 6" xfId="15953" xr:uid="{00000000-0005-0000-0000-00004B3E0000}"/>
    <cellStyle name="CurrencyA 3 4 3 3" xfId="15954" xr:uid="{00000000-0005-0000-0000-00004C3E0000}"/>
    <cellStyle name="CurrencyA 3 4 3 4" xfId="15955" xr:uid="{00000000-0005-0000-0000-00004D3E0000}"/>
    <cellStyle name="CurrencyA 3 4 3 5" xfId="15956" xr:uid="{00000000-0005-0000-0000-00004E3E0000}"/>
    <cellStyle name="CurrencyA 3 4 3 6" xfId="15957" xr:uid="{00000000-0005-0000-0000-00004F3E0000}"/>
    <cellStyle name="CurrencyA 3 4 4" xfId="15958" xr:uid="{00000000-0005-0000-0000-0000503E0000}"/>
    <cellStyle name="CurrencyA 3 4 4 2" xfId="15959" xr:uid="{00000000-0005-0000-0000-0000513E0000}"/>
    <cellStyle name="CurrencyA 3 4 4 3" xfId="15960" xr:uid="{00000000-0005-0000-0000-0000523E0000}"/>
    <cellStyle name="CurrencyA 3 4 4 4" xfId="15961" xr:uid="{00000000-0005-0000-0000-0000533E0000}"/>
    <cellStyle name="CurrencyA 3 4 4 5" xfId="15962" xr:uid="{00000000-0005-0000-0000-0000543E0000}"/>
    <cellStyle name="CurrencyA 3 4 4 6" xfId="15963" xr:uid="{00000000-0005-0000-0000-0000553E0000}"/>
    <cellStyle name="CurrencyA 3 4 5" xfId="15964" xr:uid="{00000000-0005-0000-0000-0000563E0000}"/>
    <cellStyle name="CurrencyA 3 4 6" xfId="15965" xr:uid="{00000000-0005-0000-0000-0000573E0000}"/>
    <cellStyle name="CurrencyA 3 4 7" xfId="15966" xr:uid="{00000000-0005-0000-0000-0000583E0000}"/>
    <cellStyle name="CurrencyA 3 4 8" xfId="15967" xr:uid="{00000000-0005-0000-0000-0000593E0000}"/>
    <cellStyle name="CurrencyA 3 5" xfId="15968" xr:uid="{00000000-0005-0000-0000-00005A3E0000}"/>
    <cellStyle name="CurrencyA 3 5 2" xfId="15969" xr:uid="{00000000-0005-0000-0000-00005B3E0000}"/>
    <cellStyle name="CurrencyA 3 5 2 2" xfId="15970" xr:uid="{00000000-0005-0000-0000-00005C3E0000}"/>
    <cellStyle name="CurrencyA 3 5 2 2 2" xfId="15971" xr:uid="{00000000-0005-0000-0000-00005D3E0000}"/>
    <cellStyle name="CurrencyA 3 5 2 2 3" xfId="15972" xr:uid="{00000000-0005-0000-0000-00005E3E0000}"/>
    <cellStyle name="CurrencyA 3 5 2 2 4" xfId="15973" xr:uid="{00000000-0005-0000-0000-00005F3E0000}"/>
    <cellStyle name="CurrencyA 3 5 2 2 5" xfId="15974" xr:uid="{00000000-0005-0000-0000-0000603E0000}"/>
    <cellStyle name="CurrencyA 3 5 2 2 6" xfId="15975" xr:uid="{00000000-0005-0000-0000-0000613E0000}"/>
    <cellStyle name="CurrencyA 3 5 2 3" xfId="15976" xr:uid="{00000000-0005-0000-0000-0000623E0000}"/>
    <cellStyle name="CurrencyA 3 5 2 4" xfId="15977" xr:uid="{00000000-0005-0000-0000-0000633E0000}"/>
    <cellStyle name="CurrencyA 3 5 2 5" xfId="15978" xr:uid="{00000000-0005-0000-0000-0000643E0000}"/>
    <cellStyle name="CurrencyA 3 5 2 6" xfId="15979" xr:uid="{00000000-0005-0000-0000-0000653E0000}"/>
    <cellStyle name="CurrencyA 3 5 3" xfId="15980" xr:uid="{00000000-0005-0000-0000-0000663E0000}"/>
    <cellStyle name="CurrencyA 3 5 3 2" xfId="15981" xr:uid="{00000000-0005-0000-0000-0000673E0000}"/>
    <cellStyle name="CurrencyA 3 5 3 2 2" xfId="15982" xr:uid="{00000000-0005-0000-0000-0000683E0000}"/>
    <cellStyle name="CurrencyA 3 5 3 2 3" xfId="15983" xr:uid="{00000000-0005-0000-0000-0000693E0000}"/>
    <cellStyle name="CurrencyA 3 5 3 2 4" xfId="15984" xr:uid="{00000000-0005-0000-0000-00006A3E0000}"/>
    <cellStyle name="CurrencyA 3 5 3 2 5" xfId="15985" xr:uid="{00000000-0005-0000-0000-00006B3E0000}"/>
    <cellStyle name="CurrencyA 3 5 3 2 6" xfId="15986" xr:uid="{00000000-0005-0000-0000-00006C3E0000}"/>
    <cellStyle name="CurrencyA 3 5 3 3" xfId="15987" xr:uid="{00000000-0005-0000-0000-00006D3E0000}"/>
    <cellStyle name="CurrencyA 3 5 3 4" xfId="15988" xr:uid="{00000000-0005-0000-0000-00006E3E0000}"/>
    <cellStyle name="CurrencyA 3 5 3 5" xfId="15989" xr:uid="{00000000-0005-0000-0000-00006F3E0000}"/>
    <cellStyle name="CurrencyA 3 5 3 6" xfId="15990" xr:uid="{00000000-0005-0000-0000-0000703E0000}"/>
    <cellStyle name="CurrencyA 3 5 4" xfId="15991" xr:uid="{00000000-0005-0000-0000-0000713E0000}"/>
    <cellStyle name="CurrencyA 3 5 4 2" xfId="15992" xr:uid="{00000000-0005-0000-0000-0000723E0000}"/>
    <cellStyle name="CurrencyA 3 5 4 3" xfId="15993" xr:uid="{00000000-0005-0000-0000-0000733E0000}"/>
    <cellStyle name="CurrencyA 3 5 4 4" xfId="15994" xr:uid="{00000000-0005-0000-0000-0000743E0000}"/>
    <cellStyle name="CurrencyA 3 5 4 5" xfId="15995" xr:uid="{00000000-0005-0000-0000-0000753E0000}"/>
    <cellStyle name="CurrencyA 3 5 4 6" xfId="15996" xr:uid="{00000000-0005-0000-0000-0000763E0000}"/>
    <cellStyle name="CurrencyA 3 5 5" xfId="15997" xr:uid="{00000000-0005-0000-0000-0000773E0000}"/>
    <cellStyle name="CurrencyA 3 5 6" xfId="15998" xr:uid="{00000000-0005-0000-0000-0000783E0000}"/>
    <cellStyle name="CurrencyA 3 5 7" xfId="15999" xr:uid="{00000000-0005-0000-0000-0000793E0000}"/>
    <cellStyle name="CurrencyA 3 5 8" xfId="16000" xr:uid="{00000000-0005-0000-0000-00007A3E0000}"/>
    <cellStyle name="CurrencyA 3 6" xfId="16001" xr:uid="{00000000-0005-0000-0000-00007B3E0000}"/>
    <cellStyle name="CurrencyA 3 6 2" xfId="16002" xr:uid="{00000000-0005-0000-0000-00007C3E0000}"/>
    <cellStyle name="CurrencyA 3 6 2 2" xfId="16003" xr:uid="{00000000-0005-0000-0000-00007D3E0000}"/>
    <cellStyle name="CurrencyA 3 6 2 2 2" xfId="16004" xr:uid="{00000000-0005-0000-0000-00007E3E0000}"/>
    <cellStyle name="CurrencyA 3 6 2 2 3" xfId="16005" xr:uid="{00000000-0005-0000-0000-00007F3E0000}"/>
    <cellStyle name="CurrencyA 3 6 2 2 4" xfId="16006" xr:uid="{00000000-0005-0000-0000-0000803E0000}"/>
    <cellStyle name="CurrencyA 3 6 2 2 5" xfId="16007" xr:uid="{00000000-0005-0000-0000-0000813E0000}"/>
    <cellStyle name="CurrencyA 3 6 2 2 6" xfId="16008" xr:uid="{00000000-0005-0000-0000-0000823E0000}"/>
    <cellStyle name="CurrencyA 3 6 2 3" xfId="16009" xr:uid="{00000000-0005-0000-0000-0000833E0000}"/>
    <cellStyle name="CurrencyA 3 6 2 4" xfId="16010" xr:uid="{00000000-0005-0000-0000-0000843E0000}"/>
    <cellStyle name="CurrencyA 3 6 2 5" xfId="16011" xr:uid="{00000000-0005-0000-0000-0000853E0000}"/>
    <cellStyle name="CurrencyA 3 6 2 6" xfId="16012" xr:uid="{00000000-0005-0000-0000-0000863E0000}"/>
    <cellStyle name="CurrencyA 3 6 3" xfId="16013" xr:uid="{00000000-0005-0000-0000-0000873E0000}"/>
    <cellStyle name="CurrencyA 3 6 3 2" xfId="16014" xr:uid="{00000000-0005-0000-0000-0000883E0000}"/>
    <cellStyle name="CurrencyA 3 6 3 2 2" xfId="16015" xr:uid="{00000000-0005-0000-0000-0000893E0000}"/>
    <cellStyle name="CurrencyA 3 6 3 2 3" xfId="16016" xr:uid="{00000000-0005-0000-0000-00008A3E0000}"/>
    <cellStyle name="CurrencyA 3 6 3 2 4" xfId="16017" xr:uid="{00000000-0005-0000-0000-00008B3E0000}"/>
    <cellStyle name="CurrencyA 3 6 3 2 5" xfId="16018" xr:uid="{00000000-0005-0000-0000-00008C3E0000}"/>
    <cellStyle name="CurrencyA 3 6 3 2 6" xfId="16019" xr:uid="{00000000-0005-0000-0000-00008D3E0000}"/>
    <cellStyle name="CurrencyA 3 6 3 3" xfId="16020" xr:uid="{00000000-0005-0000-0000-00008E3E0000}"/>
    <cellStyle name="CurrencyA 3 6 3 4" xfId="16021" xr:uid="{00000000-0005-0000-0000-00008F3E0000}"/>
    <cellStyle name="CurrencyA 3 6 3 5" xfId="16022" xr:uid="{00000000-0005-0000-0000-0000903E0000}"/>
    <cellStyle name="CurrencyA 3 6 3 6" xfId="16023" xr:uid="{00000000-0005-0000-0000-0000913E0000}"/>
    <cellStyle name="CurrencyA 3 6 4" xfId="16024" xr:uid="{00000000-0005-0000-0000-0000923E0000}"/>
    <cellStyle name="CurrencyA 3 6 4 2" xfId="16025" xr:uid="{00000000-0005-0000-0000-0000933E0000}"/>
    <cellStyle name="CurrencyA 3 6 4 3" xfId="16026" xr:uid="{00000000-0005-0000-0000-0000943E0000}"/>
    <cellStyle name="CurrencyA 3 6 4 4" xfId="16027" xr:uid="{00000000-0005-0000-0000-0000953E0000}"/>
    <cellStyle name="CurrencyA 3 6 4 5" xfId="16028" xr:uid="{00000000-0005-0000-0000-0000963E0000}"/>
    <cellStyle name="CurrencyA 3 6 4 6" xfId="16029" xr:uid="{00000000-0005-0000-0000-0000973E0000}"/>
    <cellStyle name="CurrencyA 3 6 5" xfId="16030" xr:uid="{00000000-0005-0000-0000-0000983E0000}"/>
    <cellStyle name="CurrencyA 3 6 6" xfId="16031" xr:uid="{00000000-0005-0000-0000-0000993E0000}"/>
    <cellStyle name="CurrencyA 3 6 7" xfId="16032" xr:uid="{00000000-0005-0000-0000-00009A3E0000}"/>
    <cellStyle name="CurrencyA 3 6 8" xfId="16033" xr:uid="{00000000-0005-0000-0000-00009B3E0000}"/>
    <cellStyle name="CurrencyA 3 7" xfId="16034" xr:uid="{00000000-0005-0000-0000-00009C3E0000}"/>
    <cellStyle name="CurrencyA 3 7 2" xfId="16035" xr:uid="{00000000-0005-0000-0000-00009D3E0000}"/>
    <cellStyle name="CurrencyA 3 7 2 2" xfId="16036" xr:uid="{00000000-0005-0000-0000-00009E3E0000}"/>
    <cellStyle name="CurrencyA 3 7 2 2 2" xfId="16037" xr:uid="{00000000-0005-0000-0000-00009F3E0000}"/>
    <cellStyle name="CurrencyA 3 7 2 2 3" xfId="16038" xr:uid="{00000000-0005-0000-0000-0000A03E0000}"/>
    <cellStyle name="CurrencyA 3 7 2 2 4" xfId="16039" xr:uid="{00000000-0005-0000-0000-0000A13E0000}"/>
    <cellStyle name="CurrencyA 3 7 2 2 5" xfId="16040" xr:uid="{00000000-0005-0000-0000-0000A23E0000}"/>
    <cellStyle name="CurrencyA 3 7 2 2 6" xfId="16041" xr:uid="{00000000-0005-0000-0000-0000A33E0000}"/>
    <cellStyle name="CurrencyA 3 7 2 3" xfId="16042" xr:uid="{00000000-0005-0000-0000-0000A43E0000}"/>
    <cellStyle name="CurrencyA 3 7 2 4" xfId="16043" xr:uid="{00000000-0005-0000-0000-0000A53E0000}"/>
    <cellStyle name="CurrencyA 3 7 2 5" xfId="16044" xr:uid="{00000000-0005-0000-0000-0000A63E0000}"/>
    <cellStyle name="CurrencyA 3 7 2 6" xfId="16045" xr:uid="{00000000-0005-0000-0000-0000A73E0000}"/>
    <cellStyle name="CurrencyA 3 7 3" xfId="16046" xr:uid="{00000000-0005-0000-0000-0000A83E0000}"/>
    <cellStyle name="CurrencyA 3 7 3 2" xfId="16047" xr:uid="{00000000-0005-0000-0000-0000A93E0000}"/>
    <cellStyle name="CurrencyA 3 7 3 2 2" xfId="16048" xr:uid="{00000000-0005-0000-0000-0000AA3E0000}"/>
    <cellStyle name="CurrencyA 3 7 3 2 3" xfId="16049" xr:uid="{00000000-0005-0000-0000-0000AB3E0000}"/>
    <cellStyle name="CurrencyA 3 7 3 2 4" xfId="16050" xr:uid="{00000000-0005-0000-0000-0000AC3E0000}"/>
    <cellStyle name="CurrencyA 3 7 3 2 5" xfId="16051" xr:uid="{00000000-0005-0000-0000-0000AD3E0000}"/>
    <cellStyle name="CurrencyA 3 7 3 2 6" xfId="16052" xr:uid="{00000000-0005-0000-0000-0000AE3E0000}"/>
    <cellStyle name="CurrencyA 3 7 3 3" xfId="16053" xr:uid="{00000000-0005-0000-0000-0000AF3E0000}"/>
    <cellStyle name="CurrencyA 3 7 3 4" xfId="16054" xr:uid="{00000000-0005-0000-0000-0000B03E0000}"/>
    <cellStyle name="CurrencyA 3 7 3 5" xfId="16055" xr:uid="{00000000-0005-0000-0000-0000B13E0000}"/>
    <cellStyle name="CurrencyA 3 7 3 6" xfId="16056" xr:uid="{00000000-0005-0000-0000-0000B23E0000}"/>
    <cellStyle name="CurrencyA 3 7 4" xfId="16057" xr:uid="{00000000-0005-0000-0000-0000B33E0000}"/>
    <cellStyle name="CurrencyA 3 7 4 2" xfId="16058" xr:uid="{00000000-0005-0000-0000-0000B43E0000}"/>
    <cellStyle name="CurrencyA 3 7 4 3" xfId="16059" xr:uid="{00000000-0005-0000-0000-0000B53E0000}"/>
    <cellStyle name="CurrencyA 3 7 4 4" xfId="16060" xr:uid="{00000000-0005-0000-0000-0000B63E0000}"/>
    <cellStyle name="CurrencyA 3 7 4 5" xfId="16061" xr:uid="{00000000-0005-0000-0000-0000B73E0000}"/>
    <cellStyle name="CurrencyA 3 7 4 6" xfId="16062" xr:uid="{00000000-0005-0000-0000-0000B83E0000}"/>
    <cellStyle name="CurrencyA 3 7 5" xfId="16063" xr:uid="{00000000-0005-0000-0000-0000B93E0000}"/>
    <cellStyle name="CurrencyA 3 7 6" xfId="16064" xr:uid="{00000000-0005-0000-0000-0000BA3E0000}"/>
    <cellStyle name="CurrencyA 3 7 7" xfId="16065" xr:uid="{00000000-0005-0000-0000-0000BB3E0000}"/>
    <cellStyle name="CurrencyA 3 7 8" xfId="16066" xr:uid="{00000000-0005-0000-0000-0000BC3E0000}"/>
    <cellStyle name="CurrencyA 3 8" xfId="16067" xr:uid="{00000000-0005-0000-0000-0000BD3E0000}"/>
    <cellStyle name="CurrencyA 3 8 2" xfId="16068" xr:uid="{00000000-0005-0000-0000-0000BE3E0000}"/>
    <cellStyle name="CurrencyA 3 8 2 2" xfId="16069" xr:uid="{00000000-0005-0000-0000-0000BF3E0000}"/>
    <cellStyle name="CurrencyA 3 8 2 3" xfId="16070" xr:uid="{00000000-0005-0000-0000-0000C03E0000}"/>
    <cellStyle name="CurrencyA 3 8 2 4" xfId="16071" xr:uid="{00000000-0005-0000-0000-0000C13E0000}"/>
    <cellStyle name="CurrencyA 3 8 2 5" xfId="16072" xr:uid="{00000000-0005-0000-0000-0000C23E0000}"/>
    <cellStyle name="CurrencyA 3 8 2 6" xfId="16073" xr:uid="{00000000-0005-0000-0000-0000C33E0000}"/>
    <cellStyle name="CurrencyA 3 8 3" xfId="16074" xr:uid="{00000000-0005-0000-0000-0000C43E0000}"/>
    <cellStyle name="CurrencyA 3 8 4" xfId="16075" xr:uid="{00000000-0005-0000-0000-0000C53E0000}"/>
    <cellStyle name="CurrencyA 3 8 5" xfId="16076" xr:uid="{00000000-0005-0000-0000-0000C63E0000}"/>
    <cellStyle name="CurrencyA 3 8 6" xfId="16077" xr:uid="{00000000-0005-0000-0000-0000C73E0000}"/>
    <cellStyle name="CurrencyA 3 9" xfId="16078" xr:uid="{00000000-0005-0000-0000-0000C83E0000}"/>
    <cellStyle name="CurrencyA 3 9 2" xfId="16079" xr:uid="{00000000-0005-0000-0000-0000C93E0000}"/>
    <cellStyle name="CurrencyA 3 9 2 2" xfId="16080" xr:uid="{00000000-0005-0000-0000-0000CA3E0000}"/>
    <cellStyle name="CurrencyA 3 9 2 3" xfId="16081" xr:uid="{00000000-0005-0000-0000-0000CB3E0000}"/>
    <cellStyle name="CurrencyA 3 9 2 4" xfId="16082" xr:uid="{00000000-0005-0000-0000-0000CC3E0000}"/>
    <cellStyle name="CurrencyA 3 9 2 5" xfId="16083" xr:uid="{00000000-0005-0000-0000-0000CD3E0000}"/>
    <cellStyle name="CurrencyA 3 9 2 6" xfId="16084" xr:uid="{00000000-0005-0000-0000-0000CE3E0000}"/>
    <cellStyle name="CurrencyA 3 9 3" xfId="16085" xr:uid="{00000000-0005-0000-0000-0000CF3E0000}"/>
    <cellStyle name="CurrencyA 3 9 4" xfId="16086" xr:uid="{00000000-0005-0000-0000-0000D03E0000}"/>
    <cellStyle name="CurrencyA 3 9 5" xfId="16087" xr:uid="{00000000-0005-0000-0000-0000D13E0000}"/>
    <cellStyle name="CurrencyA 3 9 6" xfId="16088" xr:uid="{00000000-0005-0000-0000-0000D23E0000}"/>
    <cellStyle name="CurrencyA 4" xfId="16089" xr:uid="{00000000-0005-0000-0000-0000D33E0000}"/>
    <cellStyle name="CurrencyA 4 10" xfId="16090" xr:uid="{00000000-0005-0000-0000-0000D43E0000}"/>
    <cellStyle name="CurrencyA 4 11" xfId="16091" xr:uid="{00000000-0005-0000-0000-0000D53E0000}"/>
    <cellStyle name="CurrencyA 4 12" xfId="16092" xr:uid="{00000000-0005-0000-0000-0000D63E0000}"/>
    <cellStyle name="CurrencyA 4 13" xfId="16093" xr:uid="{00000000-0005-0000-0000-0000D73E0000}"/>
    <cellStyle name="CurrencyA 4 2" xfId="16094" xr:uid="{00000000-0005-0000-0000-0000D83E0000}"/>
    <cellStyle name="CurrencyA 4 2 2" xfId="16095" xr:uid="{00000000-0005-0000-0000-0000D93E0000}"/>
    <cellStyle name="CurrencyA 4 2 2 2" xfId="16096" xr:uid="{00000000-0005-0000-0000-0000DA3E0000}"/>
    <cellStyle name="CurrencyA 4 2 2 2 2" xfId="16097" xr:uid="{00000000-0005-0000-0000-0000DB3E0000}"/>
    <cellStyle name="CurrencyA 4 2 2 2 3" xfId="16098" xr:uid="{00000000-0005-0000-0000-0000DC3E0000}"/>
    <cellStyle name="CurrencyA 4 2 2 2 4" xfId="16099" xr:uid="{00000000-0005-0000-0000-0000DD3E0000}"/>
    <cellStyle name="CurrencyA 4 2 2 2 5" xfId="16100" xr:uid="{00000000-0005-0000-0000-0000DE3E0000}"/>
    <cellStyle name="CurrencyA 4 2 2 2 6" xfId="16101" xr:uid="{00000000-0005-0000-0000-0000DF3E0000}"/>
    <cellStyle name="CurrencyA 4 2 2 3" xfId="16102" xr:uid="{00000000-0005-0000-0000-0000E03E0000}"/>
    <cellStyle name="CurrencyA 4 2 2 4" xfId="16103" xr:uid="{00000000-0005-0000-0000-0000E13E0000}"/>
    <cellStyle name="CurrencyA 4 2 2 5" xfId="16104" xr:uid="{00000000-0005-0000-0000-0000E23E0000}"/>
    <cellStyle name="CurrencyA 4 2 2 6" xfId="16105" xr:uid="{00000000-0005-0000-0000-0000E33E0000}"/>
    <cellStyle name="CurrencyA 4 2 3" xfId="16106" xr:uid="{00000000-0005-0000-0000-0000E43E0000}"/>
    <cellStyle name="CurrencyA 4 2 3 2" xfId="16107" xr:uid="{00000000-0005-0000-0000-0000E53E0000}"/>
    <cellStyle name="CurrencyA 4 2 3 2 2" xfId="16108" xr:uid="{00000000-0005-0000-0000-0000E63E0000}"/>
    <cellStyle name="CurrencyA 4 2 3 2 3" xfId="16109" xr:uid="{00000000-0005-0000-0000-0000E73E0000}"/>
    <cellStyle name="CurrencyA 4 2 3 2 4" xfId="16110" xr:uid="{00000000-0005-0000-0000-0000E83E0000}"/>
    <cellStyle name="CurrencyA 4 2 3 2 5" xfId="16111" xr:uid="{00000000-0005-0000-0000-0000E93E0000}"/>
    <cellStyle name="CurrencyA 4 2 3 2 6" xfId="16112" xr:uid="{00000000-0005-0000-0000-0000EA3E0000}"/>
    <cellStyle name="CurrencyA 4 2 3 3" xfId="16113" xr:uid="{00000000-0005-0000-0000-0000EB3E0000}"/>
    <cellStyle name="CurrencyA 4 2 3 4" xfId="16114" xr:uid="{00000000-0005-0000-0000-0000EC3E0000}"/>
    <cellStyle name="CurrencyA 4 2 3 5" xfId="16115" xr:uid="{00000000-0005-0000-0000-0000ED3E0000}"/>
    <cellStyle name="CurrencyA 4 2 3 6" xfId="16116" xr:uid="{00000000-0005-0000-0000-0000EE3E0000}"/>
    <cellStyle name="CurrencyA 4 2 4" xfId="16117" xr:uid="{00000000-0005-0000-0000-0000EF3E0000}"/>
    <cellStyle name="CurrencyA 4 2 4 2" xfId="16118" xr:uid="{00000000-0005-0000-0000-0000F03E0000}"/>
    <cellStyle name="CurrencyA 4 2 4 3" xfId="16119" xr:uid="{00000000-0005-0000-0000-0000F13E0000}"/>
    <cellStyle name="CurrencyA 4 2 4 4" xfId="16120" xr:uid="{00000000-0005-0000-0000-0000F23E0000}"/>
    <cellStyle name="CurrencyA 4 2 4 5" xfId="16121" xr:uid="{00000000-0005-0000-0000-0000F33E0000}"/>
    <cellStyle name="CurrencyA 4 2 4 6" xfId="16122" xr:uid="{00000000-0005-0000-0000-0000F43E0000}"/>
    <cellStyle name="CurrencyA 4 2 5" xfId="16123" xr:uid="{00000000-0005-0000-0000-0000F53E0000}"/>
    <cellStyle name="CurrencyA 4 2 6" xfId="16124" xr:uid="{00000000-0005-0000-0000-0000F63E0000}"/>
    <cellStyle name="CurrencyA 4 2 7" xfId="16125" xr:uid="{00000000-0005-0000-0000-0000F73E0000}"/>
    <cellStyle name="CurrencyA 4 2 8" xfId="16126" xr:uid="{00000000-0005-0000-0000-0000F83E0000}"/>
    <cellStyle name="CurrencyA 4 3" xfId="16127" xr:uid="{00000000-0005-0000-0000-0000F93E0000}"/>
    <cellStyle name="CurrencyA 4 3 2" xfId="16128" xr:uid="{00000000-0005-0000-0000-0000FA3E0000}"/>
    <cellStyle name="CurrencyA 4 3 2 2" xfId="16129" xr:uid="{00000000-0005-0000-0000-0000FB3E0000}"/>
    <cellStyle name="CurrencyA 4 3 2 2 2" xfId="16130" xr:uid="{00000000-0005-0000-0000-0000FC3E0000}"/>
    <cellStyle name="CurrencyA 4 3 2 2 3" xfId="16131" xr:uid="{00000000-0005-0000-0000-0000FD3E0000}"/>
    <cellStyle name="CurrencyA 4 3 2 2 4" xfId="16132" xr:uid="{00000000-0005-0000-0000-0000FE3E0000}"/>
    <cellStyle name="CurrencyA 4 3 2 2 5" xfId="16133" xr:uid="{00000000-0005-0000-0000-0000FF3E0000}"/>
    <cellStyle name="CurrencyA 4 3 2 2 6" xfId="16134" xr:uid="{00000000-0005-0000-0000-0000003F0000}"/>
    <cellStyle name="CurrencyA 4 3 2 3" xfId="16135" xr:uid="{00000000-0005-0000-0000-0000013F0000}"/>
    <cellStyle name="CurrencyA 4 3 2 4" xfId="16136" xr:uid="{00000000-0005-0000-0000-0000023F0000}"/>
    <cellStyle name="CurrencyA 4 3 2 5" xfId="16137" xr:uid="{00000000-0005-0000-0000-0000033F0000}"/>
    <cellStyle name="CurrencyA 4 3 2 6" xfId="16138" xr:uid="{00000000-0005-0000-0000-0000043F0000}"/>
    <cellStyle name="CurrencyA 4 3 3" xfId="16139" xr:uid="{00000000-0005-0000-0000-0000053F0000}"/>
    <cellStyle name="CurrencyA 4 3 3 2" xfId="16140" xr:uid="{00000000-0005-0000-0000-0000063F0000}"/>
    <cellStyle name="CurrencyA 4 3 3 2 2" xfId="16141" xr:uid="{00000000-0005-0000-0000-0000073F0000}"/>
    <cellStyle name="CurrencyA 4 3 3 2 3" xfId="16142" xr:uid="{00000000-0005-0000-0000-0000083F0000}"/>
    <cellStyle name="CurrencyA 4 3 3 2 4" xfId="16143" xr:uid="{00000000-0005-0000-0000-0000093F0000}"/>
    <cellStyle name="CurrencyA 4 3 3 2 5" xfId="16144" xr:uid="{00000000-0005-0000-0000-00000A3F0000}"/>
    <cellStyle name="CurrencyA 4 3 3 2 6" xfId="16145" xr:uid="{00000000-0005-0000-0000-00000B3F0000}"/>
    <cellStyle name="CurrencyA 4 3 3 3" xfId="16146" xr:uid="{00000000-0005-0000-0000-00000C3F0000}"/>
    <cellStyle name="CurrencyA 4 3 3 4" xfId="16147" xr:uid="{00000000-0005-0000-0000-00000D3F0000}"/>
    <cellStyle name="CurrencyA 4 3 3 5" xfId="16148" xr:uid="{00000000-0005-0000-0000-00000E3F0000}"/>
    <cellStyle name="CurrencyA 4 3 3 6" xfId="16149" xr:uid="{00000000-0005-0000-0000-00000F3F0000}"/>
    <cellStyle name="CurrencyA 4 3 4" xfId="16150" xr:uid="{00000000-0005-0000-0000-0000103F0000}"/>
    <cellStyle name="CurrencyA 4 3 4 2" xfId="16151" xr:uid="{00000000-0005-0000-0000-0000113F0000}"/>
    <cellStyle name="CurrencyA 4 3 4 3" xfId="16152" xr:uid="{00000000-0005-0000-0000-0000123F0000}"/>
    <cellStyle name="CurrencyA 4 3 4 4" xfId="16153" xr:uid="{00000000-0005-0000-0000-0000133F0000}"/>
    <cellStyle name="CurrencyA 4 3 4 5" xfId="16154" xr:uid="{00000000-0005-0000-0000-0000143F0000}"/>
    <cellStyle name="CurrencyA 4 3 4 6" xfId="16155" xr:uid="{00000000-0005-0000-0000-0000153F0000}"/>
    <cellStyle name="CurrencyA 4 3 5" xfId="16156" xr:uid="{00000000-0005-0000-0000-0000163F0000}"/>
    <cellStyle name="CurrencyA 4 3 6" xfId="16157" xr:uid="{00000000-0005-0000-0000-0000173F0000}"/>
    <cellStyle name="CurrencyA 4 3 7" xfId="16158" xr:uid="{00000000-0005-0000-0000-0000183F0000}"/>
    <cellStyle name="CurrencyA 4 3 8" xfId="16159" xr:uid="{00000000-0005-0000-0000-0000193F0000}"/>
    <cellStyle name="CurrencyA 4 4" xfId="16160" xr:uid="{00000000-0005-0000-0000-00001A3F0000}"/>
    <cellStyle name="CurrencyA 4 4 2" xfId="16161" xr:uid="{00000000-0005-0000-0000-00001B3F0000}"/>
    <cellStyle name="CurrencyA 4 4 2 2" xfId="16162" xr:uid="{00000000-0005-0000-0000-00001C3F0000}"/>
    <cellStyle name="CurrencyA 4 4 2 2 2" xfId="16163" xr:uid="{00000000-0005-0000-0000-00001D3F0000}"/>
    <cellStyle name="CurrencyA 4 4 2 2 3" xfId="16164" xr:uid="{00000000-0005-0000-0000-00001E3F0000}"/>
    <cellStyle name="CurrencyA 4 4 2 2 4" xfId="16165" xr:uid="{00000000-0005-0000-0000-00001F3F0000}"/>
    <cellStyle name="CurrencyA 4 4 2 2 5" xfId="16166" xr:uid="{00000000-0005-0000-0000-0000203F0000}"/>
    <cellStyle name="CurrencyA 4 4 2 2 6" xfId="16167" xr:uid="{00000000-0005-0000-0000-0000213F0000}"/>
    <cellStyle name="CurrencyA 4 4 2 3" xfId="16168" xr:uid="{00000000-0005-0000-0000-0000223F0000}"/>
    <cellStyle name="CurrencyA 4 4 2 4" xfId="16169" xr:uid="{00000000-0005-0000-0000-0000233F0000}"/>
    <cellStyle name="CurrencyA 4 4 2 5" xfId="16170" xr:uid="{00000000-0005-0000-0000-0000243F0000}"/>
    <cellStyle name="CurrencyA 4 4 2 6" xfId="16171" xr:uid="{00000000-0005-0000-0000-0000253F0000}"/>
    <cellStyle name="CurrencyA 4 4 3" xfId="16172" xr:uid="{00000000-0005-0000-0000-0000263F0000}"/>
    <cellStyle name="CurrencyA 4 4 3 2" xfId="16173" xr:uid="{00000000-0005-0000-0000-0000273F0000}"/>
    <cellStyle name="CurrencyA 4 4 3 2 2" xfId="16174" xr:uid="{00000000-0005-0000-0000-0000283F0000}"/>
    <cellStyle name="CurrencyA 4 4 3 2 3" xfId="16175" xr:uid="{00000000-0005-0000-0000-0000293F0000}"/>
    <cellStyle name="CurrencyA 4 4 3 2 4" xfId="16176" xr:uid="{00000000-0005-0000-0000-00002A3F0000}"/>
    <cellStyle name="CurrencyA 4 4 3 2 5" xfId="16177" xr:uid="{00000000-0005-0000-0000-00002B3F0000}"/>
    <cellStyle name="CurrencyA 4 4 3 2 6" xfId="16178" xr:uid="{00000000-0005-0000-0000-00002C3F0000}"/>
    <cellStyle name="CurrencyA 4 4 3 3" xfId="16179" xr:uid="{00000000-0005-0000-0000-00002D3F0000}"/>
    <cellStyle name="CurrencyA 4 4 3 4" xfId="16180" xr:uid="{00000000-0005-0000-0000-00002E3F0000}"/>
    <cellStyle name="CurrencyA 4 4 3 5" xfId="16181" xr:uid="{00000000-0005-0000-0000-00002F3F0000}"/>
    <cellStyle name="CurrencyA 4 4 3 6" xfId="16182" xr:uid="{00000000-0005-0000-0000-0000303F0000}"/>
    <cellStyle name="CurrencyA 4 4 4" xfId="16183" xr:uid="{00000000-0005-0000-0000-0000313F0000}"/>
    <cellStyle name="CurrencyA 4 4 4 2" xfId="16184" xr:uid="{00000000-0005-0000-0000-0000323F0000}"/>
    <cellStyle name="CurrencyA 4 4 4 3" xfId="16185" xr:uid="{00000000-0005-0000-0000-0000333F0000}"/>
    <cellStyle name="CurrencyA 4 4 4 4" xfId="16186" xr:uid="{00000000-0005-0000-0000-0000343F0000}"/>
    <cellStyle name="CurrencyA 4 4 4 5" xfId="16187" xr:uid="{00000000-0005-0000-0000-0000353F0000}"/>
    <cellStyle name="CurrencyA 4 4 4 6" xfId="16188" xr:uid="{00000000-0005-0000-0000-0000363F0000}"/>
    <cellStyle name="CurrencyA 4 4 5" xfId="16189" xr:uid="{00000000-0005-0000-0000-0000373F0000}"/>
    <cellStyle name="CurrencyA 4 4 6" xfId="16190" xr:uid="{00000000-0005-0000-0000-0000383F0000}"/>
    <cellStyle name="CurrencyA 4 4 7" xfId="16191" xr:uid="{00000000-0005-0000-0000-0000393F0000}"/>
    <cellStyle name="CurrencyA 4 4 8" xfId="16192" xr:uid="{00000000-0005-0000-0000-00003A3F0000}"/>
    <cellStyle name="CurrencyA 4 5" xfId="16193" xr:uid="{00000000-0005-0000-0000-00003B3F0000}"/>
    <cellStyle name="CurrencyA 4 5 2" xfId="16194" xr:uid="{00000000-0005-0000-0000-00003C3F0000}"/>
    <cellStyle name="CurrencyA 4 5 2 2" xfId="16195" xr:uid="{00000000-0005-0000-0000-00003D3F0000}"/>
    <cellStyle name="CurrencyA 4 5 2 2 2" xfId="16196" xr:uid="{00000000-0005-0000-0000-00003E3F0000}"/>
    <cellStyle name="CurrencyA 4 5 2 2 3" xfId="16197" xr:uid="{00000000-0005-0000-0000-00003F3F0000}"/>
    <cellStyle name="CurrencyA 4 5 2 2 4" xfId="16198" xr:uid="{00000000-0005-0000-0000-0000403F0000}"/>
    <cellStyle name="CurrencyA 4 5 2 2 5" xfId="16199" xr:uid="{00000000-0005-0000-0000-0000413F0000}"/>
    <cellStyle name="CurrencyA 4 5 2 2 6" xfId="16200" xr:uid="{00000000-0005-0000-0000-0000423F0000}"/>
    <cellStyle name="CurrencyA 4 5 2 3" xfId="16201" xr:uid="{00000000-0005-0000-0000-0000433F0000}"/>
    <cellStyle name="CurrencyA 4 5 2 4" xfId="16202" xr:uid="{00000000-0005-0000-0000-0000443F0000}"/>
    <cellStyle name="CurrencyA 4 5 2 5" xfId="16203" xr:uid="{00000000-0005-0000-0000-0000453F0000}"/>
    <cellStyle name="CurrencyA 4 5 2 6" xfId="16204" xr:uid="{00000000-0005-0000-0000-0000463F0000}"/>
    <cellStyle name="CurrencyA 4 5 3" xfId="16205" xr:uid="{00000000-0005-0000-0000-0000473F0000}"/>
    <cellStyle name="CurrencyA 4 5 3 2" xfId="16206" xr:uid="{00000000-0005-0000-0000-0000483F0000}"/>
    <cellStyle name="CurrencyA 4 5 3 2 2" xfId="16207" xr:uid="{00000000-0005-0000-0000-0000493F0000}"/>
    <cellStyle name="CurrencyA 4 5 3 2 3" xfId="16208" xr:uid="{00000000-0005-0000-0000-00004A3F0000}"/>
    <cellStyle name="CurrencyA 4 5 3 2 4" xfId="16209" xr:uid="{00000000-0005-0000-0000-00004B3F0000}"/>
    <cellStyle name="CurrencyA 4 5 3 2 5" xfId="16210" xr:uid="{00000000-0005-0000-0000-00004C3F0000}"/>
    <cellStyle name="CurrencyA 4 5 3 2 6" xfId="16211" xr:uid="{00000000-0005-0000-0000-00004D3F0000}"/>
    <cellStyle name="CurrencyA 4 5 3 3" xfId="16212" xr:uid="{00000000-0005-0000-0000-00004E3F0000}"/>
    <cellStyle name="CurrencyA 4 5 3 4" xfId="16213" xr:uid="{00000000-0005-0000-0000-00004F3F0000}"/>
    <cellStyle name="CurrencyA 4 5 3 5" xfId="16214" xr:uid="{00000000-0005-0000-0000-0000503F0000}"/>
    <cellStyle name="CurrencyA 4 5 3 6" xfId="16215" xr:uid="{00000000-0005-0000-0000-0000513F0000}"/>
    <cellStyle name="CurrencyA 4 5 4" xfId="16216" xr:uid="{00000000-0005-0000-0000-0000523F0000}"/>
    <cellStyle name="CurrencyA 4 5 4 2" xfId="16217" xr:uid="{00000000-0005-0000-0000-0000533F0000}"/>
    <cellStyle name="CurrencyA 4 5 4 3" xfId="16218" xr:uid="{00000000-0005-0000-0000-0000543F0000}"/>
    <cellStyle name="CurrencyA 4 5 4 4" xfId="16219" xr:uid="{00000000-0005-0000-0000-0000553F0000}"/>
    <cellStyle name="CurrencyA 4 5 4 5" xfId="16220" xr:uid="{00000000-0005-0000-0000-0000563F0000}"/>
    <cellStyle name="CurrencyA 4 5 4 6" xfId="16221" xr:uid="{00000000-0005-0000-0000-0000573F0000}"/>
    <cellStyle name="CurrencyA 4 5 5" xfId="16222" xr:uid="{00000000-0005-0000-0000-0000583F0000}"/>
    <cellStyle name="CurrencyA 4 5 6" xfId="16223" xr:uid="{00000000-0005-0000-0000-0000593F0000}"/>
    <cellStyle name="CurrencyA 4 5 7" xfId="16224" xr:uid="{00000000-0005-0000-0000-00005A3F0000}"/>
    <cellStyle name="CurrencyA 4 5 8" xfId="16225" xr:uid="{00000000-0005-0000-0000-00005B3F0000}"/>
    <cellStyle name="CurrencyA 4 6" xfId="16226" xr:uid="{00000000-0005-0000-0000-00005C3F0000}"/>
    <cellStyle name="CurrencyA 4 6 2" xfId="16227" xr:uid="{00000000-0005-0000-0000-00005D3F0000}"/>
    <cellStyle name="CurrencyA 4 6 2 2" xfId="16228" xr:uid="{00000000-0005-0000-0000-00005E3F0000}"/>
    <cellStyle name="CurrencyA 4 6 2 2 2" xfId="16229" xr:uid="{00000000-0005-0000-0000-00005F3F0000}"/>
    <cellStyle name="CurrencyA 4 6 2 2 3" xfId="16230" xr:uid="{00000000-0005-0000-0000-0000603F0000}"/>
    <cellStyle name="CurrencyA 4 6 2 2 4" xfId="16231" xr:uid="{00000000-0005-0000-0000-0000613F0000}"/>
    <cellStyle name="CurrencyA 4 6 2 2 5" xfId="16232" xr:uid="{00000000-0005-0000-0000-0000623F0000}"/>
    <cellStyle name="CurrencyA 4 6 2 2 6" xfId="16233" xr:uid="{00000000-0005-0000-0000-0000633F0000}"/>
    <cellStyle name="CurrencyA 4 6 2 3" xfId="16234" xr:uid="{00000000-0005-0000-0000-0000643F0000}"/>
    <cellStyle name="CurrencyA 4 6 2 4" xfId="16235" xr:uid="{00000000-0005-0000-0000-0000653F0000}"/>
    <cellStyle name="CurrencyA 4 6 2 5" xfId="16236" xr:uid="{00000000-0005-0000-0000-0000663F0000}"/>
    <cellStyle name="CurrencyA 4 6 2 6" xfId="16237" xr:uid="{00000000-0005-0000-0000-0000673F0000}"/>
    <cellStyle name="CurrencyA 4 6 3" xfId="16238" xr:uid="{00000000-0005-0000-0000-0000683F0000}"/>
    <cellStyle name="CurrencyA 4 6 3 2" xfId="16239" xr:uid="{00000000-0005-0000-0000-0000693F0000}"/>
    <cellStyle name="CurrencyA 4 6 3 2 2" xfId="16240" xr:uid="{00000000-0005-0000-0000-00006A3F0000}"/>
    <cellStyle name="CurrencyA 4 6 3 2 3" xfId="16241" xr:uid="{00000000-0005-0000-0000-00006B3F0000}"/>
    <cellStyle name="CurrencyA 4 6 3 2 4" xfId="16242" xr:uid="{00000000-0005-0000-0000-00006C3F0000}"/>
    <cellStyle name="CurrencyA 4 6 3 2 5" xfId="16243" xr:uid="{00000000-0005-0000-0000-00006D3F0000}"/>
    <cellStyle name="CurrencyA 4 6 3 2 6" xfId="16244" xr:uid="{00000000-0005-0000-0000-00006E3F0000}"/>
    <cellStyle name="CurrencyA 4 6 3 3" xfId="16245" xr:uid="{00000000-0005-0000-0000-00006F3F0000}"/>
    <cellStyle name="CurrencyA 4 6 3 4" xfId="16246" xr:uid="{00000000-0005-0000-0000-0000703F0000}"/>
    <cellStyle name="CurrencyA 4 6 3 5" xfId="16247" xr:uid="{00000000-0005-0000-0000-0000713F0000}"/>
    <cellStyle name="CurrencyA 4 6 3 6" xfId="16248" xr:uid="{00000000-0005-0000-0000-0000723F0000}"/>
    <cellStyle name="CurrencyA 4 6 4" xfId="16249" xr:uid="{00000000-0005-0000-0000-0000733F0000}"/>
    <cellStyle name="CurrencyA 4 6 4 2" xfId="16250" xr:uid="{00000000-0005-0000-0000-0000743F0000}"/>
    <cellStyle name="CurrencyA 4 6 4 3" xfId="16251" xr:uid="{00000000-0005-0000-0000-0000753F0000}"/>
    <cellStyle name="CurrencyA 4 6 4 4" xfId="16252" xr:uid="{00000000-0005-0000-0000-0000763F0000}"/>
    <cellStyle name="CurrencyA 4 6 4 5" xfId="16253" xr:uid="{00000000-0005-0000-0000-0000773F0000}"/>
    <cellStyle name="CurrencyA 4 6 4 6" xfId="16254" xr:uid="{00000000-0005-0000-0000-0000783F0000}"/>
    <cellStyle name="CurrencyA 4 6 5" xfId="16255" xr:uid="{00000000-0005-0000-0000-0000793F0000}"/>
    <cellStyle name="CurrencyA 4 6 6" xfId="16256" xr:uid="{00000000-0005-0000-0000-00007A3F0000}"/>
    <cellStyle name="CurrencyA 4 6 7" xfId="16257" xr:uid="{00000000-0005-0000-0000-00007B3F0000}"/>
    <cellStyle name="CurrencyA 4 6 8" xfId="16258" xr:uid="{00000000-0005-0000-0000-00007C3F0000}"/>
    <cellStyle name="CurrencyA 4 7" xfId="16259" xr:uid="{00000000-0005-0000-0000-00007D3F0000}"/>
    <cellStyle name="CurrencyA 4 7 2" xfId="16260" xr:uid="{00000000-0005-0000-0000-00007E3F0000}"/>
    <cellStyle name="CurrencyA 4 7 2 2" xfId="16261" xr:uid="{00000000-0005-0000-0000-00007F3F0000}"/>
    <cellStyle name="CurrencyA 4 7 2 3" xfId="16262" xr:uid="{00000000-0005-0000-0000-0000803F0000}"/>
    <cellStyle name="CurrencyA 4 7 2 4" xfId="16263" xr:uid="{00000000-0005-0000-0000-0000813F0000}"/>
    <cellStyle name="CurrencyA 4 7 2 5" xfId="16264" xr:uid="{00000000-0005-0000-0000-0000823F0000}"/>
    <cellStyle name="CurrencyA 4 7 2 6" xfId="16265" xr:uid="{00000000-0005-0000-0000-0000833F0000}"/>
    <cellStyle name="CurrencyA 4 7 3" xfId="16266" xr:uid="{00000000-0005-0000-0000-0000843F0000}"/>
    <cellStyle name="CurrencyA 4 7 4" xfId="16267" xr:uid="{00000000-0005-0000-0000-0000853F0000}"/>
    <cellStyle name="CurrencyA 4 7 5" xfId="16268" xr:uid="{00000000-0005-0000-0000-0000863F0000}"/>
    <cellStyle name="CurrencyA 4 7 6" xfId="16269" xr:uid="{00000000-0005-0000-0000-0000873F0000}"/>
    <cellStyle name="CurrencyA 4 8" xfId="16270" xr:uid="{00000000-0005-0000-0000-0000883F0000}"/>
    <cellStyle name="CurrencyA 4 8 2" xfId="16271" xr:uid="{00000000-0005-0000-0000-0000893F0000}"/>
    <cellStyle name="CurrencyA 4 8 2 2" xfId="16272" xr:uid="{00000000-0005-0000-0000-00008A3F0000}"/>
    <cellStyle name="CurrencyA 4 8 2 3" xfId="16273" xr:uid="{00000000-0005-0000-0000-00008B3F0000}"/>
    <cellStyle name="CurrencyA 4 8 2 4" xfId="16274" xr:uid="{00000000-0005-0000-0000-00008C3F0000}"/>
    <cellStyle name="CurrencyA 4 8 2 5" xfId="16275" xr:uid="{00000000-0005-0000-0000-00008D3F0000}"/>
    <cellStyle name="CurrencyA 4 8 2 6" xfId="16276" xr:uid="{00000000-0005-0000-0000-00008E3F0000}"/>
    <cellStyle name="CurrencyA 4 8 3" xfId="16277" xr:uid="{00000000-0005-0000-0000-00008F3F0000}"/>
    <cellStyle name="CurrencyA 4 8 4" xfId="16278" xr:uid="{00000000-0005-0000-0000-0000903F0000}"/>
    <cellStyle name="CurrencyA 4 8 5" xfId="16279" xr:uid="{00000000-0005-0000-0000-0000913F0000}"/>
    <cellStyle name="CurrencyA 4 8 6" xfId="16280" xr:uid="{00000000-0005-0000-0000-0000923F0000}"/>
    <cellStyle name="CurrencyA 4 9" xfId="16281" xr:uid="{00000000-0005-0000-0000-0000933F0000}"/>
    <cellStyle name="CurrencyA 4 9 2" xfId="16282" xr:uid="{00000000-0005-0000-0000-0000943F0000}"/>
    <cellStyle name="CurrencyA 4 9 3" xfId="16283" xr:uid="{00000000-0005-0000-0000-0000953F0000}"/>
    <cellStyle name="CurrencyA 4 9 4" xfId="16284" xr:uid="{00000000-0005-0000-0000-0000963F0000}"/>
    <cellStyle name="CurrencyA 4 9 5" xfId="16285" xr:uid="{00000000-0005-0000-0000-0000973F0000}"/>
    <cellStyle name="CurrencyA 4 9 6" xfId="16286" xr:uid="{00000000-0005-0000-0000-0000983F0000}"/>
    <cellStyle name="CurrencyA 5" xfId="16287" xr:uid="{00000000-0005-0000-0000-0000993F0000}"/>
    <cellStyle name="CurrencyA 5 2" xfId="16288" xr:uid="{00000000-0005-0000-0000-00009A3F0000}"/>
    <cellStyle name="CurrencyA 5 2 2" xfId="16289" xr:uid="{00000000-0005-0000-0000-00009B3F0000}"/>
    <cellStyle name="CurrencyA 5 2 2 2" xfId="16290" xr:uid="{00000000-0005-0000-0000-00009C3F0000}"/>
    <cellStyle name="CurrencyA 5 2 2 3" xfId="16291" xr:uid="{00000000-0005-0000-0000-00009D3F0000}"/>
    <cellStyle name="CurrencyA 5 2 2 4" xfId="16292" xr:uid="{00000000-0005-0000-0000-00009E3F0000}"/>
    <cellStyle name="CurrencyA 5 2 2 5" xfId="16293" xr:uid="{00000000-0005-0000-0000-00009F3F0000}"/>
    <cellStyle name="CurrencyA 5 2 2 6" xfId="16294" xr:uid="{00000000-0005-0000-0000-0000A03F0000}"/>
    <cellStyle name="CurrencyA 5 2 3" xfId="16295" xr:uid="{00000000-0005-0000-0000-0000A13F0000}"/>
    <cellStyle name="CurrencyA 5 2 4" xfId="16296" xr:uid="{00000000-0005-0000-0000-0000A23F0000}"/>
    <cellStyle name="CurrencyA 5 2 5" xfId="16297" xr:uid="{00000000-0005-0000-0000-0000A33F0000}"/>
    <cellStyle name="CurrencyA 5 2 6" xfId="16298" xr:uid="{00000000-0005-0000-0000-0000A43F0000}"/>
    <cellStyle name="CurrencyA 5 3" xfId="16299" xr:uid="{00000000-0005-0000-0000-0000A53F0000}"/>
    <cellStyle name="CurrencyA 5 3 2" xfId="16300" xr:uid="{00000000-0005-0000-0000-0000A63F0000}"/>
    <cellStyle name="CurrencyA 5 3 2 2" xfId="16301" xr:uid="{00000000-0005-0000-0000-0000A73F0000}"/>
    <cellStyle name="CurrencyA 5 3 2 3" xfId="16302" xr:uid="{00000000-0005-0000-0000-0000A83F0000}"/>
    <cellStyle name="CurrencyA 5 3 2 4" xfId="16303" xr:uid="{00000000-0005-0000-0000-0000A93F0000}"/>
    <cellStyle name="CurrencyA 5 3 2 5" xfId="16304" xr:uid="{00000000-0005-0000-0000-0000AA3F0000}"/>
    <cellStyle name="CurrencyA 5 3 2 6" xfId="16305" xr:uid="{00000000-0005-0000-0000-0000AB3F0000}"/>
    <cellStyle name="CurrencyA 5 3 3" xfId="16306" xr:uid="{00000000-0005-0000-0000-0000AC3F0000}"/>
    <cellStyle name="CurrencyA 5 3 4" xfId="16307" xr:uid="{00000000-0005-0000-0000-0000AD3F0000}"/>
    <cellStyle name="CurrencyA 5 3 5" xfId="16308" xr:uid="{00000000-0005-0000-0000-0000AE3F0000}"/>
    <cellStyle name="CurrencyA 5 3 6" xfId="16309" xr:uid="{00000000-0005-0000-0000-0000AF3F0000}"/>
    <cellStyle name="CurrencyA 5 4" xfId="16310" xr:uid="{00000000-0005-0000-0000-0000B03F0000}"/>
    <cellStyle name="CurrencyA 5 4 2" xfId="16311" xr:uid="{00000000-0005-0000-0000-0000B13F0000}"/>
    <cellStyle name="CurrencyA 5 4 3" xfId="16312" xr:uid="{00000000-0005-0000-0000-0000B23F0000}"/>
    <cellStyle name="CurrencyA 5 4 4" xfId="16313" xr:uid="{00000000-0005-0000-0000-0000B33F0000}"/>
    <cellStyle name="CurrencyA 5 4 5" xfId="16314" xr:uid="{00000000-0005-0000-0000-0000B43F0000}"/>
    <cellStyle name="CurrencyA 5 4 6" xfId="16315" xr:uid="{00000000-0005-0000-0000-0000B53F0000}"/>
    <cellStyle name="CurrencyA 5 5" xfId="16316" xr:uid="{00000000-0005-0000-0000-0000B63F0000}"/>
    <cellStyle name="CurrencyA 5 6" xfId="16317" xr:uid="{00000000-0005-0000-0000-0000B73F0000}"/>
    <cellStyle name="CurrencyA 5 7" xfId="16318" xr:uid="{00000000-0005-0000-0000-0000B83F0000}"/>
    <cellStyle name="CurrencyA 5 8" xfId="16319" xr:uid="{00000000-0005-0000-0000-0000B93F0000}"/>
    <cellStyle name="CurrencyA 6" xfId="16320" xr:uid="{00000000-0005-0000-0000-0000BA3F0000}"/>
    <cellStyle name="CurrencyA 6 2" xfId="16321" xr:uid="{00000000-0005-0000-0000-0000BB3F0000}"/>
    <cellStyle name="CurrencyA 6 2 2" xfId="16322" xr:uid="{00000000-0005-0000-0000-0000BC3F0000}"/>
    <cellStyle name="CurrencyA 6 2 2 2" xfId="16323" xr:uid="{00000000-0005-0000-0000-0000BD3F0000}"/>
    <cellStyle name="CurrencyA 6 2 2 3" xfId="16324" xr:uid="{00000000-0005-0000-0000-0000BE3F0000}"/>
    <cellStyle name="CurrencyA 6 2 2 4" xfId="16325" xr:uid="{00000000-0005-0000-0000-0000BF3F0000}"/>
    <cellStyle name="CurrencyA 6 2 2 5" xfId="16326" xr:uid="{00000000-0005-0000-0000-0000C03F0000}"/>
    <cellStyle name="CurrencyA 6 2 2 6" xfId="16327" xr:uid="{00000000-0005-0000-0000-0000C13F0000}"/>
    <cellStyle name="CurrencyA 6 2 3" xfId="16328" xr:uid="{00000000-0005-0000-0000-0000C23F0000}"/>
    <cellStyle name="CurrencyA 6 2 4" xfId="16329" xr:uid="{00000000-0005-0000-0000-0000C33F0000}"/>
    <cellStyle name="CurrencyA 6 2 5" xfId="16330" xr:uid="{00000000-0005-0000-0000-0000C43F0000}"/>
    <cellStyle name="CurrencyA 6 2 6" xfId="16331" xr:uid="{00000000-0005-0000-0000-0000C53F0000}"/>
    <cellStyle name="CurrencyA 6 3" xfId="16332" xr:uid="{00000000-0005-0000-0000-0000C63F0000}"/>
    <cellStyle name="CurrencyA 6 3 2" xfId="16333" xr:uid="{00000000-0005-0000-0000-0000C73F0000}"/>
    <cellStyle name="CurrencyA 6 3 2 2" xfId="16334" xr:uid="{00000000-0005-0000-0000-0000C83F0000}"/>
    <cellStyle name="CurrencyA 6 3 2 3" xfId="16335" xr:uid="{00000000-0005-0000-0000-0000C93F0000}"/>
    <cellStyle name="CurrencyA 6 3 2 4" xfId="16336" xr:uid="{00000000-0005-0000-0000-0000CA3F0000}"/>
    <cellStyle name="CurrencyA 6 3 2 5" xfId="16337" xr:uid="{00000000-0005-0000-0000-0000CB3F0000}"/>
    <cellStyle name="CurrencyA 6 3 2 6" xfId="16338" xr:uid="{00000000-0005-0000-0000-0000CC3F0000}"/>
    <cellStyle name="CurrencyA 6 3 3" xfId="16339" xr:uid="{00000000-0005-0000-0000-0000CD3F0000}"/>
    <cellStyle name="CurrencyA 6 3 4" xfId="16340" xr:uid="{00000000-0005-0000-0000-0000CE3F0000}"/>
    <cellStyle name="CurrencyA 6 3 5" xfId="16341" xr:uid="{00000000-0005-0000-0000-0000CF3F0000}"/>
    <cellStyle name="CurrencyA 6 3 6" xfId="16342" xr:uid="{00000000-0005-0000-0000-0000D03F0000}"/>
    <cellStyle name="CurrencyA 6 4" xfId="16343" xr:uid="{00000000-0005-0000-0000-0000D13F0000}"/>
    <cellStyle name="CurrencyA 6 4 2" xfId="16344" xr:uid="{00000000-0005-0000-0000-0000D23F0000}"/>
    <cellStyle name="CurrencyA 6 4 3" xfId="16345" xr:uid="{00000000-0005-0000-0000-0000D33F0000}"/>
    <cellStyle name="CurrencyA 6 4 4" xfId="16346" xr:uid="{00000000-0005-0000-0000-0000D43F0000}"/>
    <cellStyle name="CurrencyA 6 4 5" xfId="16347" xr:uid="{00000000-0005-0000-0000-0000D53F0000}"/>
    <cellStyle name="CurrencyA 6 4 6" xfId="16348" xr:uid="{00000000-0005-0000-0000-0000D63F0000}"/>
    <cellStyle name="CurrencyA 6 5" xfId="16349" xr:uid="{00000000-0005-0000-0000-0000D73F0000}"/>
    <cellStyle name="CurrencyA 6 6" xfId="16350" xr:uid="{00000000-0005-0000-0000-0000D83F0000}"/>
    <cellStyle name="CurrencyA 6 7" xfId="16351" xr:uid="{00000000-0005-0000-0000-0000D93F0000}"/>
    <cellStyle name="CurrencyA 6 8" xfId="16352" xr:uid="{00000000-0005-0000-0000-0000DA3F0000}"/>
    <cellStyle name="CurrencyA 7" xfId="16353" xr:uid="{00000000-0005-0000-0000-0000DB3F0000}"/>
    <cellStyle name="CurrencyA 7 2" xfId="16354" xr:uid="{00000000-0005-0000-0000-0000DC3F0000}"/>
    <cellStyle name="CurrencyA 7 2 2" xfId="16355" xr:uid="{00000000-0005-0000-0000-0000DD3F0000}"/>
    <cellStyle name="CurrencyA 7 2 2 2" xfId="16356" xr:uid="{00000000-0005-0000-0000-0000DE3F0000}"/>
    <cellStyle name="CurrencyA 7 2 2 3" xfId="16357" xr:uid="{00000000-0005-0000-0000-0000DF3F0000}"/>
    <cellStyle name="CurrencyA 7 2 2 4" xfId="16358" xr:uid="{00000000-0005-0000-0000-0000E03F0000}"/>
    <cellStyle name="CurrencyA 7 2 2 5" xfId="16359" xr:uid="{00000000-0005-0000-0000-0000E13F0000}"/>
    <cellStyle name="CurrencyA 7 2 2 6" xfId="16360" xr:uid="{00000000-0005-0000-0000-0000E23F0000}"/>
    <cellStyle name="CurrencyA 7 2 3" xfId="16361" xr:uid="{00000000-0005-0000-0000-0000E33F0000}"/>
    <cellStyle name="CurrencyA 7 2 4" xfId="16362" xr:uid="{00000000-0005-0000-0000-0000E43F0000}"/>
    <cellStyle name="CurrencyA 7 2 5" xfId="16363" xr:uid="{00000000-0005-0000-0000-0000E53F0000}"/>
    <cellStyle name="CurrencyA 7 2 6" xfId="16364" xr:uid="{00000000-0005-0000-0000-0000E63F0000}"/>
    <cellStyle name="CurrencyA 7 3" xfId="16365" xr:uid="{00000000-0005-0000-0000-0000E73F0000}"/>
    <cellStyle name="CurrencyA 7 3 2" xfId="16366" xr:uid="{00000000-0005-0000-0000-0000E83F0000}"/>
    <cellStyle name="CurrencyA 7 3 2 2" xfId="16367" xr:uid="{00000000-0005-0000-0000-0000E93F0000}"/>
    <cellStyle name="CurrencyA 7 3 2 3" xfId="16368" xr:uid="{00000000-0005-0000-0000-0000EA3F0000}"/>
    <cellStyle name="CurrencyA 7 3 2 4" xfId="16369" xr:uid="{00000000-0005-0000-0000-0000EB3F0000}"/>
    <cellStyle name="CurrencyA 7 3 2 5" xfId="16370" xr:uid="{00000000-0005-0000-0000-0000EC3F0000}"/>
    <cellStyle name="CurrencyA 7 3 2 6" xfId="16371" xr:uid="{00000000-0005-0000-0000-0000ED3F0000}"/>
    <cellStyle name="CurrencyA 7 3 3" xfId="16372" xr:uid="{00000000-0005-0000-0000-0000EE3F0000}"/>
    <cellStyle name="CurrencyA 7 3 4" xfId="16373" xr:uid="{00000000-0005-0000-0000-0000EF3F0000}"/>
    <cellStyle name="CurrencyA 7 3 5" xfId="16374" xr:uid="{00000000-0005-0000-0000-0000F03F0000}"/>
    <cellStyle name="CurrencyA 7 3 6" xfId="16375" xr:uid="{00000000-0005-0000-0000-0000F13F0000}"/>
    <cellStyle name="CurrencyA 7 4" xfId="16376" xr:uid="{00000000-0005-0000-0000-0000F23F0000}"/>
    <cellStyle name="CurrencyA 7 4 2" xfId="16377" xr:uid="{00000000-0005-0000-0000-0000F33F0000}"/>
    <cellStyle name="CurrencyA 7 4 3" xfId="16378" xr:uid="{00000000-0005-0000-0000-0000F43F0000}"/>
    <cellStyle name="CurrencyA 7 4 4" xfId="16379" xr:uid="{00000000-0005-0000-0000-0000F53F0000}"/>
    <cellStyle name="CurrencyA 7 4 5" xfId="16380" xr:uid="{00000000-0005-0000-0000-0000F63F0000}"/>
    <cellStyle name="CurrencyA 7 4 6" xfId="16381" xr:uid="{00000000-0005-0000-0000-0000F73F0000}"/>
    <cellStyle name="CurrencyA 7 5" xfId="16382" xr:uid="{00000000-0005-0000-0000-0000F83F0000}"/>
    <cellStyle name="CurrencyA 7 6" xfId="16383" xr:uid="{00000000-0005-0000-0000-0000F93F0000}"/>
    <cellStyle name="CurrencyA 7 7" xfId="16384" xr:uid="{00000000-0005-0000-0000-0000FA3F0000}"/>
    <cellStyle name="CurrencyA 7 8" xfId="16385" xr:uid="{00000000-0005-0000-0000-0000FB3F0000}"/>
    <cellStyle name="CurrencyA 8" xfId="16386" xr:uid="{00000000-0005-0000-0000-0000FC3F0000}"/>
    <cellStyle name="CurrencyA 8 2" xfId="16387" xr:uid="{00000000-0005-0000-0000-0000FD3F0000}"/>
    <cellStyle name="CurrencyA 8 2 2" xfId="16388" xr:uid="{00000000-0005-0000-0000-0000FE3F0000}"/>
    <cellStyle name="CurrencyA 8 2 3" xfId="16389" xr:uid="{00000000-0005-0000-0000-0000FF3F0000}"/>
    <cellStyle name="CurrencyA 8 2 4" xfId="16390" xr:uid="{00000000-0005-0000-0000-000000400000}"/>
    <cellStyle name="CurrencyA 8 2 5" xfId="16391" xr:uid="{00000000-0005-0000-0000-000001400000}"/>
    <cellStyle name="CurrencyA 8 2 6" xfId="16392" xr:uid="{00000000-0005-0000-0000-000002400000}"/>
    <cellStyle name="CurrencyA 8 3" xfId="16393" xr:uid="{00000000-0005-0000-0000-000003400000}"/>
    <cellStyle name="CurrencyA 8 4" xfId="16394" xr:uid="{00000000-0005-0000-0000-000004400000}"/>
    <cellStyle name="CurrencyA 8 5" xfId="16395" xr:uid="{00000000-0005-0000-0000-000005400000}"/>
    <cellStyle name="CurrencyA 8 6" xfId="16396" xr:uid="{00000000-0005-0000-0000-000006400000}"/>
    <cellStyle name="CurrencyA 9" xfId="16397" xr:uid="{00000000-0005-0000-0000-000007400000}"/>
    <cellStyle name="CurrencyA 9 2" xfId="16398" xr:uid="{00000000-0005-0000-0000-000008400000}"/>
    <cellStyle name="CurrencyA 9 2 2" xfId="16399" xr:uid="{00000000-0005-0000-0000-000009400000}"/>
    <cellStyle name="CurrencyA 9 2 3" xfId="16400" xr:uid="{00000000-0005-0000-0000-00000A400000}"/>
    <cellStyle name="CurrencyA 9 2 4" xfId="16401" xr:uid="{00000000-0005-0000-0000-00000B400000}"/>
    <cellStyle name="CurrencyA 9 2 5" xfId="16402" xr:uid="{00000000-0005-0000-0000-00000C400000}"/>
    <cellStyle name="CurrencyA 9 2 6" xfId="16403" xr:uid="{00000000-0005-0000-0000-00000D400000}"/>
    <cellStyle name="CurrencyA 9 3" xfId="16404" xr:uid="{00000000-0005-0000-0000-00000E400000}"/>
    <cellStyle name="CurrencyA 9 4" xfId="16405" xr:uid="{00000000-0005-0000-0000-00000F400000}"/>
    <cellStyle name="CurrencyA 9 5" xfId="16406" xr:uid="{00000000-0005-0000-0000-000010400000}"/>
    <cellStyle name="CurrencyA 9 6" xfId="16407" xr:uid="{00000000-0005-0000-0000-000011400000}"/>
    <cellStyle name="CurrencyC" xfId="16408" xr:uid="{00000000-0005-0000-0000-000012400000}"/>
    <cellStyle name="CurrencyC 10" xfId="16409" xr:uid="{00000000-0005-0000-0000-000013400000}"/>
    <cellStyle name="CurrencyC 10 2" xfId="16410" xr:uid="{00000000-0005-0000-0000-000014400000}"/>
    <cellStyle name="CurrencyC 10 3" xfId="16411" xr:uid="{00000000-0005-0000-0000-000015400000}"/>
    <cellStyle name="CurrencyC 10 4" xfId="16412" xr:uid="{00000000-0005-0000-0000-000016400000}"/>
    <cellStyle name="CurrencyC 10 5" xfId="16413" xr:uid="{00000000-0005-0000-0000-000017400000}"/>
    <cellStyle name="CurrencyC 10 6" xfId="16414" xr:uid="{00000000-0005-0000-0000-000018400000}"/>
    <cellStyle name="CurrencyC 11" xfId="16415" xr:uid="{00000000-0005-0000-0000-000019400000}"/>
    <cellStyle name="CurrencyC 12" xfId="16416" xr:uid="{00000000-0005-0000-0000-00001A400000}"/>
    <cellStyle name="CurrencyC 13" xfId="16417" xr:uid="{00000000-0005-0000-0000-00001B400000}"/>
    <cellStyle name="CurrencyC 14" xfId="16418" xr:uid="{00000000-0005-0000-0000-00001C400000}"/>
    <cellStyle name="CurrencyC 2" xfId="16419" xr:uid="{00000000-0005-0000-0000-00001D400000}"/>
    <cellStyle name="CurrencyC 2 10" xfId="16420" xr:uid="{00000000-0005-0000-0000-00001E400000}"/>
    <cellStyle name="CurrencyC 2 11" xfId="16421" xr:uid="{00000000-0005-0000-0000-00001F400000}"/>
    <cellStyle name="CurrencyC 2 12" xfId="16422" xr:uid="{00000000-0005-0000-0000-000020400000}"/>
    <cellStyle name="CurrencyC 2 13" xfId="16423" xr:uid="{00000000-0005-0000-0000-000021400000}"/>
    <cellStyle name="CurrencyC 2 2" xfId="16424" xr:uid="{00000000-0005-0000-0000-000022400000}"/>
    <cellStyle name="CurrencyC 2 2 10" xfId="16425" xr:uid="{00000000-0005-0000-0000-000023400000}"/>
    <cellStyle name="CurrencyC 2 2 10 2" xfId="16426" xr:uid="{00000000-0005-0000-0000-000024400000}"/>
    <cellStyle name="CurrencyC 2 2 10 3" xfId="16427" xr:uid="{00000000-0005-0000-0000-000025400000}"/>
    <cellStyle name="CurrencyC 2 2 10 4" xfId="16428" xr:uid="{00000000-0005-0000-0000-000026400000}"/>
    <cellStyle name="CurrencyC 2 2 10 5" xfId="16429" xr:uid="{00000000-0005-0000-0000-000027400000}"/>
    <cellStyle name="CurrencyC 2 2 10 6" xfId="16430" xr:uid="{00000000-0005-0000-0000-000028400000}"/>
    <cellStyle name="CurrencyC 2 2 11" xfId="16431" xr:uid="{00000000-0005-0000-0000-000029400000}"/>
    <cellStyle name="CurrencyC 2 2 12" xfId="16432" xr:uid="{00000000-0005-0000-0000-00002A400000}"/>
    <cellStyle name="CurrencyC 2 2 13" xfId="16433" xr:uid="{00000000-0005-0000-0000-00002B400000}"/>
    <cellStyle name="CurrencyC 2 2 14" xfId="16434" xr:uid="{00000000-0005-0000-0000-00002C400000}"/>
    <cellStyle name="CurrencyC 2 2 2" xfId="16435" xr:uid="{00000000-0005-0000-0000-00002D400000}"/>
    <cellStyle name="CurrencyC 2 2 2 10" xfId="16436" xr:uid="{00000000-0005-0000-0000-00002E400000}"/>
    <cellStyle name="CurrencyC 2 2 2 11" xfId="16437" xr:uid="{00000000-0005-0000-0000-00002F400000}"/>
    <cellStyle name="CurrencyC 2 2 2 12" xfId="16438" xr:uid="{00000000-0005-0000-0000-000030400000}"/>
    <cellStyle name="CurrencyC 2 2 2 13" xfId="16439" xr:uid="{00000000-0005-0000-0000-000031400000}"/>
    <cellStyle name="CurrencyC 2 2 2 2" xfId="16440" xr:uid="{00000000-0005-0000-0000-000032400000}"/>
    <cellStyle name="CurrencyC 2 2 2 2 2" xfId="16441" xr:uid="{00000000-0005-0000-0000-000033400000}"/>
    <cellStyle name="CurrencyC 2 2 2 2 2 2" xfId="16442" xr:uid="{00000000-0005-0000-0000-000034400000}"/>
    <cellStyle name="CurrencyC 2 2 2 2 2 2 2" xfId="16443" xr:uid="{00000000-0005-0000-0000-000035400000}"/>
    <cellStyle name="CurrencyC 2 2 2 2 2 2 3" xfId="16444" xr:uid="{00000000-0005-0000-0000-000036400000}"/>
    <cellStyle name="CurrencyC 2 2 2 2 2 2 4" xfId="16445" xr:uid="{00000000-0005-0000-0000-000037400000}"/>
    <cellStyle name="CurrencyC 2 2 2 2 2 2 5" xfId="16446" xr:uid="{00000000-0005-0000-0000-000038400000}"/>
    <cellStyle name="CurrencyC 2 2 2 2 2 2 6" xfId="16447" xr:uid="{00000000-0005-0000-0000-000039400000}"/>
    <cellStyle name="CurrencyC 2 2 2 2 2 3" xfId="16448" xr:uid="{00000000-0005-0000-0000-00003A400000}"/>
    <cellStyle name="CurrencyC 2 2 2 2 2 4" xfId="16449" xr:uid="{00000000-0005-0000-0000-00003B400000}"/>
    <cellStyle name="CurrencyC 2 2 2 2 2 5" xfId="16450" xr:uid="{00000000-0005-0000-0000-00003C400000}"/>
    <cellStyle name="CurrencyC 2 2 2 2 2 6" xfId="16451" xr:uid="{00000000-0005-0000-0000-00003D400000}"/>
    <cellStyle name="CurrencyC 2 2 2 2 3" xfId="16452" xr:uid="{00000000-0005-0000-0000-00003E400000}"/>
    <cellStyle name="CurrencyC 2 2 2 2 3 2" xfId="16453" xr:uid="{00000000-0005-0000-0000-00003F400000}"/>
    <cellStyle name="CurrencyC 2 2 2 2 3 2 2" xfId="16454" xr:uid="{00000000-0005-0000-0000-000040400000}"/>
    <cellStyle name="CurrencyC 2 2 2 2 3 2 3" xfId="16455" xr:uid="{00000000-0005-0000-0000-000041400000}"/>
    <cellStyle name="CurrencyC 2 2 2 2 3 2 4" xfId="16456" xr:uid="{00000000-0005-0000-0000-000042400000}"/>
    <cellStyle name="CurrencyC 2 2 2 2 3 2 5" xfId="16457" xr:uid="{00000000-0005-0000-0000-000043400000}"/>
    <cellStyle name="CurrencyC 2 2 2 2 3 2 6" xfId="16458" xr:uid="{00000000-0005-0000-0000-000044400000}"/>
    <cellStyle name="CurrencyC 2 2 2 2 3 3" xfId="16459" xr:uid="{00000000-0005-0000-0000-000045400000}"/>
    <cellStyle name="CurrencyC 2 2 2 2 3 4" xfId="16460" xr:uid="{00000000-0005-0000-0000-000046400000}"/>
    <cellStyle name="CurrencyC 2 2 2 2 3 5" xfId="16461" xr:uid="{00000000-0005-0000-0000-000047400000}"/>
    <cellStyle name="CurrencyC 2 2 2 2 3 6" xfId="16462" xr:uid="{00000000-0005-0000-0000-000048400000}"/>
    <cellStyle name="CurrencyC 2 2 2 2 4" xfId="16463" xr:uid="{00000000-0005-0000-0000-000049400000}"/>
    <cellStyle name="CurrencyC 2 2 2 2 4 2" xfId="16464" xr:uid="{00000000-0005-0000-0000-00004A400000}"/>
    <cellStyle name="CurrencyC 2 2 2 2 4 3" xfId="16465" xr:uid="{00000000-0005-0000-0000-00004B400000}"/>
    <cellStyle name="CurrencyC 2 2 2 2 4 4" xfId="16466" xr:uid="{00000000-0005-0000-0000-00004C400000}"/>
    <cellStyle name="CurrencyC 2 2 2 2 4 5" xfId="16467" xr:uid="{00000000-0005-0000-0000-00004D400000}"/>
    <cellStyle name="CurrencyC 2 2 2 2 4 6" xfId="16468" xr:uid="{00000000-0005-0000-0000-00004E400000}"/>
    <cellStyle name="CurrencyC 2 2 2 2 5" xfId="16469" xr:uid="{00000000-0005-0000-0000-00004F400000}"/>
    <cellStyle name="CurrencyC 2 2 2 2 6" xfId="16470" xr:uid="{00000000-0005-0000-0000-000050400000}"/>
    <cellStyle name="CurrencyC 2 2 2 2 7" xfId="16471" xr:uid="{00000000-0005-0000-0000-000051400000}"/>
    <cellStyle name="CurrencyC 2 2 2 2 8" xfId="16472" xr:uid="{00000000-0005-0000-0000-000052400000}"/>
    <cellStyle name="CurrencyC 2 2 2 3" xfId="16473" xr:uid="{00000000-0005-0000-0000-000053400000}"/>
    <cellStyle name="CurrencyC 2 2 2 3 2" xfId="16474" xr:uid="{00000000-0005-0000-0000-000054400000}"/>
    <cellStyle name="CurrencyC 2 2 2 3 2 2" xfId="16475" xr:uid="{00000000-0005-0000-0000-000055400000}"/>
    <cellStyle name="CurrencyC 2 2 2 3 2 2 2" xfId="16476" xr:uid="{00000000-0005-0000-0000-000056400000}"/>
    <cellStyle name="CurrencyC 2 2 2 3 2 2 3" xfId="16477" xr:uid="{00000000-0005-0000-0000-000057400000}"/>
    <cellStyle name="CurrencyC 2 2 2 3 2 2 4" xfId="16478" xr:uid="{00000000-0005-0000-0000-000058400000}"/>
    <cellStyle name="CurrencyC 2 2 2 3 2 2 5" xfId="16479" xr:uid="{00000000-0005-0000-0000-000059400000}"/>
    <cellStyle name="CurrencyC 2 2 2 3 2 2 6" xfId="16480" xr:uid="{00000000-0005-0000-0000-00005A400000}"/>
    <cellStyle name="CurrencyC 2 2 2 3 2 3" xfId="16481" xr:uid="{00000000-0005-0000-0000-00005B400000}"/>
    <cellStyle name="CurrencyC 2 2 2 3 2 4" xfId="16482" xr:uid="{00000000-0005-0000-0000-00005C400000}"/>
    <cellStyle name="CurrencyC 2 2 2 3 2 5" xfId="16483" xr:uid="{00000000-0005-0000-0000-00005D400000}"/>
    <cellStyle name="CurrencyC 2 2 2 3 2 6" xfId="16484" xr:uid="{00000000-0005-0000-0000-00005E400000}"/>
    <cellStyle name="CurrencyC 2 2 2 3 3" xfId="16485" xr:uid="{00000000-0005-0000-0000-00005F400000}"/>
    <cellStyle name="CurrencyC 2 2 2 3 3 2" xfId="16486" xr:uid="{00000000-0005-0000-0000-000060400000}"/>
    <cellStyle name="CurrencyC 2 2 2 3 3 2 2" xfId="16487" xr:uid="{00000000-0005-0000-0000-000061400000}"/>
    <cellStyle name="CurrencyC 2 2 2 3 3 2 3" xfId="16488" xr:uid="{00000000-0005-0000-0000-000062400000}"/>
    <cellStyle name="CurrencyC 2 2 2 3 3 2 4" xfId="16489" xr:uid="{00000000-0005-0000-0000-000063400000}"/>
    <cellStyle name="CurrencyC 2 2 2 3 3 2 5" xfId="16490" xr:uid="{00000000-0005-0000-0000-000064400000}"/>
    <cellStyle name="CurrencyC 2 2 2 3 3 2 6" xfId="16491" xr:uid="{00000000-0005-0000-0000-000065400000}"/>
    <cellStyle name="CurrencyC 2 2 2 3 3 3" xfId="16492" xr:uid="{00000000-0005-0000-0000-000066400000}"/>
    <cellStyle name="CurrencyC 2 2 2 3 3 4" xfId="16493" xr:uid="{00000000-0005-0000-0000-000067400000}"/>
    <cellStyle name="CurrencyC 2 2 2 3 3 5" xfId="16494" xr:uid="{00000000-0005-0000-0000-000068400000}"/>
    <cellStyle name="CurrencyC 2 2 2 3 3 6" xfId="16495" xr:uid="{00000000-0005-0000-0000-000069400000}"/>
    <cellStyle name="CurrencyC 2 2 2 3 4" xfId="16496" xr:uid="{00000000-0005-0000-0000-00006A400000}"/>
    <cellStyle name="CurrencyC 2 2 2 3 4 2" xfId="16497" xr:uid="{00000000-0005-0000-0000-00006B400000}"/>
    <cellStyle name="CurrencyC 2 2 2 3 4 3" xfId="16498" xr:uid="{00000000-0005-0000-0000-00006C400000}"/>
    <cellStyle name="CurrencyC 2 2 2 3 4 4" xfId="16499" xr:uid="{00000000-0005-0000-0000-00006D400000}"/>
    <cellStyle name="CurrencyC 2 2 2 3 4 5" xfId="16500" xr:uid="{00000000-0005-0000-0000-00006E400000}"/>
    <cellStyle name="CurrencyC 2 2 2 3 4 6" xfId="16501" xr:uid="{00000000-0005-0000-0000-00006F400000}"/>
    <cellStyle name="CurrencyC 2 2 2 3 5" xfId="16502" xr:uid="{00000000-0005-0000-0000-000070400000}"/>
    <cellStyle name="CurrencyC 2 2 2 3 6" xfId="16503" xr:uid="{00000000-0005-0000-0000-000071400000}"/>
    <cellStyle name="CurrencyC 2 2 2 3 7" xfId="16504" xr:uid="{00000000-0005-0000-0000-000072400000}"/>
    <cellStyle name="CurrencyC 2 2 2 3 8" xfId="16505" xr:uid="{00000000-0005-0000-0000-000073400000}"/>
    <cellStyle name="CurrencyC 2 2 2 4" xfId="16506" xr:uid="{00000000-0005-0000-0000-000074400000}"/>
    <cellStyle name="CurrencyC 2 2 2 4 2" xfId="16507" xr:uid="{00000000-0005-0000-0000-000075400000}"/>
    <cellStyle name="CurrencyC 2 2 2 4 2 2" xfId="16508" xr:uid="{00000000-0005-0000-0000-000076400000}"/>
    <cellStyle name="CurrencyC 2 2 2 4 2 2 2" xfId="16509" xr:uid="{00000000-0005-0000-0000-000077400000}"/>
    <cellStyle name="CurrencyC 2 2 2 4 2 2 3" xfId="16510" xr:uid="{00000000-0005-0000-0000-000078400000}"/>
    <cellStyle name="CurrencyC 2 2 2 4 2 2 4" xfId="16511" xr:uid="{00000000-0005-0000-0000-000079400000}"/>
    <cellStyle name="CurrencyC 2 2 2 4 2 2 5" xfId="16512" xr:uid="{00000000-0005-0000-0000-00007A400000}"/>
    <cellStyle name="CurrencyC 2 2 2 4 2 2 6" xfId="16513" xr:uid="{00000000-0005-0000-0000-00007B400000}"/>
    <cellStyle name="CurrencyC 2 2 2 4 2 3" xfId="16514" xr:uid="{00000000-0005-0000-0000-00007C400000}"/>
    <cellStyle name="CurrencyC 2 2 2 4 2 4" xfId="16515" xr:uid="{00000000-0005-0000-0000-00007D400000}"/>
    <cellStyle name="CurrencyC 2 2 2 4 2 5" xfId="16516" xr:uid="{00000000-0005-0000-0000-00007E400000}"/>
    <cellStyle name="CurrencyC 2 2 2 4 2 6" xfId="16517" xr:uid="{00000000-0005-0000-0000-00007F400000}"/>
    <cellStyle name="CurrencyC 2 2 2 4 3" xfId="16518" xr:uid="{00000000-0005-0000-0000-000080400000}"/>
    <cellStyle name="CurrencyC 2 2 2 4 3 2" xfId="16519" xr:uid="{00000000-0005-0000-0000-000081400000}"/>
    <cellStyle name="CurrencyC 2 2 2 4 3 2 2" xfId="16520" xr:uid="{00000000-0005-0000-0000-000082400000}"/>
    <cellStyle name="CurrencyC 2 2 2 4 3 2 3" xfId="16521" xr:uid="{00000000-0005-0000-0000-000083400000}"/>
    <cellStyle name="CurrencyC 2 2 2 4 3 2 4" xfId="16522" xr:uid="{00000000-0005-0000-0000-000084400000}"/>
    <cellStyle name="CurrencyC 2 2 2 4 3 2 5" xfId="16523" xr:uid="{00000000-0005-0000-0000-000085400000}"/>
    <cellStyle name="CurrencyC 2 2 2 4 3 2 6" xfId="16524" xr:uid="{00000000-0005-0000-0000-000086400000}"/>
    <cellStyle name="CurrencyC 2 2 2 4 3 3" xfId="16525" xr:uid="{00000000-0005-0000-0000-000087400000}"/>
    <cellStyle name="CurrencyC 2 2 2 4 3 4" xfId="16526" xr:uid="{00000000-0005-0000-0000-000088400000}"/>
    <cellStyle name="CurrencyC 2 2 2 4 3 5" xfId="16527" xr:uid="{00000000-0005-0000-0000-000089400000}"/>
    <cellStyle name="CurrencyC 2 2 2 4 3 6" xfId="16528" xr:uid="{00000000-0005-0000-0000-00008A400000}"/>
    <cellStyle name="CurrencyC 2 2 2 4 4" xfId="16529" xr:uid="{00000000-0005-0000-0000-00008B400000}"/>
    <cellStyle name="CurrencyC 2 2 2 4 4 2" xfId="16530" xr:uid="{00000000-0005-0000-0000-00008C400000}"/>
    <cellStyle name="CurrencyC 2 2 2 4 4 3" xfId="16531" xr:uid="{00000000-0005-0000-0000-00008D400000}"/>
    <cellStyle name="CurrencyC 2 2 2 4 4 4" xfId="16532" xr:uid="{00000000-0005-0000-0000-00008E400000}"/>
    <cellStyle name="CurrencyC 2 2 2 4 4 5" xfId="16533" xr:uid="{00000000-0005-0000-0000-00008F400000}"/>
    <cellStyle name="CurrencyC 2 2 2 4 4 6" xfId="16534" xr:uid="{00000000-0005-0000-0000-000090400000}"/>
    <cellStyle name="CurrencyC 2 2 2 4 5" xfId="16535" xr:uid="{00000000-0005-0000-0000-000091400000}"/>
    <cellStyle name="CurrencyC 2 2 2 4 6" xfId="16536" xr:uid="{00000000-0005-0000-0000-000092400000}"/>
    <cellStyle name="CurrencyC 2 2 2 4 7" xfId="16537" xr:uid="{00000000-0005-0000-0000-000093400000}"/>
    <cellStyle name="CurrencyC 2 2 2 4 8" xfId="16538" xr:uid="{00000000-0005-0000-0000-000094400000}"/>
    <cellStyle name="CurrencyC 2 2 2 5" xfId="16539" xr:uid="{00000000-0005-0000-0000-000095400000}"/>
    <cellStyle name="CurrencyC 2 2 2 5 2" xfId="16540" xr:uid="{00000000-0005-0000-0000-000096400000}"/>
    <cellStyle name="CurrencyC 2 2 2 5 2 2" xfId="16541" xr:uid="{00000000-0005-0000-0000-000097400000}"/>
    <cellStyle name="CurrencyC 2 2 2 5 2 2 2" xfId="16542" xr:uid="{00000000-0005-0000-0000-000098400000}"/>
    <cellStyle name="CurrencyC 2 2 2 5 2 2 3" xfId="16543" xr:uid="{00000000-0005-0000-0000-000099400000}"/>
    <cellStyle name="CurrencyC 2 2 2 5 2 2 4" xfId="16544" xr:uid="{00000000-0005-0000-0000-00009A400000}"/>
    <cellStyle name="CurrencyC 2 2 2 5 2 2 5" xfId="16545" xr:uid="{00000000-0005-0000-0000-00009B400000}"/>
    <cellStyle name="CurrencyC 2 2 2 5 2 2 6" xfId="16546" xr:uid="{00000000-0005-0000-0000-00009C400000}"/>
    <cellStyle name="CurrencyC 2 2 2 5 2 3" xfId="16547" xr:uid="{00000000-0005-0000-0000-00009D400000}"/>
    <cellStyle name="CurrencyC 2 2 2 5 2 4" xfId="16548" xr:uid="{00000000-0005-0000-0000-00009E400000}"/>
    <cellStyle name="CurrencyC 2 2 2 5 2 5" xfId="16549" xr:uid="{00000000-0005-0000-0000-00009F400000}"/>
    <cellStyle name="CurrencyC 2 2 2 5 2 6" xfId="16550" xr:uid="{00000000-0005-0000-0000-0000A0400000}"/>
    <cellStyle name="CurrencyC 2 2 2 5 3" xfId="16551" xr:uid="{00000000-0005-0000-0000-0000A1400000}"/>
    <cellStyle name="CurrencyC 2 2 2 5 3 2" xfId="16552" xr:uid="{00000000-0005-0000-0000-0000A2400000}"/>
    <cellStyle name="CurrencyC 2 2 2 5 3 2 2" xfId="16553" xr:uid="{00000000-0005-0000-0000-0000A3400000}"/>
    <cellStyle name="CurrencyC 2 2 2 5 3 2 3" xfId="16554" xr:uid="{00000000-0005-0000-0000-0000A4400000}"/>
    <cellStyle name="CurrencyC 2 2 2 5 3 2 4" xfId="16555" xr:uid="{00000000-0005-0000-0000-0000A5400000}"/>
    <cellStyle name="CurrencyC 2 2 2 5 3 2 5" xfId="16556" xr:uid="{00000000-0005-0000-0000-0000A6400000}"/>
    <cellStyle name="CurrencyC 2 2 2 5 3 2 6" xfId="16557" xr:uid="{00000000-0005-0000-0000-0000A7400000}"/>
    <cellStyle name="CurrencyC 2 2 2 5 3 3" xfId="16558" xr:uid="{00000000-0005-0000-0000-0000A8400000}"/>
    <cellStyle name="CurrencyC 2 2 2 5 3 4" xfId="16559" xr:uid="{00000000-0005-0000-0000-0000A9400000}"/>
    <cellStyle name="CurrencyC 2 2 2 5 3 5" xfId="16560" xr:uid="{00000000-0005-0000-0000-0000AA400000}"/>
    <cellStyle name="CurrencyC 2 2 2 5 3 6" xfId="16561" xr:uid="{00000000-0005-0000-0000-0000AB400000}"/>
    <cellStyle name="CurrencyC 2 2 2 5 4" xfId="16562" xr:uid="{00000000-0005-0000-0000-0000AC400000}"/>
    <cellStyle name="CurrencyC 2 2 2 5 4 2" xfId="16563" xr:uid="{00000000-0005-0000-0000-0000AD400000}"/>
    <cellStyle name="CurrencyC 2 2 2 5 4 3" xfId="16564" xr:uid="{00000000-0005-0000-0000-0000AE400000}"/>
    <cellStyle name="CurrencyC 2 2 2 5 4 4" xfId="16565" xr:uid="{00000000-0005-0000-0000-0000AF400000}"/>
    <cellStyle name="CurrencyC 2 2 2 5 4 5" xfId="16566" xr:uid="{00000000-0005-0000-0000-0000B0400000}"/>
    <cellStyle name="CurrencyC 2 2 2 5 4 6" xfId="16567" xr:uid="{00000000-0005-0000-0000-0000B1400000}"/>
    <cellStyle name="CurrencyC 2 2 2 5 5" xfId="16568" xr:uid="{00000000-0005-0000-0000-0000B2400000}"/>
    <cellStyle name="CurrencyC 2 2 2 5 6" xfId="16569" xr:uid="{00000000-0005-0000-0000-0000B3400000}"/>
    <cellStyle name="CurrencyC 2 2 2 5 7" xfId="16570" xr:uid="{00000000-0005-0000-0000-0000B4400000}"/>
    <cellStyle name="CurrencyC 2 2 2 5 8" xfId="16571" xr:uid="{00000000-0005-0000-0000-0000B5400000}"/>
    <cellStyle name="CurrencyC 2 2 2 6" xfId="16572" xr:uid="{00000000-0005-0000-0000-0000B6400000}"/>
    <cellStyle name="CurrencyC 2 2 2 6 2" xfId="16573" xr:uid="{00000000-0005-0000-0000-0000B7400000}"/>
    <cellStyle name="CurrencyC 2 2 2 6 2 2" xfId="16574" xr:uid="{00000000-0005-0000-0000-0000B8400000}"/>
    <cellStyle name="CurrencyC 2 2 2 6 2 2 2" xfId="16575" xr:uid="{00000000-0005-0000-0000-0000B9400000}"/>
    <cellStyle name="CurrencyC 2 2 2 6 2 2 3" xfId="16576" xr:uid="{00000000-0005-0000-0000-0000BA400000}"/>
    <cellStyle name="CurrencyC 2 2 2 6 2 2 4" xfId="16577" xr:uid="{00000000-0005-0000-0000-0000BB400000}"/>
    <cellStyle name="CurrencyC 2 2 2 6 2 2 5" xfId="16578" xr:uid="{00000000-0005-0000-0000-0000BC400000}"/>
    <cellStyle name="CurrencyC 2 2 2 6 2 2 6" xfId="16579" xr:uid="{00000000-0005-0000-0000-0000BD400000}"/>
    <cellStyle name="CurrencyC 2 2 2 6 2 3" xfId="16580" xr:uid="{00000000-0005-0000-0000-0000BE400000}"/>
    <cellStyle name="CurrencyC 2 2 2 6 2 4" xfId="16581" xr:uid="{00000000-0005-0000-0000-0000BF400000}"/>
    <cellStyle name="CurrencyC 2 2 2 6 2 5" xfId="16582" xr:uid="{00000000-0005-0000-0000-0000C0400000}"/>
    <cellStyle name="CurrencyC 2 2 2 6 2 6" xfId="16583" xr:uid="{00000000-0005-0000-0000-0000C1400000}"/>
    <cellStyle name="CurrencyC 2 2 2 6 3" xfId="16584" xr:uid="{00000000-0005-0000-0000-0000C2400000}"/>
    <cellStyle name="CurrencyC 2 2 2 6 3 2" xfId="16585" xr:uid="{00000000-0005-0000-0000-0000C3400000}"/>
    <cellStyle name="CurrencyC 2 2 2 6 3 2 2" xfId="16586" xr:uid="{00000000-0005-0000-0000-0000C4400000}"/>
    <cellStyle name="CurrencyC 2 2 2 6 3 2 3" xfId="16587" xr:uid="{00000000-0005-0000-0000-0000C5400000}"/>
    <cellStyle name="CurrencyC 2 2 2 6 3 2 4" xfId="16588" xr:uid="{00000000-0005-0000-0000-0000C6400000}"/>
    <cellStyle name="CurrencyC 2 2 2 6 3 2 5" xfId="16589" xr:uid="{00000000-0005-0000-0000-0000C7400000}"/>
    <cellStyle name="CurrencyC 2 2 2 6 3 2 6" xfId="16590" xr:uid="{00000000-0005-0000-0000-0000C8400000}"/>
    <cellStyle name="CurrencyC 2 2 2 6 3 3" xfId="16591" xr:uid="{00000000-0005-0000-0000-0000C9400000}"/>
    <cellStyle name="CurrencyC 2 2 2 6 3 4" xfId="16592" xr:uid="{00000000-0005-0000-0000-0000CA400000}"/>
    <cellStyle name="CurrencyC 2 2 2 6 3 5" xfId="16593" xr:uid="{00000000-0005-0000-0000-0000CB400000}"/>
    <cellStyle name="CurrencyC 2 2 2 6 3 6" xfId="16594" xr:uid="{00000000-0005-0000-0000-0000CC400000}"/>
    <cellStyle name="CurrencyC 2 2 2 6 4" xfId="16595" xr:uid="{00000000-0005-0000-0000-0000CD400000}"/>
    <cellStyle name="CurrencyC 2 2 2 6 4 2" xfId="16596" xr:uid="{00000000-0005-0000-0000-0000CE400000}"/>
    <cellStyle name="CurrencyC 2 2 2 6 4 3" xfId="16597" xr:uid="{00000000-0005-0000-0000-0000CF400000}"/>
    <cellStyle name="CurrencyC 2 2 2 6 4 4" xfId="16598" xr:uid="{00000000-0005-0000-0000-0000D0400000}"/>
    <cellStyle name="CurrencyC 2 2 2 6 4 5" xfId="16599" xr:uid="{00000000-0005-0000-0000-0000D1400000}"/>
    <cellStyle name="CurrencyC 2 2 2 6 4 6" xfId="16600" xr:uid="{00000000-0005-0000-0000-0000D2400000}"/>
    <cellStyle name="CurrencyC 2 2 2 6 5" xfId="16601" xr:uid="{00000000-0005-0000-0000-0000D3400000}"/>
    <cellStyle name="CurrencyC 2 2 2 6 6" xfId="16602" xr:uid="{00000000-0005-0000-0000-0000D4400000}"/>
    <cellStyle name="CurrencyC 2 2 2 6 7" xfId="16603" xr:uid="{00000000-0005-0000-0000-0000D5400000}"/>
    <cellStyle name="CurrencyC 2 2 2 6 8" xfId="16604" xr:uid="{00000000-0005-0000-0000-0000D6400000}"/>
    <cellStyle name="CurrencyC 2 2 2 7" xfId="16605" xr:uid="{00000000-0005-0000-0000-0000D7400000}"/>
    <cellStyle name="CurrencyC 2 2 2 7 2" xfId="16606" xr:uid="{00000000-0005-0000-0000-0000D8400000}"/>
    <cellStyle name="CurrencyC 2 2 2 7 2 2" xfId="16607" xr:uid="{00000000-0005-0000-0000-0000D9400000}"/>
    <cellStyle name="CurrencyC 2 2 2 7 2 3" xfId="16608" xr:uid="{00000000-0005-0000-0000-0000DA400000}"/>
    <cellStyle name="CurrencyC 2 2 2 7 2 4" xfId="16609" xr:uid="{00000000-0005-0000-0000-0000DB400000}"/>
    <cellStyle name="CurrencyC 2 2 2 7 2 5" xfId="16610" xr:uid="{00000000-0005-0000-0000-0000DC400000}"/>
    <cellStyle name="CurrencyC 2 2 2 7 2 6" xfId="16611" xr:uid="{00000000-0005-0000-0000-0000DD400000}"/>
    <cellStyle name="CurrencyC 2 2 2 7 3" xfId="16612" xr:uid="{00000000-0005-0000-0000-0000DE400000}"/>
    <cellStyle name="CurrencyC 2 2 2 7 4" xfId="16613" xr:uid="{00000000-0005-0000-0000-0000DF400000}"/>
    <cellStyle name="CurrencyC 2 2 2 7 5" xfId="16614" xr:uid="{00000000-0005-0000-0000-0000E0400000}"/>
    <cellStyle name="CurrencyC 2 2 2 7 6" xfId="16615" xr:uid="{00000000-0005-0000-0000-0000E1400000}"/>
    <cellStyle name="CurrencyC 2 2 2 8" xfId="16616" xr:uid="{00000000-0005-0000-0000-0000E2400000}"/>
    <cellStyle name="CurrencyC 2 2 2 8 2" xfId="16617" xr:uid="{00000000-0005-0000-0000-0000E3400000}"/>
    <cellStyle name="CurrencyC 2 2 2 8 2 2" xfId="16618" xr:uid="{00000000-0005-0000-0000-0000E4400000}"/>
    <cellStyle name="CurrencyC 2 2 2 8 2 3" xfId="16619" xr:uid="{00000000-0005-0000-0000-0000E5400000}"/>
    <cellStyle name="CurrencyC 2 2 2 8 2 4" xfId="16620" xr:uid="{00000000-0005-0000-0000-0000E6400000}"/>
    <cellStyle name="CurrencyC 2 2 2 8 2 5" xfId="16621" xr:uid="{00000000-0005-0000-0000-0000E7400000}"/>
    <cellStyle name="CurrencyC 2 2 2 8 2 6" xfId="16622" xr:uid="{00000000-0005-0000-0000-0000E8400000}"/>
    <cellStyle name="CurrencyC 2 2 2 8 3" xfId="16623" xr:uid="{00000000-0005-0000-0000-0000E9400000}"/>
    <cellStyle name="CurrencyC 2 2 2 8 4" xfId="16624" xr:uid="{00000000-0005-0000-0000-0000EA400000}"/>
    <cellStyle name="CurrencyC 2 2 2 8 5" xfId="16625" xr:uid="{00000000-0005-0000-0000-0000EB400000}"/>
    <cellStyle name="CurrencyC 2 2 2 8 6" xfId="16626" xr:uid="{00000000-0005-0000-0000-0000EC400000}"/>
    <cellStyle name="CurrencyC 2 2 2 9" xfId="16627" xr:uid="{00000000-0005-0000-0000-0000ED400000}"/>
    <cellStyle name="CurrencyC 2 2 2 9 2" xfId="16628" xr:uid="{00000000-0005-0000-0000-0000EE400000}"/>
    <cellStyle name="CurrencyC 2 2 2 9 3" xfId="16629" xr:uid="{00000000-0005-0000-0000-0000EF400000}"/>
    <cellStyle name="CurrencyC 2 2 2 9 4" xfId="16630" xr:uid="{00000000-0005-0000-0000-0000F0400000}"/>
    <cellStyle name="CurrencyC 2 2 2 9 5" xfId="16631" xr:uid="{00000000-0005-0000-0000-0000F1400000}"/>
    <cellStyle name="CurrencyC 2 2 2 9 6" xfId="16632" xr:uid="{00000000-0005-0000-0000-0000F2400000}"/>
    <cellStyle name="CurrencyC 2 2 3" xfId="16633" xr:uid="{00000000-0005-0000-0000-0000F3400000}"/>
    <cellStyle name="CurrencyC 2 2 3 2" xfId="16634" xr:uid="{00000000-0005-0000-0000-0000F4400000}"/>
    <cellStyle name="CurrencyC 2 2 3 2 2" xfId="16635" xr:uid="{00000000-0005-0000-0000-0000F5400000}"/>
    <cellStyle name="CurrencyC 2 2 3 2 2 2" xfId="16636" xr:uid="{00000000-0005-0000-0000-0000F6400000}"/>
    <cellStyle name="CurrencyC 2 2 3 2 2 3" xfId="16637" xr:uid="{00000000-0005-0000-0000-0000F7400000}"/>
    <cellStyle name="CurrencyC 2 2 3 2 2 4" xfId="16638" xr:uid="{00000000-0005-0000-0000-0000F8400000}"/>
    <cellStyle name="CurrencyC 2 2 3 2 2 5" xfId="16639" xr:uid="{00000000-0005-0000-0000-0000F9400000}"/>
    <cellStyle name="CurrencyC 2 2 3 2 2 6" xfId="16640" xr:uid="{00000000-0005-0000-0000-0000FA400000}"/>
    <cellStyle name="CurrencyC 2 2 3 2 3" xfId="16641" xr:uid="{00000000-0005-0000-0000-0000FB400000}"/>
    <cellStyle name="CurrencyC 2 2 3 2 4" xfId="16642" xr:uid="{00000000-0005-0000-0000-0000FC400000}"/>
    <cellStyle name="CurrencyC 2 2 3 2 5" xfId="16643" xr:uid="{00000000-0005-0000-0000-0000FD400000}"/>
    <cellStyle name="CurrencyC 2 2 3 2 6" xfId="16644" xr:uid="{00000000-0005-0000-0000-0000FE400000}"/>
    <cellStyle name="CurrencyC 2 2 3 3" xfId="16645" xr:uid="{00000000-0005-0000-0000-0000FF400000}"/>
    <cellStyle name="CurrencyC 2 2 3 3 2" xfId="16646" xr:uid="{00000000-0005-0000-0000-000000410000}"/>
    <cellStyle name="CurrencyC 2 2 3 3 2 2" xfId="16647" xr:uid="{00000000-0005-0000-0000-000001410000}"/>
    <cellStyle name="CurrencyC 2 2 3 3 2 3" xfId="16648" xr:uid="{00000000-0005-0000-0000-000002410000}"/>
    <cellStyle name="CurrencyC 2 2 3 3 2 4" xfId="16649" xr:uid="{00000000-0005-0000-0000-000003410000}"/>
    <cellStyle name="CurrencyC 2 2 3 3 2 5" xfId="16650" xr:uid="{00000000-0005-0000-0000-000004410000}"/>
    <cellStyle name="CurrencyC 2 2 3 3 2 6" xfId="16651" xr:uid="{00000000-0005-0000-0000-000005410000}"/>
    <cellStyle name="CurrencyC 2 2 3 3 3" xfId="16652" xr:uid="{00000000-0005-0000-0000-000006410000}"/>
    <cellStyle name="CurrencyC 2 2 3 3 4" xfId="16653" xr:uid="{00000000-0005-0000-0000-000007410000}"/>
    <cellStyle name="CurrencyC 2 2 3 3 5" xfId="16654" xr:uid="{00000000-0005-0000-0000-000008410000}"/>
    <cellStyle name="CurrencyC 2 2 3 3 6" xfId="16655" xr:uid="{00000000-0005-0000-0000-000009410000}"/>
    <cellStyle name="CurrencyC 2 2 3 4" xfId="16656" xr:uid="{00000000-0005-0000-0000-00000A410000}"/>
    <cellStyle name="CurrencyC 2 2 3 4 2" xfId="16657" xr:uid="{00000000-0005-0000-0000-00000B410000}"/>
    <cellStyle name="CurrencyC 2 2 3 4 3" xfId="16658" xr:uid="{00000000-0005-0000-0000-00000C410000}"/>
    <cellStyle name="CurrencyC 2 2 3 4 4" xfId="16659" xr:uid="{00000000-0005-0000-0000-00000D410000}"/>
    <cellStyle name="CurrencyC 2 2 3 4 5" xfId="16660" xr:uid="{00000000-0005-0000-0000-00000E410000}"/>
    <cellStyle name="CurrencyC 2 2 3 4 6" xfId="16661" xr:uid="{00000000-0005-0000-0000-00000F410000}"/>
    <cellStyle name="CurrencyC 2 2 3 5" xfId="16662" xr:uid="{00000000-0005-0000-0000-000010410000}"/>
    <cellStyle name="CurrencyC 2 2 3 6" xfId="16663" xr:uid="{00000000-0005-0000-0000-000011410000}"/>
    <cellStyle name="CurrencyC 2 2 3 7" xfId="16664" xr:uid="{00000000-0005-0000-0000-000012410000}"/>
    <cellStyle name="CurrencyC 2 2 3 8" xfId="16665" xr:uid="{00000000-0005-0000-0000-000013410000}"/>
    <cellStyle name="CurrencyC 2 2 4" xfId="16666" xr:uid="{00000000-0005-0000-0000-000014410000}"/>
    <cellStyle name="CurrencyC 2 2 4 2" xfId="16667" xr:uid="{00000000-0005-0000-0000-000015410000}"/>
    <cellStyle name="CurrencyC 2 2 4 2 2" xfId="16668" xr:uid="{00000000-0005-0000-0000-000016410000}"/>
    <cellStyle name="CurrencyC 2 2 4 2 2 2" xfId="16669" xr:uid="{00000000-0005-0000-0000-000017410000}"/>
    <cellStyle name="CurrencyC 2 2 4 2 2 3" xfId="16670" xr:uid="{00000000-0005-0000-0000-000018410000}"/>
    <cellStyle name="CurrencyC 2 2 4 2 2 4" xfId="16671" xr:uid="{00000000-0005-0000-0000-000019410000}"/>
    <cellStyle name="CurrencyC 2 2 4 2 2 5" xfId="16672" xr:uid="{00000000-0005-0000-0000-00001A410000}"/>
    <cellStyle name="CurrencyC 2 2 4 2 2 6" xfId="16673" xr:uid="{00000000-0005-0000-0000-00001B410000}"/>
    <cellStyle name="CurrencyC 2 2 4 2 3" xfId="16674" xr:uid="{00000000-0005-0000-0000-00001C410000}"/>
    <cellStyle name="CurrencyC 2 2 4 2 4" xfId="16675" xr:uid="{00000000-0005-0000-0000-00001D410000}"/>
    <cellStyle name="CurrencyC 2 2 4 2 5" xfId="16676" xr:uid="{00000000-0005-0000-0000-00001E410000}"/>
    <cellStyle name="CurrencyC 2 2 4 2 6" xfId="16677" xr:uid="{00000000-0005-0000-0000-00001F410000}"/>
    <cellStyle name="CurrencyC 2 2 4 3" xfId="16678" xr:uid="{00000000-0005-0000-0000-000020410000}"/>
    <cellStyle name="CurrencyC 2 2 4 3 2" xfId="16679" xr:uid="{00000000-0005-0000-0000-000021410000}"/>
    <cellStyle name="CurrencyC 2 2 4 3 2 2" xfId="16680" xr:uid="{00000000-0005-0000-0000-000022410000}"/>
    <cellStyle name="CurrencyC 2 2 4 3 2 3" xfId="16681" xr:uid="{00000000-0005-0000-0000-000023410000}"/>
    <cellStyle name="CurrencyC 2 2 4 3 2 4" xfId="16682" xr:uid="{00000000-0005-0000-0000-000024410000}"/>
    <cellStyle name="CurrencyC 2 2 4 3 2 5" xfId="16683" xr:uid="{00000000-0005-0000-0000-000025410000}"/>
    <cellStyle name="CurrencyC 2 2 4 3 2 6" xfId="16684" xr:uid="{00000000-0005-0000-0000-000026410000}"/>
    <cellStyle name="CurrencyC 2 2 4 3 3" xfId="16685" xr:uid="{00000000-0005-0000-0000-000027410000}"/>
    <cellStyle name="CurrencyC 2 2 4 3 4" xfId="16686" xr:uid="{00000000-0005-0000-0000-000028410000}"/>
    <cellStyle name="CurrencyC 2 2 4 3 5" xfId="16687" xr:uid="{00000000-0005-0000-0000-000029410000}"/>
    <cellStyle name="CurrencyC 2 2 4 3 6" xfId="16688" xr:uid="{00000000-0005-0000-0000-00002A410000}"/>
    <cellStyle name="CurrencyC 2 2 4 4" xfId="16689" xr:uid="{00000000-0005-0000-0000-00002B410000}"/>
    <cellStyle name="CurrencyC 2 2 4 4 2" xfId="16690" xr:uid="{00000000-0005-0000-0000-00002C410000}"/>
    <cellStyle name="CurrencyC 2 2 4 4 3" xfId="16691" xr:uid="{00000000-0005-0000-0000-00002D410000}"/>
    <cellStyle name="CurrencyC 2 2 4 4 4" xfId="16692" xr:uid="{00000000-0005-0000-0000-00002E410000}"/>
    <cellStyle name="CurrencyC 2 2 4 4 5" xfId="16693" xr:uid="{00000000-0005-0000-0000-00002F410000}"/>
    <cellStyle name="CurrencyC 2 2 4 4 6" xfId="16694" xr:uid="{00000000-0005-0000-0000-000030410000}"/>
    <cellStyle name="CurrencyC 2 2 4 5" xfId="16695" xr:uid="{00000000-0005-0000-0000-000031410000}"/>
    <cellStyle name="CurrencyC 2 2 4 6" xfId="16696" xr:uid="{00000000-0005-0000-0000-000032410000}"/>
    <cellStyle name="CurrencyC 2 2 4 7" xfId="16697" xr:uid="{00000000-0005-0000-0000-000033410000}"/>
    <cellStyle name="CurrencyC 2 2 4 8" xfId="16698" xr:uid="{00000000-0005-0000-0000-000034410000}"/>
    <cellStyle name="CurrencyC 2 2 5" xfId="16699" xr:uid="{00000000-0005-0000-0000-000035410000}"/>
    <cellStyle name="CurrencyC 2 2 5 2" xfId="16700" xr:uid="{00000000-0005-0000-0000-000036410000}"/>
    <cellStyle name="CurrencyC 2 2 5 2 2" xfId="16701" xr:uid="{00000000-0005-0000-0000-000037410000}"/>
    <cellStyle name="CurrencyC 2 2 5 2 2 2" xfId="16702" xr:uid="{00000000-0005-0000-0000-000038410000}"/>
    <cellStyle name="CurrencyC 2 2 5 2 2 3" xfId="16703" xr:uid="{00000000-0005-0000-0000-000039410000}"/>
    <cellStyle name="CurrencyC 2 2 5 2 2 4" xfId="16704" xr:uid="{00000000-0005-0000-0000-00003A410000}"/>
    <cellStyle name="CurrencyC 2 2 5 2 2 5" xfId="16705" xr:uid="{00000000-0005-0000-0000-00003B410000}"/>
    <cellStyle name="CurrencyC 2 2 5 2 2 6" xfId="16706" xr:uid="{00000000-0005-0000-0000-00003C410000}"/>
    <cellStyle name="CurrencyC 2 2 5 2 3" xfId="16707" xr:uid="{00000000-0005-0000-0000-00003D410000}"/>
    <cellStyle name="CurrencyC 2 2 5 2 4" xfId="16708" xr:uid="{00000000-0005-0000-0000-00003E410000}"/>
    <cellStyle name="CurrencyC 2 2 5 2 5" xfId="16709" xr:uid="{00000000-0005-0000-0000-00003F410000}"/>
    <cellStyle name="CurrencyC 2 2 5 2 6" xfId="16710" xr:uid="{00000000-0005-0000-0000-000040410000}"/>
    <cellStyle name="CurrencyC 2 2 5 3" xfId="16711" xr:uid="{00000000-0005-0000-0000-000041410000}"/>
    <cellStyle name="CurrencyC 2 2 5 3 2" xfId="16712" xr:uid="{00000000-0005-0000-0000-000042410000}"/>
    <cellStyle name="CurrencyC 2 2 5 3 2 2" xfId="16713" xr:uid="{00000000-0005-0000-0000-000043410000}"/>
    <cellStyle name="CurrencyC 2 2 5 3 2 3" xfId="16714" xr:uid="{00000000-0005-0000-0000-000044410000}"/>
    <cellStyle name="CurrencyC 2 2 5 3 2 4" xfId="16715" xr:uid="{00000000-0005-0000-0000-000045410000}"/>
    <cellStyle name="CurrencyC 2 2 5 3 2 5" xfId="16716" xr:uid="{00000000-0005-0000-0000-000046410000}"/>
    <cellStyle name="CurrencyC 2 2 5 3 2 6" xfId="16717" xr:uid="{00000000-0005-0000-0000-000047410000}"/>
    <cellStyle name="CurrencyC 2 2 5 3 3" xfId="16718" xr:uid="{00000000-0005-0000-0000-000048410000}"/>
    <cellStyle name="CurrencyC 2 2 5 3 4" xfId="16719" xr:uid="{00000000-0005-0000-0000-000049410000}"/>
    <cellStyle name="CurrencyC 2 2 5 3 5" xfId="16720" xr:uid="{00000000-0005-0000-0000-00004A410000}"/>
    <cellStyle name="CurrencyC 2 2 5 3 6" xfId="16721" xr:uid="{00000000-0005-0000-0000-00004B410000}"/>
    <cellStyle name="CurrencyC 2 2 5 4" xfId="16722" xr:uid="{00000000-0005-0000-0000-00004C410000}"/>
    <cellStyle name="CurrencyC 2 2 5 4 2" xfId="16723" xr:uid="{00000000-0005-0000-0000-00004D410000}"/>
    <cellStyle name="CurrencyC 2 2 5 4 3" xfId="16724" xr:uid="{00000000-0005-0000-0000-00004E410000}"/>
    <cellStyle name="CurrencyC 2 2 5 4 4" xfId="16725" xr:uid="{00000000-0005-0000-0000-00004F410000}"/>
    <cellStyle name="CurrencyC 2 2 5 4 5" xfId="16726" xr:uid="{00000000-0005-0000-0000-000050410000}"/>
    <cellStyle name="CurrencyC 2 2 5 4 6" xfId="16727" xr:uid="{00000000-0005-0000-0000-000051410000}"/>
    <cellStyle name="CurrencyC 2 2 5 5" xfId="16728" xr:uid="{00000000-0005-0000-0000-000052410000}"/>
    <cellStyle name="CurrencyC 2 2 5 6" xfId="16729" xr:uid="{00000000-0005-0000-0000-000053410000}"/>
    <cellStyle name="CurrencyC 2 2 5 7" xfId="16730" xr:uid="{00000000-0005-0000-0000-000054410000}"/>
    <cellStyle name="CurrencyC 2 2 5 8" xfId="16731" xr:uid="{00000000-0005-0000-0000-000055410000}"/>
    <cellStyle name="CurrencyC 2 2 6" xfId="16732" xr:uid="{00000000-0005-0000-0000-000056410000}"/>
    <cellStyle name="CurrencyC 2 2 6 2" xfId="16733" xr:uid="{00000000-0005-0000-0000-000057410000}"/>
    <cellStyle name="CurrencyC 2 2 6 2 2" xfId="16734" xr:uid="{00000000-0005-0000-0000-000058410000}"/>
    <cellStyle name="CurrencyC 2 2 6 2 2 2" xfId="16735" xr:uid="{00000000-0005-0000-0000-000059410000}"/>
    <cellStyle name="CurrencyC 2 2 6 2 2 3" xfId="16736" xr:uid="{00000000-0005-0000-0000-00005A410000}"/>
    <cellStyle name="CurrencyC 2 2 6 2 2 4" xfId="16737" xr:uid="{00000000-0005-0000-0000-00005B410000}"/>
    <cellStyle name="CurrencyC 2 2 6 2 2 5" xfId="16738" xr:uid="{00000000-0005-0000-0000-00005C410000}"/>
    <cellStyle name="CurrencyC 2 2 6 2 2 6" xfId="16739" xr:uid="{00000000-0005-0000-0000-00005D410000}"/>
    <cellStyle name="CurrencyC 2 2 6 2 3" xfId="16740" xr:uid="{00000000-0005-0000-0000-00005E410000}"/>
    <cellStyle name="CurrencyC 2 2 6 2 4" xfId="16741" xr:uid="{00000000-0005-0000-0000-00005F410000}"/>
    <cellStyle name="CurrencyC 2 2 6 2 5" xfId="16742" xr:uid="{00000000-0005-0000-0000-000060410000}"/>
    <cellStyle name="CurrencyC 2 2 6 2 6" xfId="16743" xr:uid="{00000000-0005-0000-0000-000061410000}"/>
    <cellStyle name="CurrencyC 2 2 6 3" xfId="16744" xr:uid="{00000000-0005-0000-0000-000062410000}"/>
    <cellStyle name="CurrencyC 2 2 6 3 2" xfId="16745" xr:uid="{00000000-0005-0000-0000-000063410000}"/>
    <cellStyle name="CurrencyC 2 2 6 3 2 2" xfId="16746" xr:uid="{00000000-0005-0000-0000-000064410000}"/>
    <cellStyle name="CurrencyC 2 2 6 3 2 3" xfId="16747" xr:uid="{00000000-0005-0000-0000-000065410000}"/>
    <cellStyle name="CurrencyC 2 2 6 3 2 4" xfId="16748" xr:uid="{00000000-0005-0000-0000-000066410000}"/>
    <cellStyle name="CurrencyC 2 2 6 3 2 5" xfId="16749" xr:uid="{00000000-0005-0000-0000-000067410000}"/>
    <cellStyle name="CurrencyC 2 2 6 3 2 6" xfId="16750" xr:uid="{00000000-0005-0000-0000-000068410000}"/>
    <cellStyle name="CurrencyC 2 2 6 3 3" xfId="16751" xr:uid="{00000000-0005-0000-0000-000069410000}"/>
    <cellStyle name="CurrencyC 2 2 6 3 4" xfId="16752" xr:uid="{00000000-0005-0000-0000-00006A410000}"/>
    <cellStyle name="CurrencyC 2 2 6 3 5" xfId="16753" xr:uid="{00000000-0005-0000-0000-00006B410000}"/>
    <cellStyle name="CurrencyC 2 2 6 3 6" xfId="16754" xr:uid="{00000000-0005-0000-0000-00006C410000}"/>
    <cellStyle name="CurrencyC 2 2 6 4" xfId="16755" xr:uid="{00000000-0005-0000-0000-00006D410000}"/>
    <cellStyle name="CurrencyC 2 2 6 4 2" xfId="16756" xr:uid="{00000000-0005-0000-0000-00006E410000}"/>
    <cellStyle name="CurrencyC 2 2 6 4 3" xfId="16757" xr:uid="{00000000-0005-0000-0000-00006F410000}"/>
    <cellStyle name="CurrencyC 2 2 6 4 4" xfId="16758" xr:uid="{00000000-0005-0000-0000-000070410000}"/>
    <cellStyle name="CurrencyC 2 2 6 4 5" xfId="16759" xr:uid="{00000000-0005-0000-0000-000071410000}"/>
    <cellStyle name="CurrencyC 2 2 6 4 6" xfId="16760" xr:uid="{00000000-0005-0000-0000-000072410000}"/>
    <cellStyle name="CurrencyC 2 2 6 5" xfId="16761" xr:uid="{00000000-0005-0000-0000-000073410000}"/>
    <cellStyle name="CurrencyC 2 2 6 6" xfId="16762" xr:uid="{00000000-0005-0000-0000-000074410000}"/>
    <cellStyle name="CurrencyC 2 2 6 7" xfId="16763" xr:uid="{00000000-0005-0000-0000-000075410000}"/>
    <cellStyle name="CurrencyC 2 2 6 8" xfId="16764" xr:uid="{00000000-0005-0000-0000-000076410000}"/>
    <cellStyle name="CurrencyC 2 2 7" xfId="16765" xr:uid="{00000000-0005-0000-0000-000077410000}"/>
    <cellStyle name="CurrencyC 2 2 7 2" xfId="16766" xr:uid="{00000000-0005-0000-0000-000078410000}"/>
    <cellStyle name="CurrencyC 2 2 7 2 2" xfId="16767" xr:uid="{00000000-0005-0000-0000-000079410000}"/>
    <cellStyle name="CurrencyC 2 2 7 2 2 2" xfId="16768" xr:uid="{00000000-0005-0000-0000-00007A410000}"/>
    <cellStyle name="CurrencyC 2 2 7 2 2 3" xfId="16769" xr:uid="{00000000-0005-0000-0000-00007B410000}"/>
    <cellStyle name="CurrencyC 2 2 7 2 2 4" xfId="16770" xr:uid="{00000000-0005-0000-0000-00007C410000}"/>
    <cellStyle name="CurrencyC 2 2 7 2 2 5" xfId="16771" xr:uid="{00000000-0005-0000-0000-00007D410000}"/>
    <cellStyle name="CurrencyC 2 2 7 2 2 6" xfId="16772" xr:uid="{00000000-0005-0000-0000-00007E410000}"/>
    <cellStyle name="CurrencyC 2 2 7 2 3" xfId="16773" xr:uid="{00000000-0005-0000-0000-00007F410000}"/>
    <cellStyle name="CurrencyC 2 2 7 2 4" xfId="16774" xr:uid="{00000000-0005-0000-0000-000080410000}"/>
    <cellStyle name="CurrencyC 2 2 7 2 5" xfId="16775" xr:uid="{00000000-0005-0000-0000-000081410000}"/>
    <cellStyle name="CurrencyC 2 2 7 2 6" xfId="16776" xr:uid="{00000000-0005-0000-0000-000082410000}"/>
    <cellStyle name="CurrencyC 2 2 7 3" xfId="16777" xr:uid="{00000000-0005-0000-0000-000083410000}"/>
    <cellStyle name="CurrencyC 2 2 7 3 2" xfId="16778" xr:uid="{00000000-0005-0000-0000-000084410000}"/>
    <cellStyle name="CurrencyC 2 2 7 3 2 2" xfId="16779" xr:uid="{00000000-0005-0000-0000-000085410000}"/>
    <cellStyle name="CurrencyC 2 2 7 3 2 3" xfId="16780" xr:uid="{00000000-0005-0000-0000-000086410000}"/>
    <cellStyle name="CurrencyC 2 2 7 3 2 4" xfId="16781" xr:uid="{00000000-0005-0000-0000-000087410000}"/>
    <cellStyle name="CurrencyC 2 2 7 3 2 5" xfId="16782" xr:uid="{00000000-0005-0000-0000-000088410000}"/>
    <cellStyle name="CurrencyC 2 2 7 3 2 6" xfId="16783" xr:uid="{00000000-0005-0000-0000-000089410000}"/>
    <cellStyle name="CurrencyC 2 2 7 3 3" xfId="16784" xr:uid="{00000000-0005-0000-0000-00008A410000}"/>
    <cellStyle name="CurrencyC 2 2 7 3 4" xfId="16785" xr:uid="{00000000-0005-0000-0000-00008B410000}"/>
    <cellStyle name="CurrencyC 2 2 7 3 5" xfId="16786" xr:uid="{00000000-0005-0000-0000-00008C410000}"/>
    <cellStyle name="CurrencyC 2 2 7 3 6" xfId="16787" xr:uid="{00000000-0005-0000-0000-00008D410000}"/>
    <cellStyle name="CurrencyC 2 2 7 4" xfId="16788" xr:uid="{00000000-0005-0000-0000-00008E410000}"/>
    <cellStyle name="CurrencyC 2 2 7 4 2" xfId="16789" xr:uid="{00000000-0005-0000-0000-00008F410000}"/>
    <cellStyle name="CurrencyC 2 2 7 4 3" xfId="16790" xr:uid="{00000000-0005-0000-0000-000090410000}"/>
    <cellStyle name="CurrencyC 2 2 7 4 4" xfId="16791" xr:uid="{00000000-0005-0000-0000-000091410000}"/>
    <cellStyle name="CurrencyC 2 2 7 4 5" xfId="16792" xr:uid="{00000000-0005-0000-0000-000092410000}"/>
    <cellStyle name="CurrencyC 2 2 7 4 6" xfId="16793" xr:uid="{00000000-0005-0000-0000-000093410000}"/>
    <cellStyle name="CurrencyC 2 2 7 5" xfId="16794" xr:uid="{00000000-0005-0000-0000-000094410000}"/>
    <cellStyle name="CurrencyC 2 2 7 6" xfId="16795" xr:uid="{00000000-0005-0000-0000-000095410000}"/>
    <cellStyle name="CurrencyC 2 2 7 7" xfId="16796" xr:uid="{00000000-0005-0000-0000-000096410000}"/>
    <cellStyle name="CurrencyC 2 2 7 8" xfId="16797" xr:uid="{00000000-0005-0000-0000-000097410000}"/>
    <cellStyle name="CurrencyC 2 2 8" xfId="16798" xr:uid="{00000000-0005-0000-0000-000098410000}"/>
    <cellStyle name="CurrencyC 2 2 8 2" xfId="16799" xr:uid="{00000000-0005-0000-0000-000099410000}"/>
    <cellStyle name="CurrencyC 2 2 8 2 2" xfId="16800" xr:uid="{00000000-0005-0000-0000-00009A410000}"/>
    <cellStyle name="CurrencyC 2 2 8 2 3" xfId="16801" xr:uid="{00000000-0005-0000-0000-00009B410000}"/>
    <cellStyle name="CurrencyC 2 2 8 2 4" xfId="16802" xr:uid="{00000000-0005-0000-0000-00009C410000}"/>
    <cellStyle name="CurrencyC 2 2 8 2 5" xfId="16803" xr:uid="{00000000-0005-0000-0000-00009D410000}"/>
    <cellStyle name="CurrencyC 2 2 8 2 6" xfId="16804" xr:uid="{00000000-0005-0000-0000-00009E410000}"/>
    <cellStyle name="CurrencyC 2 2 8 3" xfId="16805" xr:uid="{00000000-0005-0000-0000-00009F410000}"/>
    <cellStyle name="CurrencyC 2 2 8 4" xfId="16806" xr:uid="{00000000-0005-0000-0000-0000A0410000}"/>
    <cellStyle name="CurrencyC 2 2 8 5" xfId="16807" xr:uid="{00000000-0005-0000-0000-0000A1410000}"/>
    <cellStyle name="CurrencyC 2 2 8 6" xfId="16808" xr:uid="{00000000-0005-0000-0000-0000A2410000}"/>
    <cellStyle name="CurrencyC 2 2 9" xfId="16809" xr:uid="{00000000-0005-0000-0000-0000A3410000}"/>
    <cellStyle name="CurrencyC 2 2 9 2" xfId="16810" xr:uid="{00000000-0005-0000-0000-0000A4410000}"/>
    <cellStyle name="CurrencyC 2 2 9 2 2" xfId="16811" xr:uid="{00000000-0005-0000-0000-0000A5410000}"/>
    <cellStyle name="CurrencyC 2 2 9 2 3" xfId="16812" xr:uid="{00000000-0005-0000-0000-0000A6410000}"/>
    <cellStyle name="CurrencyC 2 2 9 2 4" xfId="16813" xr:uid="{00000000-0005-0000-0000-0000A7410000}"/>
    <cellStyle name="CurrencyC 2 2 9 2 5" xfId="16814" xr:uid="{00000000-0005-0000-0000-0000A8410000}"/>
    <cellStyle name="CurrencyC 2 2 9 2 6" xfId="16815" xr:uid="{00000000-0005-0000-0000-0000A9410000}"/>
    <cellStyle name="CurrencyC 2 2 9 3" xfId="16816" xr:uid="{00000000-0005-0000-0000-0000AA410000}"/>
    <cellStyle name="CurrencyC 2 2 9 4" xfId="16817" xr:uid="{00000000-0005-0000-0000-0000AB410000}"/>
    <cellStyle name="CurrencyC 2 2 9 5" xfId="16818" xr:uid="{00000000-0005-0000-0000-0000AC410000}"/>
    <cellStyle name="CurrencyC 2 2 9 6" xfId="16819" xr:uid="{00000000-0005-0000-0000-0000AD410000}"/>
    <cellStyle name="CurrencyC 2 3" xfId="16820" xr:uid="{00000000-0005-0000-0000-0000AE410000}"/>
    <cellStyle name="CurrencyC 2 3 10" xfId="16821" xr:uid="{00000000-0005-0000-0000-0000AF410000}"/>
    <cellStyle name="CurrencyC 2 3 11" xfId="16822" xr:uid="{00000000-0005-0000-0000-0000B0410000}"/>
    <cellStyle name="CurrencyC 2 3 12" xfId="16823" xr:uid="{00000000-0005-0000-0000-0000B1410000}"/>
    <cellStyle name="CurrencyC 2 3 13" xfId="16824" xr:uid="{00000000-0005-0000-0000-0000B2410000}"/>
    <cellStyle name="CurrencyC 2 3 2" xfId="16825" xr:uid="{00000000-0005-0000-0000-0000B3410000}"/>
    <cellStyle name="CurrencyC 2 3 2 2" xfId="16826" xr:uid="{00000000-0005-0000-0000-0000B4410000}"/>
    <cellStyle name="CurrencyC 2 3 2 2 2" xfId="16827" xr:uid="{00000000-0005-0000-0000-0000B5410000}"/>
    <cellStyle name="CurrencyC 2 3 2 2 2 2" xfId="16828" xr:uid="{00000000-0005-0000-0000-0000B6410000}"/>
    <cellStyle name="CurrencyC 2 3 2 2 2 3" xfId="16829" xr:uid="{00000000-0005-0000-0000-0000B7410000}"/>
    <cellStyle name="CurrencyC 2 3 2 2 2 4" xfId="16830" xr:uid="{00000000-0005-0000-0000-0000B8410000}"/>
    <cellStyle name="CurrencyC 2 3 2 2 2 5" xfId="16831" xr:uid="{00000000-0005-0000-0000-0000B9410000}"/>
    <cellStyle name="CurrencyC 2 3 2 2 2 6" xfId="16832" xr:uid="{00000000-0005-0000-0000-0000BA410000}"/>
    <cellStyle name="CurrencyC 2 3 2 2 3" xfId="16833" xr:uid="{00000000-0005-0000-0000-0000BB410000}"/>
    <cellStyle name="CurrencyC 2 3 2 2 4" xfId="16834" xr:uid="{00000000-0005-0000-0000-0000BC410000}"/>
    <cellStyle name="CurrencyC 2 3 2 2 5" xfId="16835" xr:uid="{00000000-0005-0000-0000-0000BD410000}"/>
    <cellStyle name="CurrencyC 2 3 2 2 6" xfId="16836" xr:uid="{00000000-0005-0000-0000-0000BE410000}"/>
    <cellStyle name="CurrencyC 2 3 2 3" xfId="16837" xr:uid="{00000000-0005-0000-0000-0000BF410000}"/>
    <cellStyle name="CurrencyC 2 3 2 3 2" xfId="16838" xr:uid="{00000000-0005-0000-0000-0000C0410000}"/>
    <cellStyle name="CurrencyC 2 3 2 3 2 2" xfId="16839" xr:uid="{00000000-0005-0000-0000-0000C1410000}"/>
    <cellStyle name="CurrencyC 2 3 2 3 2 3" xfId="16840" xr:uid="{00000000-0005-0000-0000-0000C2410000}"/>
    <cellStyle name="CurrencyC 2 3 2 3 2 4" xfId="16841" xr:uid="{00000000-0005-0000-0000-0000C3410000}"/>
    <cellStyle name="CurrencyC 2 3 2 3 2 5" xfId="16842" xr:uid="{00000000-0005-0000-0000-0000C4410000}"/>
    <cellStyle name="CurrencyC 2 3 2 3 2 6" xfId="16843" xr:uid="{00000000-0005-0000-0000-0000C5410000}"/>
    <cellStyle name="CurrencyC 2 3 2 3 3" xfId="16844" xr:uid="{00000000-0005-0000-0000-0000C6410000}"/>
    <cellStyle name="CurrencyC 2 3 2 3 4" xfId="16845" xr:uid="{00000000-0005-0000-0000-0000C7410000}"/>
    <cellStyle name="CurrencyC 2 3 2 3 5" xfId="16846" xr:uid="{00000000-0005-0000-0000-0000C8410000}"/>
    <cellStyle name="CurrencyC 2 3 2 3 6" xfId="16847" xr:uid="{00000000-0005-0000-0000-0000C9410000}"/>
    <cellStyle name="CurrencyC 2 3 2 4" xfId="16848" xr:uid="{00000000-0005-0000-0000-0000CA410000}"/>
    <cellStyle name="CurrencyC 2 3 2 4 2" xfId="16849" xr:uid="{00000000-0005-0000-0000-0000CB410000}"/>
    <cellStyle name="CurrencyC 2 3 2 4 3" xfId="16850" xr:uid="{00000000-0005-0000-0000-0000CC410000}"/>
    <cellStyle name="CurrencyC 2 3 2 4 4" xfId="16851" xr:uid="{00000000-0005-0000-0000-0000CD410000}"/>
    <cellStyle name="CurrencyC 2 3 2 4 5" xfId="16852" xr:uid="{00000000-0005-0000-0000-0000CE410000}"/>
    <cellStyle name="CurrencyC 2 3 2 4 6" xfId="16853" xr:uid="{00000000-0005-0000-0000-0000CF410000}"/>
    <cellStyle name="CurrencyC 2 3 2 5" xfId="16854" xr:uid="{00000000-0005-0000-0000-0000D0410000}"/>
    <cellStyle name="CurrencyC 2 3 2 6" xfId="16855" xr:uid="{00000000-0005-0000-0000-0000D1410000}"/>
    <cellStyle name="CurrencyC 2 3 2 7" xfId="16856" xr:uid="{00000000-0005-0000-0000-0000D2410000}"/>
    <cellStyle name="CurrencyC 2 3 2 8" xfId="16857" xr:uid="{00000000-0005-0000-0000-0000D3410000}"/>
    <cellStyle name="CurrencyC 2 3 3" xfId="16858" xr:uid="{00000000-0005-0000-0000-0000D4410000}"/>
    <cellStyle name="CurrencyC 2 3 3 2" xfId="16859" xr:uid="{00000000-0005-0000-0000-0000D5410000}"/>
    <cellStyle name="CurrencyC 2 3 3 2 2" xfId="16860" xr:uid="{00000000-0005-0000-0000-0000D6410000}"/>
    <cellStyle name="CurrencyC 2 3 3 2 2 2" xfId="16861" xr:uid="{00000000-0005-0000-0000-0000D7410000}"/>
    <cellStyle name="CurrencyC 2 3 3 2 2 3" xfId="16862" xr:uid="{00000000-0005-0000-0000-0000D8410000}"/>
    <cellStyle name="CurrencyC 2 3 3 2 2 4" xfId="16863" xr:uid="{00000000-0005-0000-0000-0000D9410000}"/>
    <cellStyle name="CurrencyC 2 3 3 2 2 5" xfId="16864" xr:uid="{00000000-0005-0000-0000-0000DA410000}"/>
    <cellStyle name="CurrencyC 2 3 3 2 2 6" xfId="16865" xr:uid="{00000000-0005-0000-0000-0000DB410000}"/>
    <cellStyle name="CurrencyC 2 3 3 2 3" xfId="16866" xr:uid="{00000000-0005-0000-0000-0000DC410000}"/>
    <cellStyle name="CurrencyC 2 3 3 2 4" xfId="16867" xr:uid="{00000000-0005-0000-0000-0000DD410000}"/>
    <cellStyle name="CurrencyC 2 3 3 2 5" xfId="16868" xr:uid="{00000000-0005-0000-0000-0000DE410000}"/>
    <cellStyle name="CurrencyC 2 3 3 2 6" xfId="16869" xr:uid="{00000000-0005-0000-0000-0000DF410000}"/>
    <cellStyle name="CurrencyC 2 3 3 3" xfId="16870" xr:uid="{00000000-0005-0000-0000-0000E0410000}"/>
    <cellStyle name="CurrencyC 2 3 3 3 2" xfId="16871" xr:uid="{00000000-0005-0000-0000-0000E1410000}"/>
    <cellStyle name="CurrencyC 2 3 3 3 2 2" xfId="16872" xr:uid="{00000000-0005-0000-0000-0000E2410000}"/>
    <cellStyle name="CurrencyC 2 3 3 3 2 3" xfId="16873" xr:uid="{00000000-0005-0000-0000-0000E3410000}"/>
    <cellStyle name="CurrencyC 2 3 3 3 2 4" xfId="16874" xr:uid="{00000000-0005-0000-0000-0000E4410000}"/>
    <cellStyle name="CurrencyC 2 3 3 3 2 5" xfId="16875" xr:uid="{00000000-0005-0000-0000-0000E5410000}"/>
    <cellStyle name="CurrencyC 2 3 3 3 2 6" xfId="16876" xr:uid="{00000000-0005-0000-0000-0000E6410000}"/>
    <cellStyle name="CurrencyC 2 3 3 3 3" xfId="16877" xr:uid="{00000000-0005-0000-0000-0000E7410000}"/>
    <cellStyle name="CurrencyC 2 3 3 3 4" xfId="16878" xr:uid="{00000000-0005-0000-0000-0000E8410000}"/>
    <cellStyle name="CurrencyC 2 3 3 3 5" xfId="16879" xr:uid="{00000000-0005-0000-0000-0000E9410000}"/>
    <cellStyle name="CurrencyC 2 3 3 3 6" xfId="16880" xr:uid="{00000000-0005-0000-0000-0000EA410000}"/>
    <cellStyle name="CurrencyC 2 3 3 4" xfId="16881" xr:uid="{00000000-0005-0000-0000-0000EB410000}"/>
    <cellStyle name="CurrencyC 2 3 3 4 2" xfId="16882" xr:uid="{00000000-0005-0000-0000-0000EC410000}"/>
    <cellStyle name="CurrencyC 2 3 3 4 3" xfId="16883" xr:uid="{00000000-0005-0000-0000-0000ED410000}"/>
    <cellStyle name="CurrencyC 2 3 3 4 4" xfId="16884" xr:uid="{00000000-0005-0000-0000-0000EE410000}"/>
    <cellStyle name="CurrencyC 2 3 3 4 5" xfId="16885" xr:uid="{00000000-0005-0000-0000-0000EF410000}"/>
    <cellStyle name="CurrencyC 2 3 3 4 6" xfId="16886" xr:uid="{00000000-0005-0000-0000-0000F0410000}"/>
    <cellStyle name="CurrencyC 2 3 3 5" xfId="16887" xr:uid="{00000000-0005-0000-0000-0000F1410000}"/>
    <cellStyle name="CurrencyC 2 3 3 6" xfId="16888" xr:uid="{00000000-0005-0000-0000-0000F2410000}"/>
    <cellStyle name="CurrencyC 2 3 3 7" xfId="16889" xr:uid="{00000000-0005-0000-0000-0000F3410000}"/>
    <cellStyle name="CurrencyC 2 3 3 8" xfId="16890" xr:uid="{00000000-0005-0000-0000-0000F4410000}"/>
    <cellStyle name="CurrencyC 2 3 4" xfId="16891" xr:uid="{00000000-0005-0000-0000-0000F5410000}"/>
    <cellStyle name="CurrencyC 2 3 4 2" xfId="16892" xr:uid="{00000000-0005-0000-0000-0000F6410000}"/>
    <cellStyle name="CurrencyC 2 3 4 2 2" xfId="16893" xr:uid="{00000000-0005-0000-0000-0000F7410000}"/>
    <cellStyle name="CurrencyC 2 3 4 2 2 2" xfId="16894" xr:uid="{00000000-0005-0000-0000-0000F8410000}"/>
    <cellStyle name="CurrencyC 2 3 4 2 2 3" xfId="16895" xr:uid="{00000000-0005-0000-0000-0000F9410000}"/>
    <cellStyle name="CurrencyC 2 3 4 2 2 4" xfId="16896" xr:uid="{00000000-0005-0000-0000-0000FA410000}"/>
    <cellStyle name="CurrencyC 2 3 4 2 2 5" xfId="16897" xr:uid="{00000000-0005-0000-0000-0000FB410000}"/>
    <cellStyle name="CurrencyC 2 3 4 2 2 6" xfId="16898" xr:uid="{00000000-0005-0000-0000-0000FC410000}"/>
    <cellStyle name="CurrencyC 2 3 4 2 3" xfId="16899" xr:uid="{00000000-0005-0000-0000-0000FD410000}"/>
    <cellStyle name="CurrencyC 2 3 4 2 4" xfId="16900" xr:uid="{00000000-0005-0000-0000-0000FE410000}"/>
    <cellStyle name="CurrencyC 2 3 4 2 5" xfId="16901" xr:uid="{00000000-0005-0000-0000-0000FF410000}"/>
    <cellStyle name="CurrencyC 2 3 4 2 6" xfId="16902" xr:uid="{00000000-0005-0000-0000-000000420000}"/>
    <cellStyle name="CurrencyC 2 3 4 3" xfId="16903" xr:uid="{00000000-0005-0000-0000-000001420000}"/>
    <cellStyle name="CurrencyC 2 3 4 3 2" xfId="16904" xr:uid="{00000000-0005-0000-0000-000002420000}"/>
    <cellStyle name="CurrencyC 2 3 4 3 2 2" xfId="16905" xr:uid="{00000000-0005-0000-0000-000003420000}"/>
    <cellStyle name="CurrencyC 2 3 4 3 2 3" xfId="16906" xr:uid="{00000000-0005-0000-0000-000004420000}"/>
    <cellStyle name="CurrencyC 2 3 4 3 2 4" xfId="16907" xr:uid="{00000000-0005-0000-0000-000005420000}"/>
    <cellStyle name="CurrencyC 2 3 4 3 2 5" xfId="16908" xr:uid="{00000000-0005-0000-0000-000006420000}"/>
    <cellStyle name="CurrencyC 2 3 4 3 2 6" xfId="16909" xr:uid="{00000000-0005-0000-0000-000007420000}"/>
    <cellStyle name="CurrencyC 2 3 4 3 3" xfId="16910" xr:uid="{00000000-0005-0000-0000-000008420000}"/>
    <cellStyle name="CurrencyC 2 3 4 3 4" xfId="16911" xr:uid="{00000000-0005-0000-0000-000009420000}"/>
    <cellStyle name="CurrencyC 2 3 4 3 5" xfId="16912" xr:uid="{00000000-0005-0000-0000-00000A420000}"/>
    <cellStyle name="CurrencyC 2 3 4 3 6" xfId="16913" xr:uid="{00000000-0005-0000-0000-00000B420000}"/>
    <cellStyle name="CurrencyC 2 3 4 4" xfId="16914" xr:uid="{00000000-0005-0000-0000-00000C420000}"/>
    <cellStyle name="CurrencyC 2 3 4 4 2" xfId="16915" xr:uid="{00000000-0005-0000-0000-00000D420000}"/>
    <cellStyle name="CurrencyC 2 3 4 4 3" xfId="16916" xr:uid="{00000000-0005-0000-0000-00000E420000}"/>
    <cellStyle name="CurrencyC 2 3 4 4 4" xfId="16917" xr:uid="{00000000-0005-0000-0000-00000F420000}"/>
    <cellStyle name="CurrencyC 2 3 4 4 5" xfId="16918" xr:uid="{00000000-0005-0000-0000-000010420000}"/>
    <cellStyle name="CurrencyC 2 3 4 4 6" xfId="16919" xr:uid="{00000000-0005-0000-0000-000011420000}"/>
    <cellStyle name="CurrencyC 2 3 4 5" xfId="16920" xr:uid="{00000000-0005-0000-0000-000012420000}"/>
    <cellStyle name="CurrencyC 2 3 4 6" xfId="16921" xr:uid="{00000000-0005-0000-0000-000013420000}"/>
    <cellStyle name="CurrencyC 2 3 4 7" xfId="16922" xr:uid="{00000000-0005-0000-0000-000014420000}"/>
    <cellStyle name="CurrencyC 2 3 4 8" xfId="16923" xr:uid="{00000000-0005-0000-0000-000015420000}"/>
    <cellStyle name="CurrencyC 2 3 5" xfId="16924" xr:uid="{00000000-0005-0000-0000-000016420000}"/>
    <cellStyle name="CurrencyC 2 3 5 2" xfId="16925" xr:uid="{00000000-0005-0000-0000-000017420000}"/>
    <cellStyle name="CurrencyC 2 3 5 2 2" xfId="16926" xr:uid="{00000000-0005-0000-0000-000018420000}"/>
    <cellStyle name="CurrencyC 2 3 5 2 2 2" xfId="16927" xr:uid="{00000000-0005-0000-0000-000019420000}"/>
    <cellStyle name="CurrencyC 2 3 5 2 2 3" xfId="16928" xr:uid="{00000000-0005-0000-0000-00001A420000}"/>
    <cellStyle name="CurrencyC 2 3 5 2 2 4" xfId="16929" xr:uid="{00000000-0005-0000-0000-00001B420000}"/>
    <cellStyle name="CurrencyC 2 3 5 2 2 5" xfId="16930" xr:uid="{00000000-0005-0000-0000-00001C420000}"/>
    <cellStyle name="CurrencyC 2 3 5 2 2 6" xfId="16931" xr:uid="{00000000-0005-0000-0000-00001D420000}"/>
    <cellStyle name="CurrencyC 2 3 5 2 3" xfId="16932" xr:uid="{00000000-0005-0000-0000-00001E420000}"/>
    <cellStyle name="CurrencyC 2 3 5 2 4" xfId="16933" xr:uid="{00000000-0005-0000-0000-00001F420000}"/>
    <cellStyle name="CurrencyC 2 3 5 2 5" xfId="16934" xr:uid="{00000000-0005-0000-0000-000020420000}"/>
    <cellStyle name="CurrencyC 2 3 5 2 6" xfId="16935" xr:uid="{00000000-0005-0000-0000-000021420000}"/>
    <cellStyle name="CurrencyC 2 3 5 3" xfId="16936" xr:uid="{00000000-0005-0000-0000-000022420000}"/>
    <cellStyle name="CurrencyC 2 3 5 3 2" xfId="16937" xr:uid="{00000000-0005-0000-0000-000023420000}"/>
    <cellStyle name="CurrencyC 2 3 5 3 2 2" xfId="16938" xr:uid="{00000000-0005-0000-0000-000024420000}"/>
    <cellStyle name="CurrencyC 2 3 5 3 2 3" xfId="16939" xr:uid="{00000000-0005-0000-0000-000025420000}"/>
    <cellStyle name="CurrencyC 2 3 5 3 2 4" xfId="16940" xr:uid="{00000000-0005-0000-0000-000026420000}"/>
    <cellStyle name="CurrencyC 2 3 5 3 2 5" xfId="16941" xr:uid="{00000000-0005-0000-0000-000027420000}"/>
    <cellStyle name="CurrencyC 2 3 5 3 2 6" xfId="16942" xr:uid="{00000000-0005-0000-0000-000028420000}"/>
    <cellStyle name="CurrencyC 2 3 5 3 3" xfId="16943" xr:uid="{00000000-0005-0000-0000-000029420000}"/>
    <cellStyle name="CurrencyC 2 3 5 3 4" xfId="16944" xr:uid="{00000000-0005-0000-0000-00002A420000}"/>
    <cellStyle name="CurrencyC 2 3 5 3 5" xfId="16945" xr:uid="{00000000-0005-0000-0000-00002B420000}"/>
    <cellStyle name="CurrencyC 2 3 5 3 6" xfId="16946" xr:uid="{00000000-0005-0000-0000-00002C420000}"/>
    <cellStyle name="CurrencyC 2 3 5 4" xfId="16947" xr:uid="{00000000-0005-0000-0000-00002D420000}"/>
    <cellStyle name="CurrencyC 2 3 5 4 2" xfId="16948" xr:uid="{00000000-0005-0000-0000-00002E420000}"/>
    <cellStyle name="CurrencyC 2 3 5 4 3" xfId="16949" xr:uid="{00000000-0005-0000-0000-00002F420000}"/>
    <cellStyle name="CurrencyC 2 3 5 4 4" xfId="16950" xr:uid="{00000000-0005-0000-0000-000030420000}"/>
    <cellStyle name="CurrencyC 2 3 5 4 5" xfId="16951" xr:uid="{00000000-0005-0000-0000-000031420000}"/>
    <cellStyle name="CurrencyC 2 3 5 4 6" xfId="16952" xr:uid="{00000000-0005-0000-0000-000032420000}"/>
    <cellStyle name="CurrencyC 2 3 5 5" xfId="16953" xr:uid="{00000000-0005-0000-0000-000033420000}"/>
    <cellStyle name="CurrencyC 2 3 5 6" xfId="16954" xr:uid="{00000000-0005-0000-0000-000034420000}"/>
    <cellStyle name="CurrencyC 2 3 5 7" xfId="16955" xr:uid="{00000000-0005-0000-0000-000035420000}"/>
    <cellStyle name="CurrencyC 2 3 5 8" xfId="16956" xr:uid="{00000000-0005-0000-0000-000036420000}"/>
    <cellStyle name="CurrencyC 2 3 6" xfId="16957" xr:uid="{00000000-0005-0000-0000-000037420000}"/>
    <cellStyle name="CurrencyC 2 3 6 2" xfId="16958" xr:uid="{00000000-0005-0000-0000-000038420000}"/>
    <cellStyle name="CurrencyC 2 3 6 2 2" xfId="16959" xr:uid="{00000000-0005-0000-0000-000039420000}"/>
    <cellStyle name="CurrencyC 2 3 6 2 2 2" xfId="16960" xr:uid="{00000000-0005-0000-0000-00003A420000}"/>
    <cellStyle name="CurrencyC 2 3 6 2 2 3" xfId="16961" xr:uid="{00000000-0005-0000-0000-00003B420000}"/>
    <cellStyle name="CurrencyC 2 3 6 2 2 4" xfId="16962" xr:uid="{00000000-0005-0000-0000-00003C420000}"/>
    <cellStyle name="CurrencyC 2 3 6 2 2 5" xfId="16963" xr:uid="{00000000-0005-0000-0000-00003D420000}"/>
    <cellStyle name="CurrencyC 2 3 6 2 2 6" xfId="16964" xr:uid="{00000000-0005-0000-0000-00003E420000}"/>
    <cellStyle name="CurrencyC 2 3 6 2 3" xfId="16965" xr:uid="{00000000-0005-0000-0000-00003F420000}"/>
    <cellStyle name="CurrencyC 2 3 6 2 4" xfId="16966" xr:uid="{00000000-0005-0000-0000-000040420000}"/>
    <cellStyle name="CurrencyC 2 3 6 2 5" xfId="16967" xr:uid="{00000000-0005-0000-0000-000041420000}"/>
    <cellStyle name="CurrencyC 2 3 6 2 6" xfId="16968" xr:uid="{00000000-0005-0000-0000-000042420000}"/>
    <cellStyle name="CurrencyC 2 3 6 3" xfId="16969" xr:uid="{00000000-0005-0000-0000-000043420000}"/>
    <cellStyle name="CurrencyC 2 3 6 3 2" xfId="16970" xr:uid="{00000000-0005-0000-0000-000044420000}"/>
    <cellStyle name="CurrencyC 2 3 6 3 2 2" xfId="16971" xr:uid="{00000000-0005-0000-0000-000045420000}"/>
    <cellStyle name="CurrencyC 2 3 6 3 2 3" xfId="16972" xr:uid="{00000000-0005-0000-0000-000046420000}"/>
    <cellStyle name="CurrencyC 2 3 6 3 2 4" xfId="16973" xr:uid="{00000000-0005-0000-0000-000047420000}"/>
    <cellStyle name="CurrencyC 2 3 6 3 2 5" xfId="16974" xr:uid="{00000000-0005-0000-0000-000048420000}"/>
    <cellStyle name="CurrencyC 2 3 6 3 2 6" xfId="16975" xr:uid="{00000000-0005-0000-0000-000049420000}"/>
    <cellStyle name="CurrencyC 2 3 6 3 3" xfId="16976" xr:uid="{00000000-0005-0000-0000-00004A420000}"/>
    <cellStyle name="CurrencyC 2 3 6 3 4" xfId="16977" xr:uid="{00000000-0005-0000-0000-00004B420000}"/>
    <cellStyle name="CurrencyC 2 3 6 3 5" xfId="16978" xr:uid="{00000000-0005-0000-0000-00004C420000}"/>
    <cellStyle name="CurrencyC 2 3 6 3 6" xfId="16979" xr:uid="{00000000-0005-0000-0000-00004D420000}"/>
    <cellStyle name="CurrencyC 2 3 6 4" xfId="16980" xr:uid="{00000000-0005-0000-0000-00004E420000}"/>
    <cellStyle name="CurrencyC 2 3 6 4 2" xfId="16981" xr:uid="{00000000-0005-0000-0000-00004F420000}"/>
    <cellStyle name="CurrencyC 2 3 6 4 3" xfId="16982" xr:uid="{00000000-0005-0000-0000-000050420000}"/>
    <cellStyle name="CurrencyC 2 3 6 4 4" xfId="16983" xr:uid="{00000000-0005-0000-0000-000051420000}"/>
    <cellStyle name="CurrencyC 2 3 6 4 5" xfId="16984" xr:uid="{00000000-0005-0000-0000-000052420000}"/>
    <cellStyle name="CurrencyC 2 3 6 4 6" xfId="16985" xr:uid="{00000000-0005-0000-0000-000053420000}"/>
    <cellStyle name="CurrencyC 2 3 6 5" xfId="16986" xr:uid="{00000000-0005-0000-0000-000054420000}"/>
    <cellStyle name="CurrencyC 2 3 6 6" xfId="16987" xr:uid="{00000000-0005-0000-0000-000055420000}"/>
    <cellStyle name="CurrencyC 2 3 6 7" xfId="16988" xr:uid="{00000000-0005-0000-0000-000056420000}"/>
    <cellStyle name="CurrencyC 2 3 6 8" xfId="16989" xr:uid="{00000000-0005-0000-0000-000057420000}"/>
    <cellStyle name="CurrencyC 2 3 7" xfId="16990" xr:uid="{00000000-0005-0000-0000-000058420000}"/>
    <cellStyle name="CurrencyC 2 3 7 2" xfId="16991" xr:uid="{00000000-0005-0000-0000-000059420000}"/>
    <cellStyle name="CurrencyC 2 3 7 2 2" xfId="16992" xr:uid="{00000000-0005-0000-0000-00005A420000}"/>
    <cellStyle name="CurrencyC 2 3 7 2 3" xfId="16993" xr:uid="{00000000-0005-0000-0000-00005B420000}"/>
    <cellStyle name="CurrencyC 2 3 7 2 4" xfId="16994" xr:uid="{00000000-0005-0000-0000-00005C420000}"/>
    <cellStyle name="CurrencyC 2 3 7 2 5" xfId="16995" xr:uid="{00000000-0005-0000-0000-00005D420000}"/>
    <cellStyle name="CurrencyC 2 3 7 2 6" xfId="16996" xr:uid="{00000000-0005-0000-0000-00005E420000}"/>
    <cellStyle name="CurrencyC 2 3 7 3" xfId="16997" xr:uid="{00000000-0005-0000-0000-00005F420000}"/>
    <cellStyle name="CurrencyC 2 3 7 4" xfId="16998" xr:uid="{00000000-0005-0000-0000-000060420000}"/>
    <cellStyle name="CurrencyC 2 3 7 5" xfId="16999" xr:uid="{00000000-0005-0000-0000-000061420000}"/>
    <cellStyle name="CurrencyC 2 3 7 6" xfId="17000" xr:uid="{00000000-0005-0000-0000-000062420000}"/>
    <cellStyle name="CurrencyC 2 3 8" xfId="17001" xr:uid="{00000000-0005-0000-0000-000063420000}"/>
    <cellStyle name="CurrencyC 2 3 8 2" xfId="17002" xr:uid="{00000000-0005-0000-0000-000064420000}"/>
    <cellStyle name="CurrencyC 2 3 8 2 2" xfId="17003" xr:uid="{00000000-0005-0000-0000-000065420000}"/>
    <cellStyle name="CurrencyC 2 3 8 2 3" xfId="17004" xr:uid="{00000000-0005-0000-0000-000066420000}"/>
    <cellStyle name="CurrencyC 2 3 8 2 4" xfId="17005" xr:uid="{00000000-0005-0000-0000-000067420000}"/>
    <cellStyle name="CurrencyC 2 3 8 2 5" xfId="17006" xr:uid="{00000000-0005-0000-0000-000068420000}"/>
    <cellStyle name="CurrencyC 2 3 8 2 6" xfId="17007" xr:uid="{00000000-0005-0000-0000-000069420000}"/>
    <cellStyle name="CurrencyC 2 3 8 3" xfId="17008" xr:uid="{00000000-0005-0000-0000-00006A420000}"/>
    <cellStyle name="CurrencyC 2 3 8 4" xfId="17009" xr:uid="{00000000-0005-0000-0000-00006B420000}"/>
    <cellStyle name="CurrencyC 2 3 8 5" xfId="17010" xr:uid="{00000000-0005-0000-0000-00006C420000}"/>
    <cellStyle name="CurrencyC 2 3 8 6" xfId="17011" xr:uid="{00000000-0005-0000-0000-00006D420000}"/>
    <cellStyle name="CurrencyC 2 3 9" xfId="17012" xr:uid="{00000000-0005-0000-0000-00006E420000}"/>
    <cellStyle name="CurrencyC 2 3 9 2" xfId="17013" xr:uid="{00000000-0005-0000-0000-00006F420000}"/>
    <cellStyle name="CurrencyC 2 3 9 3" xfId="17014" xr:uid="{00000000-0005-0000-0000-000070420000}"/>
    <cellStyle name="CurrencyC 2 3 9 4" xfId="17015" xr:uid="{00000000-0005-0000-0000-000071420000}"/>
    <cellStyle name="CurrencyC 2 3 9 5" xfId="17016" xr:uid="{00000000-0005-0000-0000-000072420000}"/>
    <cellStyle name="CurrencyC 2 3 9 6" xfId="17017" xr:uid="{00000000-0005-0000-0000-000073420000}"/>
    <cellStyle name="CurrencyC 2 4" xfId="17018" xr:uid="{00000000-0005-0000-0000-000074420000}"/>
    <cellStyle name="CurrencyC 2 4 2" xfId="17019" xr:uid="{00000000-0005-0000-0000-000075420000}"/>
    <cellStyle name="CurrencyC 2 4 2 2" xfId="17020" xr:uid="{00000000-0005-0000-0000-000076420000}"/>
    <cellStyle name="CurrencyC 2 4 2 2 2" xfId="17021" xr:uid="{00000000-0005-0000-0000-000077420000}"/>
    <cellStyle name="CurrencyC 2 4 2 2 3" xfId="17022" xr:uid="{00000000-0005-0000-0000-000078420000}"/>
    <cellStyle name="CurrencyC 2 4 2 2 4" xfId="17023" xr:uid="{00000000-0005-0000-0000-000079420000}"/>
    <cellStyle name="CurrencyC 2 4 2 2 5" xfId="17024" xr:uid="{00000000-0005-0000-0000-00007A420000}"/>
    <cellStyle name="CurrencyC 2 4 2 2 6" xfId="17025" xr:uid="{00000000-0005-0000-0000-00007B420000}"/>
    <cellStyle name="CurrencyC 2 4 2 3" xfId="17026" xr:uid="{00000000-0005-0000-0000-00007C420000}"/>
    <cellStyle name="CurrencyC 2 4 2 4" xfId="17027" xr:uid="{00000000-0005-0000-0000-00007D420000}"/>
    <cellStyle name="CurrencyC 2 4 2 5" xfId="17028" xr:uid="{00000000-0005-0000-0000-00007E420000}"/>
    <cellStyle name="CurrencyC 2 4 2 6" xfId="17029" xr:uid="{00000000-0005-0000-0000-00007F420000}"/>
    <cellStyle name="CurrencyC 2 4 3" xfId="17030" xr:uid="{00000000-0005-0000-0000-000080420000}"/>
    <cellStyle name="CurrencyC 2 4 3 2" xfId="17031" xr:uid="{00000000-0005-0000-0000-000081420000}"/>
    <cellStyle name="CurrencyC 2 4 3 2 2" xfId="17032" xr:uid="{00000000-0005-0000-0000-000082420000}"/>
    <cellStyle name="CurrencyC 2 4 3 2 3" xfId="17033" xr:uid="{00000000-0005-0000-0000-000083420000}"/>
    <cellStyle name="CurrencyC 2 4 3 2 4" xfId="17034" xr:uid="{00000000-0005-0000-0000-000084420000}"/>
    <cellStyle name="CurrencyC 2 4 3 2 5" xfId="17035" xr:uid="{00000000-0005-0000-0000-000085420000}"/>
    <cellStyle name="CurrencyC 2 4 3 2 6" xfId="17036" xr:uid="{00000000-0005-0000-0000-000086420000}"/>
    <cellStyle name="CurrencyC 2 4 3 3" xfId="17037" xr:uid="{00000000-0005-0000-0000-000087420000}"/>
    <cellStyle name="CurrencyC 2 4 3 4" xfId="17038" xr:uid="{00000000-0005-0000-0000-000088420000}"/>
    <cellStyle name="CurrencyC 2 4 3 5" xfId="17039" xr:uid="{00000000-0005-0000-0000-000089420000}"/>
    <cellStyle name="CurrencyC 2 4 3 6" xfId="17040" xr:uid="{00000000-0005-0000-0000-00008A420000}"/>
    <cellStyle name="CurrencyC 2 4 4" xfId="17041" xr:uid="{00000000-0005-0000-0000-00008B420000}"/>
    <cellStyle name="CurrencyC 2 4 4 2" xfId="17042" xr:uid="{00000000-0005-0000-0000-00008C420000}"/>
    <cellStyle name="CurrencyC 2 4 4 3" xfId="17043" xr:uid="{00000000-0005-0000-0000-00008D420000}"/>
    <cellStyle name="CurrencyC 2 4 4 4" xfId="17044" xr:uid="{00000000-0005-0000-0000-00008E420000}"/>
    <cellStyle name="CurrencyC 2 4 4 5" xfId="17045" xr:uid="{00000000-0005-0000-0000-00008F420000}"/>
    <cellStyle name="CurrencyC 2 4 4 6" xfId="17046" xr:uid="{00000000-0005-0000-0000-000090420000}"/>
    <cellStyle name="CurrencyC 2 4 5" xfId="17047" xr:uid="{00000000-0005-0000-0000-000091420000}"/>
    <cellStyle name="CurrencyC 2 4 6" xfId="17048" xr:uid="{00000000-0005-0000-0000-000092420000}"/>
    <cellStyle name="CurrencyC 2 4 7" xfId="17049" xr:uid="{00000000-0005-0000-0000-000093420000}"/>
    <cellStyle name="CurrencyC 2 4 8" xfId="17050" xr:uid="{00000000-0005-0000-0000-000094420000}"/>
    <cellStyle name="CurrencyC 2 5" xfId="17051" xr:uid="{00000000-0005-0000-0000-000095420000}"/>
    <cellStyle name="CurrencyC 2 5 2" xfId="17052" xr:uid="{00000000-0005-0000-0000-000096420000}"/>
    <cellStyle name="CurrencyC 2 5 2 2" xfId="17053" xr:uid="{00000000-0005-0000-0000-000097420000}"/>
    <cellStyle name="CurrencyC 2 5 2 2 2" xfId="17054" xr:uid="{00000000-0005-0000-0000-000098420000}"/>
    <cellStyle name="CurrencyC 2 5 2 2 3" xfId="17055" xr:uid="{00000000-0005-0000-0000-000099420000}"/>
    <cellStyle name="CurrencyC 2 5 2 2 4" xfId="17056" xr:uid="{00000000-0005-0000-0000-00009A420000}"/>
    <cellStyle name="CurrencyC 2 5 2 2 5" xfId="17057" xr:uid="{00000000-0005-0000-0000-00009B420000}"/>
    <cellStyle name="CurrencyC 2 5 2 2 6" xfId="17058" xr:uid="{00000000-0005-0000-0000-00009C420000}"/>
    <cellStyle name="CurrencyC 2 5 2 3" xfId="17059" xr:uid="{00000000-0005-0000-0000-00009D420000}"/>
    <cellStyle name="CurrencyC 2 5 2 4" xfId="17060" xr:uid="{00000000-0005-0000-0000-00009E420000}"/>
    <cellStyle name="CurrencyC 2 5 2 5" xfId="17061" xr:uid="{00000000-0005-0000-0000-00009F420000}"/>
    <cellStyle name="CurrencyC 2 5 2 6" xfId="17062" xr:uid="{00000000-0005-0000-0000-0000A0420000}"/>
    <cellStyle name="CurrencyC 2 5 3" xfId="17063" xr:uid="{00000000-0005-0000-0000-0000A1420000}"/>
    <cellStyle name="CurrencyC 2 5 3 2" xfId="17064" xr:uid="{00000000-0005-0000-0000-0000A2420000}"/>
    <cellStyle name="CurrencyC 2 5 3 2 2" xfId="17065" xr:uid="{00000000-0005-0000-0000-0000A3420000}"/>
    <cellStyle name="CurrencyC 2 5 3 2 3" xfId="17066" xr:uid="{00000000-0005-0000-0000-0000A4420000}"/>
    <cellStyle name="CurrencyC 2 5 3 2 4" xfId="17067" xr:uid="{00000000-0005-0000-0000-0000A5420000}"/>
    <cellStyle name="CurrencyC 2 5 3 2 5" xfId="17068" xr:uid="{00000000-0005-0000-0000-0000A6420000}"/>
    <cellStyle name="CurrencyC 2 5 3 2 6" xfId="17069" xr:uid="{00000000-0005-0000-0000-0000A7420000}"/>
    <cellStyle name="CurrencyC 2 5 3 3" xfId="17070" xr:uid="{00000000-0005-0000-0000-0000A8420000}"/>
    <cellStyle name="CurrencyC 2 5 3 4" xfId="17071" xr:uid="{00000000-0005-0000-0000-0000A9420000}"/>
    <cellStyle name="CurrencyC 2 5 3 5" xfId="17072" xr:uid="{00000000-0005-0000-0000-0000AA420000}"/>
    <cellStyle name="CurrencyC 2 5 3 6" xfId="17073" xr:uid="{00000000-0005-0000-0000-0000AB420000}"/>
    <cellStyle name="CurrencyC 2 5 4" xfId="17074" xr:uid="{00000000-0005-0000-0000-0000AC420000}"/>
    <cellStyle name="CurrencyC 2 5 4 2" xfId="17075" xr:uid="{00000000-0005-0000-0000-0000AD420000}"/>
    <cellStyle name="CurrencyC 2 5 4 3" xfId="17076" xr:uid="{00000000-0005-0000-0000-0000AE420000}"/>
    <cellStyle name="CurrencyC 2 5 4 4" xfId="17077" xr:uid="{00000000-0005-0000-0000-0000AF420000}"/>
    <cellStyle name="CurrencyC 2 5 4 5" xfId="17078" xr:uid="{00000000-0005-0000-0000-0000B0420000}"/>
    <cellStyle name="CurrencyC 2 5 4 6" xfId="17079" xr:uid="{00000000-0005-0000-0000-0000B1420000}"/>
    <cellStyle name="CurrencyC 2 5 5" xfId="17080" xr:uid="{00000000-0005-0000-0000-0000B2420000}"/>
    <cellStyle name="CurrencyC 2 5 6" xfId="17081" xr:uid="{00000000-0005-0000-0000-0000B3420000}"/>
    <cellStyle name="CurrencyC 2 5 7" xfId="17082" xr:uid="{00000000-0005-0000-0000-0000B4420000}"/>
    <cellStyle name="CurrencyC 2 5 8" xfId="17083" xr:uid="{00000000-0005-0000-0000-0000B5420000}"/>
    <cellStyle name="CurrencyC 2 6" xfId="17084" xr:uid="{00000000-0005-0000-0000-0000B6420000}"/>
    <cellStyle name="CurrencyC 2 6 2" xfId="17085" xr:uid="{00000000-0005-0000-0000-0000B7420000}"/>
    <cellStyle name="CurrencyC 2 6 2 2" xfId="17086" xr:uid="{00000000-0005-0000-0000-0000B8420000}"/>
    <cellStyle name="CurrencyC 2 6 2 2 2" xfId="17087" xr:uid="{00000000-0005-0000-0000-0000B9420000}"/>
    <cellStyle name="CurrencyC 2 6 2 2 3" xfId="17088" xr:uid="{00000000-0005-0000-0000-0000BA420000}"/>
    <cellStyle name="CurrencyC 2 6 2 2 4" xfId="17089" xr:uid="{00000000-0005-0000-0000-0000BB420000}"/>
    <cellStyle name="CurrencyC 2 6 2 2 5" xfId="17090" xr:uid="{00000000-0005-0000-0000-0000BC420000}"/>
    <cellStyle name="CurrencyC 2 6 2 2 6" xfId="17091" xr:uid="{00000000-0005-0000-0000-0000BD420000}"/>
    <cellStyle name="CurrencyC 2 6 2 3" xfId="17092" xr:uid="{00000000-0005-0000-0000-0000BE420000}"/>
    <cellStyle name="CurrencyC 2 6 2 4" xfId="17093" xr:uid="{00000000-0005-0000-0000-0000BF420000}"/>
    <cellStyle name="CurrencyC 2 6 2 5" xfId="17094" xr:uid="{00000000-0005-0000-0000-0000C0420000}"/>
    <cellStyle name="CurrencyC 2 6 2 6" xfId="17095" xr:uid="{00000000-0005-0000-0000-0000C1420000}"/>
    <cellStyle name="CurrencyC 2 6 3" xfId="17096" xr:uid="{00000000-0005-0000-0000-0000C2420000}"/>
    <cellStyle name="CurrencyC 2 6 3 2" xfId="17097" xr:uid="{00000000-0005-0000-0000-0000C3420000}"/>
    <cellStyle name="CurrencyC 2 6 3 2 2" xfId="17098" xr:uid="{00000000-0005-0000-0000-0000C4420000}"/>
    <cellStyle name="CurrencyC 2 6 3 2 3" xfId="17099" xr:uid="{00000000-0005-0000-0000-0000C5420000}"/>
    <cellStyle name="CurrencyC 2 6 3 2 4" xfId="17100" xr:uid="{00000000-0005-0000-0000-0000C6420000}"/>
    <cellStyle name="CurrencyC 2 6 3 2 5" xfId="17101" xr:uid="{00000000-0005-0000-0000-0000C7420000}"/>
    <cellStyle name="CurrencyC 2 6 3 2 6" xfId="17102" xr:uid="{00000000-0005-0000-0000-0000C8420000}"/>
    <cellStyle name="CurrencyC 2 6 3 3" xfId="17103" xr:uid="{00000000-0005-0000-0000-0000C9420000}"/>
    <cellStyle name="CurrencyC 2 6 3 4" xfId="17104" xr:uid="{00000000-0005-0000-0000-0000CA420000}"/>
    <cellStyle name="CurrencyC 2 6 3 5" xfId="17105" xr:uid="{00000000-0005-0000-0000-0000CB420000}"/>
    <cellStyle name="CurrencyC 2 6 3 6" xfId="17106" xr:uid="{00000000-0005-0000-0000-0000CC420000}"/>
    <cellStyle name="CurrencyC 2 6 4" xfId="17107" xr:uid="{00000000-0005-0000-0000-0000CD420000}"/>
    <cellStyle name="CurrencyC 2 6 4 2" xfId="17108" xr:uid="{00000000-0005-0000-0000-0000CE420000}"/>
    <cellStyle name="CurrencyC 2 6 4 3" xfId="17109" xr:uid="{00000000-0005-0000-0000-0000CF420000}"/>
    <cellStyle name="CurrencyC 2 6 4 4" xfId="17110" xr:uid="{00000000-0005-0000-0000-0000D0420000}"/>
    <cellStyle name="CurrencyC 2 6 4 5" xfId="17111" xr:uid="{00000000-0005-0000-0000-0000D1420000}"/>
    <cellStyle name="CurrencyC 2 6 4 6" xfId="17112" xr:uid="{00000000-0005-0000-0000-0000D2420000}"/>
    <cellStyle name="CurrencyC 2 6 5" xfId="17113" xr:uid="{00000000-0005-0000-0000-0000D3420000}"/>
    <cellStyle name="CurrencyC 2 6 6" xfId="17114" xr:uid="{00000000-0005-0000-0000-0000D4420000}"/>
    <cellStyle name="CurrencyC 2 6 7" xfId="17115" xr:uid="{00000000-0005-0000-0000-0000D5420000}"/>
    <cellStyle name="CurrencyC 2 6 8" xfId="17116" xr:uid="{00000000-0005-0000-0000-0000D6420000}"/>
    <cellStyle name="CurrencyC 2 7" xfId="17117" xr:uid="{00000000-0005-0000-0000-0000D7420000}"/>
    <cellStyle name="CurrencyC 2 7 2" xfId="17118" xr:uid="{00000000-0005-0000-0000-0000D8420000}"/>
    <cellStyle name="CurrencyC 2 7 2 2" xfId="17119" xr:uid="{00000000-0005-0000-0000-0000D9420000}"/>
    <cellStyle name="CurrencyC 2 7 2 3" xfId="17120" xr:uid="{00000000-0005-0000-0000-0000DA420000}"/>
    <cellStyle name="CurrencyC 2 7 2 4" xfId="17121" xr:uid="{00000000-0005-0000-0000-0000DB420000}"/>
    <cellStyle name="CurrencyC 2 7 2 5" xfId="17122" xr:uid="{00000000-0005-0000-0000-0000DC420000}"/>
    <cellStyle name="CurrencyC 2 7 2 6" xfId="17123" xr:uid="{00000000-0005-0000-0000-0000DD420000}"/>
    <cellStyle name="CurrencyC 2 7 3" xfId="17124" xr:uid="{00000000-0005-0000-0000-0000DE420000}"/>
    <cellStyle name="CurrencyC 2 7 4" xfId="17125" xr:uid="{00000000-0005-0000-0000-0000DF420000}"/>
    <cellStyle name="CurrencyC 2 7 5" xfId="17126" xr:uid="{00000000-0005-0000-0000-0000E0420000}"/>
    <cellStyle name="CurrencyC 2 7 6" xfId="17127" xr:uid="{00000000-0005-0000-0000-0000E1420000}"/>
    <cellStyle name="CurrencyC 2 8" xfId="17128" xr:uid="{00000000-0005-0000-0000-0000E2420000}"/>
    <cellStyle name="CurrencyC 2 8 2" xfId="17129" xr:uid="{00000000-0005-0000-0000-0000E3420000}"/>
    <cellStyle name="CurrencyC 2 8 2 2" xfId="17130" xr:uid="{00000000-0005-0000-0000-0000E4420000}"/>
    <cellStyle name="CurrencyC 2 8 2 3" xfId="17131" xr:uid="{00000000-0005-0000-0000-0000E5420000}"/>
    <cellStyle name="CurrencyC 2 8 2 4" xfId="17132" xr:uid="{00000000-0005-0000-0000-0000E6420000}"/>
    <cellStyle name="CurrencyC 2 8 2 5" xfId="17133" xr:uid="{00000000-0005-0000-0000-0000E7420000}"/>
    <cellStyle name="CurrencyC 2 8 2 6" xfId="17134" xr:uid="{00000000-0005-0000-0000-0000E8420000}"/>
    <cellStyle name="CurrencyC 2 8 3" xfId="17135" xr:uid="{00000000-0005-0000-0000-0000E9420000}"/>
    <cellStyle name="CurrencyC 2 8 4" xfId="17136" xr:uid="{00000000-0005-0000-0000-0000EA420000}"/>
    <cellStyle name="CurrencyC 2 8 5" xfId="17137" xr:uid="{00000000-0005-0000-0000-0000EB420000}"/>
    <cellStyle name="CurrencyC 2 8 6" xfId="17138" xr:uid="{00000000-0005-0000-0000-0000EC420000}"/>
    <cellStyle name="CurrencyC 2 9" xfId="17139" xr:uid="{00000000-0005-0000-0000-0000ED420000}"/>
    <cellStyle name="CurrencyC 2 9 2" xfId="17140" xr:uid="{00000000-0005-0000-0000-0000EE420000}"/>
    <cellStyle name="CurrencyC 2 9 3" xfId="17141" xr:uid="{00000000-0005-0000-0000-0000EF420000}"/>
    <cellStyle name="CurrencyC 2 9 4" xfId="17142" xr:uid="{00000000-0005-0000-0000-0000F0420000}"/>
    <cellStyle name="CurrencyC 2 9 5" xfId="17143" xr:uid="{00000000-0005-0000-0000-0000F1420000}"/>
    <cellStyle name="CurrencyC 2 9 6" xfId="17144" xr:uid="{00000000-0005-0000-0000-0000F2420000}"/>
    <cellStyle name="CurrencyC 3" xfId="17145" xr:uid="{00000000-0005-0000-0000-0000F3420000}"/>
    <cellStyle name="CurrencyC 3 10" xfId="17146" xr:uid="{00000000-0005-0000-0000-0000F4420000}"/>
    <cellStyle name="CurrencyC 3 10 2" xfId="17147" xr:uid="{00000000-0005-0000-0000-0000F5420000}"/>
    <cellStyle name="CurrencyC 3 10 3" xfId="17148" xr:uid="{00000000-0005-0000-0000-0000F6420000}"/>
    <cellStyle name="CurrencyC 3 10 4" xfId="17149" xr:uid="{00000000-0005-0000-0000-0000F7420000}"/>
    <cellStyle name="CurrencyC 3 10 5" xfId="17150" xr:uid="{00000000-0005-0000-0000-0000F8420000}"/>
    <cellStyle name="CurrencyC 3 10 6" xfId="17151" xr:uid="{00000000-0005-0000-0000-0000F9420000}"/>
    <cellStyle name="CurrencyC 3 11" xfId="17152" xr:uid="{00000000-0005-0000-0000-0000FA420000}"/>
    <cellStyle name="CurrencyC 3 12" xfId="17153" xr:uid="{00000000-0005-0000-0000-0000FB420000}"/>
    <cellStyle name="CurrencyC 3 13" xfId="17154" xr:uid="{00000000-0005-0000-0000-0000FC420000}"/>
    <cellStyle name="CurrencyC 3 14" xfId="17155" xr:uid="{00000000-0005-0000-0000-0000FD420000}"/>
    <cellStyle name="CurrencyC 3 2" xfId="17156" xr:uid="{00000000-0005-0000-0000-0000FE420000}"/>
    <cellStyle name="CurrencyC 3 2 10" xfId="17157" xr:uid="{00000000-0005-0000-0000-0000FF420000}"/>
    <cellStyle name="CurrencyC 3 2 11" xfId="17158" xr:uid="{00000000-0005-0000-0000-000000430000}"/>
    <cellStyle name="CurrencyC 3 2 12" xfId="17159" xr:uid="{00000000-0005-0000-0000-000001430000}"/>
    <cellStyle name="CurrencyC 3 2 13" xfId="17160" xr:uid="{00000000-0005-0000-0000-000002430000}"/>
    <cellStyle name="CurrencyC 3 2 2" xfId="17161" xr:uid="{00000000-0005-0000-0000-000003430000}"/>
    <cellStyle name="CurrencyC 3 2 2 2" xfId="17162" xr:uid="{00000000-0005-0000-0000-000004430000}"/>
    <cellStyle name="CurrencyC 3 2 2 2 2" xfId="17163" xr:uid="{00000000-0005-0000-0000-000005430000}"/>
    <cellStyle name="CurrencyC 3 2 2 2 2 2" xfId="17164" xr:uid="{00000000-0005-0000-0000-000006430000}"/>
    <cellStyle name="CurrencyC 3 2 2 2 2 3" xfId="17165" xr:uid="{00000000-0005-0000-0000-000007430000}"/>
    <cellStyle name="CurrencyC 3 2 2 2 2 4" xfId="17166" xr:uid="{00000000-0005-0000-0000-000008430000}"/>
    <cellStyle name="CurrencyC 3 2 2 2 2 5" xfId="17167" xr:uid="{00000000-0005-0000-0000-000009430000}"/>
    <cellStyle name="CurrencyC 3 2 2 2 2 6" xfId="17168" xr:uid="{00000000-0005-0000-0000-00000A430000}"/>
    <cellStyle name="CurrencyC 3 2 2 2 3" xfId="17169" xr:uid="{00000000-0005-0000-0000-00000B430000}"/>
    <cellStyle name="CurrencyC 3 2 2 2 4" xfId="17170" xr:uid="{00000000-0005-0000-0000-00000C430000}"/>
    <cellStyle name="CurrencyC 3 2 2 2 5" xfId="17171" xr:uid="{00000000-0005-0000-0000-00000D430000}"/>
    <cellStyle name="CurrencyC 3 2 2 2 6" xfId="17172" xr:uid="{00000000-0005-0000-0000-00000E430000}"/>
    <cellStyle name="CurrencyC 3 2 2 3" xfId="17173" xr:uid="{00000000-0005-0000-0000-00000F430000}"/>
    <cellStyle name="CurrencyC 3 2 2 3 2" xfId="17174" xr:uid="{00000000-0005-0000-0000-000010430000}"/>
    <cellStyle name="CurrencyC 3 2 2 3 2 2" xfId="17175" xr:uid="{00000000-0005-0000-0000-000011430000}"/>
    <cellStyle name="CurrencyC 3 2 2 3 2 3" xfId="17176" xr:uid="{00000000-0005-0000-0000-000012430000}"/>
    <cellStyle name="CurrencyC 3 2 2 3 2 4" xfId="17177" xr:uid="{00000000-0005-0000-0000-000013430000}"/>
    <cellStyle name="CurrencyC 3 2 2 3 2 5" xfId="17178" xr:uid="{00000000-0005-0000-0000-000014430000}"/>
    <cellStyle name="CurrencyC 3 2 2 3 2 6" xfId="17179" xr:uid="{00000000-0005-0000-0000-000015430000}"/>
    <cellStyle name="CurrencyC 3 2 2 3 3" xfId="17180" xr:uid="{00000000-0005-0000-0000-000016430000}"/>
    <cellStyle name="CurrencyC 3 2 2 3 4" xfId="17181" xr:uid="{00000000-0005-0000-0000-000017430000}"/>
    <cellStyle name="CurrencyC 3 2 2 3 5" xfId="17182" xr:uid="{00000000-0005-0000-0000-000018430000}"/>
    <cellStyle name="CurrencyC 3 2 2 3 6" xfId="17183" xr:uid="{00000000-0005-0000-0000-000019430000}"/>
    <cellStyle name="CurrencyC 3 2 2 4" xfId="17184" xr:uid="{00000000-0005-0000-0000-00001A430000}"/>
    <cellStyle name="CurrencyC 3 2 2 4 2" xfId="17185" xr:uid="{00000000-0005-0000-0000-00001B430000}"/>
    <cellStyle name="CurrencyC 3 2 2 4 3" xfId="17186" xr:uid="{00000000-0005-0000-0000-00001C430000}"/>
    <cellStyle name="CurrencyC 3 2 2 4 4" xfId="17187" xr:uid="{00000000-0005-0000-0000-00001D430000}"/>
    <cellStyle name="CurrencyC 3 2 2 4 5" xfId="17188" xr:uid="{00000000-0005-0000-0000-00001E430000}"/>
    <cellStyle name="CurrencyC 3 2 2 4 6" xfId="17189" xr:uid="{00000000-0005-0000-0000-00001F430000}"/>
    <cellStyle name="CurrencyC 3 2 2 5" xfId="17190" xr:uid="{00000000-0005-0000-0000-000020430000}"/>
    <cellStyle name="CurrencyC 3 2 2 6" xfId="17191" xr:uid="{00000000-0005-0000-0000-000021430000}"/>
    <cellStyle name="CurrencyC 3 2 2 7" xfId="17192" xr:uid="{00000000-0005-0000-0000-000022430000}"/>
    <cellStyle name="CurrencyC 3 2 2 8" xfId="17193" xr:uid="{00000000-0005-0000-0000-000023430000}"/>
    <cellStyle name="CurrencyC 3 2 3" xfId="17194" xr:uid="{00000000-0005-0000-0000-000024430000}"/>
    <cellStyle name="CurrencyC 3 2 3 2" xfId="17195" xr:uid="{00000000-0005-0000-0000-000025430000}"/>
    <cellStyle name="CurrencyC 3 2 3 2 2" xfId="17196" xr:uid="{00000000-0005-0000-0000-000026430000}"/>
    <cellStyle name="CurrencyC 3 2 3 2 2 2" xfId="17197" xr:uid="{00000000-0005-0000-0000-000027430000}"/>
    <cellStyle name="CurrencyC 3 2 3 2 2 3" xfId="17198" xr:uid="{00000000-0005-0000-0000-000028430000}"/>
    <cellStyle name="CurrencyC 3 2 3 2 2 4" xfId="17199" xr:uid="{00000000-0005-0000-0000-000029430000}"/>
    <cellStyle name="CurrencyC 3 2 3 2 2 5" xfId="17200" xr:uid="{00000000-0005-0000-0000-00002A430000}"/>
    <cellStyle name="CurrencyC 3 2 3 2 2 6" xfId="17201" xr:uid="{00000000-0005-0000-0000-00002B430000}"/>
    <cellStyle name="CurrencyC 3 2 3 2 3" xfId="17202" xr:uid="{00000000-0005-0000-0000-00002C430000}"/>
    <cellStyle name="CurrencyC 3 2 3 2 4" xfId="17203" xr:uid="{00000000-0005-0000-0000-00002D430000}"/>
    <cellStyle name="CurrencyC 3 2 3 2 5" xfId="17204" xr:uid="{00000000-0005-0000-0000-00002E430000}"/>
    <cellStyle name="CurrencyC 3 2 3 2 6" xfId="17205" xr:uid="{00000000-0005-0000-0000-00002F430000}"/>
    <cellStyle name="CurrencyC 3 2 3 3" xfId="17206" xr:uid="{00000000-0005-0000-0000-000030430000}"/>
    <cellStyle name="CurrencyC 3 2 3 3 2" xfId="17207" xr:uid="{00000000-0005-0000-0000-000031430000}"/>
    <cellStyle name="CurrencyC 3 2 3 3 2 2" xfId="17208" xr:uid="{00000000-0005-0000-0000-000032430000}"/>
    <cellStyle name="CurrencyC 3 2 3 3 2 3" xfId="17209" xr:uid="{00000000-0005-0000-0000-000033430000}"/>
    <cellStyle name="CurrencyC 3 2 3 3 2 4" xfId="17210" xr:uid="{00000000-0005-0000-0000-000034430000}"/>
    <cellStyle name="CurrencyC 3 2 3 3 2 5" xfId="17211" xr:uid="{00000000-0005-0000-0000-000035430000}"/>
    <cellStyle name="CurrencyC 3 2 3 3 2 6" xfId="17212" xr:uid="{00000000-0005-0000-0000-000036430000}"/>
    <cellStyle name="CurrencyC 3 2 3 3 3" xfId="17213" xr:uid="{00000000-0005-0000-0000-000037430000}"/>
    <cellStyle name="CurrencyC 3 2 3 3 4" xfId="17214" xr:uid="{00000000-0005-0000-0000-000038430000}"/>
    <cellStyle name="CurrencyC 3 2 3 3 5" xfId="17215" xr:uid="{00000000-0005-0000-0000-000039430000}"/>
    <cellStyle name="CurrencyC 3 2 3 3 6" xfId="17216" xr:uid="{00000000-0005-0000-0000-00003A430000}"/>
    <cellStyle name="CurrencyC 3 2 3 4" xfId="17217" xr:uid="{00000000-0005-0000-0000-00003B430000}"/>
    <cellStyle name="CurrencyC 3 2 3 4 2" xfId="17218" xr:uid="{00000000-0005-0000-0000-00003C430000}"/>
    <cellStyle name="CurrencyC 3 2 3 4 3" xfId="17219" xr:uid="{00000000-0005-0000-0000-00003D430000}"/>
    <cellStyle name="CurrencyC 3 2 3 4 4" xfId="17220" xr:uid="{00000000-0005-0000-0000-00003E430000}"/>
    <cellStyle name="CurrencyC 3 2 3 4 5" xfId="17221" xr:uid="{00000000-0005-0000-0000-00003F430000}"/>
    <cellStyle name="CurrencyC 3 2 3 4 6" xfId="17222" xr:uid="{00000000-0005-0000-0000-000040430000}"/>
    <cellStyle name="CurrencyC 3 2 3 5" xfId="17223" xr:uid="{00000000-0005-0000-0000-000041430000}"/>
    <cellStyle name="CurrencyC 3 2 3 6" xfId="17224" xr:uid="{00000000-0005-0000-0000-000042430000}"/>
    <cellStyle name="CurrencyC 3 2 3 7" xfId="17225" xr:uid="{00000000-0005-0000-0000-000043430000}"/>
    <cellStyle name="CurrencyC 3 2 3 8" xfId="17226" xr:uid="{00000000-0005-0000-0000-000044430000}"/>
    <cellStyle name="CurrencyC 3 2 4" xfId="17227" xr:uid="{00000000-0005-0000-0000-000045430000}"/>
    <cellStyle name="CurrencyC 3 2 4 2" xfId="17228" xr:uid="{00000000-0005-0000-0000-000046430000}"/>
    <cellStyle name="CurrencyC 3 2 4 2 2" xfId="17229" xr:uid="{00000000-0005-0000-0000-000047430000}"/>
    <cellStyle name="CurrencyC 3 2 4 2 2 2" xfId="17230" xr:uid="{00000000-0005-0000-0000-000048430000}"/>
    <cellStyle name="CurrencyC 3 2 4 2 2 3" xfId="17231" xr:uid="{00000000-0005-0000-0000-000049430000}"/>
    <cellStyle name="CurrencyC 3 2 4 2 2 4" xfId="17232" xr:uid="{00000000-0005-0000-0000-00004A430000}"/>
    <cellStyle name="CurrencyC 3 2 4 2 2 5" xfId="17233" xr:uid="{00000000-0005-0000-0000-00004B430000}"/>
    <cellStyle name="CurrencyC 3 2 4 2 2 6" xfId="17234" xr:uid="{00000000-0005-0000-0000-00004C430000}"/>
    <cellStyle name="CurrencyC 3 2 4 2 3" xfId="17235" xr:uid="{00000000-0005-0000-0000-00004D430000}"/>
    <cellStyle name="CurrencyC 3 2 4 2 4" xfId="17236" xr:uid="{00000000-0005-0000-0000-00004E430000}"/>
    <cellStyle name="CurrencyC 3 2 4 2 5" xfId="17237" xr:uid="{00000000-0005-0000-0000-00004F430000}"/>
    <cellStyle name="CurrencyC 3 2 4 2 6" xfId="17238" xr:uid="{00000000-0005-0000-0000-000050430000}"/>
    <cellStyle name="CurrencyC 3 2 4 3" xfId="17239" xr:uid="{00000000-0005-0000-0000-000051430000}"/>
    <cellStyle name="CurrencyC 3 2 4 3 2" xfId="17240" xr:uid="{00000000-0005-0000-0000-000052430000}"/>
    <cellStyle name="CurrencyC 3 2 4 3 2 2" xfId="17241" xr:uid="{00000000-0005-0000-0000-000053430000}"/>
    <cellStyle name="CurrencyC 3 2 4 3 2 3" xfId="17242" xr:uid="{00000000-0005-0000-0000-000054430000}"/>
    <cellStyle name="CurrencyC 3 2 4 3 2 4" xfId="17243" xr:uid="{00000000-0005-0000-0000-000055430000}"/>
    <cellStyle name="CurrencyC 3 2 4 3 2 5" xfId="17244" xr:uid="{00000000-0005-0000-0000-000056430000}"/>
    <cellStyle name="CurrencyC 3 2 4 3 2 6" xfId="17245" xr:uid="{00000000-0005-0000-0000-000057430000}"/>
    <cellStyle name="CurrencyC 3 2 4 3 3" xfId="17246" xr:uid="{00000000-0005-0000-0000-000058430000}"/>
    <cellStyle name="CurrencyC 3 2 4 3 4" xfId="17247" xr:uid="{00000000-0005-0000-0000-000059430000}"/>
    <cellStyle name="CurrencyC 3 2 4 3 5" xfId="17248" xr:uid="{00000000-0005-0000-0000-00005A430000}"/>
    <cellStyle name="CurrencyC 3 2 4 3 6" xfId="17249" xr:uid="{00000000-0005-0000-0000-00005B430000}"/>
    <cellStyle name="CurrencyC 3 2 4 4" xfId="17250" xr:uid="{00000000-0005-0000-0000-00005C430000}"/>
    <cellStyle name="CurrencyC 3 2 4 4 2" xfId="17251" xr:uid="{00000000-0005-0000-0000-00005D430000}"/>
    <cellStyle name="CurrencyC 3 2 4 4 3" xfId="17252" xr:uid="{00000000-0005-0000-0000-00005E430000}"/>
    <cellStyle name="CurrencyC 3 2 4 4 4" xfId="17253" xr:uid="{00000000-0005-0000-0000-00005F430000}"/>
    <cellStyle name="CurrencyC 3 2 4 4 5" xfId="17254" xr:uid="{00000000-0005-0000-0000-000060430000}"/>
    <cellStyle name="CurrencyC 3 2 4 4 6" xfId="17255" xr:uid="{00000000-0005-0000-0000-000061430000}"/>
    <cellStyle name="CurrencyC 3 2 4 5" xfId="17256" xr:uid="{00000000-0005-0000-0000-000062430000}"/>
    <cellStyle name="CurrencyC 3 2 4 6" xfId="17257" xr:uid="{00000000-0005-0000-0000-000063430000}"/>
    <cellStyle name="CurrencyC 3 2 4 7" xfId="17258" xr:uid="{00000000-0005-0000-0000-000064430000}"/>
    <cellStyle name="CurrencyC 3 2 4 8" xfId="17259" xr:uid="{00000000-0005-0000-0000-000065430000}"/>
    <cellStyle name="CurrencyC 3 2 5" xfId="17260" xr:uid="{00000000-0005-0000-0000-000066430000}"/>
    <cellStyle name="CurrencyC 3 2 5 2" xfId="17261" xr:uid="{00000000-0005-0000-0000-000067430000}"/>
    <cellStyle name="CurrencyC 3 2 5 2 2" xfId="17262" xr:uid="{00000000-0005-0000-0000-000068430000}"/>
    <cellStyle name="CurrencyC 3 2 5 2 2 2" xfId="17263" xr:uid="{00000000-0005-0000-0000-000069430000}"/>
    <cellStyle name="CurrencyC 3 2 5 2 2 3" xfId="17264" xr:uid="{00000000-0005-0000-0000-00006A430000}"/>
    <cellStyle name="CurrencyC 3 2 5 2 2 4" xfId="17265" xr:uid="{00000000-0005-0000-0000-00006B430000}"/>
    <cellStyle name="CurrencyC 3 2 5 2 2 5" xfId="17266" xr:uid="{00000000-0005-0000-0000-00006C430000}"/>
    <cellStyle name="CurrencyC 3 2 5 2 2 6" xfId="17267" xr:uid="{00000000-0005-0000-0000-00006D430000}"/>
    <cellStyle name="CurrencyC 3 2 5 2 3" xfId="17268" xr:uid="{00000000-0005-0000-0000-00006E430000}"/>
    <cellStyle name="CurrencyC 3 2 5 2 4" xfId="17269" xr:uid="{00000000-0005-0000-0000-00006F430000}"/>
    <cellStyle name="CurrencyC 3 2 5 2 5" xfId="17270" xr:uid="{00000000-0005-0000-0000-000070430000}"/>
    <cellStyle name="CurrencyC 3 2 5 2 6" xfId="17271" xr:uid="{00000000-0005-0000-0000-000071430000}"/>
    <cellStyle name="CurrencyC 3 2 5 3" xfId="17272" xr:uid="{00000000-0005-0000-0000-000072430000}"/>
    <cellStyle name="CurrencyC 3 2 5 3 2" xfId="17273" xr:uid="{00000000-0005-0000-0000-000073430000}"/>
    <cellStyle name="CurrencyC 3 2 5 3 2 2" xfId="17274" xr:uid="{00000000-0005-0000-0000-000074430000}"/>
    <cellStyle name="CurrencyC 3 2 5 3 2 3" xfId="17275" xr:uid="{00000000-0005-0000-0000-000075430000}"/>
    <cellStyle name="CurrencyC 3 2 5 3 2 4" xfId="17276" xr:uid="{00000000-0005-0000-0000-000076430000}"/>
    <cellStyle name="CurrencyC 3 2 5 3 2 5" xfId="17277" xr:uid="{00000000-0005-0000-0000-000077430000}"/>
    <cellStyle name="CurrencyC 3 2 5 3 2 6" xfId="17278" xr:uid="{00000000-0005-0000-0000-000078430000}"/>
    <cellStyle name="CurrencyC 3 2 5 3 3" xfId="17279" xr:uid="{00000000-0005-0000-0000-000079430000}"/>
    <cellStyle name="CurrencyC 3 2 5 3 4" xfId="17280" xr:uid="{00000000-0005-0000-0000-00007A430000}"/>
    <cellStyle name="CurrencyC 3 2 5 3 5" xfId="17281" xr:uid="{00000000-0005-0000-0000-00007B430000}"/>
    <cellStyle name="CurrencyC 3 2 5 3 6" xfId="17282" xr:uid="{00000000-0005-0000-0000-00007C430000}"/>
    <cellStyle name="CurrencyC 3 2 5 4" xfId="17283" xr:uid="{00000000-0005-0000-0000-00007D430000}"/>
    <cellStyle name="CurrencyC 3 2 5 4 2" xfId="17284" xr:uid="{00000000-0005-0000-0000-00007E430000}"/>
    <cellStyle name="CurrencyC 3 2 5 4 3" xfId="17285" xr:uid="{00000000-0005-0000-0000-00007F430000}"/>
    <cellStyle name="CurrencyC 3 2 5 4 4" xfId="17286" xr:uid="{00000000-0005-0000-0000-000080430000}"/>
    <cellStyle name="CurrencyC 3 2 5 4 5" xfId="17287" xr:uid="{00000000-0005-0000-0000-000081430000}"/>
    <cellStyle name="CurrencyC 3 2 5 4 6" xfId="17288" xr:uid="{00000000-0005-0000-0000-000082430000}"/>
    <cellStyle name="CurrencyC 3 2 5 5" xfId="17289" xr:uid="{00000000-0005-0000-0000-000083430000}"/>
    <cellStyle name="CurrencyC 3 2 5 6" xfId="17290" xr:uid="{00000000-0005-0000-0000-000084430000}"/>
    <cellStyle name="CurrencyC 3 2 5 7" xfId="17291" xr:uid="{00000000-0005-0000-0000-000085430000}"/>
    <cellStyle name="CurrencyC 3 2 5 8" xfId="17292" xr:uid="{00000000-0005-0000-0000-000086430000}"/>
    <cellStyle name="CurrencyC 3 2 6" xfId="17293" xr:uid="{00000000-0005-0000-0000-000087430000}"/>
    <cellStyle name="CurrencyC 3 2 6 2" xfId="17294" xr:uid="{00000000-0005-0000-0000-000088430000}"/>
    <cellStyle name="CurrencyC 3 2 6 2 2" xfId="17295" xr:uid="{00000000-0005-0000-0000-000089430000}"/>
    <cellStyle name="CurrencyC 3 2 6 2 2 2" xfId="17296" xr:uid="{00000000-0005-0000-0000-00008A430000}"/>
    <cellStyle name="CurrencyC 3 2 6 2 2 3" xfId="17297" xr:uid="{00000000-0005-0000-0000-00008B430000}"/>
    <cellStyle name="CurrencyC 3 2 6 2 2 4" xfId="17298" xr:uid="{00000000-0005-0000-0000-00008C430000}"/>
    <cellStyle name="CurrencyC 3 2 6 2 2 5" xfId="17299" xr:uid="{00000000-0005-0000-0000-00008D430000}"/>
    <cellStyle name="CurrencyC 3 2 6 2 2 6" xfId="17300" xr:uid="{00000000-0005-0000-0000-00008E430000}"/>
    <cellStyle name="CurrencyC 3 2 6 2 3" xfId="17301" xr:uid="{00000000-0005-0000-0000-00008F430000}"/>
    <cellStyle name="CurrencyC 3 2 6 2 4" xfId="17302" xr:uid="{00000000-0005-0000-0000-000090430000}"/>
    <cellStyle name="CurrencyC 3 2 6 2 5" xfId="17303" xr:uid="{00000000-0005-0000-0000-000091430000}"/>
    <cellStyle name="CurrencyC 3 2 6 2 6" xfId="17304" xr:uid="{00000000-0005-0000-0000-000092430000}"/>
    <cellStyle name="CurrencyC 3 2 6 3" xfId="17305" xr:uid="{00000000-0005-0000-0000-000093430000}"/>
    <cellStyle name="CurrencyC 3 2 6 3 2" xfId="17306" xr:uid="{00000000-0005-0000-0000-000094430000}"/>
    <cellStyle name="CurrencyC 3 2 6 3 2 2" xfId="17307" xr:uid="{00000000-0005-0000-0000-000095430000}"/>
    <cellStyle name="CurrencyC 3 2 6 3 2 3" xfId="17308" xr:uid="{00000000-0005-0000-0000-000096430000}"/>
    <cellStyle name="CurrencyC 3 2 6 3 2 4" xfId="17309" xr:uid="{00000000-0005-0000-0000-000097430000}"/>
    <cellStyle name="CurrencyC 3 2 6 3 2 5" xfId="17310" xr:uid="{00000000-0005-0000-0000-000098430000}"/>
    <cellStyle name="CurrencyC 3 2 6 3 2 6" xfId="17311" xr:uid="{00000000-0005-0000-0000-000099430000}"/>
    <cellStyle name="CurrencyC 3 2 6 3 3" xfId="17312" xr:uid="{00000000-0005-0000-0000-00009A430000}"/>
    <cellStyle name="CurrencyC 3 2 6 3 4" xfId="17313" xr:uid="{00000000-0005-0000-0000-00009B430000}"/>
    <cellStyle name="CurrencyC 3 2 6 3 5" xfId="17314" xr:uid="{00000000-0005-0000-0000-00009C430000}"/>
    <cellStyle name="CurrencyC 3 2 6 3 6" xfId="17315" xr:uid="{00000000-0005-0000-0000-00009D430000}"/>
    <cellStyle name="CurrencyC 3 2 6 4" xfId="17316" xr:uid="{00000000-0005-0000-0000-00009E430000}"/>
    <cellStyle name="CurrencyC 3 2 6 4 2" xfId="17317" xr:uid="{00000000-0005-0000-0000-00009F430000}"/>
    <cellStyle name="CurrencyC 3 2 6 4 3" xfId="17318" xr:uid="{00000000-0005-0000-0000-0000A0430000}"/>
    <cellStyle name="CurrencyC 3 2 6 4 4" xfId="17319" xr:uid="{00000000-0005-0000-0000-0000A1430000}"/>
    <cellStyle name="CurrencyC 3 2 6 4 5" xfId="17320" xr:uid="{00000000-0005-0000-0000-0000A2430000}"/>
    <cellStyle name="CurrencyC 3 2 6 4 6" xfId="17321" xr:uid="{00000000-0005-0000-0000-0000A3430000}"/>
    <cellStyle name="CurrencyC 3 2 6 5" xfId="17322" xr:uid="{00000000-0005-0000-0000-0000A4430000}"/>
    <cellStyle name="CurrencyC 3 2 6 6" xfId="17323" xr:uid="{00000000-0005-0000-0000-0000A5430000}"/>
    <cellStyle name="CurrencyC 3 2 6 7" xfId="17324" xr:uid="{00000000-0005-0000-0000-0000A6430000}"/>
    <cellStyle name="CurrencyC 3 2 6 8" xfId="17325" xr:uid="{00000000-0005-0000-0000-0000A7430000}"/>
    <cellStyle name="CurrencyC 3 2 7" xfId="17326" xr:uid="{00000000-0005-0000-0000-0000A8430000}"/>
    <cellStyle name="CurrencyC 3 2 7 2" xfId="17327" xr:uid="{00000000-0005-0000-0000-0000A9430000}"/>
    <cellStyle name="CurrencyC 3 2 7 2 2" xfId="17328" xr:uid="{00000000-0005-0000-0000-0000AA430000}"/>
    <cellStyle name="CurrencyC 3 2 7 2 3" xfId="17329" xr:uid="{00000000-0005-0000-0000-0000AB430000}"/>
    <cellStyle name="CurrencyC 3 2 7 2 4" xfId="17330" xr:uid="{00000000-0005-0000-0000-0000AC430000}"/>
    <cellStyle name="CurrencyC 3 2 7 2 5" xfId="17331" xr:uid="{00000000-0005-0000-0000-0000AD430000}"/>
    <cellStyle name="CurrencyC 3 2 7 2 6" xfId="17332" xr:uid="{00000000-0005-0000-0000-0000AE430000}"/>
    <cellStyle name="CurrencyC 3 2 7 3" xfId="17333" xr:uid="{00000000-0005-0000-0000-0000AF430000}"/>
    <cellStyle name="CurrencyC 3 2 7 4" xfId="17334" xr:uid="{00000000-0005-0000-0000-0000B0430000}"/>
    <cellStyle name="CurrencyC 3 2 7 5" xfId="17335" xr:uid="{00000000-0005-0000-0000-0000B1430000}"/>
    <cellStyle name="CurrencyC 3 2 7 6" xfId="17336" xr:uid="{00000000-0005-0000-0000-0000B2430000}"/>
    <cellStyle name="CurrencyC 3 2 8" xfId="17337" xr:uid="{00000000-0005-0000-0000-0000B3430000}"/>
    <cellStyle name="CurrencyC 3 2 8 2" xfId="17338" xr:uid="{00000000-0005-0000-0000-0000B4430000}"/>
    <cellStyle name="CurrencyC 3 2 8 2 2" xfId="17339" xr:uid="{00000000-0005-0000-0000-0000B5430000}"/>
    <cellStyle name="CurrencyC 3 2 8 2 3" xfId="17340" xr:uid="{00000000-0005-0000-0000-0000B6430000}"/>
    <cellStyle name="CurrencyC 3 2 8 2 4" xfId="17341" xr:uid="{00000000-0005-0000-0000-0000B7430000}"/>
    <cellStyle name="CurrencyC 3 2 8 2 5" xfId="17342" xr:uid="{00000000-0005-0000-0000-0000B8430000}"/>
    <cellStyle name="CurrencyC 3 2 8 2 6" xfId="17343" xr:uid="{00000000-0005-0000-0000-0000B9430000}"/>
    <cellStyle name="CurrencyC 3 2 8 3" xfId="17344" xr:uid="{00000000-0005-0000-0000-0000BA430000}"/>
    <cellStyle name="CurrencyC 3 2 8 4" xfId="17345" xr:uid="{00000000-0005-0000-0000-0000BB430000}"/>
    <cellStyle name="CurrencyC 3 2 8 5" xfId="17346" xr:uid="{00000000-0005-0000-0000-0000BC430000}"/>
    <cellStyle name="CurrencyC 3 2 8 6" xfId="17347" xr:uid="{00000000-0005-0000-0000-0000BD430000}"/>
    <cellStyle name="CurrencyC 3 2 9" xfId="17348" xr:uid="{00000000-0005-0000-0000-0000BE430000}"/>
    <cellStyle name="CurrencyC 3 2 9 2" xfId="17349" xr:uid="{00000000-0005-0000-0000-0000BF430000}"/>
    <cellStyle name="CurrencyC 3 2 9 3" xfId="17350" xr:uid="{00000000-0005-0000-0000-0000C0430000}"/>
    <cellStyle name="CurrencyC 3 2 9 4" xfId="17351" xr:uid="{00000000-0005-0000-0000-0000C1430000}"/>
    <cellStyle name="CurrencyC 3 2 9 5" xfId="17352" xr:uid="{00000000-0005-0000-0000-0000C2430000}"/>
    <cellStyle name="CurrencyC 3 2 9 6" xfId="17353" xr:uid="{00000000-0005-0000-0000-0000C3430000}"/>
    <cellStyle name="CurrencyC 3 3" xfId="17354" xr:uid="{00000000-0005-0000-0000-0000C4430000}"/>
    <cellStyle name="CurrencyC 3 3 2" xfId="17355" xr:uid="{00000000-0005-0000-0000-0000C5430000}"/>
    <cellStyle name="CurrencyC 3 3 2 2" xfId="17356" xr:uid="{00000000-0005-0000-0000-0000C6430000}"/>
    <cellStyle name="CurrencyC 3 3 2 2 2" xfId="17357" xr:uid="{00000000-0005-0000-0000-0000C7430000}"/>
    <cellStyle name="CurrencyC 3 3 2 2 3" xfId="17358" xr:uid="{00000000-0005-0000-0000-0000C8430000}"/>
    <cellStyle name="CurrencyC 3 3 2 2 4" xfId="17359" xr:uid="{00000000-0005-0000-0000-0000C9430000}"/>
    <cellStyle name="CurrencyC 3 3 2 2 5" xfId="17360" xr:uid="{00000000-0005-0000-0000-0000CA430000}"/>
    <cellStyle name="CurrencyC 3 3 2 2 6" xfId="17361" xr:uid="{00000000-0005-0000-0000-0000CB430000}"/>
    <cellStyle name="CurrencyC 3 3 2 3" xfId="17362" xr:uid="{00000000-0005-0000-0000-0000CC430000}"/>
    <cellStyle name="CurrencyC 3 3 2 4" xfId="17363" xr:uid="{00000000-0005-0000-0000-0000CD430000}"/>
    <cellStyle name="CurrencyC 3 3 2 5" xfId="17364" xr:uid="{00000000-0005-0000-0000-0000CE430000}"/>
    <cellStyle name="CurrencyC 3 3 2 6" xfId="17365" xr:uid="{00000000-0005-0000-0000-0000CF430000}"/>
    <cellStyle name="CurrencyC 3 3 3" xfId="17366" xr:uid="{00000000-0005-0000-0000-0000D0430000}"/>
    <cellStyle name="CurrencyC 3 3 3 2" xfId="17367" xr:uid="{00000000-0005-0000-0000-0000D1430000}"/>
    <cellStyle name="CurrencyC 3 3 3 2 2" xfId="17368" xr:uid="{00000000-0005-0000-0000-0000D2430000}"/>
    <cellStyle name="CurrencyC 3 3 3 2 3" xfId="17369" xr:uid="{00000000-0005-0000-0000-0000D3430000}"/>
    <cellStyle name="CurrencyC 3 3 3 2 4" xfId="17370" xr:uid="{00000000-0005-0000-0000-0000D4430000}"/>
    <cellStyle name="CurrencyC 3 3 3 2 5" xfId="17371" xr:uid="{00000000-0005-0000-0000-0000D5430000}"/>
    <cellStyle name="CurrencyC 3 3 3 2 6" xfId="17372" xr:uid="{00000000-0005-0000-0000-0000D6430000}"/>
    <cellStyle name="CurrencyC 3 3 3 3" xfId="17373" xr:uid="{00000000-0005-0000-0000-0000D7430000}"/>
    <cellStyle name="CurrencyC 3 3 3 4" xfId="17374" xr:uid="{00000000-0005-0000-0000-0000D8430000}"/>
    <cellStyle name="CurrencyC 3 3 3 5" xfId="17375" xr:uid="{00000000-0005-0000-0000-0000D9430000}"/>
    <cellStyle name="CurrencyC 3 3 3 6" xfId="17376" xr:uid="{00000000-0005-0000-0000-0000DA430000}"/>
    <cellStyle name="CurrencyC 3 3 4" xfId="17377" xr:uid="{00000000-0005-0000-0000-0000DB430000}"/>
    <cellStyle name="CurrencyC 3 3 4 2" xfId="17378" xr:uid="{00000000-0005-0000-0000-0000DC430000}"/>
    <cellStyle name="CurrencyC 3 3 4 3" xfId="17379" xr:uid="{00000000-0005-0000-0000-0000DD430000}"/>
    <cellStyle name="CurrencyC 3 3 4 4" xfId="17380" xr:uid="{00000000-0005-0000-0000-0000DE430000}"/>
    <cellStyle name="CurrencyC 3 3 4 5" xfId="17381" xr:uid="{00000000-0005-0000-0000-0000DF430000}"/>
    <cellStyle name="CurrencyC 3 3 4 6" xfId="17382" xr:uid="{00000000-0005-0000-0000-0000E0430000}"/>
    <cellStyle name="CurrencyC 3 3 5" xfId="17383" xr:uid="{00000000-0005-0000-0000-0000E1430000}"/>
    <cellStyle name="CurrencyC 3 3 6" xfId="17384" xr:uid="{00000000-0005-0000-0000-0000E2430000}"/>
    <cellStyle name="CurrencyC 3 3 7" xfId="17385" xr:uid="{00000000-0005-0000-0000-0000E3430000}"/>
    <cellStyle name="CurrencyC 3 3 8" xfId="17386" xr:uid="{00000000-0005-0000-0000-0000E4430000}"/>
    <cellStyle name="CurrencyC 3 4" xfId="17387" xr:uid="{00000000-0005-0000-0000-0000E5430000}"/>
    <cellStyle name="CurrencyC 3 4 2" xfId="17388" xr:uid="{00000000-0005-0000-0000-0000E6430000}"/>
    <cellStyle name="CurrencyC 3 4 2 2" xfId="17389" xr:uid="{00000000-0005-0000-0000-0000E7430000}"/>
    <cellStyle name="CurrencyC 3 4 2 2 2" xfId="17390" xr:uid="{00000000-0005-0000-0000-0000E8430000}"/>
    <cellStyle name="CurrencyC 3 4 2 2 3" xfId="17391" xr:uid="{00000000-0005-0000-0000-0000E9430000}"/>
    <cellStyle name="CurrencyC 3 4 2 2 4" xfId="17392" xr:uid="{00000000-0005-0000-0000-0000EA430000}"/>
    <cellStyle name="CurrencyC 3 4 2 2 5" xfId="17393" xr:uid="{00000000-0005-0000-0000-0000EB430000}"/>
    <cellStyle name="CurrencyC 3 4 2 2 6" xfId="17394" xr:uid="{00000000-0005-0000-0000-0000EC430000}"/>
    <cellStyle name="CurrencyC 3 4 2 3" xfId="17395" xr:uid="{00000000-0005-0000-0000-0000ED430000}"/>
    <cellStyle name="CurrencyC 3 4 2 4" xfId="17396" xr:uid="{00000000-0005-0000-0000-0000EE430000}"/>
    <cellStyle name="CurrencyC 3 4 2 5" xfId="17397" xr:uid="{00000000-0005-0000-0000-0000EF430000}"/>
    <cellStyle name="CurrencyC 3 4 2 6" xfId="17398" xr:uid="{00000000-0005-0000-0000-0000F0430000}"/>
    <cellStyle name="CurrencyC 3 4 3" xfId="17399" xr:uid="{00000000-0005-0000-0000-0000F1430000}"/>
    <cellStyle name="CurrencyC 3 4 3 2" xfId="17400" xr:uid="{00000000-0005-0000-0000-0000F2430000}"/>
    <cellStyle name="CurrencyC 3 4 3 2 2" xfId="17401" xr:uid="{00000000-0005-0000-0000-0000F3430000}"/>
    <cellStyle name="CurrencyC 3 4 3 2 3" xfId="17402" xr:uid="{00000000-0005-0000-0000-0000F4430000}"/>
    <cellStyle name="CurrencyC 3 4 3 2 4" xfId="17403" xr:uid="{00000000-0005-0000-0000-0000F5430000}"/>
    <cellStyle name="CurrencyC 3 4 3 2 5" xfId="17404" xr:uid="{00000000-0005-0000-0000-0000F6430000}"/>
    <cellStyle name="CurrencyC 3 4 3 2 6" xfId="17405" xr:uid="{00000000-0005-0000-0000-0000F7430000}"/>
    <cellStyle name="CurrencyC 3 4 3 3" xfId="17406" xr:uid="{00000000-0005-0000-0000-0000F8430000}"/>
    <cellStyle name="CurrencyC 3 4 3 4" xfId="17407" xr:uid="{00000000-0005-0000-0000-0000F9430000}"/>
    <cellStyle name="CurrencyC 3 4 3 5" xfId="17408" xr:uid="{00000000-0005-0000-0000-0000FA430000}"/>
    <cellStyle name="CurrencyC 3 4 3 6" xfId="17409" xr:uid="{00000000-0005-0000-0000-0000FB430000}"/>
    <cellStyle name="CurrencyC 3 4 4" xfId="17410" xr:uid="{00000000-0005-0000-0000-0000FC430000}"/>
    <cellStyle name="CurrencyC 3 4 4 2" xfId="17411" xr:uid="{00000000-0005-0000-0000-0000FD430000}"/>
    <cellStyle name="CurrencyC 3 4 4 3" xfId="17412" xr:uid="{00000000-0005-0000-0000-0000FE430000}"/>
    <cellStyle name="CurrencyC 3 4 4 4" xfId="17413" xr:uid="{00000000-0005-0000-0000-0000FF430000}"/>
    <cellStyle name="CurrencyC 3 4 4 5" xfId="17414" xr:uid="{00000000-0005-0000-0000-000000440000}"/>
    <cellStyle name="CurrencyC 3 4 4 6" xfId="17415" xr:uid="{00000000-0005-0000-0000-000001440000}"/>
    <cellStyle name="CurrencyC 3 4 5" xfId="17416" xr:uid="{00000000-0005-0000-0000-000002440000}"/>
    <cellStyle name="CurrencyC 3 4 6" xfId="17417" xr:uid="{00000000-0005-0000-0000-000003440000}"/>
    <cellStyle name="CurrencyC 3 4 7" xfId="17418" xr:uid="{00000000-0005-0000-0000-000004440000}"/>
    <cellStyle name="CurrencyC 3 4 8" xfId="17419" xr:uid="{00000000-0005-0000-0000-000005440000}"/>
    <cellStyle name="CurrencyC 3 5" xfId="17420" xr:uid="{00000000-0005-0000-0000-000006440000}"/>
    <cellStyle name="CurrencyC 3 5 2" xfId="17421" xr:uid="{00000000-0005-0000-0000-000007440000}"/>
    <cellStyle name="CurrencyC 3 5 2 2" xfId="17422" xr:uid="{00000000-0005-0000-0000-000008440000}"/>
    <cellStyle name="CurrencyC 3 5 2 2 2" xfId="17423" xr:uid="{00000000-0005-0000-0000-000009440000}"/>
    <cellStyle name="CurrencyC 3 5 2 2 3" xfId="17424" xr:uid="{00000000-0005-0000-0000-00000A440000}"/>
    <cellStyle name="CurrencyC 3 5 2 2 4" xfId="17425" xr:uid="{00000000-0005-0000-0000-00000B440000}"/>
    <cellStyle name="CurrencyC 3 5 2 2 5" xfId="17426" xr:uid="{00000000-0005-0000-0000-00000C440000}"/>
    <cellStyle name="CurrencyC 3 5 2 2 6" xfId="17427" xr:uid="{00000000-0005-0000-0000-00000D440000}"/>
    <cellStyle name="CurrencyC 3 5 2 3" xfId="17428" xr:uid="{00000000-0005-0000-0000-00000E440000}"/>
    <cellStyle name="CurrencyC 3 5 2 4" xfId="17429" xr:uid="{00000000-0005-0000-0000-00000F440000}"/>
    <cellStyle name="CurrencyC 3 5 2 5" xfId="17430" xr:uid="{00000000-0005-0000-0000-000010440000}"/>
    <cellStyle name="CurrencyC 3 5 2 6" xfId="17431" xr:uid="{00000000-0005-0000-0000-000011440000}"/>
    <cellStyle name="CurrencyC 3 5 3" xfId="17432" xr:uid="{00000000-0005-0000-0000-000012440000}"/>
    <cellStyle name="CurrencyC 3 5 3 2" xfId="17433" xr:uid="{00000000-0005-0000-0000-000013440000}"/>
    <cellStyle name="CurrencyC 3 5 3 2 2" xfId="17434" xr:uid="{00000000-0005-0000-0000-000014440000}"/>
    <cellStyle name="CurrencyC 3 5 3 2 3" xfId="17435" xr:uid="{00000000-0005-0000-0000-000015440000}"/>
    <cellStyle name="CurrencyC 3 5 3 2 4" xfId="17436" xr:uid="{00000000-0005-0000-0000-000016440000}"/>
    <cellStyle name="CurrencyC 3 5 3 2 5" xfId="17437" xr:uid="{00000000-0005-0000-0000-000017440000}"/>
    <cellStyle name="CurrencyC 3 5 3 2 6" xfId="17438" xr:uid="{00000000-0005-0000-0000-000018440000}"/>
    <cellStyle name="CurrencyC 3 5 3 3" xfId="17439" xr:uid="{00000000-0005-0000-0000-000019440000}"/>
    <cellStyle name="CurrencyC 3 5 3 4" xfId="17440" xr:uid="{00000000-0005-0000-0000-00001A440000}"/>
    <cellStyle name="CurrencyC 3 5 3 5" xfId="17441" xr:uid="{00000000-0005-0000-0000-00001B440000}"/>
    <cellStyle name="CurrencyC 3 5 3 6" xfId="17442" xr:uid="{00000000-0005-0000-0000-00001C440000}"/>
    <cellStyle name="CurrencyC 3 5 4" xfId="17443" xr:uid="{00000000-0005-0000-0000-00001D440000}"/>
    <cellStyle name="CurrencyC 3 5 4 2" xfId="17444" xr:uid="{00000000-0005-0000-0000-00001E440000}"/>
    <cellStyle name="CurrencyC 3 5 4 3" xfId="17445" xr:uid="{00000000-0005-0000-0000-00001F440000}"/>
    <cellStyle name="CurrencyC 3 5 4 4" xfId="17446" xr:uid="{00000000-0005-0000-0000-000020440000}"/>
    <cellStyle name="CurrencyC 3 5 4 5" xfId="17447" xr:uid="{00000000-0005-0000-0000-000021440000}"/>
    <cellStyle name="CurrencyC 3 5 4 6" xfId="17448" xr:uid="{00000000-0005-0000-0000-000022440000}"/>
    <cellStyle name="CurrencyC 3 5 5" xfId="17449" xr:uid="{00000000-0005-0000-0000-000023440000}"/>
    <cellStyle name="CurrencyC 3 5 6" xfId="17450" xr:uid="{00000000-0005-0000-0000-000024440000}"/>
    <cellStyle name="CurrencyC 3 5 7" xfId="17451" xr:uid="{00000000-0005-0000-0000-000025440000}"/>
    <cellStyle name="CurrencyC 3 5 8" xfId="17452" xr:uid="{00000000-0005-0000-0000-000026440000}"/>
    <cellStyle name="CurrencyC 3 6" xfId="17453" xr:uid="{00000000-0005-0000-0000-000027440000}"/>
    <cellStyle name="CurrencyC 3 6 2" xfId="17454" xr:uid="{00000000-0005-0000-0000-000028440000}"/>
    <cellStyle name="CurrencyC 3 6 2 2" xfId="17455" xr:uid="{00000000-0005-0000-0000-000029440000}"/>
    <cellStyle name="CurrencyC 3 6 2 2 2" xfId="17456" xr:uid="{00000000-0005-0000-0000-00002A440000}"/>
    <cellStyle name="CurrencyC 3 6 2 2 3" xfId="17457" xr:uid="{00000000-0005-0000-0000-00002B440000}"/>
    <cellStyle name="CurrencyC 3 6 2 2 4" xfId="17458" xr:uid="{00000000-0005-0000-0000-00002C440000}"/>
    <cellStyle name="CurrencyC 3 6 2 2 5" xfId="17459" xr:uid="{00000000-0005-0000-0000-00002D440000}"/>
    <cellStyle name="CurrencyC 3 6 2 2 6" xfId="17460" xr:uid="{00000000-0005-0000-0000-00002E440000}"/>
    <cellStyle name="CurrencyC 3 6 2 3" xfId="17461" xr:uid="{00000000-0005-0000-0000-00002F440000}"/>
    <cellStyle name="CurrencyC 3 6 2 4" xfId="17462" xr:uid="{00000000-0005-0000-0000-000030440000}"/>
    <cellStyle name="CurrencyC 3 6 2 5" xfId="17463" xr:uid="{00000000-0005-0000-0000-000031440000}"/>
    <cellStyle name="CurrencyC 3 6 2 6" xfId="17464" xr:uid="{00000000-0005-0000-0000-000032440000}"/>
    <cellStyle name="CurrencyC 3 6 3" xfId="17465" xr:uid="{00000000-0005-0000-0000-000033440000}"/>
    <cellStyle name="CurrencyC 3 6 3 2" xfId="17466" xr:uid="{00000000-0005-0000-0000-000034440000}"/>
    <cellStyle name="CurrencyC 3 6 3 2 2" xfId="17467" xr:uid="{00000000-0005-0000-0000-000035440000}"/>
    <cellStyle name="CurrencyC 3 6 3 2 3" xfId="17468" xr:uid="{00000000-0005-0000-0000-000036440000}"/>
    <cellStyle name="CurrencyC 3 6 3 2 4" xfId="17469" xr:uid="{00000000-0005-0000-0000-000037440000}"/>
    <cellStyle name="CurrencyC 3 6 3 2 5" xfId="17470" xr:uid="{00000000-0005-0000-0000-000038440000}"/>
    <cellStyle name="CurrencyC 3 6 3 2 6" xfId="17471" xr:uid="{00000000-0005-0000-0000-000039440000}"/>
    <cellStyle name="CurrencyC 3 6 3 3" xfId="17472" xr:uid="{00000000-0005-0000-0000-00003A440000}"/>
    <cellStyle name="CurrencyC 3 6 3 4" xfId="17473" xr:uid="{00000000-0005-0000-0000-00003B440000}"/>
    <cellStyle name="CurrencyC 3 6 3 5" xfId="17474" xr:uid="{00000000-0005-0000-0000-00003C440000}"/>
    <cellStyle name="CurrencyC 3 6 3 6" xfId="17475" xr:uid="{00000000-0005-0000-0000-00003D440000}"/>
    <cellStyle name="CurrencyC 3 6 4" xfId="17476" xr:uid="{00000000-0005-0000-0000-00003E440000}"/>
    <cellStyle name="CurrencyC 3 6 4 2" xfId="17477" xr:uid="{00000000-0005-0000-0000-00003F440000}"/>
    <cellStyle name="CurrencyC 3 6 4 3" xfId="17478" xr:uid="{00000000-0005-0000-0000-000040440000}"/>
    <cellStyle name="CurrencyC 3 6 4 4" xfId="17479" xr:uid="{00000000-0005-0000-0000-000041440000}"/>
    <cellStyle name="CurrencyC 3 6 4 5" xfId="17480" xr:uid="{00000000-0005-0000-0000-000042440000}"/>
    <cellStyle name="CurrencyC 3 6 4 6" xfId="17481" xr:uid="{00000000-0005-0000-0000-000043440000}"/>
    <cellStyle name="CurrencyC 3 6 5" xfId="17482" xr:uid="{00000000-0005-0000-0000-000044440000}"/>
    <cellStyle name="CurrencyC 3 6 6" xfId="17483" xr:uid="{00000000-0005-0000-0000-000045440000}"/>
    <cellStyle name="CurrencyC 3 6 7" xfId="17484" xr:uid="{00000000-0005-0000-0000-000046440000}"/>
    <cellStyle name="CurrencyC 3 6 8" xfId="17485" xr:uid="{00000000-0005-0000-0000-000047440000}"/>
    <cellStyle name="CurrencyC 3 7" xfId="17486" xr:uid="{00000000-0005-0000-0000-000048440000}"/>
    <cellStyle name="CurrencyC 3 7 2" xfId="17487" xr:uid="{00000000-0005-0000-0000-000049440000}"/>
    <cellStyle name="CurrencyC 3 7 2 2" xfId="17488" xr:uid="{00000000-0005-0000-0000-00004A440000}"/>
    <cellStyle name="CurrencyC 3 7 2 2 2" xfId="17489" xr:uid="{00000000-0005-0000-0000-00004B440000}"/>
    <cellStyle name="CurrencyC 3 7 2 2 3" xfId="17490" xr:uid="{00000000-0005-0000-0000-00004C440000}"/>
    <cellStyle name="CurrencyC 3 7 2 2 4" xfId="17491" xr:uid="{00000000-0005-0000-0000-00004D440000}"/>
    <cellStyle name="CurrencyC 3 7 2 2 5" xfId="17492" xr:uid="{00000000-0005-0000-0000-00004E440000}"/>
    <cellStyle name="CurrencyC 3 7 2 2 6" xfId="17493" xr:uid="{00000000-0005-0000-0000-00004F440000}"/>
    <cellStyle name="CurrencyC 3 7 2 3" xfId="17494" xr:uid="{00000000-0005-0000-0000-000050440000}"/>
    <cellStyle name="CurrencyC 3 7 2 4" xfId="17495" xr:uid="{00000000-0005-0000-0000-000051440000}"/>
    <cellStyle name="CurrencyC 3 7 2 5" xfId="17496" xr:uid="{00000000-0005-0000-0000-000052440000}"/>
    <cellStyle name="CurrencyC 3 7 2 6" xfId="17497" xr:uid="{00000000-0005-0000-0000-000053440000}"/>
    <cellStyle name="CurrencyC 3 7 3" xfId="17498" xr:uid="{00000000-0005-0000-0000-000054440000}"/>
    <cellStyle name="CurrencyC 3 7 3 2" xfId="17499" xr:uid="{00000000-0005-0000-0000-000055440000}"/>
    <cellStyle name="CurrencyC 3 7 3 2 2" xfId="17500" xr:uid="{00000000-0005-0000-0000-000056440000}"/>
    <cellStyle name="CurrencyC 3 7 3 2 3" xfId="17501" xr:uid="{00000000-0005-0000-0000-000057440000}"/>
    <cellStyle name="CurrencyC 3 7 3 2 4" xfId="17502" xr:uid="{00000000-0005-0000-0000-000058440000}"/>
    <cellStyle name="CurrencyC 3 7 3 2 5" xfId="17503" xr:uid="{00000000-0005-0000-0000-000059440000}"/>
    <cellStyle name="CurrencyC 3 7 3 2 6" xfId="17504" xr:uid="{00000000-0005-0000-0000-00005A440000}"/>
    <cellStyle name="CurrencyC 3 7 3 3" xfId="17505" xr:uid="{00000000-0005-0000-0000-00005B440000}"/>
    <cellStyle name="CurrencyC 3 7 3 4" xfId="17506" xr:uid="{00000000-0005-0000-0000-00005C440000}"/>
    <cellStyle name="CurrencyC 3 7 3 5" xfId="17507" xr:uid="{00000000-0005-0000-0000-00005D440000}"/>
    <cellStyle name="CurrencyC 3 7 3 6" xfId="17508" xr:uid="{00000000-0005-0000-0000-00005E440000}"/>
    <cellStyle name="CurrencyC 3 7 4" xfId="17509" xr:uid="{00000000-0005-0000-0000-00005F440000}"/>
    <cellStyle name="CurrencyC 3 7 4 2" xfId="17510" xr:uid="{00000000-0005-0000-0000-000060440000}"/>
    <cellStyle name="CurrencyC 3 7 4 3" xfId="17511" xr:uid="{00000000-0005-0000-0000-000061440000}"/>
    <cellStyle name="CurrencyC 3 7 4 4" xfId="17512" xr:uid="{00000000-0005-0000-0000-000062440000}"/>
    <cellStyle name="CurrencyC 3 7 4 5" xfId="17513" xr:uid="{00000000-0005-0000-0000-000063440000}"/>
    <cellStyle name="CurrencyC 3 7 4 6" xfId="17514" xr:uid="{00000000-0005-0000-0000-000064440000}"/>
    <cellStyle name="CurrencyC 3 7 5" xfId="17515" xr:uid="{00000000-0005-0000-0000-000065440000}"/>
    <cellStyle name="CurrencyC 3 7 6" xfId="17516" xr:uid="{00000000-0005-0000-0000-000066440000}"/>
    <cellStyle name="CurrencyC 3 7 7" xfId="17517" xr:uid="{00000000-0005-0000-0000-000067440000}"/>
    <cellStyle name="CurrencyC 3 7 8" xfId="17518" xr:uid="{00000000-0005-0000-0000-000068440000}"/>
    <cellStyle name="CurrencyC 3 8" xfId="17519" xr:uid="{00000000-0005-0000-0000-000069440000}"/>
    <cellStyle name="CurrencyC 3 8 2" xfId="17520" xr:uid="{00000000-0005-0000-0000-00006A440000}"/>
    <cellStyle name="CurrencyC 3 8 2 2" xfId="17521" xr:uid="{00000000-0005-0000-0000-00006B440000}"/>
    <cellStyle name="CurrencyC 3 8 2 3" xfId="17522" xr:uid="{00000000-0005-0000-0000-00006C440000}"/>
    <cellStyle name="CurrencyC 3 8 2 4" xfId="17523" xr:uid="{00000000-0005-0000-0000-00006D440000}"/>
    <cellStyle name="CurrencyC 3 8 2 5" xfId="17524" xr:uid="{00000000-0005-0000-0000-00006E440000}"/>
    <cellStyle name="CurrencyC 3 8 2 6" xfId="17525" xr:uid="{00000000-0005-0000-0000-00006F440000}"/>
    <cellStyle name="CurrencyC 3 8 3" xfId="17526" xr:uid="{00000000-0005-0000-0000-000070440000}"/>
    <cellStyle name="CurrencyC 3 8 4" xfId="17527" xr:uid="{00000000-0005-0000-0000-000071440000}"/>
    <cellStyle name="CurrencyC 3 8 5" xfId="17528" xr:uid="{00000000-0005-0000-0000-000072440000}"/>
    <cellStyle name="CurrencyC 3 8 6" xfId="17529" xr:uid="{00000000-0005-0000-0000-000073440000}"/>
    <cellStyle name="CurrencyC 3 9" xfId="17530" xr:uid="{00000000-0005-0000-0000-000074440000}"/>
    <cellStyle name="CurrencyC 3 9 2" xfId="17531" xr:uid="{00000000-0005-0000-0000-000075440000}"/>
    <cellStyle name="CurrencyC 3 9 2 2" xfId="17532" xr:uid="{00000000-0005-0000-0000-000076440000}"/>
    <cellStyle name="CurrencyC 3 9 2 3" xfId="17533" xr:uid="{00000000-0005-0000-0000-000077440000}"/>
    <cellStyle name="CurrencyC 3 9 2 4" xfId="17534" xr:uid="{00000000-0005-0000-0000-000078440000}"/>
    <cellStyle name="CurrencyC 3 9 2 5" xfId="17535" xr:uid="{00000000-0005-0000-0000-000079440000}"/>
    <cellStyle name="CurrencyC 3 9 2 6" xfId="17536" xr:uid="{00000000-0005-0000-0000-00007A440000}"/>
    <cellStyle name="CurrencyC 3 9 3" xfId="17537" xr:uid="{00000000-0005-0000-0000-00007B440000}"/>
    <cellStyle name="CurrencyC 3 9 4" xfId="17538" xr:uid="{00000000-0005-0000-0000-00007C440000}"/>
    <cellStyle name="CurrencyC 3 9 5" xfId="17539" xr:uid="{00000000-0005-0000-0000-00007D440000}"/>
    <cellStyle name="CurrencyC 3 9 6" xfId="17540" xr:uid="{00000000-0005-0000-0000-00007E440000}"/>
    <cellStyle name="CurrencyC 4" xfId="17541" xr:uid="{00000000-0005-0000-0000-00007F440000}"/>
    <cellStyle name="CurrencyC 4 10" xfId="17542" xr:uid="{00000000-0005-0000-0000-000080440000}"/>
    <cellStyle name="CurrencyC 4 11" xfId="17543" xr:uid="{00000000-0005-0000-0000-000081440000}"/>
    <cellStyle name="CurrencyC 4 12" xfId="17544" xr:uid="{00000000-0005-0000-0000-000082440000}"/>
    <cellStyle name="CurrencyC 4 13" xfId="17545" xr:uid="{00000000-0005-0000-0000-000083440000}"/>
    <cellStyle name="CurrencyC 4 2" xfId="17546" xr:uid="{00000000-0005-0000-0000-000084440000}"/>
    <cellStyle name="CurrencyC 4 2 2" xfId="17547" xr:uid="{00000000-0005-0000-0000-000085440000}"/>
    <cellStyle name="CurrencyC 4 2 2 2" xfId="17548" xr:uid="{00000000-0005-0000-0000-000086440000}"/>
    <cellStyle name="CurrencyC 4 2 2 2 2" xfId="17549" xr:uid="{00000000-0005-0000-0000-000087440000}"/>
    <cellStyle name="CurrencyC 4 2 2 2 3" xfId="17550" xr:uid="{00000000-0005-0000-0000-000088440000}"/>
    <cellStyle name="CurrencyC 4 2 2 2 4" xfId="17551" xr:uid="{00000000-0005-0000-0000-000089440000}"/>
    <cellStyle name="CurrencyC 4 2 2 2 5" xfId="17552" xr:uid="{00000000-0005-0000-0000-00008A440000}"/>
    <cellStyle name="CurrencyC 4 2 2 2 6" xfId="17553" xr:uid="{00000000-0005-0000-0000-00008B440000}"/>
    <cellStyle name="CurrencyC 4 2 2 3" xfId="17554" xr:uid="{00000000-0005-0000-0000-00008C440000}"/>
    <cellStyle name="CurrencyC 4 2 2 4" xfId="17555" xr:uid="{00000000-0005-0000-0000-00008D440000}"/>
    <cellStyle name="CurrencyC 4 2 2 5" xfId="17556" xr:uid="{00000000-0005-0000-0000-00008E440000}"/>
    <cellStyle name="CurrencyC 4 2 2 6" xfId="17557" xr:uid="{00000000-0005-0000-0000-00008F440000}"/>
    <cellStyle name="CurrencyC 4 2 3" xfId="17558" xr:uid="{00000000-0005-0000-0000-000090440000}"/>
    <cellStyle name="CurrencyC 4 2 3 2" xfId="17559" xr:uid="{00000000-0005-0000-0000-000091440000}"/>
    <cellStyle name="CurrencyC 4 2 3 2 2" xfId="17560" xr:uid="{00000000-0005-0000-0000-000092440000}"/>
    <cellStyle name="CurrencyC 4 2 3 2 3" xfId="17561" xr:uid="{00000000-0005-0000-0000-000093440000}"/>
    <cellStyle name="CurrencyC 4 2 3 2 4" xfId="17562" xr:uid="{00000000-0005-0000-0000-000094440000}"/>
    <cellStyle name="CurrencyC 4 2 3 2 5" xfId="17563" xr:uid="{00000000-0005-0000-0000-000095440000}"/>
    <cellStyle name="CurrencyC 4 2 3 2 6" xfId="17564" xr:uid="{00000000-0005-0000-0000-000096440000}"/>
    <cellStyle name="CurrencyC 4 2 3 3" xfId="17565" xr:uid="{00000000-0005-0000-0000-000097440000}"/>
    <cellStyle name="CurrencyC 4 2 3 4" xfId="17566" xr:uid="{00000000-0005-0000-0000-000098440000}"/>
    <cellStyle name="CurrencyC 4 2 3 5" xfId="17567" xr:uid="{00000000-0005-0000-0000-000099440000}"/>
    <cellStyle name="CurrencyC 4 2 3 6" xfId="17568" xr:uid="{00000000-0005-0000-0000-00009A440000}"/>
    <cellStyle name="CurrencyC 4 2 4" xfId="17569" xr:uid="{00000000-0005-0000-0000-00009B440000}"/>
    <cellStyle name="CurrencyC 4 2 4 2" xfId="17570" xr:uid="{00000000-0005-0000-0000-00009C440000}"/>
    <cellStyle name="CurrencyC 4 2 4 3" xfId="17571" xr:uid="{00000000-0005-0000-0000-00009D440000}"/>
    <cellStyle name="CurrencyC 4 2 4 4" xfId="17572" xr:uid="{00000000-0005-0000-0000-00009E440000}"/>
    <cellStyle name="CurrencyC 4 2 4 5" xfId="17573" xr:uid="{00000000-0005-0000-0000-00009F440000}"/>
    <cellStyle name="CurrencyC 4 2 4 6" xfId="17574" xr:uid="{00000000-0005-0000-0000-0000A0440000}"/>
    <cellStyle name="CurrencyC 4 2 5" xfId="17575" xr:uid="{00000000-0005-0000-0000-0000A1440000}"/>
    <cellStyle name="CurrencyC 4 2 6" xfId="17576" xr:uid="{00000000-0005-0000-0000-0000A2440000}"/>
    <cellStyle name="CurrencyC 4 2 7" xfId="17577" xr:uid="{00000000-0005-0000-0000-0000A3440000}"/>
    <cellStyle name="CurrencyC 4 2 8" xfId="17578" xr:uid="{00000000-0005-0000-0000-0000A4440000}"/>
    <cellStyle name="CurrencyC 4 3" xfId="17579" xr:uid="{00000000-0005-0000-0000-0000A5440000}"/>
    <cellStyle name="CurrencyC 4 3 2" xfId="17580" xr:uid="{00000000-0005-0000-0000-0000A6440000}"/>
    <cellStyle name="CurrencyC 4 3 2 2" xfId="17581" xr:uid="{00000000-0005-0000-0000-0000A7440000}"/>
    <cellStyle name="CurrencyC 4 3 2 2 2" xfId="17582" xr:uid="{00000000-0005-0000-0000-0000A8440000}"/>
    <cellStyle name="CurrencyC 4 3 2 2 3" xfId="17583" xr:uid="{00000000-0005-0000-0000-0000A9440000}"/>
    <cellStyle name="CurrencyC 4 3 2 2 4" xfId="17584" xr:uid="{00000000-0005-0000-0000-0000AA440000}"/>
    <cellStyle name="CurrencyC 4 3 2 2 5" xfId="17585" xr:uid="{00000000-0005-0000-0000-0000AB440000}"/>
    <cellStyle name="CurrencyC 4 3 2 2 6" xfId="17586" xr:uid="{00000000-0005-0000-0000-0000AC440000}"/>
    <cellStyle name="CurrencyC 4 3 2 3" xfId="17587" xr:uid="{00000000-0005-0000-0000-0000AD440000}"/>
    <cellStyle name="CurrencyC 4 3 2 4" xfId="17588" xr:uid="{00000000-0005-0000-0000-0000AE440000}"/>
    <cellStyle name="CurrencyC 4 3 2 5" xfId="17589" xr:uid="{00000000-0005-0000-0000-0000AF440000}"/>
    <cellStyle name="CurrencyC 4 3 2 6" xfId="17590" xr:uid="{00000000-0005-0000-0000-0000B0440000}"/>
    <cellStyle name="CurrencyC 4 3 3" xfId="17591" xr:uid="{00000000-0005-0000-0000-0000B1440000}"/>
    <cellStyle name="CurrencyC 4 3 3 2" xfId="17592" xr:uid="{00000000-0005-0000-0000-0000B2440000}"/>
    <cellStyle name="CurrencyC 4 3 3 2 2" xfId="17593" xr:uid="{00000000-0005-0000-0000-0000B3440000}"/>
    <cellStyle name="CurrencyC 4 3 3 2 3" xfId="17594" xr:uid="{00000000-0005-0000-0000-0000B4440000}"/>
    <cellStyle name="CurrencyC 4 3 3 2 4" xfId="17595" xr:uid="{00000000-0005-0000-0000-0000B5440000}"/>
    <cellStyle name="CurrencyC 4 3 3 2 5" xfId="17596" xr:uid="{00000000-0005-0000-0000-0000B6440000}"/>
    <cellStyle name="CurrencyC 4 3 3 2 6" xfId="17597" xr:uid="{00000000-0005-0000-0000-0000B7440000}"/>
    <cellStyle name="CurrencyC 4 3 3 3" xfId="17598" xr:uid="{00000000-0005-0000-0000-0000B8440000}"/>
    <cellStyle name="CurrencyC 4 3 3 4" xfId="17599" xr:uid="{00000000-0005-0000-0000-0000B9440000}"/>
    <cellStyle name="CurrencyC 4 3 3 5" xfId="17600" xr:uid="{00000000-0005-0000-0000-0000BA440000}"/>
    <cellStyle name="CurrencyC 4 3 3 6" xfId="17601" xr:uid="{00000000-0005-0000-0000-0000BB440000}"/>
    <cellStyle name="CurrencyC 4 3 4" xfId="17602" xr:uid="{00000000-0005-0000-0000-0000BC440000}"/>
    <cellStyle name="CurrencyC 4 3 4 2" xfId="17603" xr:uid="{00000000-0005-0000-0000-0000BD440000}"/>
    <cellStyle name="CurrencyC 4 3 4 3" xfId="17604" xr:uid="{00000000-0005-0000-0000-0000BE440000}"/>
    <cellStyle name="CurrencyC 4 3 4 4" xfId="17605" xr:uid="{00000000-0005-0000-0000-0000BF440000}"/>
    <cellStyle name="CurrencyC 4 3 4 5" xfId="17606" xr:uid="{00000000-0005-0000-0000-0000C0440000}"/>
    <cellStyle name="CurrencyC 4 3 4 6" xfId="17607" xr:uid="{00000000-0005-0000-0000-0000C1440000}"/>
    <cellStyle name="CurrencyC 4 3 5" xfId="17608" xr:uid="{00000000-0005-0000-0000-0000C2440000}"/>
    <cellStyle name="CurrencyC 4 3 6" xfId="17609" xr:uid="{00000000-0005-0000-0000-0000C3440000}"/>
    <cellStyle name="CurrencyC 4 3 7" xfId="17610" xr:uid="{00000000-0005-0000-0000-0000C4440000}"/>
    <cellStyle name="CurrencyC 4 3 8" xfId="17611" xr:uid="{00000000-0005-0000-0000-0000C5440000}"/>
    <cellStyle name="CurrencyC 4 4" xfId="17612" xr:uid="{00000000-0005-0000-0000-0000C6440000}"/>
    <cellStyle name="CurrencyC 4 4 2" xfId="17613" xr:uid="{00000000-0005-0000-0000-0000C7440000}"/>
    <cellStyle name="CurrencyC 4 4 2 2" xfId="17614" xr:uid="{00000000-0005-0000-0000-0000C8440000}"/>
    <cellStyle name="CurrencyC 4 4 2 2 2" xfId="17615" xr:uid="{00000000-0005-0000-0000-0000C9440000}"/>
    <cellStyle name="CurrencyC 4 4 2 2 3" xfId="17616" xr:uid="{00000000-0005-0000-0000-0000CA440000}"/>
    <cellStyle name="CurrencyC 4 4 2 2 4" xfId="17617" xr:uid="{00000000-0005-0000-0000-0000CB440000}"/>
    <cellStyle name="CurrencyC 4 4 2 2 5" xfId="17618" xr:uid="{00000000-0005-0000-0000-0000CC440000}"/>
    <cellStyle name="CurrencyC 4 4 2 2 6" xfId="17619" xr:uid="{00000000-0005-0000-0000-0000CD440000}"/>
    <cellStyle name="CurrencyC 4 4 2 3" xfId="17620" xr:uid="{00000000-0005-0000-0000-0000CE440000}"/>
    <cellStyle name="CurrencyC 4 4 2 4" xfId="17621" xr:uid="{00000000-0005-0000-0000-0000CF440000}"/>
    <cellStyle name="CurrencyC 4 4 2 5" xfId="17622" xr:uid="{00000000-0005-0000-0000-0000D0440000}"/>
    <cellStyle name="CurrencyC 4 4 2 6" xfId="17623" xr:uid="{00000000-0005-0000-0000-0000D1440000}"/>
    <cellStyle name="CurrencyC 4 4 3" xfId="17624" xr:uid="{00000000-0005-0000-0000-0000D2440000}"/>
    <cellStyle name="CurrencyC 4 4 3 2" xfId="17625" xr:uid="{00000000-0005-0000-0000-0000D3440000}"/>
    <cellStyle name="CurrencyC 4 4 3 2 2" xfId="17626" xr:uid="{00000000-0005-0000-0000-0000D4440000}"/>
    <cellStyle name="CurrencyC 4 4 3 2 3" xfId="17627" xr:uid="{00000000-0005-0000-0000-0000D5440000}"/>
    <cellStyle name="CurrencyC 4 4 3 2 4" xfId="17628" xr:uid="{00000000-0005-0000-0000-0000D6440000}"/>
    <cellStyle name="CurrencyC 4 4 3 2 5" xfId="17629" xr:uid="{00000000-0005-0000-0000-0000D7440000}"/>
    <cellStyle name="CurrencyC 4 4 3 2 6" xfId="17630" xr:uid="{00000000-0005-0000-0000-0000D8440000}"/>
    <cellStyle name="CurrencyC 4 4 3 3" xfId="17631" xr:uid="{00000000-0005-0000-0000-0000D9440000}"/>
    <cellStyle name="CurrencyC 4 4 3 4" xfId="17632" xr:uid="{00000000-0005-0000-0000-0000DA440000}"/>
    <cellStyle name="CurrencyC 4 4 3 5" xfId="17633" xr:uid="{00000000-0005-0000-0000-0000DB440000}"/>
    <cellStyle name="CurrencyC 4 4 3 6" xfId="17634" xr:uid="{00000000-0005-0000-0000-0000DC440000}"/>
    <cellStyle name="CurrencyC 4 4 4" xfId="17635" xr:uid="{00000000-0005-0000-0000-0000DD440000}"/>
    <cellStyle name="CurrencyC 4 4 4 2" xfId="17636" xr:uid="{00000000-0005-0000-0000-0000DE440000}"/>
    <cellStyle name="CurrencyC 4 4 4 3" xfId="17637" xr:uid="{00000000-0005-0000-0000-0000DF440000}"/>
    <cellStyle name="CurrencyC 4 4 4 4" xfId="17638" xr:uid="{00000000-0005-0000-0000-0000E0440000}"/>
    <cellStyle name="CurrencyC 4 4 4 5" xfId="17639" xr:uid="{00000000-0005-0000-0000-0000E1440000}"/>
    <cellStyle name="CurrencyC 4 4 4 6" xfId="17640" xr:uid="{00000000-0005-0000-0000-0000E2440000}"/>
    <cellStyle name="CurrencyC 4 4 5" xfId="17641" xr:uid="{00000000-0005-0000-0000-0000E3440000}"/>
    <cellStyle name="CurrencyC 4 4 6" xfId="17642" xr:uid="{00000000-0005-0000-0000-0000E4440000}"/>
    <cellStyle name="CurrencyC 4 4 7" xfId="17643" xr:uid="{00000000-0005-0000-0000-0000E5440000}"/>
    <cellStyle name="CurrencyC 4 4 8" xfId="17644" xr:uid="{00000000-0005-0000-0000-0000E6440000}"/>
    <cellStyle name="CurrencyC 4 5" xfId="17645" xr:uid="{00000000-0005-0000-0000-0000E7440000}"/>
    <cellStyle name="CurrencyC 4 5 2" xfId="17646" xr:uid="{00000000-0005-0000-0000-0000E8440000}"/>
    <cellStyle name="CurrencyC 4 5 2 2" xfId="17647" xr:uid="{00000000-0005-0000-0000-0000E9440000}"/>
    <cellStyle name="CurrencyC 4 5 2 2 2" xfId="17648" xr:uid="{00000000-0005-0000-0000-0000EA440000}"/>
    <cellStyle name="CurrencyC 4 5 2 2 3" xfId="17649" xr:uid="{00000000-0005-0000-0000-0000EB440000}"/>
    <cellStyle name="CurrencyC 4 5 2 2 4" xfId="17650" xr:uid="{00000000-0005-0000-0000-0000EC440000}"/>
    <cellStyle name="CurrencyC 4 5 2 2 5" xfId="17651" xr:uid="{00000000-0005-0000-0000-0000ED440000}"/>
    <cellStyle name="CurrencyC 4 5 2 2 6" xfId="17652" xr:uid="{00000000-0005-0000-0000-0000EE440000}"/>
    <cellStyle name="CurrencyC 4 5 2 3" xfId="17653" xr:uid="{00000000-0005-0000-0000-0000EF440000}"/>
    <cellStyle name="CurrencyC 4 5 2 4" xfId="17654" xr:uid="{00000000-0005-0000-0000-0000F0440000}"/>
    <cellStyle name="CurrencyC 4 5 2 5" xfId="17655" xr:uid="{00000000-0005-0000-0000-0000F1440000}"/>
    <cellStyle name="CurrencyC 4 5 2 6" xfId="17656" xr:uid="{00000000-0005-0000-0000-0000F2440000}"/>
    <cellStyle name="CurrencyC 4 5 3" xfId="17657" xr:uid="{00000000-0005-0000-0000-0000F3440000}"/>
    <cellStyle name="CurrencyC 4 5 3 2" xfId="17658" xr:uid="{00000000-0005-0000-0000-0000F4440000}"/>
    <cellStyle name="CurrencyC 4 5 3 2 2" xfId="17659" xr:uid="{00000000-0005-0000-0000-0000F5440000}"/>
    <cellStyle name="CurrencyC 4 5 3 2 3" xfId="17660" xr:uid="{00000000-0005-0000-0000-0000F6440000}"/>
    <cellStyle name="CurrencyC 4 5 3 2 4" xfId="17661" xr:uid="{00000000-0005-0000-0000-0000F7440000}"/>
    <cellStyle name="CurrencyC 4 5 3 2 5" xfId="17662" xr:uid="{00000000-0005-0000-0000-0000F8440000}"/>
    <cellStyle name="CurrencyC 4 5 3 2 6" xfId="17663" xr:uid="{00000000-0005-0000-0000-0000F9440000}"/>
    <cellStyle name="CurrencyC 4 5 3 3" xfId="17664" xr:uid="{00000000-0005-0000-0000-0000FA440000}"/>
    <cellStyle name="CurrencyC 4 5 3 4" xfId="17665" xr:uid="{00000000-0005-0000-0000-0000FB440000}"/>
    <cellStyle name="CurrencyC 4 5 3 5" xfId="17666" xr:uid="{00000000-0005-0000-0000-0000FC440000}"/>
    <cellStyle name="CurrencyC 4 5 3 6" xfId="17667" xr:uid="{00000000-0005-0000-0000-0000FD440000}"/>
    <cellStyle name="CurrencyC 4 5 4" xfId="17668" xr:uid="{00000000-0005-0000-0000-0000FE440000}"/>
    <cellStyle name="CurrencyC 4 5 4 2" xfId="17669" xr:uid="{00000000-0005-0000-0000-0000FF440000}"/>
    <cellStyle name="CurrencyC 4 5 4 3" xfId="17670" xr:uid="{00000000-0005-0000-0000-000000450000}"/>
    <cellStyle name="CurrencyC 4 5 4 4" xfId="17671" xr:uid="{00000000-0005-0000-0000-000001450000}"/>
    <cellStyle name="CurrencyC 4 5 4 5" xfId="17672" xr:uid="{00000000-0005-0000-0000-000002450000}"/>
    <cellStyle name="CurrencyC 4 5 4 6" xfId="17673" xr:uid="{00000000-0005-0000-0000-000003450000}"/>
    <cellStyle name="CurrencyC 4 5 5" xfId="17674" xr:uid="{00000000-0005-0000-0000-000004450000}"/>
    <cellStyle name="CurrencyC 4 5 6" xfId="17675" xr:uid="{00000000-0005-0000-0000-000005450000}"/>
    <cellStyle name="CurrencyC 4 5 7" xfId="17676" xr:uid="{00000000-0005-0000-0000-000006450000}"/>
    <cellStyle name="CurrencyC 4 5 8" xfId="17677" xr:uid="{00000000-0005-0000-0000-000007450000}"/>
    <cellStyle name="CurrencyC 4 6" xfId="17678" xr:uid="{00000000-0005-0000-0000-000008450000}"/>
    <cellStyle name="CurrencyC 4 6 2" xfId="17679" xr:uid="{00000000-0005-0000-0000-000009450000}"/>
    <cellStyle name="CurrencyC 4 6 2 2" xfId="17680" xr:uid="{00000000-0005-0000-0000-00000A450000}"/>
    <cellStyle name="CurrencyC 4 6 2 2 2" xfId="17681" xr:uid="{00000000-0005-0000-0000-00000B450000}"/>
    <cellStyle name="CurrencyC 4 6 2 2 3" xfId="17682" xr:uid="{00000000-0005-0000-0000-00000C450000}"/>
    <cellStyle name="CurrencyC 4 6 2 2 4" xfId="17683" xr:uid="{00000000-0005-0000-0000-00000D450000}"/>
    <cellStyle name="CurrencyC 4 6 2 2 5" xfId="17684" xr:uid="{00000000-0005-0000-0000-00000E450000}"/>
    <cellStyle name="CurrencyC 4 6 2 2 6" xfId="17685" xr:uid="{00000000-0005-0000-0000-00000F450000}"/>
    <cellStyle name="CurrencyC 4 6 2 3" xfId="17686" xr:uid="{00000000-0005-0000-0000-000010450000}"/>
    <cellStyle name="CurrencyC 4 6 2 4" xfId="17687" xr:uid="{00000000-0005-0000-0000-000011450000}"/>
    <cellStyle name="CurrencyC 4 6 2 5" xfId="17688" xr:uid="{00000000-0005-0000-0000-000012450000}"/>
    <cellStyle name="CurrencyC 4 6 2 6" xfId="17689" xr:uid="{00000000-0005-0000-0000-000013450000}"/>
    <cellStyle name="CurrencyC 4 6 3" xfId="17690" xr:uid="{00000000-0005-0000-0000-000014450000}"/>
    <cellStyle name="CurrencyC 4 6 3 2" xfId="17691" xr:uid="{00000000-0005-0000-0000-000015450000}"/>
    <cellStyle name="CurrencyC 4 6 3 2 2" xfId="17692" xr:uid="{00000000-0005-0000-0000-000016450000}"/>
    <cellStyle name="CurrencyC 4 6 3 2 3" xfId="17693" xr:uid="{00000000-0005-0000-0000-000017450000}"/>
    <cellStyle name="CurrencyC 4 6 3 2 4" xfId="17694" xr:uid="{00000000-0005-0000-0000-000018450000}"/>
    <cellStyle name="CurrencyC 4 6 3 2 5" xfId="17695" xr:uid="{00000000-0005-0000-0000-000019450000}"/>
    <cellStyle name="CurrencyC 4 6 3 2 6" xfId="17696" xr:uid="{00000000-0005-0000-0000-00001A450000}"/>
    <cellStyle name="CurrencyC 4 6 3 3" xfId="17697" xr:uid="{00000000-0005-0000-0000-00001B450000}"/>
    <cellStyle name="CurrencyC 4 6 3 4" xfId="17698" xr:uid="{00000000-0005-0000-0000-00001C450000}"/>
    <cellStyle name="CurrencyC 4 6 3 5" xfId="17699" xr:uid="{00000000-0005-0000-0000-00001D450000}"/>
    <cellStyle name="CurrencyC 4 6 3 6" xfId="17700" xr:uid="{00000000-0005-0000-0000-00001E450000}"/>
    <cellStyle name="CurrencyC 4 6 4" xfId="17701" xr:uid="{00000000-0005-0000-0000-00001F450000}"/>
    <cellStyle name="CurrencyC 4 6 4 2" xfId="17702" xr:uid="{00000000-0005-0000-0000-000020450000}"/>
    <cellStyle name="CurrencyC 4 6 4 3" xfId="17703" xr:uid="{00000000-0005-0000-0000-000021450000}"/>
    <cellStyle name="CurrencyC 4 6 4 4" xfId="17704" xr:uid="{00000000-0005-0000-0000-000022450000}"/>
    <cellStyle name="CurrencyC 4 6 4 5" xfId="17705" xr:uid="{00000000-0005-0000-0000-000023450000}"/>
    <cellStyle name="CurrencyC 4 6 4 6" xfId="17706" xr:uid="{00000000-0005-0000-0000-000024450000}"/>
    <cellStyle name="CurrencyC 4 6 5" xfId="17707" xr:uid="{00000000-0005-0000-0000-000025450000}"/>
    <cellStyle name="CurrencyC 4 6 6" xfId="17708" xr:uid="{00000000-0005-0000-0000-000026450000}"/>
    <cellStyle name="CurrencyC 4 6 7" xfId="17709" xr:uid="{00000000-0005-0000-0000-000027450000}"/>
    <cellStyle name="CurrencyC 4 6 8" xfId="17710" xr:uid="{00000000-0005-0000-0000-000028450000}"/>
    <cellStyle name="CurrencyC 4 7" xfId="17711" xr:uid="{00000000-0005-0000-0000-000029450000}"/>
    <cellStyle name="CurrencyC 4 7 2" xfId="17712" xr:uid="{00000000-0005-0000-0000-00002A450000}"/>
    <cellStyle name="CurrencyC 4 7 2 2" xfId="17713" xr:uid="{00000000-0005-0000-0000-00002B450000}"/>
    <cellStyle name="CurrencyC 4 7 2 3" xfId="17714" xr:uid="{00000000-0005-0000-0000-00002C450000}"/>
    <cellStyle name="CurrencyC 4 7 2 4" xfId="17715" xr:uid="{00000000-0005-0000-0000-00002D450000}"/>
    <cellStyle name="CurrencyC 4 7 2 5" xfId="17716" xr:uid="{00000000-0005-0000-0000-00002E450000}"/>
    <cellStyle name="CurrencyC 4 7 2 6" xfId="17717" xr:uid="{00000000-0005-0000-0000-00002F450000}"/>
    <cellStyle name="CurrencyC 4 7 3" xfId="17718" xr:uid="{00000000-0005-0000-0000-000030450000}"/>
    <cellStyle name="CurrencyC 4 7 4" xfId="17719" xr:uid="{00000000-0005-0000-0000-000031450000}"/>
    <cellStyle name="CurrencyC 4 7 5" xfId="17720" xr:uid="{00000000-0005-0000-0000-000032450000}"/>
    <cellStyle name="CurrencyC 4 7 6" xfId="17721" xr:uid="{00000000-0005-0000-0000-000033450000}"/>
    <cellStyle name="CurrencyC 4 8" xfId="17722" xr:uid="{00000000-0005-0000-0000-000034450000}"/>
    <cellStyle name="CurrencyC 4 8 2" xfId="17723" xr:uid="{00000000-0005-0000-0000-000035450000}"/>
    <cellStyle name="CurrencyC 4 8 2 2" xfId="17724" xr:uid="{00000000-0005-0000-0000-000036450000}"/>
    <cellStyle name="CurrencyC 4 8 2 3" xfId="17725" xr:uid="{00000000-0005-0000-0000-000037450000}"/>
    <cellStyle name="CurrencyC 4 8 2 4" xfId="17726" xr:uid="{00000000-0005-0000-0000-000038450000}"/>
    <cellStyle name="CurrencyC 4 8 2 5" xfId="17727" xr:uid="{00000000-0005-0000-0000-000039450000}"/>
    <cellStyle name="CurrencyC 4 8 2 6" xfId="17728" xr:uid="{00000000-0005-0000-0000-00003A450000}"/>
    <cellStyle name="CurrencyC 4 8 3" xfId="17729" xr:uid="{00000000-0005-0000-0000-00003B450000}"/>
    <cellStyle name="CurrencyC 4 8 4" xfId="17730" xr:uid="{00000000-0005-0000-0000-00003C450000}"/>
    <cellStyle name="CurrencyC 4 8 5" xfId="17731" xr:uid="{00000000-0005-0000-0000-00003D450000}"/>
    <cellStyle name="CurrencyC 4 8 6" xfId="17732" xr:uid="{00000000-0005-0000-0000-00003E450000}"/>
    <cellStyle name="CurrencyC 4 9" xfId="17733" xr:uid="{00000000-0005-0000-0000-00003F450000}"/>
    <cellStyle name="CurrencyC 4 9 2" xfId="17734" xr:uid="{00000000-0005-0000-0000-000040450000}"/>
    <cellStyle name="CurrencyC 4 9 3" xfId="17735" xr:uid="{00000000-0005-0000-0000-000041450000}"/>
    <cellStyle name="CurrencyC 4 9 4" xfId="17736" xr:uid="{00000000-0005-0000-0000-000042450000}"/>
    <cellStyle name="CurrencyC 4 9 5" xfId="17737" xr:uid="{00000000-0005-0000-0000-000043450000}"/>
    <cellStyle name="CurrencyC 4 9 6" xfId="17738" xr:uid="{00000000-0005-0000-0000-000044450000}"/>
    <cellStyle name="CurrencyC 5" xfId="17739" xr:uid="{00000000-0005-0000-0000-000045450000}"/>
    <cellStyle name="CurrencyC 5 2" xfId="17740" xr:uid="{00000000-0005-0000-0000-000046450000}"/>
    <cellStyle name="CurrencyC 5 2 2" xfId="17741" xr:uid="{00000000-0005-0000-0000-000047450000}"/>
    <cellStyle name="CurrencyC 5 2 2 2" xfId="17742" xr:uid="{00000000-0005-0000-0000-000048450000}"/>
    <cellStyle name="CurrencyC 5 2 2 3" xfId="17743" xr:uid="{00000000-0005-0000-0000-000049450000}"/>
    <cellStyle name="CurrencyC 5 2 2 4" xfId="17744" xr:uid="{00000000-0005-0000-0000-00004A450000}"/>
    <cellStyle name="CurrencyC 5 2 2 5" xfId="17745" xr:uid="{00000000-0005-0000-0000-00004B450000}"/>
    <cellStyle name="CurrencyC 5 2 2 6" xfId="17746" xr:uid="{00000000-0005-0000-0000-00004C450000}"/>
    <cellStyle name="CurrencyC 5 2 3" xfId="17747" xr:uid="{00000000-0005-0000-0000-00004D450000}"/>
    <cellStyle name="CurrencyC 5 2 4" xfId="17748" xr:uid="{00000000-0005-0000-0000-00004E450000}"/>
    <cellStyle name="CurrencyC 5 2 5" xfId="17749" xr:uid="{00000000-0005-0000-0000-00004F450000}"/>
    <cellStyle name="CurrencyC 5 2 6" xfId="17750" xr:uid="{00000000-0005-0000-0000-000050450000}"/>
    <cellStyle name="CurrencyC 5 3" xfId="17751" xr:uid="{00000000-0005-0000-0000-000051450000}"/>
    <cellStyle name="CurrencyC 5 3 2" xfId="17752" xr:uid="{00000000-0005-0000-0000-000052450000}"/>
    <cellStyle name="CurrencyC 5 3 2 2" xfId="17753" xr:uid="{00000000-0005-0000-0000-000053450000}"/>
    <cellStyle name="CurrencyC 5 3 2 3" xfId="17754" xr:uid="{00000000-0005-0000-0000-000054450000}"/>
    <cellStyle name="CurrencyC 5 3 2 4" xfId="17755" xr:uid="{00000000-0005-0000-0000-000055450000}"/>
    <cellStyle name="CurrencyC 5 3 2 5" xfId="17756" xr:uid="{00000000-0005-0000-0000-000056450000}"/>
    <cellStyle name="CurrencyC 5 3 2 6" xfId="17757" xr:uid="{00000000-0005-0000-0000-000057450000}"/>
    <cellStyle name="CurrencyC 5 3 3" xfId="17758" xr:uid="{00000000-0005-0000-0000-000058450000}"/>
    <cellStyle name="CurrencyC 5 3 4" xfId="17759" xr:uid="{00000000-0005-0000-0000-000059450000}"/>
    <cellStyle name="CurrencyC 5 3 5" xfId="17760" xr:uid="{00000000-0005-0000-0000-00005A450000}"/>
    <cellStyle name="CurrencyC 5 3 6" xfId="17761" xr:uid="{00000000-0005-0000-0000-00005B450000}"/>
    <cellStyle name="CurrencyC 5 4" xfId="17762" xr:uid="{00000000-0005-0000-0000-00005C450000}"/>
    <cellStyle name="CurrencyC 5 4 2" xfId="17763" xr:uid="{00000000-0005-0000-0000-00005D450000}"/>
    <cellStyle name="CurrencyC 5 4 3" xfId="17764" xr:uid="{00000000-0005-0000-0000-00005E450000}"/>
    <cellStyle name="CurrencyC 5 4 4" xfId="17765" xr:uid="{00000000-0005-0000-0000-00005F450000}"/>
    <cellStyle name="CurrencyC 5 4 5" xfId="17766" xr:uid="{00000000-0005-0000-0000-000060450000}"/>
    <cellStyle name="CurrencyC 5 4 6" xfId="17767" xr:uid="{00000000-0005-0000-0000-000061450000}"/>
    <cellStyle name="CurrencyC 5 5" xfId="17768" xr:uid="{00000000-0005-0000-0000-000062450000}"/>
    <cellStyle name="CurrencyC 5 6" xfId="17769" xr:uid="{00000000-0005-0000-0000-000063450000}"/>
    <cellStyle name="CurrencyC 5 7" xfId="17770" xr:uid="{00000000-0005-0000-0000-000064450000}"/>
    <cellStyle name="CurrencyC 5 8" xfId="17771" xr:uid="{00000000-0005-0000-0000-000065450000}"/>
    <cellStyle name="CurrencyC 6" xfId="17772" xr:uid="{00000000-0005-0000-0000-000066450000}"/>
    <cellStyle name="CurrencyC 6 2" xfId="17773" xr:uid="{00000000-0005-0000-0000-000067450000}"/>
    <cellStyle name="CurrencyC 6 2 2" xfId="17774" xr:uid="{00000000-0005-0000-0000-000068450000}"/>
    <cellStyle name="CurrencyC 6 2 2 2" xfId="17775" xr:uid="{00000000-0005-0000-0000-000069450000}"/>
    <cellStyle name="CurrencyC 6 2 2 3" xfId="17776" xr:uid="{00000000-0005-0000-0000-00006A450000}"/>
    <cellStyle name="CurrencyC 6 2 2 4" xfId="17777" xr:uid="{00000000-0005-0000-0000-00006B450000}"/>
    <cellStyle name="CurrencyC 6 2 2 5" xfId="17778" xr:uid="{00000000-0005-0000-0000-00006C450000}"/>
    <cellStyle name="CurrencyC 6 2 2 6" xfId="17779" xr:uid="{00000000-0005-0000-0000-00006D450000}"/>
    <cellStyle name="CurrencyC 6 2 3" xfId="17780" xr:uid="{00000000-0005-0000-0000-00006E450000}"/>
    <cellStyle name="CurrencyC 6 2 4" xfId="17781" xr:uid="{00000000-0005-0000-0000-00006F450000}"/>
    <cellStyle name="CurrencyC 6 2 5" xfId="17782" xr:uid="{00000000-0005-0000-0000-000070450000}"/>
    <cellStyle name="CurrencyC 6 2 6" xfId="17783" xr:uid="{00000000-0005-0000-0000-000071450000}"/>
    <cellStyle name="CurrencyC 6 3" xfId="17784" xr:uid="{00000000-0005-0000-0000-000072450000}"/>
    <cellStyle name="CurrencyC 6 3 2" xfId="17785" xr:uid="{00000000-0005-0000-0000-000073450000}"/>
    <cellStyle name="CurrencyC 6 3 2 2" xfId="17786" xr:uid="{00000000-0005-0000-0000-000074450000}"/>
    <cellStyle name="CurrencyC 6 3 2 3" xfId="17787" xr:uid="{00000000-0005-0000-0000-000075450000}"/>
    <cellStyle name="CurrencyC 6 3 2 4" xfId="17788" xr:uid="{00000000-0005-0000-0000-000076450000}"/>
    <cellStyle name="CurrencyC 6 3 2 5" xfId="17789" xr:uid="{00000000-0005-0000-0000-000077450000}"/>
    <cellStyle name="CurrencyC 6 3 2 6" xfId="17790" xr:uid="{00000000-0005-0000-0000-000078450000}"/>
    <cellStyle name="CurrencyC 6 3 3" xfId="17791" xr:uid="{00000000-0005-0000-0000-000079450000}"/>
    <cellStyle name="CurrencyC 6 3 4" xfId="17792" xr:uid="{00000000-0005-0000-0000-00007A450000}"/>
    <cellStyle name="CurrencyC 6 3 5" xfId="17793" xr:uid="{00000000-0005-0000-0000-00007B450000}"/>
    <cellStyle name="CurrencyC 6 3 6" xfId="17794" xr:uid="{00000000-0005-0000-0000-00007C450000}"/>
    <cellStyle name="CurrencyC 6 4" xfId="17795" xr:uid="{00000000-0005-0000-0000-00007D450000}"/>
    <cellStyle name="CurrencyC 6 4 2" xfId="17796" xr:uid="{00000000-0005-0000-0000-00007E450000}"/>
    <cellStyle name="CurrencyC 6 4 3" xfId="17797" xr:uid="{00000000-0005-0000-0000-00007F450000}"/>
    <cellStyle name="CurrencyC 6 4 4" xfId="17798" xr:uid="{00000000-0005-0000-0000-000080450000}"/>
    <cellStyle name="CurrencyC 6 4 5" xfId="17799" xr:uid="{00000000-0005-0000-0000-000081450000}"/>
    <cellStyle name="CurrencyC 6 4 6" xfId="17800" xr:uid="{00000000-0005-0000-0000-000082450000}"/>
    <cellStyle name="CurrencyC 6 5" xfId="17801" xr:uid="{00000000-0005-0000-0000-000083450000}"/>
    <cellStyle name="CurrencyC 6 6" xfId="17802" xr:uid="{00000000-0005-0000-0000-000084450000}"/>
    <cellStyle name="CurrencyC 6 7" xfId="17803" xr:uid="{00000000-0005-0000-0000-000085450000}"/>
    <cellStyle name="CurrencyC 6 8" xfId="17804" xr:uid="{00000000-0005-0000-0000-000086450000}"/>
    <cellStyle name="CurrencyC 7" xfId="17805" xr:uid="{00000000-0005-0000-0000-000087450000}"/>
    <cellStyle name="CurrencyC 7 2" xfId="17806" xr:uid="{00000000-0005-0000-0000-000088450000}"/>
    <cellStyle name="CurrencyC 7 2 2" xfId="17807" xr:uid="{00000000-0005-0000-0000-000089450000}"/>
    <cellStyle name="CurrencyC 7 2 2 2" xfId="17808" xr:uid="{00000000-0005-0000-0000-00008A450000}"/>
    <cellStyle name="CurrencyC 7 2 2 3" xfId="17809" xr:uid="{00000000-0005-0000-0000-00008B450000}"/>
    <cellStyle name="CurrencyC 7 2 2 4" xfId="17810" xr:uid="{00000000-0005-0000-0000-00008C450000}"/>
    <cellStyle name="CurrencyC 7 2 2 5" xfId="17811" xr:uid="{00000000-0005-0000-0000-00008D450000}"/>
    <cellStyle name="CurrencyC 7 2 2 6" xfId="17812" xr:uid="{00000000-0005-0000-0000-00008E450000}"/>
    <cellStyle name="CurrencyC 7 2 3" xfId="17813" xr:uid="{00000000-0005-0000-0000-00008F450000}"/>
    <cellStyle name="CurrencyC 7 2 4" xfId="17814" xr:uid="{00000000-0005-0000-0000-000090450000}"/>
    <cellStyle name="CurrencyC 7 2 5" xfId="17815" xr:uid="{00000000-0005-0000-0000-000091450000}"/>
    <cellStyle name="CurrencyC 7 2 6" xfId="17816" xr:uid="{00000000-0005-0000-0000-000092450000}"/>
    <cellStyle name="CurrencyC 7 3" xfId="17817" xr:uid="{00000000-0005-0000-0000-000093450000}"/>
    <cellStyle name="CurrencyC 7 3 2" xfId="17818" xr:uid="{00000000-0005-0000-0000-000094450000}"/>
    <cellStyle name="CurrencyC 7 3 2 2" xfId="17819" xr:uid="{00000000-0005-0000-0000-000095450000}"/>
    <cellStyle name="CurrencyC 7 3 2 3" xfId="17820" xr:uid="{00000000-0005-0000-0000-000096450000}"/>
    <cellStyle name="CurrencyC 7 3 2 4" xfId="17821" xr:uid="{00000000-0005-0000-0000-000097450000}"/>
    <cellStyle name="CurrencyC 7 3 2 5" xfId="17822" xr:uid="{00000000-0005-0000-0000-000098450000}"/>
    <cellStyle name="CurrencyC 7 3 2 6" xfId="17823" xr:uid="{00000000-0005-0000-0000-000099450000}"/>
    <cellStyle name="CurrencyC 7 3 3" xfId="17824" xr:uid="{00000000-0005-0000-0000-00009A450000}"/>
    <cellStyle name="CurrencyC 7 3 4" xfId="17825" xr:uid="{00000000-0005-0000-0000-00009B450000}"/>
    <cellStyle name="CurrencyC 7 3 5" xfId="17826" xr:uid="{00000000-0005-0000-0000-00009C450000}"/>
    <cellStyle name="CurrencyC 7 3 6" xfId="17827" xr:uid="{00000000-0005-0000-0000-00009D450000}"/>
    <cellStyle name="CurrencyC 7 4" xfId="17828" xr:uid="{00000000-0005-0000-0000-00009E450000}"/>
    <cellStyle name="CurrencyC 7 4 2" xfId="17829" xr:uid="{00000000-0005-0000-0000-00009F450000}"/>
    <cellStyle name="CurrencyC 7 4 3" xfId="17830" xr:uid="{00000000-0005-0000-0000-0000A0450000}"/>
    <cellStyle name="CurrencyC 7 4 4" xfId="17831" xr:uid="{00000000-0005-0000-0000-0000A1450000}"/>
    <cellStyle name="CurrencyC 7 4 5" xfId="17832" xr:uid="{00000000-0005-0000-0000-0000A2450000}"/>
    <cellStyle name="CurrencyC 7 4 6" xfId="17833" xr:uid="{00000000-0005-0000-0000-0000A3450000}"/>
    <cellStyle name="CurrencyC 7 5" xfId="17834" xr:uid="{00000000-0005-0000-0000-0000A4450000}"/>
    <cellStyle name="CurrencyC 7 6" xfId="17835" xr:uid="{00000000-0005-0000-0000-0000A5450000}"/>
    <cellStyle name="CurrencyC 7 7" xfId="17836" xr:uid="{00000000-0005-0000-0000-0000A6450000}"/>
    <cellStyle name="CurrencyC 7 8" xfId="17837" xr:uid="{00000000-0005-0000-0000-0000A7450000}"/>
    <cellStyle name="CurrencyC 8" xfId="17838" xr:uid="{00000000-0005-0000-0000-0000A8450000}"/>
    <cellStyle name="CurrencyC 8 2" xfId="17839" xr:uid="{00000000-0005-0000-0000-0000A9450000}"/>
    <cellStyle name="CurrencyC 8 2 2" xfId="17840" xr:uid="{00000000-0005-0000-0000-0000AA450000}"/>
    <cellStyle name="CurrencyC 8 2 3" xfId="17841" xr:uid="{00000000-0005-0000-0000-0000AB450000}"/>
    <cellStyle name="CurrencyC 8 2 4" xfId="17842" xr:uid="{00000000-0005-0000-0000-0000AC450000}"/>
    <cellStyle name="CurrencyC 8 2 5" xfId="17843" xr:uid="{00000000-0005-0000-0000-0000AD450000}"/>
    <cellStyle name="CurrencyC 8 2 6" xfId="17844" xr:uid="{00000000-0005-0000-0000-0000AE450000}"/>
    <cellStyle name="CurrencyC 8 3" xfId="17845" xr:uid="{00000000-0005-0000-0000-0000AF450000}"/>
    <cellStyle name="CurrencyC 8 4" xfId="17846" xr:uid="{00000000-0005-0000-0000-0000B0450000}"/>
    <cellStyle name="CurrencyC 8 5" xfId="17847" xr:uid="{00000000-0005-0000-0000-0000B1450000}"/>
    <cellStyle name="CurrencyC 8 6" xfId="17848" xr:uid="{00000000-0005-0000-0000-0000B2450000}"/>
    <cellStyle name="CurrencyC 9" xfId="17849" xr:uid="{00000000-0005-0000-0000-0000B3450000}"/>
    <cellStyle name="CurrencyC 9 2" xfId="17850" xr:uid="{00000000-0005-0000-0000-0000B4450000}"/>
    <cellStyle name="CurrencyC 9 2 2" xfId="17851" xr:uid="{00000000-0005-0000-0000-0000B5450000}"/>
    <cellStyle name="CurrencyC 9 2 3" xfId="17852" xr:uid="{00000000-0005-0000-0000-0000B6450000}"/>
    <cellStyle name="CurrencyC 9 2 4" xfId="17853" xr:uid="{00000000-0005-0000-0000-0000B7450000}"/>
    <cellStyle name="CurrencyC 9 2 5" xfId="17854" xr:uid="{00000000-0005-0000-0000-0000B8450000}"/>
    <cellStyle name="CurrencyC 9 2 6" xfId="17855" xr:uid="{00000000-0005-0000-0000-0000B9450000}"/>
    <cellStyle name="CurrencyC 9 3" xfId="17856" xr:uid="{00000000-0005-0000-0000-0000BA450000}"/>
    <cellStyle name="CurrencyC 9 4" xfId="17857" xr:uid="{00000000-0005-0000-0000-0000BB450000}"/>
    <cellStyle name="CurrencyC 9 5" xfId="17858" xr:uid="{00000000-0005-0000-0000-0000BC450000}"/>
    <cellStyle name="CurrencyC 9 6" xfId="17859" xr:uid="{00000000-0005-0000-0000-0000BD450000}"/>
    <cellStyle name="CurrencyExt" xfId="17860" xr:uid="{00000000-0005-0000-0000-0000BE450000}"/>
    <cellStyle name="CurrencyExt 10" xfId="17861" xr:uid="{00000000-0005-0000-0000-0000BF450000}"/>
    <cellStyle name="CurrencyExt 10 2" xfId="17862" xr:uid="{00000000-0005-0000-0000-0000C0450000}"/>
    <cellStyle name="CurrencyExt 10 3" xfId="17863" xr:uid="{00000000-0005-0000-0000-0000C1450000}"/>
    <cellStyle name="CurrencyExt 10 4" xfId="17864" xr:uid="{00000000-0005-0000-0000-0000C2450000}"/>
    <cellStyle name="CurrencyExt 10 5" xfId="17865" xr:uid="{00000000-0005-0000-0000-0000C3450000}"/>
    <cellStyle name="CurrencyExt 10 6" xfId="17866" xr:uid="{00000000-0005-0000-0000-0000C4450000}"/>
    <cellStyle name="CurrencyExt 11" xfId="17867" xr:uid="{00000000-0005-0000-0000-0000C5450000}"/>
    <cellStyle name="CurrencyExt 12" xfId="17868" xr:uid="{00000000-0005-0000-0000-0000C6450000}"/>
    <cellStyle name="CurrencyExt 13" xfId="17869" xr:uid="{00000000-0005-0000-0000-0000C7450000}"/>
    <cellStyle name="CurrencyExt 14" xfId="17870" xr:uid="{00000000-0005-0000-0000-0000C8450000}"/>
    <cellStyle name="CurrencyExt 2" xfId="17871" xr:uid="{00000000-0005-0000-0000-0000C9450000}"/>
    <cellStyle name="CurrencyExt 2 10" xfId="17872" xr:uid="{00000000-0005-0000-0000-0000CA450000}"/>
    <cellStyle name="CurrencyExt 2 11" xfId="17873" xr:uid="{00000000-0005-0000-0000-0000CB450000}"/>
    <cellStyle name="CurrencyExt 2 12" xfId="17874" xr:uid="{00000000-0005-0000-0000-0000CC450000}"/>
    <cellStyle name="CurrencyExt 2 13" xfId="17875" xr:uid="{00000000-0005-0000-0000-0000CD450000}"/>
    <cellStyle name="CurrencyExt 2 2" xfId="17876" xr:uid="{00000000-0005-0000-0000-0000CE450000}"/>
    <cellStyle name="CurrencyExt 2 2 10" xfId="17877" xr:uid="{00000000-0005-0000-0000-0000CF450000}"/>
    <cellStyle name="CurrencyExt 2 2 10 2" xfId="17878" xr:uid="{00000000-0005-0000-0000-0000D0450000}"/>
    <cellStyle name="CurrencyExt 2 2 10 3" xfId="17879" xr:uid="{00000000-0005-0000-0000-0000D1450000}"/>
    <cellStyle name="CurrencyExt 2 2 10 4" xfId="17880" xr:uid="{00000000-0005-0000-0000-0000D2450000}"/>
    <cellStyle name="CurrencyExt 2 2 10 5" xfId="17881" xr:uid="{00000000-0005-0000-0000-0000D3450000}"/>
    <cellStyle name="CurrencyExt 2 2 10 6" xfId="17882" xr:uid="{00000000-0005-0000-0000-0000D4450000}"/>
    <cellStyle name="CurrencyExt 2 2 11" xfId="17883" xr:uid="{00000000-0005-0000-0000-0000D5450000}"/>
    <cellStyle name="CurrencyExt 2 2 12" xfId="17884" xr:uid="{00000000-0005-0000-0000-0000D6450000}"/>
    <cellStyle name="CurrencyExt 2 2 13" xfId="17885" xr:uid="{00000000-0005-0000-0000-0000D7450000}"/>
    <cellStyle name="CurrencyExt 2 2 14" xfId="17886" xr:uid="{00000000-0005-0000-0000-0000D8450000}"/>
    <cellStyle name="CurrencyExt 2 2 2" xfId="17887" xr:uid="{00000000-0005-0000-0000-0000D9450000}"/>
    <cellStyle name="CurrencyExt 2 2 2 10" xfId="17888" xr:uid="{00000000-0005-0000-0000-0000DA450000}"/>
    <cellStyle name="CurrencyExt 2 2 2 11" xfId="17889" xr:uid="{00000000-0005-0000-0000-0000DB450000}"/>
    <cellStyle name="CurrencyExt 2 2 2 12" xfId="17890" xr:uid="{00000000-0005-0000-0000-0000DC450000}"/>
    <cellStyle name="CurrencyExt 2 2 2 13" xfId="17891" xr:uid="{00000000-0005-0000-0000-0000DD450000}"/>
    <cellStyle name="CurrencyExt 2 2 2 2" xfId="17892" xr:uid="{00000000-0005-0000-0000-0000DE450000}"/>
    <cellStyle name="CurrencyExt 2 2 2 2 2" xfId="17893" xr:uid="{00000000-0005-0000-0000-0000DF450000}"/>
    <cellStyle name="CurrencyExt 2 2 2 2 2 2" xfId="17894" xr:uid="{00000000-0005-0000-0000-0000E0450000}"/>
    <cellStyle name="CurrencyExt 2 2 2 2 2 2 2" xfId="17895" xr:uid="{00000000-0005-0000-0000-0000E1450000}"/>
    <cellStyle name="CurrencyExt 2 2 2 2 2 2 3" xfId="17896" xr:uid="{00000000-0005-0000-0000-0000E2450000}"/>
    <cellStyle name="CurrencyExt 2 2 2 2 2 2 4" xfId="17897" xr:uid="{00000000-0005-0000-0000-0000E3450000}"/>
    <cellStyle name="CurrencyExt 2 2 2 2 2 2 5" xfId="17898" xr:uid="{00000000-0005-0000-0000-0000E4450000}"/>
    <cellStyle name="CurrencyExt 2 2 2 2 2 2 6" xfId="17899" xr:uid="{00000000-0005-0000-0000-0000E5450000}"/>
    <cellStyle name="CurrencyExt 2 2 2 2 2 3" xfId="17900" xr:uid="{00000000-0005-0000-0000-0000E6450000}"/>
    <cellStyle name="CurrencyExt 2 2 2 2 2 4" xfId="17901" xr:uid="{00000000-0005-0000-0000-0000E7450000}"/>
    <cellStyle name="CurrencyExt 2 2 2 2 2 5" xfId="17902" xr:uid="{00000000-0005-0000-0000-0000E8450000}"/>
    <cellStyle name="CurrencyExt 2 2 2 2 2 6" xfId="17903" xr:uid="{00000000-0005-0000-0000-0000E9450000}"/>
    <cellStyle name="CurrencyExt 2 2 2 2 3" xfId="17904" xr:uid="{00000000-0005-0000-0000-0000EA450000}"/>
    <cellStyle name="CurrencyExt 2 2 2 2 3 2" xfId="17905" xr:uid="{00000000-0005-0000-0000-0000EB450000}"/>
    <cellStyle name="CurrencyExt 2 2 2 2 3 2 2" xfId="17906" xr:uid="{00000000-0005-0000-0000-0000EC450000}"/>
    <cellStyle name="CurrencyExt 2 2 2 2 3 2 3" xfId="17907" xr:uid="{00000000-0005-0000-0000-0000ED450000}"/>
    <cellStyle name="CurrencyExt 2 2 2 2 3 2 4" xfId="17908" xr:uid="{00000000-0005-0000-0000-0000EE450000}"/>
    <cellStyle name="CurrencyExt 2 2 2 2 3 2 5" xfId="17909" xr:uid="{00000000-0005-0000-0000-0000EF450000}"/>
    <cellStyle name="CurrencyExt 2 2 2 2 3 2 6" xfId="17910" xr:uid="{00000000-0005-0000-0000-0000F0450000}"/>
    <cellStyle name="CurrencyExt 2 2 2 2 3 3" xfId="17911" xr:uid="{00000000-0005-0000-0000-0000F1450000}"/>
    <cellStyle name="CurrencyExt 2 2 2 2 3 4" xfId="17912" xr:uid="{00000000-0005-0000-0000-0000F2450000}"/>
    <cellStyle name="CurrencyExt 2 2 2 2 3 5" xfId="17913" xr:uid="{00000000-0005-0000-0000-0000F3450000}"/>
    <cellStyle name="CurrencyExt 2 2 2 2 3 6" xfId="17914" xr:uid="{00000000-0005-0000-0000-0000F4450000}"/>
    <cellStyle name="CurrencyExt 2 2 2 2 4" xfId="17915" xr:uid="{00000000-0005-0000-0000-0000F5450000}"/>
    <cellStyle name="CurrencyExt 2 2 2 2 4 2" xfId="17916" xr:uid="{00000000-0005-0000-0000-0000F6450000}"/>
    <cellStyle name="CurrencyExt 2 2 2 2 4 3" xfId="17917" xr:uid="{00000000-0005-0000-0000-0000F7450000}"/>
    <cellStyle name="CurrencyExt 2 2 2 2 4 4" xfId="17918" xr:uid="{00000000-0005-0000-0000-0000F8450000}"/>
    <cellStyle name="CurrencyExt 2 2 2 2 4 5" xfId="17919" xr:uid="{00000000-0005-0000-0000-0000F9450000}"/>
    <cellStyle name="CurrencyExt 2 2 2 2 4 6" xfId="17920" xr:uid="{00000000-0005-0000-0000-0000FA450000}"/>
    <cellStyle name="CurrencyExt 2 2 2 2 5" xfId="17921" xr:uid="{00000000-0005-0000-0000-0000FB450000}"/>
    <cellStyle name="CurrencyExt 2 2 2 2 6" xfId="17922" xr:uid="{00000000-0005-0000-0000-0000FC450000}"/>
    <cellStyle name="CurrencyExt 2 2 2 2 7" xfId="17923" xr:uid="{00000000-0005-0000-0000-0000FD450000}"/>
    <cellStyle name="CurrencyExt 2 2 2 2 8" xfId="17924" xr:uid="{00000000-0005-0000-0000-0000FE450000}"/>
    <cellStyle name="CurrencyExt 2 2 2 3" xfId="17925" xr:uid="{00000000-0005-0000-0000-0000FF450000}"/>
    <cellStyle name="CurrencyExt 2 2 2 3 2" xfId="17926" xr:uid="{00000000-0005-0000-0000-000000460000}"/>
    <cellStyle name="CurrencyExt 2 2 2 3 2 2" xfId="17927" xr:uid="{00000000-0005-0000-0000-000001460000}"/>
    <cellStyle name="CurrencyExt 2 2 2 3 2 2 2" xfId="17928" xr:uid="{00000000-0005-0000-0000-000002460000}"/>
    <cellStyle name="CurrencyExt 2 2 2 3 2 2 3" xfId="17929" xr:uid="{00000000-0005-0000-0000-000003460000}"/>
    <cellStyle name="CurrencyExt 2 2 2 3 2 2 4" xfId="17930" xr:uid="{00000000-0005-0000-0000-000004460000}"/>
    <cellStyle name="CurrencyExt 2 2 2 3 2 2 5" xfId="17931" xr:uid="{00000000-0005-0000-0000-000005460000}"/>
    <cellStyle name="CurrencyExt 2 2 2 3 2 2 6" xfId="17932" xr:uid="{00000000-0005-0000-0000-000006460000}"/>
    <cellStyle name="CurrencyExt 2 2 2 3 2 3" xfId="17933" xr:uid="{00000000-0005-0000-0000-000007460000}"/>
    <cellStyle name="CurrencyExt 2 2 2 3 2 4" xfId="17934" xr:uid="{00000000-0005-0000-0000-000008460000}"/>
    <cellStyle name="CurrencyExt 2 2 2 3 2 5" xfId="17935" xr:uid="{00000000-0005-0000-0000-000009460000}"/>
    <cellStyle name="CurrencyExt 2 2 2 3 2 6" xfId="17936" xr:uid="{00000000-0005-0000-0000-00000A460000}"/>
    <cellStyle name="CurrencyExt 2 2 2 3 3" xfId="17937" xr:uid="{00000000-0005-0000-0000-00000B460000}"/>
    <cellStyle name="CurrencyExt 2 2 2 3 3 2" xfId="17938" xr:uid="{00000000-0005-0000-0000-00000C460000}"/>
    <cellStyle name="CurrencyExt 2 2 2 3 3 2 2" xfId="17939" xr:uid="{00000000-0005-0000-0000-00000D460000}"/>
    <cellStyle name="CurrencyExt 2 2 2 3 3 2 3" xfId="17940" xr:uid="{00000000-0005-0000-0000-00000E460000}"/>
    <cellStyle name="CurrencyExt 2 2 2 3 3 2 4" xfId="17941" xr:uid="{00000000-0005-0000-0000-00000F460000}"/>
    <cellStyle name="CurrencyExt 2 2 2 3 3 2 5" xfId="17942" xr:uid="{00000000-0005-0000-0000-000010460000}"/>
    <cellStyle name="CurrencyExt 2 2 2 3 3 2 6" xfId="17943" xr:uid="{00000000-0005-0000-0000-000011460000}"/>
    <cellStyle name="CurrencyExt 2 2 2 3 3 3" xfId="17944" xr:uid="{00000000-0005-0000-0000-000012460000}"/>
    <cellStyle name="CurrencyExt 2 2 2 3 3 4" xfId="17945" xr:uid="{00000000-0005-0000-0000-000013460000}"/>
    <cellStyle name="CurrencyExt 2 2 2 3 3 5" xfId="17946" xr:uid="{00000000-0005-0000-0000-000014460000}"/>
    <cellStyle name="CurrencyExt 2 2 2 3 3 6" xfId="17947" xr:uid="{00000000-0005-0000-0000-000015460000}"/>
    <cellStyle name="CurrencyExt 2 2 2 3 4" xfId="17948" xr:uid="{00000000-0005-0000-0000-000016460000}"/>
    <cellStyle name="CurrencyExt 2 2 2 3 4 2" xfId="17949" xr:uid="{00000000-0005-0000-0000-000017460000}"/>
    <cellStyle name="CurrencyExt 2 2 2 3 4 3" xfId="17950" xr:uid="{00000000-0005-0000-0000-000018460000}"/>
    <cellStyle name="CurrencyExt 2 2 2 3 4 4" xfId="17951" xr:uid="{00000000-0005-0000-0000-000019460000}"/>
    <cellStyle name="CurrencyExt 2 2 2 3 4 5" xfId="17952" xr:uid="{00000000-0005-0000-0000-00001A460000}"/>
    <cellStyle name="CurrencyExt 2 2 2 3 4 6" xfId="17953" xr:uid="{00000000-0005-0000-0000-00001B460000}"/>
    <cellStyle name="CurrencyExt 2 2 2 3 5" xfId="17954" xr:uid="{00000000-0005-0000-0000-00001C460000}"/>
    <cellStyle name="CurrencyExt 2 2 2 3 6" xfId="17955" xr:uid="{00000000-0005-0000-0000-00001D460000}"/>
    <cellStyle name="CurrencyExt 2 2 2 3 7" xfId="17956" xr:uid="{00000000-0005-0000-0000-00001E460000}"/>
    <cellStyle name="CurrencyExt 2 2 2 3 8" xfId="17957" xr:uid="{00000000-0005-0000-0000-00001F460000}"/>
    <cellStyle name="CurrencyExt 2 2 2 4" xfId="17958" xr:uid="{00000000-0005-0000-0000-000020460000}"/>
    <cellStyle name="CurrencyExt 2 2 2 4 2" xfId="17959" xr:uid="{00000000-0005-0000-0000-000021460000}"/>
    <cellStyle name="CurrencyExt 2 2 2 4 2 2" xfId="17960" xr:uid="{00000000-0005-0000-0000-000022460000}"/>
    <cellStyle name="CurrencyExt 2 2 2 4 2 2 2" xfId="17961" xr:uid="{00000000-0005-0000-0000-000023460000}"/>
    <cellStyle name="CurrencyExt 2 2 2 4 2 2 3" xfId="17962" xr:uid="{00000000-0005-0000-0000-000024460000}"/>
    <cellStyle name="CurrencyExt 2 2 2 4 2 2 4" xfId="17963" xr:uid="{00000000-0005-0000-0000-000025460000}"/>
    <cellStyle name="CurrencyExt 2 2 2 4 2 2 5" xfId="17964" xr:uid="{00000000-0005-0000-0000-000026460000}"/>
    <cellStyle name="CurrencyExt 2 2 2 4 2 2 6" xfId="17965" xr:uid="{00000000-0005-0000-0000-000027460000}"/>
    <cellStyle name="CurrencyExt 2 2 2 4 2 3" xfId="17966" xr:uid="{00000000-0005-0000-0000-000028460000}"/>
    <cellStyle name="CurrencyExt 2 2 2 4 2 4" xfId="17967" xr:uid="{00000000-0005-0000-0000-000029460000}"/>
    <cellStyle name="CurrencyExt 2 2 2 4 2 5" xfId="17968" xr:uid="{00000000-0005-0000-0000-00002A460000}"/>
    <cellStyle name="CurrencyExt 2 2 2 4 2 6" xfId="17969" xr:uid="{00000000-0005-0000-0000-00002B460000}"/>
    <cellStyle name="CurrencyExt 2 2 2 4 3" xfId="17970" xr:uid="{00000000-0005-0000-0000-00002C460000}"/>
    <cellStyle name="CurrencyExt 2 2 2 4 3 2" xfId="17971" xr:uid="{00000000-0005-0000-0000-00002D460000}"/>
    <cellStyle name="CurrencyExt 2 2 2 4 3 2 2" xfId="17972" xr:uid="{00000000-0005-0000-0000-00002E460000}"/>
    <cellStyle name="CurrencyExt 2 2 2 4 3 2 3" xfId="17973" xr:uid="{00000000-0005-0000-0000-00002F460000}"/>
    <cellStyle name="CurrencyExt 2 2 2 4 3 2 4" xfId="17974" xr:uid="{00000000-0005-0000-0000-000030460000}"/>
    <cellStyle name="CurrencyExt 2 2 2 4 3 2 5" xfId="17975" xr:uid="{00000000-0005-0000-0000-000031460000}"/>
    <cellStyle name="CurrencyExt 2 2 2 4 3 2 6" xfId="17976" xr:uid="{00000000-0005-0000-0000-000032460000}"/>
    <cellStyle name="CurrencyExt 2 2 2 4 3 3" xfId="17977" xr:uid="{00000000-0005-0000-0000-000033460000}"/>
    <cellStyle name="CurrencyExt 2 2 2 4 3 4" xfId="17978" xr:uid="{00000000-0005-0000-0000-000034460000}"/>
    <cellStyle name="CurrencyExt 2 2 2 4 3 5" xfId="17979" xr:uid="{00000000-0005-0000-0000-000035460000}"/>
    <cellStyle name="CurrencyExt 2 2 2 4 3 6" xfId="17980" xr:uid="{00000000-0005-0000-0000-000036460000}"/>
    <cellStyle name="CurrencyExt 2 2 2 4 4" xfId="17981" xr:uid="{00000000-0005-0000-0000-000037460000}"/>
    <cellStyle name="CurrencyExt 2 2 2 4 4 2" xfId="17982" xr:uid="{00000000-0005-0000-0000-000038460000}"/>
    <cellStyle name="CurrencyExt 2 2 2 4 4 3" xfId="17983" xr:uid="{00000000-0005-0000-0000-000039460000}"/>
    <cellStyle name="CurrencyExt 2 2 2 4 4 4" xfId="17984" xr:uid="{00000000-0005-0000-0000-00003A460000}"/>
    <cellStyle name="CurrencyExt 2 2 2 4 4 5" xfId="17985" xr:uid="{00000000-0005-0000-0000-00003B460000}"/>
    <cellStyle name="CurrencyExt 2 2 2 4 4 6" xfId="17986" xr:uid="{00000000-0005-0000-0000-00003C460000}"/>
    <cellStyle name="CurrencyExt 2 2 2 4 5" xfId="17987" xr:uid="{00000000-0005-0000-0000-00003D460000}"/>
    <cellStyle name="CurrencyExt 2 2 2 4 6" xfId="17988" xr:uid="{00000000-0005-0000-0000-00003E460000}"/>
    <cellStyle name="CurrencyExt 2 2 2 4 7" xfId="17989" xr:uid="{00000000-0005-0000-0000-00003F460000}"/>
    <cellStyle name="CurrencyExt 2 2 2 4 8" xfId="17990" xr:uid="{00000000-0005-0000-0000-000040460000}"/>
    <cellStyle name="CurrencyExt 2 2 2 5" xfId="17991" xr:uid="{00000000-0005-0000-0000-000041460000}"/>
    <cellStyle name="CurrencyExt 2 2 2 5 2" xfId="17992" xr:uid="{00000000-0005-0000-0000-000042460000}"/>
    <cellStyle name="CurrencyExt 2 2 2 5 2 2" xfId="17993" xr:uid="{00000000-0005-0000-0000-000043460000}"/>
    <cellStyle name="CurrencyExt 2 2 2 5 2 2 2" xfId="17994" xr:uid="{00000000-0005-0000-0000-000044460000}"/>
    <cellStyle name="CurrencyExt 2 2 2 5 2 2 3" xfId="17995" xr:uid="{00000000-0005-0000-0000-000045460000}"/>
    <cellStyle name="CurrencyExt 2 2 2 5 2 2 4" xfId="17996" xr:uid="{00000000-0005-0000-0000-000046460000}"/>
    <cellStyle name="CurrencyExt 2 2 2 5 2 2 5" xfId="17997" xr:uid="{00000000-0005-0000-0000-000047460000}"/>
    <cellStyle name="CurrencyExt 2 2 2 5 2 2 6" xfId="17998" xr:uid="{00000000-0005-0000-0000-000048460000}"/>
    <cellStyle name="CurrencyExt 2 2 2 5 2 3" xfId="17999" xr:uid="{00000000-0005-0000-0000-000049460000}"/>
    <cellStyle name="CurrencyExt 2 2 2 5 2 4" xfId="18000" xr:uid="{00000000-0005-0000-0000-00004A460000}"/>
    <cellStyle name="CurrencyExt 2 2 2 5 2 5" xfId="18001" xr:uid="{00000000-0005-0000-0000-00004B460000}"/>
    <cellStyle name="CurrencyExt 2 2 2 5 2 6" xfId="18002" xr:uid="{00000000-0005-0000-0000-00004C460000}"/>
    <cellStyle name="CurrencyExt 2 2 2 5 3" xfId="18003" xr:uid="{00000000-0005-0000-0000-00004D460000}"/>
    <cellStyle name="CurrencyExt 2 2 2 5 3 2" xfId="18004" xr:uid="{00000000-0005-0000-0000-00004E460000}"/>
    <cellStyle name="CurrencyExt 2 2 2 5 3 2 2" xfId="18005" xr:uid="{00000000-0005-0000-0000-00004F460000}"/>
    <cellStyle name="CurrencyExt 2 2 2 5 3 2 3" xfId="18006" xr:uid="{00000000-0005-0000-0000-000050460000}"/>
    <cellStyle name="CurrencyExt 2 2 2 5 3 2 4" xfId="18007" xr:uid="{00000000-0005-0000-0000-000051460000}"/>
    <cellStyle name="CurrencyExt 2 2 2 5 3 2 5" xfId="18008" xr:uid="{00000000-0005-0000-0000-000052460000}"/>
    <cellStyle name="CurrencyExt 2 2 2 5 3 2 6" xfId="18009" xr:uid="{00000000-0005-0000-0000-000053460000}"/>
    <cellStyle name="CurrencyExt 2 2 2 5 3 3" xfId="18010" xr:uid="{00000000-0005-0000-0000-000054460000}"/>
    <cellStyle name="CurrencyExt 2 2 2 5 3 4" xfId="18011" xr:uid="{00000000-0005-0000-0000-000055460000}"/>
    <cellStyle name="CurrencyExt 2 2 2 5 3 5" xfId="18012" xr:uid="{00000000-0005-0000-0000-000056460000}"/>
    <cellStyle name="CurrencyExt 2 2 2 5 3 6" xfId="18013" xr:uid="{00000000-0005-0000-0000-000057460000}"/>
    <cellStyle name="CurrencyExt 2 2 2 5 4" xfId="18014" xr:uid="{00000000-0005-0000-0000-000058460000}"/>
    <cellStyle name="CurrencyExt 2 2 2 5 4 2" xfId="18015" xr:uid="{00000000-0005-0000-0000-000059460000}"/>
    <cellStyle name="CurrencyExt 2 2 2 5 4 3" xfId="18016" xr:uid="{00000000-0005-0000-0000-00005A460000}"/>
    <cellStyle name="CurrencyExt 2 2 2 5 4 4" xfId="18017" xr:uid="{00000000-0005-0000-0000-00005B460000}"/>
    <cellStyle name="CurrencyExt 2 2 2 5 4 5" xfId="18018" xr:uid="{00000000-0005-0000-0000-00005C460000}"/>
    <cellStyle name="CurrencyExt 2 2 2 5 4 6" xfId="18019" xr:uid="{00000000-0005-0000-0000-00005D460000}"/>
    <cellStyle name="CurrencyExt 2 2 2 5 5" xfId="18020" xr:uid="{00000000-0005-0000-0000-00005E460000}"/>
    <cellStyle name="CurrencyExt 2 2 2 5 6" xfId="18021" xr:uid="{00000000-0005-0000-0000-00005F460000}"/>
    <cellStyle name="CurrencyExt 2 2 2 5 7" xfId="18022" xr:uid="{00000000-0005-0000-0000-000060460000}"/>
    <cellStyle name="CurrencyExt 2 2 2 5 8" xfId="18023" xr:uid="{00000000-0005-0000-0000-000061460000}"/>
    <cellStyle name="CurrencyExt 2 2 2 6" xfId="18024" xr:uid="{00000000-0005-0000-0000-000062460000}"/>
    <cellStyle name="CurrencyExt 2 2 2 6 2" xfId="18025" xr:uid="{00000000-0005-0000-0000-000063460000}"/>
    <cellStyle name="CurrencyExt 2 2 2 6 2 2" xfId="18026" xr:uid="{00000000-0005-0000-0000-000064460000}"/>
    <cellStyle name="CurrencyExt 2 2 2 6 2 2 2" xfId="18027" xr:uid="{00000000-0005-0000-0000-000065460000}"/>
    <cellStyle name="CurrencyExt 2 2 2 6 2 2 3" xfId="18028" xr:uid="{00000000-0005-0000-0000-000066460000}"/>
    <cellStyle name="CurrencyExt 2 2 2 6 2 2 4" xfId="18029" xr:uid="{00000000-0005-0000-0000-000067460000}"/>
    <cellStyle name="CurrencyExt 2 2 2 6 2 2 5" xfId="18030" xr:uid="{00000000-0005-0000-0000-000068460000}"/>
    <cellStyle name="CurrencyExt 2 2 2 6 2 2 6" xfId="18031" xr:uid="{00000000-0005-0000-0000-000069460000}"/>
    <cellStyle name="CurrencyExt 2 2 2 6 2 3" xfId="18032" xr:uid="{00000000-0005-0000-0000-00006A460000}"/>
    <cellStyle name="CurrencyExt 2 2 2 6 2 4" xfId="18033" xr:uid="{00000000-0005-0000-0000-00006B460000}"/>
    <cellStyle name="CurrencyExt 2 2 2 6 2 5" xfId="18034" xr:uid="{00000000-0005-0000-0000-00006C460000}"/>
    <cellStyle name="CurrencyExt 2 2 2 6 2 6" xfId="18035" xr:uid="{00000000-0005-0000-0000-00006D460000}"/>
    <cellStyle name="CurrencyExt 2 2 2 6 3" xfId="18036" xr:uid="{00000000-0005-0000-0000-00006E460000}"/>
    <cellStyle name="CurrencyExt 2 2 2 6 3 2" xfId="18037" xr:uid="{00000000-0005-0000-0000-00006F460000}"/>
    <cellStyle name="CurrencyExt 2 2 2 6 3 2 2" xfId="18038" xr:uid="{00000000-0005-0000-0000-000070460000}"/>
    <cellStyle name="CurrencyExt 2 2 2 6 3 2 3" xfId="18039" xr:uid="{00000000-0005-0000-0000-000071460000}"/>
    <cellStyle name="CurrencyExt 2 2 2 6 3 2 4" xfId="18040" xr:uid="{00000000-0005-0000-0000-000072460000}"/>
    <cellStyle name="CurrencyExt 2 2 2 6 3 2 5" xfId="18041" xr:uid="{00000000-0005-0000-0000-000073460000}"/>
    <cellStyle name="CurrencyExt 2 2 2 6 3 2 6" xfId="18042" xr:uid="{00000000-0005-0000-0000-000074460000}"/>
    <cellStyle name="CurrencyExt 2 2 2 6 3 3" xfId="18043" xr:uid="{00000000-0005-0000-0000-000075460000}"/>
    <cellStyle name="CurrencyExt 2 2 2 6 3 4" xfId="18044" xr:uid="{00000000-0005-0000-0000-000076460000}"/>
    <cellStyle name="CurrencyExt 2 2 2 6 3 5" xfId="18045" xr:uid="{00000000-0005-0000-0000-000077460000}"/>
    <cellStyle name="CurrencyExt 2 2 2 6 3 6" xfId="18046" xr:uid="{00000000-0005-0000-0000-000078460000}"/>
    <cellStyle name="CurrencyExt 2 2 2 6 4" xfId="18047" xr:uid="{00000000-0005-0000-0000-000079460000}"/>
    <cellStyle name="CurrencyExt 2 2 2 6 4 2" xfId="18048" xr:uid="{00000000-0005-0000-0000-00007A460000}"/>
    <cellStyle name="CurrencyExt 2 2 2 6 4 3" xfId="18049" xr:uid="{00000000-0005-0000-0000-00007B460000}"/>
    <cellStyle name="CurrencyExt 2 2 2 6 4 4" xfId="18050" xr:uid="{00000000-0005-0000-0000-00007C460000}"/>
    <cellStyle name="CurrencyExt 2 2 2 6 4 5" xfId="18051" xr:uid="{00000000-0005-0000-0000-00007D460000}"/>
    <cellStyle name="CurrencyExt 2 2 2 6 4 6" xfId="18052" xr:uid="{00000000-0005-0000-0000-00007E460000}"/>
    <cellStyle name="CurrencyExt 2 2 2 6 5" xfId="18053" xr:uid="{00000000-0005-0000-0000-00007F460000}"/>
    <cellStyle name="CurrencyExt 2 2 2 6 6" xfId="18054" xr:uid="{00000000-0005-0000-0000-000080460000}"/>
    <cellStyle name="CurrencyExt 2 2 2 6 7" xfId="18055" xr:uid="{00000000-0005-0000-0000-000081460000}"/>
    <cellStyle name="CurrencyExt 2 2 2 6 8" xfId="18056" xr:uid="{00000000-0005-0000-0000-000082460000}"/>
    <cellStyle name="CurrencyExt 2 2 2 7" xfId="18057" xr:uid="{00000000-0005-0000-0000-000083460000}"/>
    <cellStyle name="CurrencyExt 2 2 2 7 2" xfId="18058" xr:uid="{00000000-0005-0000-0000-000084460000}"/>
    <cellStyle name="CurrencyExt 2 2 2 7 2 2" xfId="18059" xr:uid="{00000000-0005-0000-0000-000085460000}"/>
    <cellStyle name="CurrencyExt 2 2 2 7 2 3" xfId="18060" xr:uid="{00000000-0005-0000-0000-000086460000}"/>
    <cellStyle name="CurrencyExt 2 2 2 7 2 4" xfId="18061" xr:uid="{00000000-0005-0000-0000-000087460000}"/>
    <cellStyle name="CurrencyExt 2 2 2 7 2 5" xfId="18062" xr:uid="{00000000-0005-0000-0000-000088460000}"/>
    <cellStyle name="CurrencyExt 2 2 2 7 2 6" xfId="18063" xr:uid="{00000000-0005-0000-0000-000089460000}"/>
    <cellStyle name="CurrencyExt 2 2 2 7 3" xfId="18064" xr:uid="{00000000-0005-0000-0000-00008A460000}"/>
    <cellStyle name="CurrencyExt 2 2 2 7 4" xfId="18065" xr:uid="{00000000-0005-0000-0000-00008B460000}"/>
    <cellStyle name="CurrencyExt 2 2 2 7 5" xfId="18066" xr:uid="{00000000-0005-0000-0000-00008C460000}"/>
    <cellStyle name="CurrencyExt 2 2 2 7 6" xfId="18067" xr:uid="{00000000-0005-0000-0000-00008D460000}"/>
    <cellStyle name="CurrencyExt 2 2 2 8" xfId="18068" xr:uid="{00000000-0005-0000-0000-00008E460000}"/>
    <cellStyle name="CurrencyExt 2 2 2 8 2" xfId="18069" xr:uid="{00000000-0005-0000-0000-00008F460000}"/>
    <cellStyle name="CurrencyExt 2 2 2 8 2 2" xfId="18070" xr:uid="{00000000-0005-0000-0000-000090460000}"/>
    <cellStyle name="CurrencyExt 2 2 2 8 2 3" xfId="18071" xr:uid="{00000000-0005-0000-0000-000091460000}"/>
    <cellStyle name="CurrencyExt 2 2 2 8 2 4" xfId="18072" xr:uid="{00000000-0005-0000-0000-000092460000}"/>
    <cellStyle name="CurrencyExt 2 2 2 8 2 5" xfId="18073" xr:uid="{00000000-0005-0000-0000-000093460000}"/>
    <cellStyle name="CurrencyExt 2 2 2 8 2 6" xfId="18074" xr:uid="{00000000-0005-0000-0000-000094460000}"/>
    <cellStyle name="CurrencyExt 2 2 2 8 3" xfId="18075" xr:uid="{00000000-0005-0000-0000-000095460000}"/>
    <cellStyle name="CurrencyExt 2 2 2 8 4" xfId="18076" xr:uid="{00000000-0005-0000-0000-000096460000}"/>
    <cellStyle name="CurrencyExt 2 2 2 8 5" xfId="18077" xr:uid="{00000000-0005-0000-0000-000097460000}"/>
    <cellStyle name="CurrencyExt 2 2 2 8 6" xfId="18078" xr:uid="{00000000-0005-0000-0000-000098460000}"/>
    <cellStyle name="CurrencyExt 2 2 2 9" xfId="18079" xr:uid="{00000000-0005-0000-0000-000099460000}"/>
    <cellStyle name="CurrencyExt 2 2 2 9 2" xfId="18080" xr:uid="{00000000-0005-0000-0000-00009A460000}"/>
    <cellStyle name="CurrencyExt 2 2 2 9 3" xfId="18081" xr:uid="{00000000-0005-0000-0000-00009B460000}"/>
    <cellStyle name="CurrencyExt 2 2 2 9 4" xfId="18082" xr:uid="{00000000-0005-0000-0000-00009C460000}"/>
    <cellStyle name="CurrencyExt 2 2 2 9 5" xfId="18083" xr:uid="{00000000-0005-0000-0000-00009D460000}"/>
    <cellStyle name="CurrencyExt 2 2 2 9 6" xfId="18084" xr:uid="{00000000-0005-0000-0000-00009E460000}"/>
    <cellStyle name="CurrencyExt 2 2 3" xfId="18085" xr:uid="{00000000-0005-0000-0000-00009F460000}"/>
    <cellStyle name="CurrencyExt 2 2 3 2" xfId="18086" xr:uid="{00000000-0005-0000-0000-0000A0460000}"/>
    <cellStyle name="CurrencyExt 2 2 3 2 2" xfId="18087" xr:uid="{00000000-0005-0000-0000-0000A1460000}"/>
    <cellStyle name="CurrencyExt 2 2 3 2 2 2" xfId="18088" xr:uid="{00000000-0005-0000-0000-0000A2460000}"/>
    <cellStyle name="CurrencyExt 2 2 3 2 2 3" xfId="18089" xr:uid="{00000000-0005-0000-0000-0000A3460000}"/>
    <cellStyle name="CurrencyExt 2 2 3 2 2 4" xfId="18090" xr:uid="{00000000-0005-0000-0000-0000A4460000}"/>
    <cellStyle name="CurrencyExt 2 2 3 2 2 5" xfId="18091" xr:uid="{00000000-0005-0000-0000-0000A5460000}"/>
    <cellStyle name="CurrencyExt 2 2 3 2 2 6" xfId="18092" xr:uid="{00000000-0005-0000-0000-0000A6460000}"/>
    <cellStyle name="CurrencyExt 2 2 3 2 3" xfId="18093" xr:uid="{00000000-0005-0000-0000-0000A7460000}"/>
    <cellStyle name="CurrencyExt 2 2 3 2 4" xfId="18094" xr:uid="{00000000-0005-0000-0000-0000A8460000}"/>
    <cellStyle name="CurrencyExt 2 2 3 2 5" xfId="18095" xr:uid="{00000000-0005-0000-0000-0000A9460000}"/>
    <cellStyle name="CurrencyExt 2 2 3 2 6" xfId="18096" xr:uid="{00000000-0005-0000-0000-0000AA460000}"/>
    <cellStyle name="CurrencyExt 2 2 3 3" xfId="18097" xr:uid="{00000000-0005-0000-0000-0000AB460000}"/>
    <cellStyle name="CurrencyExt 2 2 3 3 2" xfId="18098" xr:uid="{00000000-0005-0000-0000-0000AC460000}"/>
    <cellStyle name="CurrencyExt 2 2 3 3 2 2" xfId="18099" xr:uid="{00000000-0005-0000-0000-0000AD460000}"/>
    <cellStyle name="CurrencyExt 2 2 3 3 2 3" xfId="18100" xr:uid="{00000000-0005-0000-0000-0000AE460000}"/>
    <cellStyle name="CurrencyExt 2 2 3 3 2 4" xfId="18101" xr:uid="{00000000-0005-0000-0000-0000AF460000}"/>
    <cellStyle name="CurrencyExt 2 2 3 3 2 5" xfId="18102" xr:uid="{00000000-0005-0000-0000-0000B0460000}"/>
    <cellStyle name="CurrencyExt 2 2 3 3 2 6" xfId="18103" xr:uid="{00000000-0005-0000-0000-0000B1460000}"/>
    <cellStyle name="CurrencyExt 2 2 3 3 3" xfId="18104" xr:uid="{00000000-0005-0000-0000-0000B2460000}"/>
    <cellStyle name="CurrencyExt 2 2 3 3 4" xfId="18105" xr:uid="{00000000-0005-0000-0000-0000B3460000}"/>
    <cellStyle name="CurrencyExt 2 2 3 3 5" xfId="18106" xr:uid="{00000000-0005-0000-0000-0000B4460000}"/>
    <cellStyle name="CurrencyExt 2 2 3 3 6" xfId="18107" xr:uid="{00000000-0005-0000-0000-0000B5460000}"/>
    <cellStyle name="CurrencyExt 2 2 3 4" xfId="18108" xr:uid="{00000000-0005-0000-0000-0000B6460000}"/>
    <cellStyle name="CurrencyExt 2 2 3 4 2" xfId="18109" xr:uid="{00000000-0005-0000-0000-0000B7460000}"/>
    <cellStyle name="CurrencyExt 2 2 3 4 3" xfId="18110" xr:uid="{00000000-0005-0000-0000-0000B8460000}"/>
    <cellStyle name="CurrencyExt 2 2 3 4 4" xfId="18111" xr:uid="{00000000-0005-0000-0000-0000B9460000}"/>
    <cellStyle name="CurrencyExt 2 2 3 4 5" xfId="18112" xr:uid="{00000000-0005-0000-0000-0000BA460000}"/>
    <cellStyle name="CurrencyExt 2 2 3 4 6" xfId="18113" xr:uid="{00000000-0005-0000-0000-0000BB460000}"/>
    <cellStyle name="CurrencyExt 2 2 3 5" xfId="18114" xr:uid="{00000000-0005-0000-0000-0000BC460000}"/>
    <cellStyle name="CurrencyExt 2 2 3 6" xfId="18115" xr:uid="{00000000-0005-0000-0000-0000BD460000}"/>
    <cellStyle name="CurrencyExt 2 2 3 7" xfId="18116" xr:uid="{00000000-0005-0000-0000-0000BE460000}"/>
    <cellStyle name="CurrencyExt 2 2 3 8" xfId="18117" xr:uid="{00000000-0005-0000-0000-0000BF460000}"/>
    <cellStyle name="CurrencyExt 2 2 4" xfId="18118" xr:uid="{00000000-0005-0000-0000-0000C0460000}"/>
    <cellStyle name="CurrencyExt 2 2 4 2" xfId="18119" xr:uid="{00000000-0005-0000-0000-0000C1460000}"/>
    <cellStyle name="CurrencyExt 2 2 4 2 2" xfId="18120" xr:uid="{00000000-0005-0000-0000-0000C2460000}"/>
    <cellStyle name="CurrencyExt 2 2 4 2 2 2" xfId="18121" xr:uid="{00000000-0005-0000-0000-0000C3460000}"/>
    <cellStyle name="CurrencyExt 2 2 4 2 2 3" xfId="18122" xr:uid="{00000000-0005-0000-0000-0000C4460000}"/>
    <cellStyle name="CurrencyExt 2 2 4 2 2 4" xfId="18123" xr:uid="{00000000-0005-0000-0000-0000C5460000}"/>
    <cellStyle name="CurrencyExt 2 2 4 2 2 5" xfId="18124" xr:uid="{00000000-0005-0000-0000-0000C6460000}"/>
    <cellStyle name="CurrencyExt 2 2 4 2 2 6" xfId="18125" xr:uid="{00000000-0005-0000-0000-0000C7460000}"/>
    <cellStyle name="CurrencyExt 2 2 4 2 3" xfId="18126" xr:uid="{00000000-0005-0000-0000-0000C8460000}"/>
    <cellStyle name="CurrencyExt 2 2 4 2 4" xfId="18127" xr:uid="{00000000-0005-0000-0000-0000C9460000}"/>
    <cellStyle name="CurrencyExt 2 2 4 2 5" xfId="18128" xr:uid="{00000000-0005-0000-0000-0000CA460000}"/>
    <cellStyle name="CurrencyExt 2 2 4 2 6" xfId="18129" xr:uid="{00000000-0005-0000-0000-0000CB460000}"/>
    <cellStyle name="CurrencyExt 2 2 4 3" xfId="18130" xr:uid="{00000000-0005-0000-0000-0000CC460000}"/>
    <cellStyle name="CurrencyExt 2 2 4 3 2" xfId="18131" xr:uid="{00000000-0005-0000-0000-0000CD460000}"/>
    <cellStyle name="CurrencyExt 2 2 4 3 2 2" xfId="18132" xr:uid="{00000000-0005-0000-0000-0000CE460000}"/>
    <cellStyle name="CurrencyExt 2 2 4 3 2 3" xfId="18133" xr:uid="{00000000-0005-0000-0000-0000CF460000}"/>
    <cellStyle name="CurrencyExt 2 2 4 3 2 4" xfId="18134" xr:uid="{00000000-0005-0000-0000-0000D0460000}"/>
    <cellStyle name="CurrencyExt 2 2 4 3 2 5" xfId="18135" xr:uid="{00000000-0005-0000-0000-0000D1460000}"/>
    <cellStyle name="CurrencyExt 2 2 4 3 2 6" xfId="18136" xr:uid="{00000000-0005-0000-0000-0000D2460000}"/>
    <cellStyle name="CurrencyExt 2 2 4 3 3" xfId="18137" xr:uid="{00000000-0005-0000-0000-0000D3460000}"/>
    <cellStyle name="CurrencyExt 2 2 4 3 4" xfId="18138" xr:uid="{00000000-0005-0000-0000-0000D4460000}"/>
    <cellStyle name="CurrencyExt 2 2 4 3 5" xfId="18139" xr:uid="{00000000-0005-0000-0000-0000D5460000}"/>
    <cellStyle name="CurrencyExt 2 2 4 3 6" xfId="18140" xr:uid="{00000000-0005-0000-0000-0000D6460000}"/>
    <cellStyle name="CurrencyExt 2 2 4 4" xfId="18141" xr:uid="{00000000-0005-0000-0000-0000D7460000}"/>
    <cellStyle name="CurrencyExt 2 2 4 4 2" xfId="18142" xr:uid="{00000000-0005-0000-0000-0000D8460000}"/>
    <cellStyle name="CurrencyExt 2 2 4 4 3" xfId="18143" xr:uid="{00000000-0005-0000-0000-0000D9460000}"/>
    <cellStyle name="CurrencyExt 2 2 4 4 4" xfId="18144" xr:uid="{00000000-0005-0000-0000-0000DA460000}"/>
    <cellStyle name="CurrencyExt 2 2 4 4 5" xfId="18145" xr:uid="{00000000-0005-0000-0000-0000DB460000}"/>
    <cellStyle name="CurrencyExt 2 2 4 4 6" xfId="18146" xr:uid="{00000000-0005-0000-0000-0000DC460000}"/>
    <cellStyle name="CurrencyExt 2 2 4 5" xfId="18147" xr:uid="{00000000-0005-0000-0000-0000DD460000}"/>
    <cellStyle name="CurrencyExt 2 2 4 6" xfId="18148" xr:uid="{00000000-0005-0000-0000-0000DE460000}"/>
    <cellStyle name="CurrencyExt 2 2 4 7" xfId="18149" xr:uid="{00000000-0005-0000-0000-0000DF460000}"/>
    <cellStyle name="CurrencyExt 2 2 4 8" xfId="18150" xr:uid="{00000000-0005-0000-0000-0000E0460000}"/>
    <cellStyle name="CurrencyExt 2 2 5" xfId="18151" xr:uid="{00000000-0005-0000-0000-0000E1460000}"/>
    <cellStyle name="CurrencyExt 2 2 5 2" xfId="18152" xr:uid="{00000000-0005-0000-0000-0000E2460000}"/>
    <cellStyle name="CurrencyExt 2 2 5 2 2" xfId="18153" xr:uid="{00000000-0005-0000-0000-0000E3460000}"/>
    <cellStyle name="CurrencyExt 2 2 5 2 2 2" xfId="18154" xr:uid="{00000000-0005-0000-0000-0000E4460000}"/>
    <cellStyle name="CurrencyExt 2 2 5 2 2 3" xfId="18155" xr:uid="{00000000-0005-0000-0000-0000E5460000}"/>
    <cellStyle name="CurrencyExt 2 2 5 2 2 4" xfId="18156" xr:uid="{00000000-0005-0000-0000-0000E6460000}"/>
    <cellStyle name="CurrencyExt 2 2 5 2 2 5" xfId="18157" xr:uid="{00000000-0005-0000-0000-0000E7460000}"/>
    <cellStyle name="CurrencyExt 2 2 5 2 2 6" xfId="18158" xr:uid="{00000000-0005-0000-0000-0000E8460000}"/>
    <cellStyle name="CurrencyExt 2 2 5 2 3" xfId="18159" xr:uid="{00000000-0005-0000-0000-0000E9460000}"/>
    <cellStyle name="CurrencyExt 2 2 5 2 4" xfId="18160" xr:uid="{00000000-0005-0000-0000-0000EA460000}"/>
    <cellStyle name="CurrencyExt 2 2 5 2 5" xfId="18161" xr:uid="{00000000-0005-0000-0000-0000EB460000}"/>
    <cellStyle name="CurrencyExt 2 2 5 2 6" xfId="18162" xr:uid="{00000000-0005-0000-0000-0000EC460000}"/>
    <cellStyle name="CurrencyExt 2 2 5 3" xfId="18163" xr:uid="{00000000-0005-0000-0000-0000ED460000}"/>
    <cellStyle name="CurrencyExt 2 2 5 3 2" xfId="18164" xr:uid="{00000000-0005-0000-0000-0000EE460000}"/>
    <cellStyle name="CurrencyExt 2 2 5 3 2 2" xfId="18165" xr:uid="{00000000-0005-0000-0000-0000EF460000}"/>
    <cellStyle name="CurrencyExt 2 2 5 3 2 3" xfId="18166" xr:uid="{00000000-0005-0000-0000-0000F0460000}"/>
    <cellStyle name="CurrencyExt 2 2 5 3 2 4" xfId="18167" xr:uid="{00000000-0005-0000-0000-0000F1460000}"/>
    <cellStyle name="CurrencyExt 2 2 5 3 2 5" xfId="18168" xr:uid="{00000000-0005-0000-0000-0000F2460000}"/>
    <cellStyle name="CurrencyExt 2 2 5 3 2 6" xfId="18169" xr:uid="{00000000-0005-0000-0000-0000F3460000}"/>
    <cellStyle name="CurrencyExt 2 2 5 3 3" xfId="18170" xr:uid="{00000000-0005-0000-0000-0000F4460000}"/>
    <cellStyle name="CurrencyExt 2 2 5 3 4" xfId="18171" xr:uid="{00000000-0005-0000-0000-0000F5460000}"/>
    <cellStyle name="CurrencyExt 2 2 5 3 5" xfId="18172" xr:uid="{00000000-0005-0000-0000-0000F6460000}"/>
    <cellStyle name="CurrencyExt 2 2 5 3 6" xfId="18173" xr:uid="{00000000-0005-0000-0000-0000F7460000}"/>
    <cellStyle name="CurrencyExt 2 2 5 4" xfId="18174" xr:uid="{00000000-0005-0000-0000-0000F8460000}"/>
    <cellStyle name="CurrencyExt 2 2 5 4 2" xfId="18175" xr:uid="{00000000-0005-0000-0000-0000F9460000}"/>
    <cellStyle name="CurrencyExt 2 2 5 4 3" xfId="18176" xr:uid="{00000000-0005-0000-0000-0000FA460000}"/>
    <cellStyle name="CurrencyExt 2 2 5 4 4" xfId="18177" xr:uid="{00000000-0005-0000-0000-0000FB460000}"/>
    <cellStyle name="CurrencyExt 2 2 5 4 5" xfId="18178" xr:uid="{00000000-0005-0000-0000-0000FC460000}"/>
    <cellStyle name="CurrencyExt 2 2 5 4 6" xfId="18179" xr:uid="{00000000-0005-0000-0000-0000FD460000}"/>
    <cellStyle name="CurrencyExt 2 2 5 5" xfId="18180" xr:uid="{00000000-0005-0000-0000-0000FE460000}"/>
    <cellStyle name="CurrencyExt 2 2 5 6" xfId="18181" xr:uid="{00000000-0005-0000-0000-0000FF460000}"/>
    <cellStyle name="CurrencyExt 2 2 5 7" xfId="18182" xr:uid="{00000000-0005-0000-0000-000000470000}"/>
    <cellStyle name="CurrencyExt 2 2 5 8" xfId="18183" xr:uid="{00000000-0005-0000-0000-000001470000}"/>
    <cellStyle name="CurrencyExt 2 2 6" xfId="18184" xr:uid="{00000000-0005-0000-0000-000002470000}"/>
    <cellStyle name="CurrencyExt 2 2 6 2" xfId="18185" xr:uid="{00000000-0005-0000-0000-000003470000}"/>
    <cellStyle name="CurrencyExt 2 2 6 2 2" xfId="18186" xr:uid="{00000000-0005-0000-0000-000004470000}"/>
    <cellStyle name="CurrencyExt 2 2 6 2 2 2" xfId="18187" xr:uid="{00000000-0005-0000-0000-000005470000}"/>
    <cellStyle name="CurrencyExt 2 2 6 2 2 3" xfId="18188" xr:uid="{00000000-0005-0000-0000-000006470000}"/>
    <cellStyle name="CurrencyExt 2 2 6 2 2 4" xfId="18189" xr:uid="{00000000-0005-0000-0000-000007470000}"/>
    <cellStyle name="CurrencyExt 2 2 6 2 2 5" xfId="18190" xr:uid="{00000000-0005-0000-0000-000008470000}"/>
    <cellStyle name="CurrencyExt 2 2 6 2 2 6" xfId="18191" xr:uid="{00000000-0005-0000-0000-000009470000}"/>
    <cellStyle name="CurrencyExt 2 2 6 2 3" xfId="18192" xr:uid="{00000000-0005-0000-0000-00000A470000}"/>
    <cellStyle name="CurrencyExt 2 2 6 2 4" xfId="18193" xr:uid="{00000000-0005-0000-0000-00000B470000}"/>
    <cellStyle name="CurrencyExt 2 2 6 2 5" xfId="18194" xr:uid="{00000000-0005-0000-0000-00000C470000}"/>
    <cellStyle name="CurrencyExt 2 2 6 2 6" xfId="18195" xr:uid="{00000000-0005-0000-0000-00000D470000}"/>
    <cellStyle name="CurrencyExt 2 2 6 3" xfId="18196" xr:uid="{00000000-0005-0000-0000-00000E470000}"/>
    <cellStyle name="CurrencyExt 2 2 6 3 2" xfId="18197" xr:uid="{00000000-0005-0000-0000-00000F470000}"/>
    <cellStyle name="CurrencyExt 2 2 6 3 2 2" xfId="18198" xr:uid="{00000000-0005-0000-0000-000010470000}"/>
    <cellStyle name="CurrencyExt 2 2 6 3 2 3" xfId="18199" xr:uid="{00000000-0005-0000-0000-000011470000}"/>
    <cellStyle name="CurrencyExt 2 2 6 3 2 4" xfId="18200" xr:uid="{00000000-0005-0000-0000-000012470000}"/>
    <cellStyle name="CurrencyExt 2 2 6 3 2 5" xfId="18201" xr:uid="{00000000-0005-0000-0000-000013470000}"/>
    <cellStyle name="CurrencyExt 2 2 6 3 2 6" xfId="18202" xr:uid="{00000000-0005-0000-0000-000014470000}"/>
    <cellStyle name="CurrencyExt 2 2 6 3 3" xfId="18203" xr:uid="{00000000-0005-0000-0000-000015470000}"/>
    <cellStyle name="CurrencyExt 2 2 6 3 4" xfId="18204" xr:uid="{00000000-0005-0000-0000-000016470000}"/>
    <cellStyle name="CurrencyExt 2 2 6 3 5" xfId="18205" xr:uid="{00000000-0005-0000-0000-000017470000}"/>
    <cellStyle name="CurrencyExt 2 2 6 3 6" xfId="18206" xr:uid="{00000000-0005-0000-0000-000018470000}"/>
    <cellStyle name="CurrencyExt 2 2 6 4" xfId="18207" xr:uid="{00000000-0005-0000-0000-000019470000}"/>
    <cellStyle name="CurrencyExt 2 2 6 4 2" xfId="18208" xr:uid="{00000000-0005-0000-0000-00001A470000}"/>
    <cellStyle name="CurrencyExt 2 2 6 4 3" xfId="18209" xr:uid="{00000000-0005-0000-0000-00001B470000}"/>
    <cellStyle name="CurrencyExt 2 2 6 4 4" xfId="18210" xr:uid="{00000000-0005-0000-0000-00001C470000}"/>
    <cellStyle name="CurrencyExt 2 2 6 4 5" xfId="18211" xr:uid="{00000000-0005-0000-0000-00001D470000}"/>
    <cellStyle name="CurrencyExt 2 2 6 4 6" xfId="18212" xr:uid="{00000000-0005-0000-0000-00001E470000}"/>
    <cellStyle name="CurrencyExt 2 2 6 5" xfId="18213" xr:uid="{00000000-0005-0000-0000-00001F470000}"/>
    <cellStyle name="CurrencyExt 2 2 6 6" xfId="18214" xr:uid="{00000000-0005-0000-0000-000020470000}"/>
    <cellStyle name="CurrencyExt 2 2 6 7" xfId="18215" xr:uid="{00000000-0005-0000-0000-000021470000}"/>
    <cellStyle name="CurrencyExt 2 2 6 8" xfId="18216" xr:uid="{00000000-0005-0000-0000-000022470000}"/>
    <cellStyle name="CurrencyExt 2 2 7" xfId="18217" xr:uid="{00000000-0005-0000-0000-000023470000}"/>
    <cellStyle name="CurrencyExt 2 2 7 2" xfId="18218" xr:uid="{00000000-0005-0000-0000-000024470000}"/>
    <cellStyle name="CurrencyExt 2 2 7 2 2" xfId="18219" xr:uid="{00000000-0005-0000-0000-000025470000}"/>
    <cellStyle name="CurrencyExt 2 2 7 2 2 2" xfId="18220" xr:uid="{00000000-0005-0000-0000-000026470000}"/>
    <cellStyle name="CurrencyExt 2 2 7 2 2 3" xfId="18221" xr:uid="{00000000-0005-0000-0000-000027470000}"/>
    <cellStyle name="CurrencyExt 2 2 7 2 2 4" xfId="18222" xr:uid="{00000000-0005-0000-0000-000028470000}"/>
    <cellStyle name="CurrencyExt 2 2 7 2 2 5" xfId="18223" xr:uid="{00000000-0005-0000-0000-000029470000}"/>
    <cellStyle name="CurrencyExt 2 2 7 2 2 6" xfId="18224" xr:uid="{00000000-0005-0000-0000-00002A470000}"/>
    <cellStyle name="CurrencyExt 2 2 7 2 3" xfId="18225" xr:uid="{00000000-0005-0000-0000-00002B470000}"/>
    <cellStyle name="CurrencyExt 2 2 7 2 4" xfId="18226" xr:uid="{00000000-0005-0000-0000-00002C470000}"/>
    <cellStyle name="CurrencyExt 2 2 7 2 5" xfId="18227" xr:uid="{00000000-0005-0000-0000-00002D470000}"/>
    <cellStyle name="CurrencyExt 2 2 7 2 6" xfId="18228" xr:uid="{00000000-0005-0000-0000-00002E470000}"/>
    <cellStyle name="CurrencyExt 2 2 7 3" xfId="18229" xr:uid="{00000000-0005-0000-0000-00002F470000}"/>
    <cellStyle name="CurrencyExt 2 2 7 3 2" xfId="18230" xr:uid="{00000000-0005-0000-0000-000030470000}"/>
    <cellStyle name="CurrencyExt 2 2 7 3 2 2" xfId="18231" xr:uid="{00000000-0005-0000-0000-000031470000}"/>
    <cellStyle name="CurrencyExt 2 2 7 3 2 3" xfId="18232" xr:uid="{00000000-0005-0000-0000-000032470000}"/>
    <cellStyle name="CurrencyExt 2 2 7 3 2 4" xfId="18233" xr:uid="{00000000-0005-0000-0000-000033470000}"/>
    <cellStyle name="CurrencyExt 2 2 7 3 2 5" xfId="18234" xr:uid="{00000000-0005-0000-0000-000034470000}"/>
    <cellStyle name="CurrencyExt 2 2 7 3 2 6" xfId="18235" xr:uid="{00000000-0005-0000-0000-000035470000}"/>
    <cellStyle name="CurrencyExt 2 2 7 3 3" xfId="18236" xr:uid="{00000000-0005-0000-0000-000036470000}"/>
    <cellStyle name="CurrencyExt 2 2 7 3 4" xfId="18237" xr:uid="{00000000-0005-0000-0000-000037470000}"/>
    <cellStyle name="CurrencyExt 2 2 7 3 5" xfId="18238" xr:uid="{00000000-0005-0000-0000-000038470000}"/>
    <cellStyle name="CurrencyExt 2 2 7 3 6" xfId="18239" xr:uid="{00000000-0005-0000-0000-000039470000}"/>
    <cellStyle name="CurrencyExt 2 2 7 4" xfId="18240" xr:uid="{00000000-0005-0000-0000-00003A470000}"/>
    <cellStyle name="CurrencyExt 2 2 7 4 2" xfId="18241" xr:uid="{00000000-0005-0000-0000-00003B470000}"/>
    <cellStyle name="CurrencyExt 2 2 7 4 3" xfId="18242" xr:uid="{00000000-0005-0000-0000-00003C470000}"/>
    <cellStyle name="CurrencyExt 2 2 7 4 4" xfId="18243" xr:uid="{00000000-0005-0000-0000-00003D470000}"/>
    <cellStyle name="CurrencyExt 2 2 7 4 5" xfId="18244" xr:uid="{00000000-0005-0000-0000-00003E470000}"/>
    <cellStyle name="CurrencyExt 2 2 7 4 6" xfId="18245" xr:uid="{00000000-0005-0000-0000-00003F470000}"/>
    <cellStyle name="CurrencyExt 2 2 7 5" xfId="18246" xr:uid="{00000000-0005-0000-0000-000040470000}"/>
    <cellStyle name="CurrencyExt 2 2 7 6" xfId="18247" xr:uid="{00000000-0005-0000-0000-000041470000}"/>
    <cellStyle name="CurrencyExt 2 2 7 7" xfId="18248" xr:uid="{00000000-0005-0000-0000-000042470000}"/>
    <cellStyle name="CurrencyExt 2 2 7 8" xfId="18249" xr:uid="{00000000-0005-0000-0000-000043470000}"/>
    <cellStyle name="CurrencyExt 2 2 8" xfId="18250" xr:uid="{00000000-0005-0000-0000-000044470000}"/>
    <cellStyle name="CurrencyExt 2 2 8 2" xfId="18251" xr:uid="{00000000-0005-0000-0000-000045470000}"/>
    <cellStyle name="CurrencyExt 2 2 8 2 2" xfId="18252" xr:uid="{00000000-0005-0000-0000-000046470000}"/>
    <cellStyle name="CurrencyExt 2 2 8 2 3" xfId="18253" xr:uid="{00000000-0005-0000-0000-000047470000}"/>
    <cellStyle name="CurrencyExt 2 2 8 2 4" xfId="18254" xr:uid="{00000000-0005-0000-0000-000048470000}"/>
    <cellStyle name="CurrencyExt 2 2 8 2 5" xfId="18255" xr:uid="{00000000-0005-0000-0000-000049470000}"/>
    <cellStyle name="CurrencyExt 2 2 8 2 6" xfId="18256" xr:uid="{00000000-0005-0000-0000-00004A470000}"/>
    <cellStyle name="CurrencyExt 2 2 8 3" xfId="18257" xr:uid="{00000000-0005-0000-0000-00004B470000}"/>
    <cellStyle name="CurrencyExt 2 2 8 4" xfId="18258" xr:uid="{00000000-0005-0000-0000-00004C470000}"/>
    <cellStyle name="CurrencyExt 2 2 8 5" xfId="18259" xr:uid="{00000000-0005-0000-0000-00004D470000}"/>
    <cellStyle name="CurrencyExt 2 2 8 6" xfId="18260" xr:uid="{00000000-0005-0000-0000-00004E470000}"/>
    <cellStyle name="CurrencyExt 2 2 9" xfId="18261" xr:uid="{00000000-0005-0000-0000-00004F470000}"/>
    <cellStyle name="CurrencyExt 2 2 9 2" xfId="18262" xr:uid="{00000000-0005-0000-0000-000050470000}"/>
    <cellStyle name="CurrencyExt 2 2 9 2 2" xfId="18263" xr:uid="{00000000-0005-0000-0000-000051470000}"/>
    <cellStyle name="CurrencyExt 2 2 9 2 3" xfId="18264" xr:uid="{00000000-0005-0000-0000-000052470000}"/>
    <cellStyle name="CurrencyExt 2 2 9 2 4" xfId="18265" xr:uid="{00000000-0005-0000-0000-000053470000}"/>
    <cellStyle name="CurrencyExt 2 2 9 2 5" xfId="18266" xr:uid="{00000000-0005-0000-0000-000054470000}"/>
    <cellStyle name="CurrencyExt 2 2 9 2 6" xfId="18267" xr:uid="{00000000-0005-0000-0000-000055470000}"/>
    <cellStyle name="CurrencyExt 2 2 9 3" xfId="18268" xr:uid="{00000000-0005-0000-0000-000056470000}"/>
    <cellStyle name="CurrencyExt 2 2 9 4" xfId="18269" xr:uid="{00000000-0005-0000-0000-000057470000}"/>
    <cellStyle name="CurrencyExt 2 2 9 5" xfId="18270" xr:uid="{00000000-0005-0000-0000-000058470000}"/>
    <cellStyle name="CurrencyExt 2 2 9 6" xfId="18271" xr:uid="{00000000-0005-0000-0000-000059470000}"/>
    <cellStyle name="CurrencyExt 2 3" xfId="18272" xr:uid="{00000000-0005-0000-0000-00005A470000}"/>
    <cellStyle name="CurrencyExt 2 3 10" xfId="18273" xr:uid="{00000000-0005-0000-0000-00005B470000}"/>
    <cellStyle name="CurrencyExt 2 3 11" xfId="18274" xr:uid="{00000000-0005-0000-0000-00005C470000}"/>
    <cellStyle name="CurrencyExt 2 3 12" xfId="18275" xr:uid="{00000000-0005-0000-0000-00005D470000}"/>
    <cellStyle name="CurrencyExt 2 3 13" xfId="18276" xr:uid="{00000000-0005-0000-0000-00005E470000}"/>
    <cellStyle name="CurrencyExt 2 3 2" xfId="18277" xr:uid="{00000000-0005-0000-0000-00005F470000}"/>
    <cellStyle name="CurrencyExt 2 3 2 2" xfId="18278" xr:uid="{00000000-0005-0000-0000-000060470000}"/>
    <cellStyle name="CurrencyExt 2 3 2 2 2" xfId="18279" xr:uid="{00000000-0005-0000-0000-000061470000}"/>
    <cellStyle name="CurrencyExt 2 3 2 2 2 2" xfId="18280" xr:uid="{00000000-0005-0000-0000-000062470000}"/>
    <cellStyle name="CurrencyExt 2 3 2 2 2 3" xfId="18281" xr:uid="{00000000-0005-0000-0000-000063470000}"/>
    <cellStyle name="CurrencyExt 2 3 2 2 2 4" xfId="18282" xr:uid="{00000000-0005-0000-0000-000064470000}"/>
    <cellStyle name="CurrencyExt 2 3 2 2 2 5" xfId="18283" xr:uid="{00000000-0005-0000-0000-000065470000}"/>
    <cellStyle name="CurrencyExt 2 3 2 2 2 6" xfId="18284" xr:uid="{00000000-0005-0000-0000-000066470000}"/>
    <cellStyle name="CurrencyExt 2 3 2 2 3" xfId="18285" xr:uid="{00000000-0005-0000-0000-000067470000}"/>
    <cellStyle name="CurrencyExt 2 3 2 2 4" xfId="18286" xr:uid="{00000000-0005-0000-0000-000068470000}"/>
    <cellStyle name="CurrencyExt 2 3 2 2 5" xfId="18287" xr:uid="{00000000-0005-0000-0000-000069470000}"/>
    <cellStyle name="CurrencyExt 2 3 2 2 6" xfId="18288" xr:uid="{00000000-0005-0000-0000-00006A470000}"/>
    <cellStyle name="CurrencyExt 2 3 2 3" xfId="18289" xr:uid="{00000000-0005-0000-0000-00006B470000}"/>
    <cellStyle name="CurrencyExt 2 3 2 3 2" xfId="18290" xr:uid="{00000000-0005-0000-0000-00006C470000}"/>
    <cellStyle name="CurrencyExt 2 3 2 3 2 2" xfId="18291" xr:uid="{00000000-0005-0000-0000-00006D470000}"/>
    <cellStyle name="CurrencyExt 2 3 2 3 2 3" xfId="18292" xr:uid="{00000000-0005-0000-0000-00006E470000}"/>
    <cellStyle name="CurrencyExt 2 3 2 3 2 4" xfId="18293" xr:uid="{00000000-0005-0000-0000-00006F470000}"/>
    <cellStyle name="CurrencyExt 2 3 2 3 2 5" xfId="18294" xr:uid="{00000000-0005-0000-0000-000070470000}"/>
    <cellStyle name="CurrencyExt 2 3 2 3 2 6" xfId="18295" xr:uid="{00000000-0005-0000-0000-000071470000}"/>
    <cellStyle name="CurrencyExt 2 3 2 3 3" xfId="18296" xr:uid="{00000000-0005-0000-0000-000072470000}"/>
    <cellStyle name="CurrencyExt 2 3 2 3 4" xfId="18297" xr:uid="{00000000-0005-0000-0000-000073470000}"/>
    <cellStyle name="CurrencyExt 2 3 2 3 5" xfId="18298" xr:uid="{00000000-0005-0000-0000-000074470000}"/>
    <cellStyle name="CurrencyExt 2 3 2 3 6" xfId="18299" xr:uid="{00000000-0005-0000-0000-000075470000}"/>
    <cellStyle name="CurrencyExt 2 3 2 4" xfId="18300" xr:uid="{00000000-0005-0000-0000-000076470000}"/>
    <cellStyle name="CurrencyExt 2 3 2 4 2" xfId="18301" xr:uid="{00000000-0005-0000-0000-000077470000}"/>
    <cellStyle name="CurrencyExt 2 3 2 4 3" xfId="18302" xr:uid="{00000000-0005-0000-0000-000078470000}"/>
    <cellStyle name="CurrencyExt 2 3 2 4 4" xfId="18303" xr:uid="{00000000-0005-0000-0000-000079470000}"/>
    <cellStyle name="CurrencyExt 2 3 2 4 5" xfId="18304" xr:uid="{00000000-0005-0000-0000-00007A470000}"/>
    <cellStyle name="CurrencyExt 2 3 2 4 6" xfId="18305" xr:uid="{00000000-0005-0000-0000-00007B470000}"/>
    <cellStyle name="CurrencyExt 2 3 2 5" xfId="18306" xr:uid="{00000000-0005-0000-0000-00007C470000}"/>
    <cellStyle name="CurrencyExt 2 3 2 6" xfId="18307" xr:uid="{00000000-0005-0000-0000-00007D470000}"/>
    <cellStyle name="CurrencyExt 2 3 2 7" xfId="18308" xr:uid="{00000000-0005-0000-0000-00007E470000}"/>
    <cellStyle name="CurrencyExt 2 3 2 8" xfId="18309" xr:uid="{00000000-0005-0000-0000-00007F470000}"/>
    <cellStyle name="CurrencyExt 2 3 3" xfId="18310" xr:uid="{00000000-0005-0000-0000-000080470000}"/>
    <cellStyle name="CurrencyExt 2 3 3 2" xfId="18311" xr:uid="{00000000-0005-0000-0000-000081470000}"/>
    <cellStyle name="CurrencyExt 2 3 3 2 2" xfId="18312" xr:uid="{00000000-0005-0000-0000-000082470000}"/>
    <cellStyle name="CurrencyExt 2 3 3 2 2 2" xfId="18313" xr:uid="{00000000-0005-0000-0000-000083470000}"/>
    <cellStyle name="CurrencyExt 2 3 3 2 2 3" xfId="18314" xr:uid="{00000000-0005-0000-0000-000084470000}"/>
    <cellStyle name="CurrencyExt 2 3 3 2 2 4" xfId="18315" xr:uid="{00000000-0005-0000-0000-000085470000}"/>
    <cellStyle name="CurrencyExt 2 3 3 2 2 5" xfId="18316" xr:uid="{00000000-0005-0000-0000-000086470000}"/>
    <cellStyle name="CurrencyExt 2 3 3 2 2 6" xfId="18317" xr:uid="{00000000-0005-0000-0000-000087470000}"/>
    <cellStyle name="CurrencyExt 2 3 3 2 3" xfId="18318" xr:uid="{00000000-0005-0000-0000-000088470000}"/>
    <cellStyle name="CurrencyExt 2 3 3 2 4" xfId="18319" xr:uid="{00000000-0005-0000-0000-000089470000}"/>
    <cellStyle name="CurrencyExt 2 3 3 2 5" xfId="18320" xr:uid="{00000000-0005-0000-0000-00008A470000}"/>
    <cellStyle name="CurrencyExt 2 3 3 2 6" xfId="18321" xr:uid="{00000000-0005-0000-0000-00008B470000}"/>
    <cellStyle name="CurrencyExt 2 3 3 3" xfId="18322" xr:uid="{00000000-0005-0000-0000-00008C470000}"/>
    <cellStyle name="CurrencyExt 2 3 3 3 2" xfId="18323" xr:uid="{00000000-0005-0000-0000-00008D470000}"/>
    <cellStyle name="CurrencyExt 2 3 3 3 2 2" xfId="18324" xr:uid="{00000000-0005-0000-0000-00008E470000}"/>
    <cellStyle name="CurrencyExt 2 3 3 3 2 3" xfId="18325" xr:uid="{00000000-0005-0000-0000-00008F470000}"/>
    <cellStyle name="CurrencyExt 2 3 3 3 2 4" xfId="18326" xr:uid="{00000000-0005-0000-0000-000090470000}"/>
    <cellStyle name="CurrencyExt 2 3 3 3 2 5" xfId="18327" xr:uid="{00000000-0005-0000-0000-000091470000}"/>
    <cellStyle name="CurrencyExt 2 3 3 3 2 6" xfId="18328" xr:uid="{00000000-0005-0000-0000-000092470000}"/>
    <cellStyle name="CurrencyExt 2 3 3 3 3" xfId="18329" xr:uid="{00000000-0005-0000-0000-000093470000}"/>
    <cellStyle name="CurrencyExt 2 3 3 3 4" xfId="18330" xr:uid="{00000000-0005-0000-0000-000094470000}"/>
    <cellStyle name="CurrencyExt 2 3 3 3 5" xfId="18331" xr:uid="{00000000-0005-0000-0000-000095470000}"/>
    <cellStyle name="CurrencyExt 2 3 3 3 6" xfId="18332" xr:uid="{00000000-0005-0000-0000-000096470000}"/>
    <cellStyle name="CurrencyExt 2 3 3 4" xfId="18333" xr:uid="{00000000-0005-0000-0000-000097470000}"/>
    <cellStyle name="CurrencyExt 2 3 3 4 2" xfId="18334" xr:uid="{00000000-0005-0000-0000-000098470000}"/>
    <cellStyle name="CurrencyExt 2 3 3 4 3" xfId="18335" xr:uid="{00000000-0005-0000-0000-000099470000}"/>
    <cellStyle name="CurrencyExt 2 3 3 4 4" xfId="18336" xr:uid="{00000000-0005-0000-0000-00009A470000}"/>
    <cellStyle name="CurrencyExt 2 3 3 4 5" xfId="18337" xr:uid="{00000000-0005-0000-0000-00009B470000}"/>
    <cellStyle name="CurrencyExt 2 3 3 4 6" xfId="18338" xr:uid="{00000000-0005-0000-0000-00009C470000}"/>
    <cellStyle name="CurrencyExt 2 3 3 5" xfId="18339" xr:uid="{00000000-0005-0000-0000-00009D470000}"/>
    <cellStyle name="CurrencyExt 2 3 3 6" xfId="18340" xr:uid="{00000000-0005-0000-0000-00009E470000}"/>
    <cellStyle name="CurrencyExt 2 3 3 7" xfId="18341" xr:uid="{00000000-0005-0000-0000-00009F470000}"/>
    <cellStyle name="CurrencyExt 2 3 3 8" xfId="18342" xr:uid="{00000000-0005-0000-0000-0000A0470000}"/>
    <cellStyle name="CurrencyExt 2 3 4" xfId="18343" xr:uid="{00000000-0005-0000-0000-0000A1470000}"/>
    <cellStyle name="CurrencyExt 2 3 4 2" xfId="18344" xr:uid="{00000000-0005-0000-0000-0000A2470000}"/>
    <cellStyle name="CurrencyExt 2 3 4 2 2" xfId="18345" xr:uid="{00000000-0005-0000-0000-0000A3470000}"/>
    <cellStyle name="CurrencyExt 2 3 4 2 2 2" xfId="18346" xr:uid="{00000000-0005-0000-0000-0000A4470000}"/>
    <cellStyle name="CurrencyExt 2 3 4 2 2 3" xfId="18347" xr:uid="{00000000-0005-0000-0000-0000A5470000}"/>
    <cellStyle name="CurrencyExt 2 3 4 2 2 4" xfId="18348" xr:uid="{00000000-0005-0000-0000-0000A6470000}"/>
    <cellStyle name="CurrencyExt 2 3 4 2 2 5" xfId="18349" xr:uid="{00000000-0005-0000-0000-0000A7470000}"/>
    <cellStyle name="CurrencyExt 2 3 4 2 2 6" xfId="18350" xr:uid="{00000000-0005-0000-0000-0000A8470000}"/>
    <cellStyle name="CurrencyExt 2 3 4 2 3" xfId="18351" xr:uid="{00000000-0005-0000-0000-0000A9470000}"/>
    <cellStyle name="CurrencyExt 2 3 4 2 4" xfId="18352" xr:uid="{00000000-0005-0000-0000-0000AA470000}"/>
    <cellStyle name="CurrencyExt 2 3 4 2 5" xfId="18353" xr:uid="{00000000-0005-0000-0000-0000AB470000}"/>
    <cellStyle name="CurrencyExt 2 3 4 2 6" xfId="18354" xr:uid="{00000000-0005-0000-0000-0000AC470000}"/>
    <cellStyle name="CurrencyExt 2 3 4 3" xfId="18355" xr:uid="{00000000-0005-0000-0000-0000AD470000}"/>
    <cellStyle name="CurrencyExt 2 3 4 3 2" xfId="18356" xr:uid="{00000000-0005-0000-0000-0000AE470000}"/>
    <cellStyle name="CurrencyExt 2 3 4 3 2 2" xfId="18357" xr:uid="{00000000-0005-0000-0000-0000AF470000}"/>
    <cellStyle name="CurrencyExt 2 3 4 3 2 3" xfId="18358" xr:uid="{00000000-0005-0000-0000-0000B0470000}"/>
    <cellStyle name="CurrencyExt 2 3 4 3 2 4" xfId="18359" xr:uid="{00000000-0005-0000-0000-0000B1470000}"/>
    <cellStyle name="CurrencyExt 2 3 4 3 2 5" xfId="18360" xr:uid="{00000000-0005-0000-0000-0000B2470000}"/>
    <cellStyle name="CurrencyExt 2 3 4 3 2 6" xfId="18361" xr:uid="{00000000-0005-0000-0000-0000B3470000}"/>
    <cellStyle name="CurrencyExt 2 3 4 3 3" xfId="18362" xr:uid="{00000000-0005-0000-0000-0000B4470000}"/>
    <cellStyle name="CurrencyExt 2 3 4 3 4" xfId="18363" xr:uid="{00000000-0005-0000-0000-0000B5470000}"/>
    <cellStyle name="CurrencyExt 2 3 4 3 5" xfId="18364" xr:uid="{00000000-0005-0000-0000-0000B6470000}"/>
    <cellStyle name="CurrencyExt 2 3 4 3 6" xfId="18365" xr:uid="{00000000-0005-0000-0000-0000B7470000}"/>
    <cellStyle name="CurrencyExt 2 3 4 4" xfId="18366" xr:uid="{00000000-0005-0000-0000-0000B8470000}"/>
    <cellStyle name="CurrencyExt 2 3 4 4 2" xfId="18367" xr:uid="{00000000-0005-0000-0000-0000B9470000}"/>
    <cellStyle name="CurrencyExt 2 3 4 4 3" xfId="18368" xr:uid="{00000000-0005-0000-0000-0000BA470000}"/>
    <cellStyle name="CurrencyExt 2 3 4 4 4" xfId="18369" xr:uid="{00000000-0005-0000-0000-0000BB470000}"/>
    <cellStyle name="CurrencyExt 2 3 4 4 5" xfId="18370" xr:uid="{00000000-0005-0000-0000-0000BC470000}"/>
    <cellStyle name="CurrencyExt 2 3 4 4 6" xfId="18371" xr:uid="{00000000-0005-0000-0000-0000BD470000}"/>
    <cellStyle name="CurrencyExt 2 3 4 5" xfId="18372" xr:uid="{00000000-0005-0000-0000-0000BE470000}"/>
    <cellStyle name="CurrencyExt 2 3 4 6" xfId="18373" xr:uid="{00000000-0005-0000-0000-0000BF470000}"/>
    <cellStyle name="CurrencyExt 2 3 4 7" xfId="18374" xr:uid="{00000000-0005-0000-0000-0000C0470000}"/>
    <cellStyle name="CurrencyExt 2 3 4 8" xfId="18375" xr:uid="{00000000-0005-0000-0000-0000C1470000}"/>
    <cellStyle name="CurrencyExt 2 3 5" xfId="18376" xr:uid="{00000000-0005-0000-0000-0000C2470000}"/>
    <cellStyle name="CurrencyExt 2 3 5 2" xfId="18377" xr:uid="{00000000-0005-0000-0000-0000C3470000}"/>
    <cellStyle name="CurrencyExt 2 3 5 2 2" xfId="18378" xr:uid="{00000000-0005-0000-0000-0000C4470000}"/>
    <cellStyle name="CurrencyExt 2 3 5 2 2 2" xfId="18379" xr:uid="{00000000-0005-0000-0000-0000C5470000}"/>
    <cellStyle name="CurrencyExt 2 3 5 2 2 3" xfId="18380" xr:uid="{00000000-0005-0000-0000-0000C6470000}"/>
    <cellStyle name="CurrencyExt 2 3 5 2 2 4" xfId="18381" xr:uid="{00000000-0005-0000-0000-0000C7470000}"/>
    <cellStyle name="CurrencyExt 2 3 5 2 2 5" xfId="18382" xr:uid="{00000000-0005-0000-0000-0000C8470000}"/>
    <cellStyle name="CurrencyExt 2 3 5 2 2 6" xfId="18383" xr:uid="{00000000-0005-0000-0000-0000C9470000}"/>
    <cellStyle name="CurrencyExt 2 3 5 2 3" xfId="18384" xr:uid="{00000000-0005-0000-0000-0000CA470000}"/>
    <cellStyle name="CurrencyExt 2 3 5 2 4" xfId="18385" xr:uid="{00000000-0005-0000-0000-0000CB470000}"/>
    <cellStyle name="CurrencyExt 2 3 5 2 5" xfId="18386" xr:uid="{00000000-0005-0000-0000-0000CC470000}"/>
    <cellStyle name="CurrencyExt 2 3 5 2 6" xfId="18387" xr:uid="{00000000-0005-0000-0000-0000CD470000}"/>
    <cellStyle name="CurrencyExt 2 3 5 3" xfId="18388" xr:uid="{00000000-0005-0000-0000-0000CE470000}"/>
    <cellStyle name="CurrencyExt 2 3 5 3 2" xfId="18389" xr:uid="{00000000-0005-0000-0000-0000CF470000}"/>
    <cellStyle name="CurrencyExt 2 3 5 3 2 2" xfId="18390" xr:uid="{00000000-0005-0000-0000-0000D0470000}"/>
    <cellStyle name="CurrencyExt 2 3 5 3 2 3" xfId="18391" xr:uid="{00000000-0005-0000-0000-0000D1470000}"/>
    <cellStyle name="CurrencyExt 2 3 5 3 2 4" xfId="18392" xr:uid="{00000000-0005-0000-0000-0000D2470000}"/>
    <cellStyle name="CurrencyExt 2 3 5 3 2 5" xfId="18393" xr:uid="{00000000-0005-0000-0000-0000D3470000}"/>
    <cellStyle name="CurrencyExt 2 3 5 3 2 6" xfId="18394" xr:uid="{00000000-0005-0000-0000-0000D4470000}"/>
    <cellStyle name="CurrencyExt 2 3 5 3 3" xfId="18395" xr:uid="{00000000-0005-0000-0000-0000D5470000}"/>
    <cellStyle name="CurrencyExt 2 3 5 3 4" xfId="18396" xr:uid="{00000000-0005-0000-0000-0000D6470000}"/>
    <cellStyle name="CurrencyExt 2 3 5 3 5" xfId="18397" xr:uid="{00000000-0005-0000-0000-0000D7470000}"/>
    <cellStyle name="CurrencyExt 2 3 5 3 6" xfId="18398" xr:uid="{00000000-0005-0000-0000-0000D8470000}"/>
    <cellStyle name="CurrencyExt 2 3 5 4" xfId="18399" xr:uid="{00000000-0005-0000-0000-0000D9470000}"/>
    <cellStyle name="CurrencyExt 2 3 5 4 2" xfId="18400" xr:uid="{00000000-0005-0000-0000-0000DA470000}"/>
    <cellStyle name="CurrencyExt 2 3 5 4 3" xfId="18401" xr:uid="{00000000-0005-0000-0000-0000DB470000}"/>
    <cellStyle name="CurrencyExt 2 3 5 4 4" xfId="18402" xr:uid="{00000000-0005-0000-0000-0000DC470000}"/>
    <cellStyle name="CurrencyExt 2 3 5 4 5" xfId="18403" xr:uid="{00000000-0005-0000-0000-0000DD470000}"/>
    <cellStyle name="CurrencyExt 2 3 5 4 6" xfId="18404" xr:uid="{00000000-0005-0000-0000-0000DE470000}"/>
    <cellStyle name="CurrencyExt 2 3 5 5" xfId="18405" xr:uid="{00000000-0005-0000-0000-0000DF470000}"/>
    <cellStyle name="CurrencyExt 2 3 5 6" xfId="18406" xr:uid="{00000000-0005-0000-0000-0000E0470000}"/>
    <cellStyle name="CurrencyExt 2 3 5 7" xfId="18407" xr:uid="{00000000-0005-0000-0000-0000E1470000}"/>
    <cellStyle name="CurrencyExt 2 3 5 8" xfId="18408" xr:uid="{00000000-0005-0000-0000-0000E2470000}"/>
    <cellStyle name="CurrencyExt 2 3 6" xfId="18409" xr:uid="{00000000-0005-0000-0000-0000E3470000}"/>
    <cellStyle name="CurrencyExt 2 3 6 2" xfId="18410" xr:uid="{00000000-0005-0000-0000-0000E4470000}"/>
    <cellStyle name="CurrencyExt 2 3 6 2 2" xfId="18411" xr:uid="{00000000-0005-0000-0000-0000E5470000}"/>
    <cellStyle name="CurrencyExt 2 3 6 2 2 2" xfId="18412" xr:uid="{00000000-0005-0000-0000-0000E6470000}"/>
    <cellStyle name="CurrencyExt 2 3 6 2 2 3" xfId="18413" xr:uid="{00000000-0005-0000-0000-0000E7470000}"/>
    <cellStyle name="CurrencyExt 2 3 6 2 2 4" xfId="18414" xr:uid="{00000000-0005-0000-0000-0000E8470000}"/>
    <cellStyle name="CurrencyExt 2 3 6 2 2 5" xfId="18415" xr:uid="{00000000-0005-0000-0000-0000E9470000}"/>
    <cellStyle name="CurrencyExt 2 3 6 2 2 6" xfId="18416" xr:uid="{00000000-0005-0000-0000-0000EA470000}"/>
    <cellStyle name="CurrencyExt 2 3 6 2 3" xfId="18417" xr:uid="{00000000-0005-0000-0000-0000EB470000}"/>
    <cellStyle name="CurrencyExt 2 3 6 2 4" xfId="18418" xr:uid="{00000000-0005-0000-0000-0000EC470000}"/>
    <cellStyle name="CurrencyExt 2 3 6 2 5" xfId="18419" xr:uid="{00000000-0005-0000-0000-0000ED470000}"/>
    <cellStyle name="CurrencyExt 2 3 6 2 6" xfId="18420" xr:uid="{00000000-0005-0000-0000-0000EE470000}"/>
    <cellStyle name="CurrencyExt 2 3 6 3" xfId="18421" xr:uid="{00000000-0005-0000-0000-0000EF470000}"/>
    <cellStyle name="CurrencyExt 2 3 6 3 2" xfId="18422" xr:uid="{00000000-0005-0000-0000-0000F0470000}"/>
    <cellStyle name="CurrencyExt 2 3 6 3 2 2" xfId="18423" xr:uid="{00000000-0005-0000-0000-0000F1470000}"/>
    <cellStyle name="CurrencyExt 2 3 6 3 2 3" xfId="18424" xr:uid="{00000000-0005-0000-0000-0000F2470000}"/>
    <cellStyle name="CurrencyExt 2 3 6 3 2 4" xfId="18425" xr:uid="{00000000-0005-0000-0000-0000F3470000}"/>
    <cellStyle name="CurrencyExt 2 3 6 3 2 5" xfId="18426" xr:uid="{00000000-0005-0000-0000-0000F4470000}"/>
    <cellStyle name="CurrencyExt 2 3 6 3 2 6" xfId="18427" xr:uid="{00000000-0005-0000-0000-0000F5470000}"/>
    <cellStyle name="CurrencyExt 2 3 6 3 3" xfId="18428" xr:uid="{00000000-0005-0000-0000-0000F6470000}"/>
    <cellStyle name="CurrencyExt 2 3 6 3 4" xfId="18429" xr:uid="{00000000-0005-0000-0000-0000F7470000}"/>
    <cellStyle name="CurrencyExt 2 3 6 3 5" xfId="18430" xr:uid="{00000000-0005-0000-0000-0000F8470000}"/>
    <cellStyle name="CurrencyExt 2 3 6 3 6" xfId="18431" xr:uid="{00000000-0005-0000-0000-0000F9470000}"/>
    <cellStyle name="CurrencyExt 2 3 6 4" xfId="18432" xr:uid="{00000000-0005-0000-0000-0000FA470000}"/>
    <cellStyle name="CurrencyExt 2 3 6 4 2" xfId="18433" xr:uid="{00000000-0005-0000-0000-0000FB470000}"/>
    <cellStyle name="CurrencyExt 2 3 6 4 3" xfId="18434" xr:uid="{00000000-0005-0000-0000-0000FC470000}"/>
    <cellStyle name="CurrencyExt 2 3 6 4 4" xfId="18435" xr:uid="{00000000-0005-0000-0000-0000FD470000}"/>
    <cellStyle name="CurrencyExt 2 3 6 4 5" xfId="18436" xr:uid="{00000000-0005-0000-0000-0000FE470000}"/>
    <cellStyle name="CurrencyExt 2 3 6 4 6" xfId="18437" xr:uid="{00000000-0005-0000-0000-0000FF470000}"/>
    <cellStyle name="CurrencyExt 2 3 6 5" xfId="18438" xr:uid="{00000000-0005-0000-0000-000000480000}"/>
    <cellStyle name="CurrencyExt 2 3 6 6" xfId="18439" xr:uid="{00000000-0005-0000-0000-000001480000}"/>
    <cellStyle name="CurrencyExt 2 3 6 7" xfId="18440" xr:uid="{00000000-0005-0000-0000-000002480000}"/>
    <cellStyle name="CurrencyExt 2 3 6 8" xfId="18441" xr:uid="{00000000-0005-0000-0000-000003480000}"/>
    <cellStyle name="CurrencyExt 2 3 7" xfId="18442" xr:uid="{00000000-0005-0000-0000-000004480000}"/>
    <cellStyle name="CurrencyExt 2 3 7 2" xfId="18443" xr:uid="{00000000-0005-0000-0000-000005480000}"/>
    <cellStyle name="CurrencyExt 2 3 7 2 2" xfId="18444" xr:uid="{00000000-0005-0000-0000-000006480000}"/>
    <cellStyle name="CurrencyExt 2 3 7 2 3" xfId="18445" xr:uid="{00000000-0005-0000-0000-000007480000}"/>
    <cellStyle name="CurrencyExt 2 3 7 2 4" xfId="18446" xr:uid="{00000000-0005-0000-0000-000008480000}"/>
    <cellStyle name="CurrencyExt 2 3 7 2 5" xfId="18447" xr:uid="{00000000-0005-0000-0000-000009480000}"/>
    <cellStyle name="CurrencyExt 2 3 7 2 6" xfId="18448" xr:uid="{00000000-0005-0000-0000-00000A480000}"/>
    <cellStyle name="CurrencyExt 2 3 7 3" xfId="18449" xr:uid="{00000000-0005-0000-0000-00000B480000}"/>
    <cellStyle name="CurrencyExt 2 3 7 4" xfId="18450" xr:uid="{00000000-0005-0000-0000-00000C480000}"/>
    <cellStyle name="CurrencyExt 2 3 7 5" xfId="18451" xr:uid="{00000000-0005-0000-0000-00000D480000}"/>
    <cellStyle name="CurrencyExt 2 3 7 6" xfId="18452" xr:uid="{00000000-0005-0000-0000-00000E480000}"/>
    <cellStyle name="CurrencyExt 2 3 8" xfId="18453" xr:uid="{00000000-0005-0000-0000-00000F480000}"/>
    <cellStyle name="CurrencyExt 2 3 8 2" xfId="18454" xr:uid="{00000000-0005-0000-0000-000010480000}"/>
    <cellStyle name="CurrencyExt 2 3 8 2 2" xfId="18455" xr:uid="{00000000-0005-0000-0000-000011480000}"/>
    <cellStyle name="CurrencyExt 2 3 8 2 3" xfId="18456" xr:uid="{00000000-0005-0000-0000-000012480000}"/>
    <cellStyle name="CurrencyExt 2 3 8 2 4" xfId="18457" xr:uid="{00000000-0005-0000-0000-000013480000}"/>
    <cellStyle name="CurrencyExt 2 3 8 2 5" xfId="18458" xr:uid="{00000000-0005-0000-0000-000014480000}"/>
    <cellStyle name="CurrencyExt 2 3 8 2 6" xfId="18459" xr:uid="{00000000-0005-0000-0000-000015480000}"/>
    <cellStyle name="CurrencyExt 2 3 8 3" xfId="18460" xr:uid="{00000000-0005-0000-0000-000016480000}"/>
    <cellStyle name="CurrencyExt 2 3 8 4" xfId="18461" xr:uid="{00000000-0005-0000-0000-000017480000}"/>
    <cellStyle name="CurrencyExt 2 3 8 5" xfId="18462" xr:uid="{00000000-0005-0000-0000-000018480000}"/>
    <cellStyle name="CurrencyExt 2 3 8 6" xfId="18463" xr:uid="{00000000-0005-0000-0000-000019480000}"/>
    <cellStyle name="CurrencyExt 2 3 9" xfId="18464" xr:uid="{00000000-0005-0000-0000-00001A480000}"/>
    <cellStyle name="CurrencyExt 2 3 9 2" xfId="18465" xr:uid="{00000000-0005-0000-0000-00001B480000}"/>
    <cellStyle name="CurrencyExt 2 3 9 3" xfId="18466" xr:uid="{00000000-0005-0000-0000-00001C480000}"/>
    <cellStyle name="CurrencyExt 2 3 9 4" xfId="18467" xr:uid="{00000000-0005-0000-0000-00001D480000}"/>
    <cellStyle name="CurrencyExt 2 3 9 5" xfId="18468" xr:uid="{00000000-0005-0000-0000-00001E480000}"/>
    <cellStyle name="CurrencyExt 2 3 9 6" xfId="18469" xr:uid="{00000000-0005-0000-0000-00001F480000}"/>
    <cellStyle name="CurrencyExt 2 4" xfId="18470" xr:uid="{00000000-0005-0000-0000-000020480000}"/>
    <cellStyle name="CurrencyExt 2 4 2" xfId="18471" xr:uid="{00000000-0005-0000-0000-000021480000}"/>
    <cellStyle name="CurrencyExt 2 4 2 2" xfId="18472" xr:uid="{00000000-0005-0000-0000-000022480000}"/>
    <cellStyle name="CurrencyExt 2 4 2 2 2" xfId="18473" xr:uid="{00000000-0005-0000-0000-000023480000}"/>
    <cellStyle name="CurrencyExt 2 4 2 2 3" xfId="18474" xr:uid="{00000000-0005-0000-0000-000024480000}"/>
    <cellStyle name="CurrencyExt 2 4 2 2 4" xfId="18475" xr:uid="{00000000-0005-0000-0000-000025480000}"/>
    <cellStyle name="CurrencyExt 2 4 2 2 5" xfId="18476" xr:uid="{00000000-0005-0000-0000-000026480000}"/>
    <cellStyle name="CurrencyExt 2 4 2 2 6" xfId="18477" xr:uid="{00000000-0005-0000-0000-000027480000}"/>
    <cellStyle name="CurrencyExt 2 4 2 3" xfId="18478" xr:uid="{00000000-0005-0000-0000-000028480000}"/>
    <cellStyle name="CurrencyExt 2 4 2 4" xfId="18479" xr:uid="{00000000-0005-0000-0000-000029480000}"/>
    <cellStyle name="CurrencyExt 2 4 2 5" xfId="18480" xr:uid="{00000000-0005-0000-0000-00002A480000}"/>
    <cellStyle name="CurrencyExt 2 4 2 6" xfId="18481" xr:uid="{00000000-0005-0000-0000-00002B480000}"/>
    <cellStyle name="CurrencyExt 2 4 3" xfId="18482" xr:uid="{00000000-0005-0000-0000-00002C480000}"/>
    <cellStyle name="CurrencyExt 2 4 3 2" xfId="18483" xr:uid="{00000000-0005-0000-0000-00002D480000}"/>
    <cellStyle name="CurrencyExt 2 4 3 2 2" xfId="18484" xr:uid="{00000000-0005-0000-0000-00002E480000}"/>
    <cellStyle name="CurrencyExt 2 4 3 2 3" xfId="18485" xr:uid="{00000000-0005-0000-0000-00002F480000}"/>
    <cellStyle name="CurrencyExt 2 4 3 2 4" xfId="18486" xr:uid="{00000000-0005-0000-0000-000030480000}"/>
    <cellStyle name="CurrencyExt 2 4 3 2 5" xfId="18487" xr:uid="{00000000-0005-0000-0000-000031480000}"/>
    <cellStyle name="CurrencyExt 2 4 3 2 6" xfId="18488" xr:uid="{00000000-0005-0000-0000-000032480000}"/>
    <cellStyle name="CurrencyExt 2 4 3 3" xfId="18489" xr:uid="{00000000-0005-0000-0000-000033480000}"/>
    <cellStyle name="CurrencyExt 2 4 3 4" xfId="18490" xr:uid="{00000000-0005-0000-0000-000034480000}"/>
    <cellStyle name="CurrencyExt 2 4 3 5" xfId="18491" xr:uid="{00000000-0005-0000-0000-000035480000}"/>
    <cellStyle name="CurrencyExt 2 4 3 6" xfId="18492" xr:uid="{00000000-0005-0000-0000-000036480000}"/>
    <cellStyle name="CurrencyExt 2 4 4" xfId="18493" xr:uid="{00000000-0005-0000-0000-000037480000}"/>
    <cellStyle name="CurrencyExt 2 4 4 2" xfId="18494" xr:uid="{00000000-0005-0000-0000-000038480000}"/>
    <cellStyle name="CurrencyExt 2 4 4 3" xfId="18495" xr:uid="{00000000-0005-0000-0000-000039480000}"/>
    <cellStyle name="CurrencyExt 2 4 4 4" xfId="18496" xr:uid="{00000000-0005-0000-0000-00003A480000}"/>
    <cellStyle name="CurrencyExt 2 4 4 5" xfId="18497" xr:uid="{00000000-0005-0000-0000-00003B480000}"/>
    <cellStyle name="CurrencyExt 2 4 4 6" xfId="18498" xr:uid="{00000000-0005-0000-0000-00003C480000}"/>
    <cellStyle name="CurrencyExt 2 4 5" xfId="18499" xr:uid="{00000000-0005-0000-0000-00003D480000}"/>
    <cellStyle name="CurrencyExt 2 4 6" xfId="18500" xr:uid="{00000000-0005-0000-0000-00003E480000}"/>
    <cellStyle name="CurrencyExt 2 4 7" xfId="18501" xr:uid="{00000000-0005-0000-0000-00003F480000}"/>
    <cellStyle name="CurrencyExt 2 4 8" xfId="18502" xr:uid="{00000000-0005-0000-0000-000040480000}"/>
    <cellStyle name="CurrencyExt 2 5" xfId="18503" xr:uid="{00000000-0005-0000-0000-000041480000}"/>
    <cellStyle name="CurrencyExt 2 5 2" xfId="18504" xr:uid="{00000000-0005-0000-0000-000042480000}"/>
    <cellStyle name="CurrencyExt 2 5 2 2" xfId="18505" xr:uid="{00000000-0005-0000-0000-000043480000}"/>
    <cellStyle name="CurrencyExt 2 5 2 2 2" xfId="18506" xr:uid="{00000000-0005-0000-0000-000044480000}"/>
    <cellStyle name="CurrencyExt 2 5 2 2 3" xfId="18507" xr:uid="{00000000-0005-0000-0000-000045480000}"/>
    <cellStyle name="CurrencyExt 2 5 2 2 4" xfId="18508" xr:uid="{00000000-0005-0000-0000-000046480000}"/>
    <cellStyle name="CurrencyExt 2 5 2 2 5" xfId="18509" xr:uid="{00000000-0005-0000-0000-000047480000}"/>
    <cellStyle name="CurrencyExt 2 5 2 2 6" xfId="18510" xr:uid="{00000000-0005-0000-0000-000048480000}"/>
    <cellStyle name="CurrencyExt 2 5 2 3" xfId="18511" xr:uid="{00000000-0005-0000-0000-000049480000}"/>
    <cellStyle name="CurrencyExt 2 5 2 4" xfId="18512" xr:uid="{00000000-0005-0000-0000-00004A480000}"/>
    <cellStyle name="CurrencyExt 2 5 2 5" xfId="18513" xr:uid="{00000000-0005-0000-0000-00004B480000}"/>
    <cellStyle name="CurrencyExt 2 5 2 6" xfId="18514" xr:uid="{00000000-0005-0000-0000-00004C480000}"/>
    <cellStyle name="CurrencyExt 2 5 3" xfId="18515" xr:uid="{00000000-0005-0000-0000-00004D480000}"/>
    <cellStyle name="CurrencyExt 2 5 3 2" xfId="18516" xr:uid="{00000000-0005-0000-0000-00004E480000}"/>
    <cellStyle name="CurrencyExt 2 5 3 2 2" xfId="18517" xr:uid="{00000000-0005-0000-0000-00004F480000}"/>
    <cellStyle name="CurrencyExt 2 5 3 2 3" xfId="18518" xr:uid="{00000000-0005-0000-0000-000050480000}"/>
    <cellStyle name="CurrencyExt 2 5 3 2 4" xfId="18519" xr:uid="{00000000-0005-0000-0000-000051480000}"/>
    <cellStyle name="CurrencyExt 2 5 3 2 5" xfId="18520" xr:uid="{00000000-0005-0000-0000-000052480000}"/>
    <cellStyle name="CurrencyExt 2 5 3 2 6" xfId="18521" xr:uid="{00000000-0005-0000-0000-000053480000}"/>
    <cellStyle name="CurrencyExt 2 5 3 3" xfId="18522" xr:uid="{00000000-0005-0000-0000-000054480000}"/>
    <cellStyle name="CurrencyExt 2 5 3 4" xfId="18523" xr:uid="{00000000-0005-0000-0000-000055480000}"/>
    <cellStyle name="CurrencyExt 2 5 3 5" xfId="18524" xr:uid="{00000000-0005-0000-0000-000056480000}"/>
    <cellStyle name="CurrencyExt 2 5 3 6" xfId="18525" xr:uid="{00000000-0005-0000-0000-000057480000}"/>
    <cellStyle name="CurrencyExt 2 5 4" xfId="18526" xr:uid="{00000000-0005-0000-0000-000058480000}"/>
    <cellStyle name="CurrencyExt 2 5 4 2" xfId="18527" xr:uid="{00000000-0005-0000-0000-000059480000}"/>
    <cellStyle name="CurrencyExt 2 5 4 3" xfId="18528" xr:uid="{00000000-0005-0000-0000-00005A480000}"/>
    <cellStyle name="CurrencyExt 2 5 4 4" xfId="18529" xr:uid="{00000000-0005-0000-0000-00005B480000}"/>
    <cellStyle name="CurrencyExt 2 5 4 5" xfId="18530" xr:uid="{00000000-0005-0000-0000-00005C480000}"/>
    <cellStyle name="CurrencyExt 2 5 4 6" xfId="18531" xr:uid="{00000000-0005-0000-0000-00005D480000}"/>
    <cellStyle name="CurrencyExt 2 5 5" xfId="18532" xr:uid="{00000000-0005-0000-0000-00005E480000}"/>
    <cellStyle name="CurrencyExt 2 5 6" xfId="18533" xr:uid="{00000000-0005-0000-0000-00005F480000}"/>
    <cellStyle name="CurrencyExt 2 5 7" xfId="18534" xr:uid="{00000000-0005-0000-0000-000060480000}"/>
    <cellStyle name="CurrencyExt 2 5 8" xfId="18535" xr:uid="{00000000-0005-0000-0000-000061480000}"/>
    <cellStyle name="CurrencyExt 2 6" xfId="18536" xr:uid="{00000000-0005-0000-0000-000062480000}"/>
    <cellStyle name="CurrencyExt 2 6 2" xfId="18537" xr:uid="{00000000-0005-0000-0000-000063480000}"/>
    <cellStyle name="CurrencyExt 2 6 2 2" xfId="18538" xr:uid="{00000000-0005-0000-0000-000064480000}"/>
    <cellStyle name="CurrencyExt 2 6 2 2 2" xfId="18539" xr:uid="{00000000-0005-0000-0000-000065480000}"/>
    <cellStyle name="CurrencyExt 2 6 2 2 3" xfId="18540" xr:uid="{00000000-0005-0000-0000-000066480000}"/>
    <cellStyle name="CurrencyExt 2 6 2 2 4" xfId="18541" xr:uid="{00000000-0005-0000-0000-000067480000}"/>
    <cellStyle name="CurrencyExt 2 6 2 2 5" xfId="18542" xr:uid="{00000000-0005-0000-0000-000068480000}"/>
    <cellStyle name="CurrencyExt 2 6 2 2 6" xfId="18543" xr:uid="{00000000-0005-0000-0000-000069480000}"/>
    <cellStyle name="CurrencyExt 2 6 2 3" xfId="18544" xr:uid="{00000000-0005-0000-0000-00006A480000}"/>
    <cellStyle name="CurrencyExt 2 6 2 4" xfId="18545" xr:uid="{00000000-0005-0000-0000-00006B480000}"/>
    <cellStyle name="CurrencyExt 2 6 2 5" xfId="18546" xr:uid="{00000000-0005-0000-0000-00006C480000}"/>
    <cellStyle name="CurrencyExt 2 6 2 6" xfId="18547" xr:uid="{00000000-0005-0000-0000-00006D480000}"/>
    <cellStyle name="CurrencyExt 2 6 3" xfId="18548" xr:uid="{00000000-0005-0000-0000-00006E480000}"/>
    <cellStyle name="CurrencyExt 2 6 3 2" xfId="18549" xr:uid="{00000000-0005-0000-0000-00006F480000}"/>
    <cellStyle name="CurrencyExt 2 6 3 2 2" xfId="18550" xr:uid="{00000000-0005-0000-0000-000070480000}"/>
    <cellStyle name="CurrencyExt 2 6 3 2 3" xfId="18551" xr:uid="{00000000-0005-0000-0000-000071480000}"/>
    <cellStyle name="CurrencyExt 2 6 3 2 4" xfId="18552" xr:uid="{00000000-0005-0000-0000-000072480000}"/>
    <cellStyle name="CurrencyExt 2 6 3 2 5" xfId="18553" xr:uid="{00000000-0005-0000-0000-000073480000}"/>
    <cellStyle name="CurrencyExt 2 6 3 2 6" xfId="18554" xr:uid="{00000000-0005-0000-0000-000074480000}"/>
    <cellStyle name="CurrencyExt 2 6 3 3" xfId="18555" xr:uid="{00000000-0005-0000-0000-000075480000}"/>
    <cellStyle name="CurrencyExt 2 6 3 4" xfId="18556" xr:uid="{00000000-0005-0000-0000-000076480000}"/>
    <cellStyle name="CurrencyExt 2 6 3 5" xfId="18557" xr:uid="{00000000-0005-0000-0000-000077480000}"/>
    <cellStyle name="CurrencyExt 2 6 3 6" xfId="18558" xr:uid="{00000000-0005-0000-0000-000078480000}"/>
    <cellStyle name="CurrencyExt 2 6 4" xfId="18559" xr:uid="{00000000-0005-0000-0000-000079480000}"/>
    <cellStyle name="CurrencyExt 2 6 4 2" xfId="18560" xr:uid="{00000000-0005-0000-0000-00007A480000}"/>
    <cellStyle name="CurrencyExt 2 6 4 3" xfId="18561" xr:uid="{00000000-0005-0000-0000-00007B480000}"/>
    <cellStyle name="CurrencyExt 2 6 4 4" xfId="18562" xr:uid="{00000000-0005-0000-0000-00007C480000}"/>
    <cellStyle name="CurrencyExt 2 6 4 5" xfId="18563" xr:uid="{00000000-0005-0000-0000-00007D480000}"/>
    <cellStyle name="CurrencyExt 2 6 4 6" xfId="18564" xr:uid="{00000000-0005-0000-0000-00007E480000}"/>
    <cellStyle name="CurrencyExt 2 6 5" xfId="18565" xr:uid="{00000000-0005-0000-0000-00007F480000}"/>
    <cellStyle name="CurrencyExt 2 6 6" xfId="18566" xr:uid="{00000000-0005-0000-0000-000080480000}"/>
    <cellStyle name="CurrencyExt 2 6 7" xfId="18567" xr:uid="{00000000-0005-0000-0000-000081480000}"/>
    <cellStyle name="CurrencyExt 2 6 8" xfId="18568" xr:uid="{00000000-0005-0000-0000-000082480000}"/>
    <cellStyle name="CurrencyExt 2 7" xfId="18569" xr:uid="{00000000-0005-0000-0000-000083480000}"/>
    <cellStyle name="CurrencyExt 2 7 2" xfId="18570" xr:uid="{00000000-0005-0000-0000-000084480000}"/>
    <cellStyle name="CurrencyExt 2 7 2 2" xfId="18571" xr:uid="{00000000-0005-0000-0000-000085480000}"/>
    <cellStyle name="CurrencyExt 2 7 2 3" xfId="18572" xr:uid="{00000000-0005-0000-0000-000086480000}"/>
    <cellStyle name="CurrencyExt 2 7 2 4" xfId="18573" xr:uid="{00000000-0005-0000-0000-000087480000}"/>
    <cellStyle name="CurrencyExt 2 7 2 5" xfId="18574" xr:uid="{00000000-0005-0000-0000-000088480000}"/>
    <cellStyle name="CurrencyExt 2 7 2 6" xfId="18575" xr:uid="{00000000-0005-0000-0000-000089480000}"/>
    <cellStyle name="CurrencyExt 2 7 3" xfId="18576" xr:uid="{00000000-0005-0000-0000-00008A480000}"/>
    <cellStyle name="CurrencyExt 2 7 4" xfId="18577" xr:uid="{00000000-0005-0000-0000-00008B480000}"/>
    <cellStyle name="CurrencyExt 2 7 5" xfId="18578" xr:uid="{00000000-0005-0000-0000-00008C480000}"/>
    <cellStyle name="CurrencyExt 2 7 6" xfId="18579" xr:uid="{00000000-0005-0000-0000-00008D480000}"/>
    <cellStyle name="CurrencyExt 2 8" xfId="18580" xr:uid="{00000000-0005-0000-0000-00008E480000}"/>
    <cellStyle name="CurrencyExt 2 8 2" xfId="18581" xr:uid="{00000000-0005-0000-0000-00008F480000}"/>
    <cellStyle name="CurrencyExt 2 8 2 2" xfId="18582" xr:uid="{00000000-0005-0000-0000-000090480000}"/>
    <cellStyle name="CurrencyExt 2 8 2 3" xfId="18583" xr:uid="{00000000-0005-0000-0000-000091480000}"/>
    <cellStyle name="CurrencyExt 2 8 2 4" xfId="18584" xr:uid="{00000000-0005-0000-0000-000092480000}"/>
    <cellStyle name="CurrencyExt 2 8 2 5" xfId="18585" xr:uid="{00000000-0005-0000-0000-000093480000}"/>
    <cellStyle name="CurrencyExt 2 8 2 6" xfId="18586" xr:uid="{00000000-0005-0000-0000-000094480000}"/>
    <cellStyle name="CurrencyExt 2 8 3" xfId="18587" xr:uid="{00000000-0005-0000-0000-000095480000}"/>
    <cellStyle name="CurrencyExt 2 8 4" xfId="18588" xr:uid="{00000000-0005-0000-0000-000096480000}"/>
    <cellStyle name="CurrencyExt 2 8 5" xfId="18589" xr:uid="{00000000-0005-0000-0000-000097480000}"/>
    <cellStyle name="CurrencyExt 2 8 6" xfId="18590" xr:uid="{00000000-0005-0000-0000-000098480000}"/>
    <cellStyle name="CurrencyExt 2 9" xfId="18591" xr:uid="{00000000-0005-0000-0000-000099480000}"/>
    <cellStyle name="CurrencyExt 2 9 2" xfId="18592" xr:uid="{00000000-0005-0000-0000-00009A480000}"/>
    <cellStyle name="CurrencyExt 2 9 3" xfId="18593" xr:uid="{00000000-0005-0000-0000-00009B480000}"/>
    <cellStyle name="CurrencyExt 2 9 4" xfId="18594" xr:uid="{00000000-0005-0000-0000-00009C480000}"/>
    <cellStyle name="CurrencyExt 2 9 5" xfId="18595" xr:uid="{00000000-0005-0000-0000-00009D480000}"/>
    <cellStyle name="CurrencyExt 2 9 6" xfId="18596" xr:uid="{00000000-0005-0000-0000-00009E480000}"/>
    <cellStyle name="CurrencyExt 3" xfId="18597" xr:uid="{00000000-0005-0000-0000-00009F480000}"/>
    <cellStyle name="CurrencyExt 3 10" xfId="18598" xr:uid="{00000000-0005-0000-0000-0000A0480000}"/>
    <cellStyle name="CurrencyExt 3 10 2" xfId="18599" xr:uid="{00000000-0005-0000-0000-0000A1480000}"/>
    <cellStyle name="CurrencyExt 3 10 3" xfId="18600" xr:uid="{00000000-0005-0000-0000-0000A2480000}"/>
    <cellStyle name="CurrencyExt 3 10 4" xfId="18601" xr:uid="{00000000-0005-0000-0000-0000A3480000}"/>
    <cellStyle name="CurrencyExt 3 10 5" xfId="18602" xr:uid="{00000000-0005-0000-0000-0000A4480000}"/>
    <cellStyle name="CurrencyExt 3 10 6" xfId="18603" xr:uid="{00000000-0005-0000-0000-0000A5480000}"/>
    <cellStyle name="CurrencyExt 3 11" xfId="18604" xr:uid="{00000000-0005-0000-0000-0000A6480000}"/>
    <cellStyle name="CurrencyExt 3 12" xfId="18605" xr:uid="{00000000-0005-0000-0000-0000A7480000}"/>
    <cellStyle name="CurrencyExt 3 13" xfId="18606" xr:uid="{00000000-0005-0000-0000-0000A8480000}"/>
    <cellStyle name="CurrencyExt 3 14" xfId="18607" xr:uid="{00000000-0005-0000-0000-0000A9480000}"/>
    <cellStyle name="CurrencyExt 3 2" xfId="18608" xr:uid="{00000000-0005-0000-0000-0000AA480000}"/>
    <cellStyle name="CurrencyExt 3 2 10" xfId="18609" xr:uid="{00000000-0005-0000-0000-0000AB480000}"/>
    <cellStyle name="CurrencyExt 3 2 11" xfId="18610" xr:uid="{00000000-0005-0000-0000-0000AC480000}"/>
    <cellStyle name="CurrencyExt 3 2 12" xfId="18611" xr:uid="{00000000-0005-0000-0000-0000AD480000}"/>
    <cellStyle name="CurrencyExt 3 2 13" xfId="18612" xr:uid="{00000000-0005-0000-0000-0000AE480000}"/>
    <cellStyle name="CurrencyExt 3 2 2" xfId="18613" xr:uid="{00000000-0005-0000-0000-0000AF480000}"/>
    <cellStyle name="CurrencyExt 3 2 2 2" xfId="18614" xr:uid="{00000000-0005-0000-0000-0000B0480000}"/>
    <cellStyle name="CurrencyExt 3 2 2 2 2" xfId="18615" xr:uid="{00000000-0005-0000-0000-0000B1480000}"/>
    <cellStyle name="CurrencyExt 3 2 2 2 2 2" xfId="18616" xr:uid="{00000000-0005-0000-0000-0000B2480000}"/>
    <cellStyle name="CurrencyExt 3 2 2 2 2 3" xfId="18617" xr:uid="{00000000-0005-0000-0000-0000B3480000}"/>
    <cellStyle name="CurrencyExt 3 2 2 2 2 4" xfId="18618" xr:uid="{00000000-0005-0000-0000-0000B4480000}"/>
    <cellStyle name="CurrencyExt 3 2 2 2 2 5" xfId="18619" xr:uid="{00000000-0005-0000-0000-0000B5480000}"/>
    <cellStyle name="CurrencyExt 3 2 2 2 2 6" xfId="18620" xr:uid="{00000000-0005-0000-0000-0000B6480000}"/>
    <cellStyle name="CurrencyExt 3 2 2 2 3" xfId="18621" xr:uid="{00000000-0005-0000-0000-0000B7480000}"/>
    <cellStyle name="CurrencyExt 3 2 2 2 4" xfId="18622" xr:uid="{00000000-0005-0000-0000-0000B8480000}"/>
    <cellStyle name="CurrencyExt 3 2 2 2 5" xfId="18623" xr:uid="{00000000-0005-0000-0000-0000B9480000}"/>
    <cellStyle name="CurrencyExt 3 2 2 2 6" xfId="18624" xr:uid="{00000000-0005-0000-0000-0000BA480000}"/>
    <cellStyle name="CurrencyExt 3 2 2 3" xfId="18625" xr:uid="{00000000-0005-0000-0000-0000BB480000}"/>
    <cellStyle name="CurrencyExt 3 2 2 3 2" xfId="18626" xr:uid="{00000000-0005-0000-0000-0000BC480000}"/>
    <cellStyle name="CurrencyExt 3 2 2 3 2 2" xfId="18627" xr:uid="{00000000-0005-0000-0000-0000BD480000}"/>
    <cellStyle name="CurrencyExt 3 2 2 3 2 3" xfId="18628" xr:uid="{00000000-0005-0000-0000-0000BE480000}"/>
    <cellStyle name="CurrencyExt 3 2 2 3 2 4" xfId="18629" xr:uid="{00000000-0005-0000-0000-0000BF480000}"/>
    <cellStyle name="CurrencyExt 3 2 2 3 2 5" xfId="18630" xr:uid="{00000000-0005-0000-0000-0000C0480000}"/>
    <cellStyle name="CurrencyExt 3 2 2 3 2 6" xfId="18631" xr:uid="{00000000-0005-0000-0000-0000C1480000}"/>
    <cellStyle name="CurrencyExt 3 2 2 3 3" xfId="18632" xr:uid="{00000000-0005-0000-0000-0000C2480000}"/>
    <cellStyle name="CurrencyExt 3 2 2 3 4" xfId="18633" xr:uid="{00000000-0005-0000-0000-0000C3480000}"/>
    <cellStyle name="CurrencyExt 3 2 2 3 5" xfId="18634" xr:uid="{00000000-0005-0000-0000-0000C4480000}"/>
    <cellStyle name="CurrencyExt 3 2 2 3 6" xfId="18635" xr:uid="{00000000-0005-0000-0000-0000C5480000}"/>
    <cellStyle name="CurrencyExt 3 2 2 4" xfId="18636" xr:uid="{00000000-0005-0000-0000-0000C6480000}"/>
    <cellStyle name="CurrencyExt 3 2 2 4 2" xfId="18637" xr:uid="{00000000-0005-0000-0000-0000C7480000}"/>
    <cellStyle name="CurrencyExt 3 2 2 4 3" xfId="18638" xr:uid="{00000000-0005-0000-0000-0000C8480000}"/>
    <cellStyle name="CurrencyExt 3 2 2 4 4" xfId="18639" xr:uid="{00000000-0005-0000-0000-0000C9480000}"/>
    <cellStyle name="CurrencyExt 3 2 2 4 5" xfId="18640" xr:uid="{00000000-0005-0000-0000-0000CA480000}"/>
    <cellStyle name="CurrencyExt 3 2 2 4 6" xfId="18641" xr:uid="{00000000-0005-0000-0000-0000CB480000}"/>
    <cellStyle name="CurrencyExt 3 2 2 5" xfId="18642" xr:uid="{00000000-0005-0000-0000-0000CC480000}"/>
    <cellStyle name="CurrencyExt 3 2 2 6" xfId="18643" xr:uid="{00000000-0005-0000-0000-0000CD480000}"/>
    <cellStyle name="CurrencyExt 3 2 2 7" xfId="18644" xr:uid="{00000000-0005-0000-0000-0000CE480000}"/>
    <cellStyle name="CurrencyExt 3 2 2 8" xfId="18645" xr:uid="{00000000-0005-0000-0000-0000CF480000}"/>
    <cellStyle name="CurrencyExt 3 2 3" xfId="18646" xr:uid="{00000000-0005-0000-0000-0000D0480000}"/>
    <cellStyle name="CurrencyExt 3 2 3 2" xfId="18647" xr:uid="{00000000-0005-0000-0000-0000D1480000}"/>
    <cellStyle name="CurrencyExt 3 2 3 2 2" xfId="18648" xr:uid="{00000000-0005-0000-0000-0000D2480000}"/>
    <cellStyle name="CurrencyExt 3 2 3 2 2 2" xfId="18649" xr:uid="{00000000-0005-0000-0000-0000D3480000}"/>
    <cellStyle name="CurrencyExt 3 2 3 2 2 3" xfId="18650" xr:uid="{00000000-0005-0000-0000-0000D4480000}"/>
    <cellStyle name="CurrencyExt 3 2 3 2 2 4" xfId="18651" xr:uid="{00000000-0005-0000-0000-0000D5480000}"/>
    <cellStyle name="CurrencyExt 3 2 3 2 2 5" xfId="18652" xr:uid="{00000000-0005-0000-0000-0000D6480000}"/>
    <cellStyle name="CurrencyExt 3 2 3 2 2 6" xfId="18653" xr:uid="{00000000-0005-0000-0000-0000D7480000}"/>
    <cellStyle name="CurrencyExt 3 2 3 2 3" xfId="18654" xr:uid="{00000000-0005-0000-0000-0000D8480000}"/>
    <cellStyle name="CurrencyExt 3 2 3 2 4" xfId="18655" xr:uid="{00000000-0005-0000-0000-0000D9480000}"/>
    <cellStyle name="CurrencyExt 3 2 3 2 5" xfId="18656" xr:uid="{00000000-0005-0000-0000-0000DA480000}"/>
    <cellStyle name="CurrencyExt 3 2 3 2 6" xfId="18657" xr:uid="{00000000-0005-0000-0000-0000DB480000}"/>
    <cellStyle name="CurrencyExt 3 2 3 3" xfId="18658" xr:uid="{00000000-0005-0000-0000-0000DC480000}"/>
    <cellStyle name="CurrencyExt 3 2 3 3 2" xfId="18659" xr:uid="{00000000-0005-0000-0000-0000DD480000}"/>
    <cellStyle name="CurrencyExt 3 2 3 3 2 2" xfId="18660" xr:uid="{00000000-0005-0000-0000-0000DE480000}"/>
    <cellStyle name="CurrencyExt 3 2 3 3 2 3" xfId="18661" xr:uid="{00000000-0005-0000-0000-0000DF480000}"/>
    <cellStyle name="CurrencyExt 3 2 3 3 2 4" xfId="18662" xr:uid="{00000000-0005-0000-0000-0000E0480000}"/>
    <cellStyle name="CurrencyExt 3 2 3 3 2 5" xfId="18663" xr:uid="{00000000-0005-0000-0000-0000E1480000}"/>
    <cellStyle name="CurrencyExt 3 2 3 3 2 6" xfId="18664" xr:uid="{00000000-0005-0000-0000-0000E2480000}"/>
    <cellStyle name="CurrencyExt 3 2 3 3 3" xfId="18665" xr:uid="{00000000-0005-0000-0000-0000E3480000}"/>
    <cellStyle name="CurrencyExt 3 2 3 3 4" xfId="18666" xr:uid="{00000000-0005-0000-0000-0000E4480000}"/>
    <cellStyle name="CurrencyExt 3 2 3 3 5" xfId="18667" xr:uid="{00000000-0005-0000-0000-0000E5480000}"/>
    <cellStyle name="CurrencyExt 3 2 3 3 6" xfId="18668" xr:uid="{00000000-0005-0000-0000-0000E6480000}"/>
    <cellStyle name="CurrencyExt 3 2 3 4" xfId="18669" xr:uid="{00000000-0005-0000-0000-0000E7480000}"/>
    <cellStyle name="CurrencyExt 3 2 3 4 2" xfId="18670" xr:uid="{00000000-0005-0000-0000-0000E8480000}"/>
    <cellStyle name="CurrencyExt 3 2 3 4 3" xfId="18671" xr:uid="{00000000-0005-0000-0000-0000E9480000}"/>
    <cellStyle name="CurrencyExt 3 2 3 4 4" xfId="18672" xr:uid="{00000000-0005-0000-0000-0000EA480000}"/>
    <cellStyle name="CurrencyExt 3 2 3 4 5" xfId="18673" xr:uid="{00000000-0005-0000-0000-0000EB480000}"/>
    <cellStyle name="CurrencyExt 3 2 3 4 6" xfId="18674" xr:uid="{00000000-0005-0000-0000-0000EC480000}"/>
    <cellStyle name="CurrencyExt 3 2 3 5" xfId="18675" xr:uid="{00000000-0005-0000-0000-0000ED480000}"/>
    <cellStyle name="CurrencyExt 3 2 3 6" xfId="18676" xr:uid="{00000000-0005-0000-0000-0000EE480000}"/>
    <cellStyle name="CurrencyExt 3 2 3 7" xfId="18677" xr:uid="{00000000-0005-0000-0000-0000EF480000}"/>
    <cellStyle name="CurrencyExt 3 2 3 8" xfId="18678" xr:uid="{00000000-0005-0000-0000-0000F0480000}"/>
    <cellStyle name="CurrencyExt 3 2 4" xfId="18679" xr:uid="{00000000-0005-0000-0000-0000F1480000}"/>
    <cellStyle name="CurrencyExt 3 2 4 2" xfId="18680" xr:uid="{00000000-0005-0000-0000-0000F2480000}"/>
    <cellStyle name="CurrencyExt 3 2 4 2 2" xfId="18681" xr:uid="{00000000-0005-0000-0000-0000F3480000}"/>
    <cellStyle name="CurrencyExt 3 2 4 2 2 2" xfId="18682" xr:uid="{00000000-0005-0000-0000-0000F4480000}"/>
    <cellStyle name="CurrencyExt 3 2 4 2 2 3" xfId="18683" xr:uid="{00000000-0005-0000-0000-0000F5480000}"/>
    <cellStyle name="CurrencyExt 3 2 4 2 2 4" xfId="18684" xr:uid="{00000000-0005-0000-0000-0000F6480000}"/>
    <cellStyle name="CurrencyExt 3 2 4 2 2 5" xfId="18685" xr:uid="{00000000-0005-0000-0000-0000F7480000}"/>
    <cellStyle name="CurrencyExt 3 2 4 2 2 6" xfId="18686" xr:uid="{00000000-0005-0000-0000-0000F8480000}"/>
    <cellStyle name="CurrencyExt 3 2 4 2 3" xfId="18687" xr:uid="{00000000-0005-0000-0000-0000F9480000}"/>
    <cellStyle name="CurrencyExt 3 2 4 2 4" xfId="18688" xr:uid="{00000000-0005-0000-0000-0000FA480000}"/>
    <cellStyle name="CurrencyExt 3 2 4 2 5" xfId="18689" xr:uid="{00000000-0005-0000-0000-0000FB480000}"/>
    <cellStyle name="CurrencyExt 3 2 4 2 6" xfId="18690" xr:uid="{00000000-0005-0000-0000-0000FC480000}"/>
    <cellStyle name="CurrencyExt 3 2 4 3" xfId="18691" xr:uid="{00000000-0005-0000-0000-0000FD480000}"/>
    <cellStyle name="CurrencyExt 3 2 4 3 2" xfId="18692" xr:uid="{00000000-0005-0000-0000-0000FE480000}"/>
    <cellStyle name="CurrencyExt 3 2 4 3 2 2" xfId="18693" xr:uid="{00000000-0005-0000-0000-0000FF480000}"/>
    <cellStyle name="CurrencyExt 3 2 4 3 2 3" xfId="18694" xr:uid="{00000000-0005-0000-0000-000000490000}"/>
    <cellStyle name="CurrencyExt 3 2 4 3 2 4" xfId="18695" xr:uid="{00000000-0005-0000-0000-000001490000}"/>
    <cellStyle name="CurrencyExt 3 2 4 3 2 5" xfId="18696" xr:uid="{00000000-0005-0000-0000-000002490000}"/>
    <cellStyle name="CurrencyExt 3 2 4 3 2 6" xfId="18697" xr:uid="{00000000-0005-0000-0000-000003490000}"/>
    <cellStyle name="CurrencyExt 3 2 4 3 3" xfId="18698" xr:uid="{00000000-0005-0000-0000-000004490000}"/>
    <cellStyle name="CurrencyExt 3 2 4 3 4" xfId="18699" xr:uid="{00000000-0005-0000-0000-000005490000}"/>
    <cellStyle name="CurrencyExt 3 2 4 3 5" xfId="18700" xr:uid="{00000000-0005-0000-0000-000006490000}"/>
    <cellStyle name="CurrencyExt 3 2 4 3 6" xfId="18701" xr:uid="{00000000-0005-0000-0000-000007490000}"/>
    <cellStyle name="CurrencyExt 3 2 4 4" xfId="18702" xr:uid="{00000000-0005-0000-0000-000008490000}"/>
    <cellStyle name="CurrencyExt 3 2 4 4 2" xfId="18703" xr:uid="{00000000-0005-0000-0000-000009490000}"/>
    <cellStyle name="CurrencyExt 3 2 4 4 3" xfId="18704" xr:uid="{00000000-0005-0000-0000-00000A490000}"/>
    <cellStyle name="CurrencyExt 3 2 4 4 4" xfId="18705" xr:uid="{00000000-0005-0000-0000-00000B490000}"/>
    <cellStyle name="CurrencyExt 3 2 4 4 5" xfId="18706" xr:uid="{00000000-0005-0000-0000-00000C490000}"/>
    <cellStyle name="CurrencyExt 3 2 4 4 6" xfId="18707" xr:uid="{00000000-0005-0000-0000-00000D490000}"/>
    <cellStyle name="CurrencyExt 3 2 4 5" xfId="18708" xr:uid="{00000000-0005-0000-0000-00000E490000}"/>
    <cellStyle name="CurrencyExt 3 2 4 6" xfId="18709" xr:uid="{00000000-0005-0000-0000-00000F490000}"/>
    <cellStyle name="CurrencyExt 3 2 4 7" xfId="18710" xr:uid="{00000000-0005-0000-0000-000010490000}"/>
    <cellStyle name="CurrencyExt 3 2 4 8" xfId="18711" xr:uid="{00000000-0005-0000-0000-000011490000}"/>
    <cellStyle name="CurrencyExt 3 2 5" xfId="18712" xr:uid="{00000000-0005-0000-0000-000012490000}"/>
    <cellStyle name="CurrencyExt 3 2 5 2" xfId="18713" xr:uid="{00000000-0005-0000-0000-000013490000}"/>
    <cellStyle name="CurrencyExt 3 2 5 2 2" xfId="18714" xr:uid="{00000000-0005-0000-0000-000014490000}"/>
    <cellStyle name="CurrencyExt 3 2 5 2 2 2" xfId="18715" xr:uid="{00000000-0005-0000-0000-000015490000}"/>
    <cellStyle name="CurrencyExt 3 2 5 2 2 3" xfId="18716" xr:uid="{00000000-0005-0000-0000-000016490000}"/>
    <cellStyle name="CurrencyExt 3 2 5 2 2 4" xfId="18717" xr:uid="{00000000-0005-0000-0000-000017490000}"/>
    <cellStyle name="CurrencyExt 3 2 5 2 2 5" xfId="18718" xr:uid="{00000000-0005-0000-0000-000018490000}"/>
    <cellStyle name="CurrencyExt 3 2 5 2 2 6" xfId="18719" xr:uid="{00000000-0005-0000-0000-000019490000}"/>
    <cellStyle name="CurrencyExt 3 2 5 2 3" xfId="18720" xr:uid="{00000000-0005-0000-0000-00001A490000}"/>
    <cellStyle name="CurrencyExt 3 2 5 2 4" xfId="18721" xr:uid="{00000000-0005-0000-0000-00001B490000}"/>
    <cellStyle name="CurrencyExt 3 2 5 2 5" xfId="18722" xr:uid="{00000000-0005-0000-0000-00001C490000}"/>
    <cellStyle name="CurrencyExt 3 2 5 2 6" xfId="18723" xr:uid="{00000000-0005-0000-0000-00001D490000}"/>
    <cellStyle name="CurrencyExt 3 2 5 3" xfId="18724" xr:uid="{00000000-0005-0000-0000-00001E490000}"/>
    <cellStyle name="CurrencyExt 3 2 5 3 2" xfId="18725" xr:uid="{00000000-0005-0000-0000-00001F490000}"/>
    <cellStyle name="CurrencyExt 3 2 5 3 2 2" xfId="18726" xr:uid="{00000000-0005-0000-0000-000020490000}"/>
    <cellStyle name="CurrencyExt 3 2 5 3 2 3" xfId="18727" xr:uid="{00000000-0005-0000-0000-000021490000}"/>
    <cellStyle name="CurrencyExt 3 2 5 3 2 4" xfId="18728" xr:uid="{00000000-0005-0000-0000-000022490000}"/>
    <cellStyle name="CurrencyExt 3 2 5 3 2 5" xfId="18729" xr:uid="{00000000-0005-0000-0000-000023490000}"/>
    <cellStyle name="CurrencyExt 3 2 5 3 2 6" xfId="18730" xr:uid="{00000000-0005-0000-0000-000024490000}"/>
    <cellStyle name="CurrencyExt 3 2 5 3 3" xfId="18731" xr:uid="{00000000-0005-0000-0000-000025490000}"/>
    <cellStyle name="CurrencyExt 3 2 5 3 4" xfId="18732" xr:uid="{00000000-0005-0000-0000-000026490000}"/>
    <cellStyle name="CurrencyExt 3 2 5 3 5" xfId="18733" xr:uid="{00000000-0005-0000-0000-000027490000}"/>
    <cellStyle name="CurrencyExt 3 2 5 3 6" xfId="18734" xr:uid="{00000000-0005-0000-0000-000028490000}"/>
    <cellStyle name="CurrencyExt 3 2 5 4" xfId="18735" xr:uid="{00000000-0005-0000-0000-000029490000}"/>
    <cellStyle name="CurrencyExt 3 2 5 4 2" xfId="18736" xr:uid="{00000000-0005-0000-0000-00002A490000}"/>
    <cellStyle name="CurrencyExt 3 2 5 4 3" xfId="18737" xr:uid="{00000000-0005-0000-0000-00002B490000}"/>
    <cellStyle name="CurrencyExt 3 2 5 4 4" xfId="18738" xr:uid="{00000000-0005-0000-0000-00002C490000}"/>
    <cellStyle name="CurrencyExt 3 2 5 4 5" xfId="18739" xr:uid="{00000000-0005-0000-0000-00002D490000}"/>
    <cellStyle name="CurrencyExt 3 2 5 4 6" xfId="18740" xr:uid="{00000000-0005-0000-0000-00002E490000}"/>
    <cellStyle name="CurrencyExt 3 2 5 5" xfId="18741" xr:uid="{00000000-0005-0000-0000-00002F490000}"/>
    <cellStyle name="CurrencyExt 3 2 5 6" xfId="18742" xr:uid="{00000000-0005-0000-0000-000030490000}"/>
    <cellStyle name="CurrencyExt 3 2 5 7" xfId="18743" xr:uid="{00000000-0005-0000-0000-000031490000}"/>
    <cellStyle name="CurrencyExt 3 2 5 8" xfId="18744" xr:uid="{00000000-0005-0000-0000-000032490000}"/>
    <cellStyle name="CurrencyExt 3 2 6" xfId="18745" xr:uid="{00000000-0005-0000-0000-000033490000}"/>
    <cellStyle name="CurrencyExt 3 2 6 2" xfId="18746" xr:uid="{00000000-0005-0000-0000-000034490000}"/>
    <cellStyle name="CurrencyExt 3 2 6 2 2" xfId="18747" xr:uid="{00000000-0005-0000-0000-000035490000}"/>
    <cellStyle name="CurrencyExt 3 2 6 2 2 2" xfId="18748" xr:uid="{00000000-0005-0000-0000-000036490000}"/>
    <cellStyle name="CurrencyExt 3 2 6 2 2 3" xfId="18749" xr:uid="{00000000-0005-0000-0000-000037490000}"/>
    <cellStyle name="CurrencyExt 3 2 6 2 2 4" xfId="18750" xr:uid="{00000000-0005-0000-0000-000038490000}"/>
    <cellStyle name="CurrencyExt 3 2 6 2 2 5" xfId="18751" xr:uid="{00000000-0005-0000-0000-000039490000}"/>
    <cellStyle name="CurrencyExt 3 2 6 2 2 6" xfId="18752" xr:uid="{00000000-0005-0000-0000-00003A490000}"/>
    <cellStyle name="CurrencyExt 3 2 6 2 3" xfId="18753" xr:uid="{00000000-0005-0000-0000-00003B490000}"/>
    <cellStyle name="CurrencyExt 3 2 6 2 4" xfId="18754" xr:uid="{00000000-0005-0000-0000-00003C490000}"/>
    <cellStyle name="CurrencyExt 3 2 6 2 5" xfId="18755" xr:uid="{00000000-0005-0000-0000-00003D490000}"/>
    <cellStyle name="CurrencyExt 3 2 6 2 6" xfId="18756" xr:uid="{00000000-0005-0000-0000-00003E490000}"/>
    <cellStyle name="CurrencyExt 3 2 6 3" xfId="18757" xr:uid="{00000000-0005-0000-0000-00003F490000}"/>
    <cellStyle name="CurrencyExt 3 2 6 3 2" xfId="18758" xr:uid="{00000000-0005-0000-0000-000040490000}"/>
    <cellStyle name="CurrencyExt 3 2 6 3 2 2" xfId="18759" xr:uid="{00000000-0005-0000-0000-000041490000}"/>
    <cellStyle name="CurrencyExt 3 2 6 3 2 3" xfId="18760" xr:uid="{00000000-0005-0000-0000-000042490000}"/>
    <cellStyle name="CurrencyExt 3 2 6 3 2 4" xfId="18761" xr:uid="{00000000-0005-0000-0000-000043490000}"/>
    <cellStyle name="CurrencyExt 3 2 6 3 2 5" xfId="18762" xr:uid="{00000000-0005-0000-0000-000044490000}"/>
    <cellStyle name="CurrencyExt 3 2 6 3 2 6" xfId="18763" xr:uid="{00000000-0005-0000-0000-000045490000}"/>
    <cellStyle name="CurrencyExt 3 2 6 3 3" xfId="18764" xr:uid="{00000000-0005-0000-0000-000046490000}"/>
    <cellStyle name="CurrencyExt 3 2 6 3 4" xfId="18765" xr:uid="{00000000-0005-0000-0000-000047490000}"/>
    <cellStyle name="CurrencyExt 3 2 6 3 5" xfId="18766" xr:uid="{00000000-0005-0000-0000-000048490000}"/>
    <cellStyle name="CurrencyExt 3 2 6 3 6" xfId="18767" xr:uid="{00000000-0005-0000-0000-000049490000}"/>
    <cellStyle name="CurrencyExt 3 2 6 4" xfId="18768" xr:uid="{00000000-0005-0000-0000-00004A490000}"/>
    <cellStyle name="CurrencyExt 3 2 6 4 2" xfId="18769" xr:uid="{00000000-0005-0000-0000-00004B490000}"/>
    <cellStyle name="CurrencyExt 3 2 6 4 3" xfId="18770" xr:uid="{00000000-0005-0000-0000-00004C490000}"/>
    <cellStyle name="CurrencyExt 3 2 6 4 4" xfId="18771" xr:uid="{00000000-0005-0000-0000-00004D490000}"/>
    <cellStyle name="CurrencyExt 3 2 6 4 5" xfId="18772" xr:uid="{00000000-0005-0000-0000-00004E490000}"/>
    <cellStyle name="CurrencyExt 3 2 6 4 6" xfId="18773" xr:uid="{00000000-0005-0000-0000-00004F490000}"/>
    <cellStyle name="CurrencyExt 3 2 6 5" xfId="18774" xr:uid="{00000000-0005-0000-0000-000050490000}"/>
    <cellStyle name="CurrencyExt 3 2 6 6" xfId="18775" xr:uid="{00000000-0005-0000-0000-000051490000}"/>
    <cellStyle name="CurrencyExt 3 2 6 7" xfId="18776" xr:uid="{00000000-0005-0000-0000-000052490000}"/>
    <cellStyle name="CurrencyExt 3 2 6 8" xfId="18777" xr:uid="{00000000-0005-0000-0000-000053490000}"/>
    <cellStyle name="CurrencyExt 3 2 7" xfId="18778" xr:uid="{00000000-0005-0000-0000-000054490000}"/>
    <cellStyle name="CurrencyExt 3 2 7 2" xfId="18779" xr:uid="{00000000-0005-0000-0000-000055490000}"/>
    <cellStyle name="CurrencyExt 3 2 7 2 2" xfId="18780" xr:uid="{00000000-0005-0000-0000-000056490000}"/>
    <cellStyle name="CurrencyExt 3 2 7 2 3" xfId="18781" xr:uid="{00000000-0005-0000-0000-000057490000}"/>
    <cellStyle name="CurrencyExt 3 2 7 2 4" xfId="18782" xr:uid="{00000000-0005-0000-0000-000058490000}"/>
    <cellStyle name="CurrencyExt 3 2 7 2 5" xfId="18783" xr:uid="{00000000-0005-0000-0000-000059490000}"/>
    <cellStyle name="CurrencyExt 3 2 7 2 6" xfId="18784" xr:uid="{00000000-0005-0000-0000-00005A490000}"/>
    <cellStyle name="CurrencyExt 3 2 7 3" xfId="18785" xr:uid="{00000000-0005-0000-0000-00005B490000}"/>
    <cellStyle name="CurrencyExt 3 2 7 4" xfId="18786" xr:uid="{00000000-0005-0000-0000-00005C490000}"/>
    <cellStyle name="CurrencyExt 3 2 7 5" xfId="18787" xr:uid="{00000000-0005-0000-0000-00005D490000}"/>
    <cellStyle name="CurrencyExt 3 2 7 6" xfId="18788" xr:uid="{00000000-0005-0000-0000-00005E490000}"/>
    <cellStyle name="CurrencyExt 3 2 8" xfId="18789" xr:uid="{00000000-0005-0000-0000-00005F490000}"/>
    <cellStyle name="CurrencyExt 3 2 8 2" xfId="18790" xr:uid="{00000000-0005-0000-0000-000060490000}"/>
    <cellStyle name="CurrencyExt 3 2 8 2 2" xfId="18791" xr:uid="{00000000-0005-0000-0000-000061490000}"/>
    <cellStyle name="CurrencyExt 3 2 8 2 3" xfId="18792" xr:uid="{00000000-0005-0000-0000-000062490000}"/>
    <cellStyle name="CurrencyExt 3 2 8 2 4" xfId="18793" xr:uid="{00000000-0005-0000-0000-000063490000}"/>
    <cellStyle name="CurrencyExt 3 2 8 2 5" xfId="18794" xr:uid="{00000000-0005-0000-0000-000064490000}"/>
    <cellStyle name="CurrencyExt 3 2 8 2 6" xfId="18795" xr:uid="{00000000-0005-0000-0000-000065490000}"/>
    <cellStyle name="CurrencyExt 3 2 8 3" xfId="18796" xr:uid="{00000000-0005-0000-0000-000066490000}"/>
    <cellStyle name="CurrencyExt 3 2 8 4" xfId="18797" xr:uid="{00000000-0005-0000-0000-000067490000}"/>
    <cellStyle name="CurrencyExt 3 2 8 5" xfId="18798" xr:uid="{00000000-0005-0000-0000-000068490000}"/>
    <cellStyle name="CurrencyExt 3 2 8 6" xfId="18799" xr:uid="{00000000-0005-0000-0000-000069490000}"/>
    <cellStyle name="CurrencyExt 3 2 9" xfId="18800" xr:uid="{00000000-0005-0000-0000-00006A490000}"/>
    <cellStyle name="CurrencyExt 3 2 9 2" xfId="18801" xr:uid="{00000000-0005-0000-0000-00006B490000}"/>
    <cellStyle name="CurrencyExt 3 2 9 3" xfId="18802" xr:uid="{00000000-0005-0000-0000-00006C490000}"/>
    <cellStyle name="CurrencyExt 3 2 9 4" xfId="18803" xr:uid="{00000000-0005-0000-0000-00006D490000}"/>
    <cellStyle name="CurrencyExt 3 2 9 5" xfId="18804" xr:uid="{00000000-0005-0000-0000-00006E490000}"/>
    <cellStyle name="CurrencyExt 3 2 9 6" xfId="18805" xr:uid="{00000000-0005-0000-0000-00006F490000}"/>
    <cellStyle name="CurrencyExt 3 3" xfId="18806" xr:uid="{00000000-0005-0000-0000-000070490000}"/>
    <cellStyle name="CurrencyExt 3 3 2" xfId="18807" xr:uid="{00000000-0005-0000-0000-000071490000}"/>
    <cellStyle name="CurrencyExt 3 3 2 2" xfId="18808" xr:uid="{00000000-0005-0000-0000-000072490000}"/>
    <cellStyle name="CurrencyExt 3 3 2 2 2" xfId="18809" xr:uid="{00000000-0005-0000-0000-000073490000}"/>
    <cellStyle name="CurrencyExt 3 3 2 2 3" xfId="18810" xr:uid="{00000000-0005-0000-0000-000074490000}"/>
    <cellStyle name="CurrencyExt 3 3 2 2 4" xfId="18811" xr:uid="{00000000-0005-0000-0000-000075490000}"/>
    <cellStyle name="CurrencyExt 3 3 2 2 5" xfId="18812" xr:uid="{00000000-0005-0000-0000-000076490000}"/>
    <cellStyle name="CurrencyExt 3 3 2 2 6" xfId="18813" xr:uid="{00000000-0005-0000-0000-000077490000}"/>
    <cellStyle name="CurrencyExt 3 3 2 3" xfId="18814" xr:uid="{00000000-0005-0000-0000-000078490000}"/>
    <cellStyle name="CurrencyExt 3 3 2 4" xfId="18815" xr:uid="{00000000-0005-0000-0000-000079490000}"/>
    <cellStyle name="CurrencyExt 3 3 2 5" xfId="18816" xr:uid="{00000000-0005-0000-0000-00007A490000}"/>
    <cellStyle name="CurrencyExt 3 3 2 6" xfId="18817" xr:uid="{00000000-0005-0000-0000-00007B490000}"/>
    <cellStyle name="CurrencyExt 3 3 3" xfId="18818" xr:uid="{00000000-0005-0000-0000-00007C490000}"/>
    <cellStyle name="CurrencyExt 3 3 3 2" xfId="18819" xr:uid="{00000000-0005-0000-0000-00007D490000}"/>
    <cellStyle name="CurrencyExt 3 3 3 2 2" xfId="18820" xr:uid="{00000000-0005-0000-0000-00007E490000}"/>
    <cellStyle name="CurrencyExt 3 3 3 2 3" xfId="18821" xr:uid="{00000000-0005-0000-0000-00007F490000}"/>
    <cellStyle name="CurrencyExt 3 3 3 2 4" xfId="18822" xr:uid="{00000000-0005-0000-0000-000080490000}"/>
    <cellStyle name="CurrencyExt 3 3 3 2 5" xfId="18823" xr:uid="{00000000-0005-0000-0000-000081490000}"/>
    <cellStyle name="CurrencyExt 3 3 3 2 6" xfId="18824" xr:uid="{00000000-0005-0000-0000-000082490000}"/>
    <cellStyle name="CurrencyExt 3 3 3 3" xfId="18825" xr:uid="{00000000-0005-0000-0000-000083490000}"/>
    <cellStyle name="CurrencyExt 3 3 3 4" xfId="18826" xr:uid="{00000000-0005-0000-0000-000084490000}"/>
    <cellStyle name="CurrencyExt 3 3 3 5" xfId="18827" xr:uid="{00000000-0005-0000-0000-000085490000}"/>
    <cellStyle name="CurrencyExt 3 3 3 6" xfId="18828" xr:uid="{00000000-0005-0000-0000-000086490000}"/>
    <cellStyle name="CurrencyExt 3 3 4" xfId="18829" xr:uid="{00000000-0005-0000-0000-000087490000}"/>
    <cellStyle name="CurrencyExt 3 3 4 2" xfId="18830" xr:uid="{00000000-0005-0000-0000-000088490000}"/>
    <cellStyle name="CurrencyExt 3 3 4 3" xfId="18831" xr:uid="{00000000-0005-0000-0000-000089490000}"/>
    <cellStyle name="CurrencyExt 3 3 4 4" xfId="18832" xr:uid="{00000000-0005-0000-0000-00008A490000}"/>
    <cellStyle name="CurrencyExt 3 3 4 5" xfId="18833" xr:uid="{00000000-0005-0000-0000-00008B490000}"/>
    <cellStyle name="CurrencyExt 3 3 4 6" xfId="18834" xr:uid="{00000000-0005-0000-0000-00008C490000}"/>
    <cellStyle name="CurrencyExt 3 3 5" xfId="18835" xr:uid="{00000000-0005-0000-0000-00008D490000}"/>
    <cellStyle name="CurrencyExt 3 3 6" xfId="18836" xr:uid="{00000000-0005-0000-0000-00008E490000}"/>
    <cellStyle name="CurrencyExt 3 3 7" xfId="18837" xr:uid="{00000000-0005-0000-0000-00008F490000}"/>
    <cellStyle name="CurrencyExt 3 3 8" xfId="18838" xr:uid="{00000000-0005-0000-0000-000090490000}"/>
    <cellStyle name="CurrencyExt 3 4" xfId="18839" xr:uid="{00000000-0005-0000-0000-000091490000}"/>
    <cellStyle name="CurrencyExt 3 4 2" xfId="18840" xr:uid="{00000000-0005-0000-0000-000092490000}"/>
    <cellStyle name="CurrencyExt 3 4 2 2" xfId="18841" xr:uid="{00000000-0005-0000-0000-000093490000}"/>
    <cellStyle name="CurrencyExt 3 4 2 2 2" xfId="18842" xr:uid="{00000000-0005-0000-0000-000094490000}"/>
    <cellStyle name="CurrencyExt 3 4 2 2 3" xfId="18843" xr:uid="{00000000-0005-0000-0000-000095490000}"/>
    <cellStyle name="CurrencyExt 3 4 2 2 4" xfId="18844" xr:uid="{00000000-0005-0000-0000-000096490000}"/>
    <cellStyle name="CurrencyExt 3 4 2 2 5" xfId="18845" xr:uid="{00000000-0005-0000-0000-000097490000}"/>
    <cellStyle name="CurrencyExt 3 4 2 2 6" xfId="18846" xr:uid="{00000000-0005-0000-0000-000098490000}"/>
    <cellStyle name="CurrencyExt 3 4 2 3" xfId="18847" xr:uid="{00000000-0005-0000-0000-000099490000}"/>
    <cellStyle name="CurrencyExt 3 4 2 4" xfId="18848" xr:uid="{00000000-0005-0000-0000-00009A490000}"/>
    <cellStyle name="CurrencyExt 3 4 2 5" xfId="18849" xr:uid="{00000000-0005-0000-0000-00009B490000}"/>
    <cellStyle name="CurrencyExt 3 4 2 6" xfId="18850" xr:uid="{00000000-0005-0000-0000-00009C490000}"/>
    <cellStyle name="CurrencyExt 3 4 3" xfId="18851" xr:uid="{00000000-0005-0000-0000-00009D490000}"/>
    <cellStyle name="CurrencyExt 3 4 3 2" xfId="18852" xr:uid="{00000000-0005-0000-0000-00009E490000}"/>
    <cellStyle name="CurrencyExt 3 4 3 2 2" xfId="18853" xr:uid="{00000000-0005-0000-0000-00009F490000}"/>
    <cellStyle name="CurrencyExt 3 4 3 2 3" xfId="18854" xr:uid="{00000000-0005-0000-0000-0000A0490000}"/>
    <cellStyle name="CurrencyExt 3 4 3 2 4" xfId="18855" xr:uid="{00000000-0005-0000-0000-0000A1490000}"/>
    <cellStyle name="CurrencyExt 3 4 3 2 5" xfId="18856" xr:uid="{00000000-0005-0000-0000-0000A2490000}"/>
    <cellStyle name="CurrencyExt 3 4 3 2 6" xfId="18857" xr:uid="{00000000-0005-0000-0000-0000A3490000}"/>
    <cellStyle name="CurrencyExt 3 4 3 3" xfId="18858" xr:uid="{00000000-0005-0000-0000-0000A4490000}"/>
    <cellStyle name="CurrencyExt 3 4 3 4" xfId="18859" xr:uid="{00000000-0005-0000-0000-0000A5490000}"/>
    <cellStyle name="CurrencyExt 3 4 3 5" xfId="18860" xr:uid="{00000000-0005-0000-0000-0000A6490000}"/>
    <cellStyle name="CurrencyExt 3 4 3 6" xfId="18861" xr:uid="{00000000-0005-0000-0000-0000A7490000}"/>
    <cellStyle name="CurrencyExt 3 4 4" xfId="18862" xr:uid="{00000000-0005-0000-0000-0000A8490000}"/>
    <cellStyle name="CurrencyExt 3 4 4 2" xfId="18863" xr:uid="{00000000-0005-0000-0000-0000A9490000}"/>
    <cellStyle name="CurrencyExt 3 4 4 3" xfId="18864" xr:uid="{00000000-0005-0000-0000-0000AA490000}"/>
    <cellStyle name="CurrencyExt 3 4 4 4" xfId="18865" xr:uid="{00000000-0005-0000-0000-0000AB490000}"/>
    <cellStyle name="CurrencyExt 3 4 4 5" xfId="18866" xr:uid="{00000000-0005-0000-0000-0000AC490000}"/>
    <cellStyle name="CurrencyExt 3 4 4 6" xfId="18867" xr:uid="{00000000-0005-0000-0000-0000AD490000}"/>
    <cellStyle name="CurrencyExt 3 4 5" xfId="18868" xr:uid="{00000000-0005-0000-0000-0000AE490000}"/>
    <cellStyle name="CurrencyExt 3 4 6" xfId="18869" xr:uid="{00000000-0005-0000-0000-0000AF490000}"/>
    <cellStyle name="CurrencyExt 3 4 7" xfId="18870" xr:uid="{00000000-0005-0000-0000-0000B0490000}"/>
    <cellStyle name="CurrencyExt 3 4 8" xfId="18871" xr:uid="{00000000-0005-0000-0000-0000B1490000}"/>
    <cellStyle name="CurrencyExt 3 5" xfId="18872" xr:uid="{00000000-0005-0000-0000-0000B2490000}"/>
    <cellStyle name="CurrencyExt 3 5 2" xfId="18873" xr:uid="{00000000-0005-0000-0000-0000B3490000}"/>
    <cellStyle name="CurrencyExt 3 5 2 2" xfId="18874" xr:uid="{00000000-0005-0000-0000-0000B4490000}"/>
    <cellStyle name="CurrencyExt 3 5 2 2 2" xfId="18875" xr:uid="{00000000-0005-0000-0000-0000B5490000}"/>
    <cellStyle name="CurrencyExt 3 5 2 2 3" xfId="18876" xr:uid="{00000000-0005-0000-0000-0000B6490000}"/>
    <cellStyle name="CurrencyExt 3 5 2 2 4" xfId="18877" xr:uid="{00000000-0005-0000-0000-0000B7490000}"/>
    <cellStyle name="CurrencyExt 3 5 2 2 5" xfId="18878" xr:uid="{00000000-0005-0000-0000-0000B8490000}"/>
    <cellStyle name="CurrencyExt 3 5 2 2 6" xfId="18879" xr:uid="{00000000-0005-0000-0000-0000B9490000}"/>
    <cellStyle name="CurrencyExt 3 5 2 3" xfId="18880" xr:uid="{00000000-0005-0000-0000-0000BA490000}"/>
    <cellStyle name="CurrencyExt 3 5 2 4" xfId="18881" xr:uid="{00000000-0005-0000-0000-0000BB490000}"/>
    <cellStyle name="CurrencyExt 3 5 2 5" xfId="18882" xr:uid="{00000000-0005-0000-0000-0000BC490000}"/>
    <cellStyle name="CurrencyExt 3 5 2 6" xfId="18883" xr:uid="{00000000-0005-0000-0000-0000BD490000}"/>
    <cellStyle name="CurrencyExt 3 5 3" xfId="18884" xr:uid="{00000000-0005-0000-0000-0000BE490000}"/>
    <cellStyle name="CurrencyExt 3 5 3 2" xfId="18885" xr:uid="{00000000-0005-0000-0000-0000BF490000}"/>
    <cellStyle name="CurrencyExt 3 5 3 2 2" xfId="18886" xr:uid="{00000000-0005-0000-0000-0000C0490000}"/>
    <cellStyle name="CurrencyExt 3 5 3 2 3" xfId="18887" xr:uid="{00000000-0005-0000-0000-0000C1490000}"/>
    <cellStyle name="CurrencyExt 3 5 3 2 4" xfId="18888" xr:uid="{00000000-0005-0000-0000-0000C2490000}"/>
    <cellStyle name="CurrencyExt 3 5 3 2 5" xfId="18889" xr:uid="{00000000-0005-0000-0000-0000C3490000}"/>
    <cellStyle name="CurrencyExt 3 5 3 2 6" xfId="18890" xr:uid="{00000000-0005-0000-0000-0000C4490000}"/>
    <cellStyle name="CurrencyExt 3 5 3 3" xfId="18891" xr:uid="{00000000-0005-0000-0000-0000C5490000}"/>
    <cellStyle name="CurrencyExt 3 5 3 4" xfId="18892" xr:uid="{00000000-0005-0000-0000-0000C6490000}"/>
    <cellStyle name="CurrencyExt 3 5 3 5" xfId="18893" xr:uid="{00000000-0005-0000-0000-0000C7490000}"/>
    <cellStyle name="CurrencyExt 3 5 3 6" xfId="18894" xr:uid="{00000000-0005-0000-0000-0000C8490000}"/>
    <cellStyle name="CurrencyExt 3 5 4" xfId="18895" xr:uid="{00000000-0005-0000-0000-0000C9490000}"/>
    <cellStyle name="CurrencyExt 3 5 4 2" xfId="18896" xr:uid="{00000000-0005-0000-0000-0000CA490000}"/>
    <cellStyle name="CurrencyExt 3 5 4 3" xfId="18897" xr:uid="{00000000-0005-0000-0000-0000CB490000}"/>
    <cellStyle name="CurrencyExt 3 5 4 4" xfId="18898" xr:uid="{00000000-0005-0000-0000-0000CC490000}"/>
    <cellStyle name="CurrencyExt 3 5 4 5" xfId="18899" xr:uid="{00000000-0005-0000-0000-0000CD490000}"/>
    <cellStyle name="CurrencyExt 3 5 4 6" xfId="18900" xr:uid="{00000000-0005-0000-0000-0000CE490000}"/>
    <cellStyle name="CurrencyExt 3 5 5" xfId="18901" xr:uid="{00000000-0005-0000-0000-0000CF490000}"/>
    <cellStyle name="CurrencyExt 3 5 6" xfId="18902" xr:uid="{00000000-0005-0000-0000-0000D0490000}"/>
    <cellStyle name="CurrencyExt 3 5 7" xfId="18903" xr:uid="{00000000-0005-0000-0000-0000D1490000}"/>
    <cellStyle name="CurrencyExt 3 5 8" xfId="18904" xr:uid="{00000000-0005-0000-0000-0000D2490000}"/>
    <cellStyle name="CurrencyExt 3 6" xfId="18905" xr:uid="{00000000-0005-0000-0000-0000D3490000}"/>
    <cellStyle name="CurrencyExt 3 6 2" xfId="18906" xr:uid="{00000000-0005-0000-0000-0000D4490000}"/>
    <cellStyle name="CurrencyExt 3 6 2 2" xfId="18907" xr:uid="{00000000-0005-0000-0000-0000D5490000}"/>
    <cellStyle name="CurrencyExt 3 6 2 2 2" xfId="18908" xr:uid="{00000000-0005-0000-0000-0000D6490000}"/>
    <cellStyle name="CurrencyExt 3 6 2 2 3" xfId="18909" xr:uid="{00000000-0005-0000-0000-0000D7490000}"/>
    <cellStyle name="CurrencyExt 3 6 2 2 4" xfId="18910" xr:uid="{00000000-0005-0000-0000-0000D8490000}"/>
    <cellStyle name="CurrencyExt 3 6 2 2 5" xfId="18911" xr:uid="{00000000-0005-0000-0000-0000D9490000}"/>
    <cellStyle name="CurrencyExt 3 6 2 2 6" xfId="18912" xr:uid="{00000000-0005-0000-0000-0000DA490000}"/>
    <cellStyle name="CurrencyExt 3 6 2 3" xfId="18913" xr:uid="{00000000-0005-0000-0000-0000DB490000}"/>
    <cellStyle name="CurrencyExt 3 6 2 4" xfId="18914" xr:uid="{00000000-0005-0000-0000-0000DC490000}"/>
    <cellStyle name="CurrencyExt 3 6 2 5" xfId="18915" xr:uid="{00000000-0005-0000-0000-0000DD490000}"/>
    <cellStyle name="CurrencyExt 3 6 2 6" xfId="18916" xr:uid="{00000000-0005-0000-0000-0000DE490000}"/>
    <cellStyle name="CurrencyExt 3 6 3" xfId="18917" xr:uid="{00000000-0005-0000-0000-0000DF490000}"/>
    <cellStyle name="CurrencyExt 3 6 3 2" xfId="18918" xr:uid="{00000000-0005-0000-0000-0000E0490000}"/>
    <cellStyle name="CurrencyExt 3 6 3 2 2" xfId="18919" xr:uid="{00000000-0005-0000-0000-0000E1490000}"/>
    <cellStyle name="CurrencyExt 3 6 3 2 3" xfId="18920" xr:uid="{00000000-0005-0000-0000-0000E2490000}"/>
    <cellStyle name="CurrencyExt 3 6 3 2 4" xfId="18921" xr:uid="{00000000-0005-0000-0000-0000E3490000}"/>
    <cellStyle name="CurrencyExt 3 6 3 2 5" xfId="18922" xr:uid="{00000000-0005-0000-0000-0000E4490000}"/>
    <cellStyle name="CurrencyExt 3 6 3 2 6" xfId="18923" xr:uid="{00000000-0005-0000-0000-0000E5490000}"/>
    <cellStyle name="CurrencyExt 3 6 3 3" xfId="18924" xr:uid="{00000000-0005-0000-0000-0000E6490000}"/>
    <cellStyle name="CurrencyExt 3 6 3 4" xfId="18925" xr:uid="{00000000-0005-0000-0000-0000E7490000}"/>
    <cellStyle name="CurrencyExt 3 6 3 5" xfId="18926" xr:uid="{00000000-0005-0000-0000-0000E8490000}"/>
    <cellStyle name="CurrencyExt 3 6 3 6" xfId="18927" xr:uid="{00000000-0005-0000-0000-0000E9490000}"/>
    <cellStyle name="CurrencyExt 3 6 4" xfId="18928" xr:uid="{00000000-0005-0000-0000-0000EA490000}"/>
    <cellStyle name="CurrencyExt 3 6 4 2" xfId="18929" xr:uid="{00000000-0005-0000-0000-0000EB490000}"/>
    <cellStyle name="CurrencyExt 3 6 4 3" xfId="18930" xr:uid="{00000000-0005-0000-0000-0000EC490000}"/>
    <cellStyle name="CurrencyExt 3 6 4 4" xfId="18931" xr:uid="{00000000-0005-0000-0000-0000ED490000}"/>
    <cellStyle name="CurrencyExt 3 6 4 5" xfId="18932" xr:uid="{00000000-0005-0000-0000-0000EE490000}"/>
    <cellStyle name="CurrencyExt 3 6 4 6" xfId="18933" xr:uid="{00000000-0005-0000-0000-0000EF490000}"/>
    <cellStyle name="CurrencyExt 3 6 5" xfId="18934" xr:uid="{00000000-0005-0000-0000-0000F0490000}"/>
    <cellStyle name="CurrencyExt 3 6 6" xfId="18935" xr:uid="{00000000-0005-0000-0000-0000F1490000}"/>
    <cellStyle name="CurrencyExt 3 6 7" xfId="18936" xr:uid="{00000000-0005-0000-0000-0000F2490000}"/>
    <cellStyle name="CurrencyExt 3 6 8" xfId="18937" xr:uid="{00000000-0005-0000-0000-0000F3490000}"/>
    <cellStyle name="CurrencyExt 3 7" xfId="18938" xr:uid="{00000000-0005-0000-0000-0000F4490000}"/>
    <cellStyle name="CurrencyExt 3 7 2" xfId="18939" xr:uid="{00000000-0005-0000-0000-0000F5490000}"/>
    <cellStyle name="CurrencyExt 3 7 2 2" xfId="18940" xr:uid="{00000000-0005-0000-0000-0000F6490000}"/>
    <cellStyle name="CurrencyExt 3 7 2 2 2" xfId="18941" xr:uid="{00000000-0005-0000-0000-0000F7490000}"/>
    <cellStyle name="CurrencyExt 3 7 2 2 3" xfId="18942" xr:uid="{00000000-0005-0000-0000-0000F8490000}"/>
    <cellStyle name="CurrencyExt 3 7 2 2 4" xfId="18943" xr:uid="{00000000-0005-0000-0000-0000F9490000}"/>
    <cellStyle name="CurrencyExt 3 7 2 2 5" xfId="18944" xr:uid="{00000000-0005-0000-0000-0000FA490000}"/>
    <cellStyle name="CurrencyExt 3 7 2 2 6" xfId="18945" xr:uid="{00000000-0005-0000-0000-0000FB490000}"/>
    <cellStyle name="CurrencyExt 3 7 2 3" xfId="18946" xr:uid="{00000000-0005-0000-0000-0000FC490000}"/>
    <cellStyle name="CurrencyExt 3 7 2 4" xfId="18947" xr:uid="{00000000-0005-0000-0000-0000FD490000}"/>
    <cellStyle name="CurrencyExt 3 7 2 5" xfId="18948" xr:uid="{00000000-0005-0000-0000-0000FE490000}"/>
    <cellStyle name="CurrencyExt 3 7 2 6" xfId="18949" xr:uid="{00000000-0005-0000-0000-0000FF490000}"/>
    <cellStyle name="CurrencyExt 3 7 3" xfId="18950" xr:uid="{00000000-0005-0000-0000-0000004A0000}"/>
    <cellStyle name="CurrencyExt 3 7 3 2" xfId="18951" xr:uid="{00000000-0005-0000-0000-0000014A0000}"/>
    <cellStyle name="CurrencyExt 3 7 3 2 2" xfId="18952" xr:uid="{00000000-0005-0000-0000-0000024A0000}"/>
    <cellStyle name="CurrencyExt 3 7 3 2 3" xfId="18953" xr:uid="{00000000-0005-0000-0000-0000034A0000}"/>
    <cellStyle name="CurrencyExt 3 7 3 2 4" xfId="18954" xr:uid="{00000000-0005-0000-0000-0000044A0000}"/>
    <cellStyle name="CurrencyExt 3 7 3 2 5" xfId="18955" xr:uid="{00000000-0005-0000-0000-0000054A0000}"/>
    <cellStyle name="CurrencyExt 3 7 3 2 6" xfId="18956" xr:uid="{00000000-0005-0000-0000-0000064A0000}"/>
    <cellStyle name="CurrencyExt 3 7 3 3" xfId="18957" xr:uid="{00000000-0005-0000-0000-0000074A0000}"/>
    <cellStyle name="CurrencyExt 3 7 3 4" xfId="18958" xr:uid="{00000000-0005-0000-0000-0000084A0000}"/>
    <cellStyle name="CurrencyExt 3 7 3 5" xfId="18959" xr:uid="{00000000-0005-0000-0000-0000094A0000}"/>
    <cellStyle name="CurrencyExt 3 7 3 6" xfId="18960" xr:uid="{00000000-0005-0000-0000-00000A4A0000}"/>
    <cellStyle name="CurrencyExt 3 7 4" xfId="18961" xr:uid="{00000000-0005-0000-0000-00000B4A0000}"/>
    <cellStyle name="CurrencyExt 3 7 4 2" xfId="18962" xr:uid="{00000000-0005-0000-0000-00000C4A0000}"/>
    <cellStyle name="CurrencyExt 3 7 4 3" xfId="18963" xr:uid="{00000000-0005-0000-0000-00000D4A0000}"/>
    <cellStyle name="CurrencyExt 3 7 4 4" xfId="18964" xr:uid="{00000000-0005-0000-0000-00000E4A0000}"/>
    <cellStyle name="CurrencyExt 3 7 4 5" xfId="18965" xr:uid="{00000000-0005-0000-0000-00000F4A0000}"/>
    <cellStyle name="CurrencyExt 3 7 4 6" xfId="18966" xr:uid="{00000000-0005-0000-0000-0000104A0000}"/>
    <cellStyle name="CurrencyExt 3 7 5" xfId="18967" xr:uid="{00000000-0005-0000-0000-0000114A0000}"/>
    <cellStyle name="CurrencyExt 3 7 6" xfId="18968" xr:uid="{00000000-0005-0000-0000-0000124A0000}"/>
    <cellStyle name="CurrencyExt 3 7 7" xfId="18969" xr:uid="{00000000-0005-0000-0000-0000134A0000}"/>
    <cellStyle name="CurrencyExt 3 7 8" xfId="18970" xr:uid="{00000000-0005-0000-0000-0000144A0000}"/>
    <cellStyle name="CurrencyExt 3 8" xfId="18971" xr:uid="{00000000-0005-0000-0000-0000154A0000}"/>
    <cellStyle name="CurrencyExt 3 8 2" xfId="18972" xr:uid="{00000000-0005-0000-0000-0000164A0000}"/>
    <cellStyle name="CurrencyExt 3 8 2 2" xfId="18973" xr:uid="{00000000-0005-0000-0000-0000174A0000}"/>
    <cellStyle name="CurrencyExt 3 8 2 3" xfId="18974" xr:uid="{00000000-0005-0000-0000-0000184A0000}"/>
    <cellStyle name="CurrencyExt 3 8 2 4" xfId="18975" xr:uid="{00000000-0005-0000-0000-0000194A0000}"/>
    <cellStyle name="CurrencyExt 3 8 2 5" xfId="18976" xr:uid="{00000000-0005-0000-0000-00001A4A0000}"/>
    <cellStyle name="CurrencyExt 3 8 2 6" xfId="18977" xr:uid="{00000000-0005-0000-0000-00001B4A0000}"/>
    <cellStyle name="CurrencyExt 3 8 3" xfId="18978" xr:uid="{00000000-0005-0000-0000-00001C4A0000}"/>
    <cellStyle name="CurrencyExt 3 8 4" xfId="18979" xr:uid="{00000000-0005-0000-0000-00001D4A0000}"/>
    <cellStyle name="CurrencyExt 3 8 5" xfId="18980" xr:uid="{00000000-0005-0000-0000-00001E4A0000}"/>
    <cellStyle name="CurrencyExt 3 8 6" xfId="18981" xr:uid="{00000000-0005-0000-0000-00001F4A0000}"/>
    <cellStyle name="CurrencyExt 3 9" xfId="18982" xr:uid="{00000000-0005-0000-0000-0000204A0000}"/>
    <cellStyle name="CurrencyExt 3 9 2" xfId="18983" xr:uid="{00000000-0005-0000-0000-0000214A0000}"/>
    <cellStyle name="CurrencyExt 3 9 2 2" xfId="18984" xr:uid="{00000000-0005-0000-0000-0000224A0000}"/>
    <cellStyle name="CurrencyExt 3 9 2 3" xfId="18985" xr:uid="{00000000-0005-0000-0000-0000234A0000}"/>
    <cellStyle name="CurrencyExt 3 9 2 4" xfId="18986" xr:uid="{00000000-0005-0000-0000-0000244A0000}"/>
    <cellStyle name="CurrencyExt 3 9 2 5" xfId="18987" xr:uid="{00000000-0005-0000-0000-0000254A0000}"/>
    <cellStyle name="CurrencyExt 3 9 2 6" xfId="18988" xr:uid="{00000000-0005-0000-0000-0000264A0000}"/>
    <cellStyle name="CurrencyExt 3 9 3" xfId="18989" xr:uid="{00000000-0005-0000-0000-0000274A0000}"/>
    <cellStyle name="CurrencyExt 3 9 4" xfId="18990" xr:uid="{00000000-0005-0000-0000-0000284A0000}"/>
    <cellStyle name="CurrencyExt 3 9 5" xfId="18991" xr:uid="{00000000-0005-0000-0000-0000294A0000}"/>
    <cellStyle name="CurrencyExt 3 9 6" xfId="18992" xr:uid="{00000000-0005-0000-0000-00002A4A0000}"/>
    <cellStyle name="CurrencyExt 4" xfId="18993" xr:uid="{00000000-0005-0000-0000-00002B4A0000}"/>
    <cellStyle name="CurrencyExt 4 10" xfId="18994" xr:uid="{00000000-0005-0000-0000-00002C4A0000}"/>
    <cellStyle name="CurrencyExt 4 11" xfId="18995" xr:uid="{00000000-0005-0000-0000-00002D4A0000}"/>
    <cellStyle name="CurrencyExt 4 12" xfId="18996" xr:uid="{00000000-0005-0000-0000-00002E4A0000}"/>
    <cellStyle name="CurrencyExt 4 13" xfId="18997" xr:uid="{00000000-0005-0000-0000-00002F4A0000}"/>
    <cellStyle name="CurrencyExt 4 2" xfId="18998" xr:uid="{00000000-0005-0000-0000-0000304A0000}"/>
    <cellStyle name="CurrencyExt 4 2 2" xfId="18999" xr:uid="{00000000-0005-0000-0000-0000314A0000}"/>
    <cellStyle name="CurrencyExt 4 2 2 2" xfId="19000" xr:uid="{00000000-0005-0000-0000-0000324A0000}"/>
    <cellStyle name="CurrencyExt 4 2 2 2 2" xfId="19001" xr:uid="{00000000-0005-0000-0000-0000334A0000}"/>
    <cellStyle name="CurrencyExt 4 2 2 2 3" xfId="19002" xr:uid="{00000000-0005-0000-0000-0000344A0000}"/>
    <cellStyle name="CurrencyExt 4 2 2 2 4" xfId="19003" xr:uid="{00000000-0005-0000-0000-0000354A0000}"/>
    <cellStyle name="CurrencyExt 4 2 2 2 5" xfId="19004" xr:uid="{00000000-0005-0000-0000-0000364A0000}"/>
    <cellStyle name="CurrencyExt 4 2 2 2 6" xfId="19005" xr:uid="{00000000-0005-0000-0000-0000374A0000}"/>
    <cellStyle name="CurrencyExt 4 2 2 3" xfId="19006" xr:uid="{00000000-0005-0000-0000-0000384A0000}"/>
    <cellStyle name="CurrencyExt 4 2 2 4" xfId="19007" xr:uid="{00000000-0005-0000-0000-0000394A0000}"/>
    <cellStyle name="CurrencyExt 4 2 2 5" xfId="19008" xr:uid="{00000000-0005-0000-0000-00003A4A0000}"/>
    <cellStyle name="CurrencyExt 4 2 2 6" xfId="19009" xr:uid="{00000000-0005-0000-0000-00003B4A0000}"/>
    <cellStyle name="CurrencyExt 4 2 3" xfId="19010" xr:uid="{00000000-0005-0000-0000-00003C4A0000}"/>
    <cellStyle name="CurrencyExt 4 2 3 2" xfId="19011" xr:uid="{00000000-0005-0000-0000-00003D4A0000}"/>
    <cellStyle name="CurrencyExt 4 2 3 2 2" xfId="19012" xr:uid="{00000000-0005-0000-0000-00003E4A0000}"/>
    <cellStyle name="CurrencyExt 4 2 3 2 3" xfId="19013" xr:uid="{00000000-0005-0000-0000-00003F4A0000}"/>
    <cellStyle name="CurrencyExt 4 2 3 2 4" xfId="19014" xr:uid="{00000000-0005-0000-0000-0000404A0000}"/>
    <cellStyle name="CurrencyExt 4 2 3 2 5" xfId="19015" xr:uid="{00000000-0005-0000-0000-0000414A0000}"/>
    <cellStyle name="CurrencyExt 4 2 3 2 6" xfId="19016" xr:uid="{00000000-0005-0000-0000-0000424A0000}"/>
    <cellStyle name="CurrencyExt 4 2 3 3" xfId="19017" xr:uid="{00000000-0005-0000-0000-0000434A0000}"/>
    <cellStyle name="CurrencyExt 4 2 3 4" xfId="19018" xr:uid="{00000000-0005-0000-0000-0000444A0000}"/>
    <cellStyle name="CurrencyExt 4 2 3 5" xfId="19019" xr:uid="{00000000-0005-0000-0000-0000454A0000}"/>
    <cellStyle name="CurrencyExt 4 2 3 6" xfId="19020" xr:uid="{00000000-0005-0000-0000-0000464A0000}"/>
    <cellStyle name="CurrencyExt 4 2 4" xfId="19021" xr:uid="{00000000-0005-0000-0000-0000474A0000}"/>
    <cellStyle name="CurrencyExt 4 2 4 2" xfId="19022" xr:uid="{00000000-0005-0000-0000-0000484A0000}"/>
    <cellStyle name="CurrencyExt 4 2 4 3" xfId="19023" xr:uid="{00000000-0005-0000-0000-0000494A0000}"/>
    <cellStyle name="CurrencyExt 4 2 4 4" xfId="19024" xr:uid="{00000000-0005-0000-0000-00004A4A0000}"/>
    <cellStyle name="CurrencyExt 4 2 4 5" xfId="19025" xr:uid="{00000000-0005-0000-0000-00004B4A0000}"/>
    <cellStyle name="CurrencyExt 4 2 4 6" xfId="19026" xr:uid="{00000000-0005-0000-0000-00004C4A0000}"/>
    <cellStyle name="CurrencyExt 4 2 5" xfId="19027" xr:uid="{00000000-0005-0000-0000-00004D4A0000}"/>
    <cellStyle name="CurrencyExt 4 2 6" xfId="19028" xr:uid="{00000000-0005-0000-0000-00004E4A0000}"/>
    <cellStyle name="CurrencyExt 4 2 7" xfId="19029" xr:uid="{00000000-0005-0000-0000-00004F4A0000}"/>
    <cellStyle name="CurrencyExt 4 2 8" xfId="19030" xr:uid="{00000000-0005-0000-0000-0000504A0000}"/>
    <cellStyle name="CurrencyExt 4 3" xfId="19031" xr:uid="{00000000-0005-0000-0000-0000514A0000}"/>
    <cellStyle name="CurrencyExt 4 3 2" xfId="19032" xr:uid="{00000000-0005-0000-0000-0000524A0000}"/>
    <cellStyle name="CurrencyExt 4 3 2 2" xfId="19033" xr:uid="{00000000-0005-0000-0000-0000534A0000}"/>
    <cellStyle name="CurrencyExt 4 3 2 2 2" xfId="19034" xr:uid="{00000000-0005-0000-0000-0000544A0000}"/>
    <cellStyle name="CurrencyExt 4 3 2 2 3" xfId="19035" xr:uid="{00000000-0005-0000-0000-0000554A0000}"/>
    <cellStyle name="CurrencyExt 4 3 2 2 4" xfId="19036" xr:uid="{00000000-0005-0000-0000-0000564A0000}"/>
    <cellStyle name="CurrencyExt 4 3 2 2 5" xfId="19037" xr:uid="{00000000-0005-0000-0000-0000574A0000}"/>
    <cellStyle name="CurrencyExt 4 3 2 2 6" xfId="19038" xr:uid="{00000000-0005-0000-0000-0000584A0000}"/>
    <cellStyle name="CurrencyExt 4 3 2 3" xfId="19039" xr:uid="{00000000-0005-0000-0000-0000594A0000}"/>
    <cellStyle name="CurrencyExt 4 3 2 4" xfId="19040" xr:uid="{00000000-0005-0000-0000-00005A4A0000}"/>
    <cellStyle name="CurrencyExt 4 3 2 5" xfId="19041" xr:uid="{00000000-0005-0000-0000-00005B4A0000}"/>
    <cellStyle name="CurrencyExt 4 3 2 6" xfId="19042" xr:uid="{00000000-0005-0000-0000-00005C4A0000}"/>
    <cellStyle name="CurrencyExt 4 3 3" xfId="19043" xr:uid="{00000000-0005-0000-0000-00005D4A0000}"/>
    <cellStyle name="CurrencyExt 4 3 3 2" xfId="19044" xr:uid="{00000000-0005-0000-0000-00005E4A0000}"/>
    <cellStyle name="CurrencyExt 4 3 3 2 2" xfId="19045" xr:uid="{00000000-0005-0000-0000-00005F4A0000}"/>
    <cellStyle name="CurrencyExt 4 3 3 2 3" xfId="19046" xr:uid="{00000000-0005-0000-0000-0000604A0000}"/>
    <cellStyle name="CurrencyExt 4 3 3 2 4" xfId="19047" xr:uid="{00000000-0005-0000-0000-0000614A0000}"/>
    <cellStyle name="CurrencyExt 4 3 3 2 5" xfId="19048" xr:uid="{00000000-0005-0000-0000-0000624A0000}"/>
    <cellStyle name="CurrencyExt 4 3 3 2 6" xfId="19049" xr:uid="{00000000-0005-0000-0000-0000634A0000}"/>
    <cellStyle name="CurrencyExt 4 3 3 3" xfId="19050" xr:uid="{00000000-0005-0000-0000-0000644A0000}"/>
    <cellStyle name="CurrencyExt 4 3 3 4" xfId="19051" xr:uid="{00000000-0005-0000-0000-0000654A0000}"/>
    <cellStyle name="CurrencyExt 4 3 3 5" xfId="19052" xr:uid="{00000000-0005-0000-0000-0000664A0000}"/>
    <cellStyle name="CurrencyExt 4 3 3 6" xfId="19053" xr:uid="{00000000-0005-0000-0000-0000674A0000}"/>
    <cellStyle name="CurrencyExt 4 3 4" xfId="19054" xr:uid="{00000000-0005-0000-0000-0000684A0000}"/>
    <cellStyle name="CurrencyExt 4 3 4 2" xfId="19055" xr:uid="{00000000-0005-0000-0000-0000694A0000}"/>
    <cellStyle name="CurrencyExt 4 3 4 3" xfId="19056" xr:uid="{00000000-0005-0000-0000-00006A4A0000}"/>
    <cellStyle name="CurrencyExt 4 3 4 4" xfId="19057" xr:uid="{00000000-0005-0000-0000-00006B4A0000}"/>
    <cellStyle name="CurrencyExt 4 3 4 5" xfId="19058" xr:uid="{00000000-0005-0000-0000-00006C4A0000}"/>
    <cellStyle name="CurrencyExt 4 3 4 6" xfId="19059" xr:uid="{00000000-0005-0000-0000-00006D4A0000}"/>
    <cellStyle name="CurrencyExt 4 3 5" xfId="19060" xr:uid="{00000000-0005-0000-0000-00006E4A0000}"/>
    <cellStyle name="CurrencyExt 4 3 6" xfId="19061" xr:uid="{00000000-0005-0000-0000-00006F4A0000}"/>
    <cellStyle name="CurrencyExt 4 3 7" xfId="19062" xr:uid="{00000000-0005-0000-0000-0000704A0000}"/>
    <cellStyle name="CurrencyExt 4 3 8" xfId="19063" xr:uid="{00000000-0005-0000-0000-0000714A0000}"/>
    <cellStyle name="CurrencyExt 4 4" xfId="19064" xr:uid="{00000000-0005-0000-0000-0000724A0000}"/>
    <cellStyle name="CurrencyExt 4 4 2" xfId="19065" xr:uid="{00000000-0005-0000-0000-0000734A0000}"/>
    <cellStyle name="CurrencyExt 4 4 2 2" xfId="19066" xr:uid="{00000000-0005-0000-0000-0000744A0000}"/>
    <cellStyle name="CurrencyExt 4 4 2 2 2" xfId="19067" xr:uid="{00000000-0005-0000-0000-0000754A0000}"/>
    <cellStyle name="CurrencyExt 4 4 2 2 3" xfId="19068" xr:uid="{00000000-0005-0000-0000-0000764A0000}"/>
    <cellStyle name="CurrencyExt 4 4 2 2 4" xfId="19069" xr:uid="{00000000-0005-0000-0000-0000774A0000}"/>
    <cellStyle name="CurrencyExt 4 4 2 2 5" xfId="19070" xr:uid="{00000000-0005-0000-0000-0000784A0000}"/>
    <cellStyle name="CurrencyExt 4 4 2 2 6" xfId="19071" xr:uid="{00000000-0005-0000-0000-0000794A0000}"/>
    <cellStyle name="CurrencyExt 4 4 2 3" xfId="19072" xr:uid="{00000000-0005-0000-0000-00007A4A0000}"/>
    <cellStyle name="CurrencyExt 4 4 2 4" xfId="19073" xr:uid="{00000000-0005-0000-0000-00007B4A0000}"/>
    <cellStyle name="CurrencyExt 4 4 2 5" xfId="19074" xr:uid="{00000000-0005-0000-0000-00007C4A0000}"/>
    <cellStyle name="CurrencyExt 4 4 2 6" xfId="19075" xr:uid="{00000000-0005-0000-0000-00007D4A0000}"/>
    <cellStyle name="CurrencyExt 4 4 3" xfId="19076" xr:uid="{00000000-0005-0000-0000-00007E4A0000}"/>
    <cellStyle name="CurrencyExt 4 4 3 2" xfId="19077" xr:uid="{00000000-0005-0000-0000-00007F4A0000}"/>
    <cellStyle name="CurrencyExt 4 4 3 2 2" xfId="19078" xr:uid="{00000000-0005-0000-0000-0000804A0000}"/>
    <cellStyle name="CurrencyExt 4 4 3 2 3" xfId="19079" xr:uid="{00000000-0005-0000-0000-0000814A0000}"/>
    <cellStyle name="CurrencyExt 4 4 3 2 4" xfId="19080" xr:uid="{00000000-0005-0000-0000-0000824A0000}"/>
    <cellStyle name="CurrencyExt 4 4 3 2 5" xfId="19081" xr:uid="{00000000-0005-0000-0000-0000834A0000}"/>
    <cellStyle name="CurrencyExt 4 4 3 2 6" xfId="19082" xr:uid="{00000000-0005-0000-0000-0000844A0000}"/>
    <cellStyle name="CurrencyExt 4 4 3 3" xfId="19083" xr:uid="{00000000-0005-0000-0000-0000854A0000}"/>
    <cellStyle name="CurrencyExt 4 4 3 4" xfId="19084" xr:uid="{00000000-0005-0000-0000-0000864A0000}"/>
    <cellStyle name="CurrencyExt 4 4 3 5" xfId="19085" xr:uid="{00000000-0005-0000-0000-0000874A0000}"/>
    <cellStyle name="CurrencyExt 4 4 3 6" xfId="19086" xr:uid="{00000000-0005-0000-0000-0000884A0000}"/>
    <cellStyle name="CurrencyExt 4 4 4" xfId="19087" xr:uid="{00000000-0005-0000-0000-0000894A0000}"/>
    <cellStyle name="CurrencyExt 4 4 4 2" xfId="19088" xr:uid="{00000000-0005-0000-0000-00008A4A0000}"/>
    <cellStyle name="CurrencyExt 4 4 4 3" xfId="19089" xr:uid="{00000000-0005-0000-0000-00008B4A0000}"/>
    <cellStyle name="CurrencyExt 4 4 4 4" xfId="19090" xr:uid="{00000000-0005-0000-0000-00008C4A0000}"/>
    <cellStyle name="CurrencyExt 4 4 4 5" xfId="19091" xr:uid="{00000000-0005-0000-0000-00008D4A0000}"/>
    <cellStyle name="CurrencyExt 4 4 4 6" xfId="19092" xr:uid="{00000000-0005-0000-0000-00008E4A0000}"/>
    <cellStyle name="CurrencyExt 4 4 5" xfId="19093" xr:uid="{00000000-0005-0000-0000-00008F4A0000}"/>
    <cellStyle name="CurrencyExt 4 4 6" xfId="19094" xr:uid="{00000000-0005-0000-0000-0000904A0000}"/>
    <cellStyle name="CurrencyExt 4 4 7" xfId="19095" xr:uid="{00000000-0005-0000-0000-0000914A0000}"/>
    <cellStyle name="CurrencyExt 4 4 8" xfId="19096" xr:uid="{00000000-0005-0000-0000-0000924A0000}"/>
    <cellStyle name="CurrencyExt 4 5" xfId="19097" xr:uid="{00000000-0005-0000-0000-0000934A0000}"/>
    <cellStyle name="CurrencyExt 4 5 2" xfId="19098" xr:uid="{00000000-0005-0000-0000-0000944A0000}"/>
    <cellStyle name="CurrencyExt 4 5 2 2" xfId="19099" xr:uid="{00000000-0005-0000-0000-0000954A0000}"/>
    <cellStyle name="CurrencyExt 4 5 2 2 2" xfId="19100" xr:uid="{00000000-0005-0000-0000-0000964A0000}"/>
    <cellStyle name="CurrencyExt 4 5 2 2 3" xfId="19101" xr:uid="{00000000-0005-0000-0000-0000974A0000}"/>
    <cellStyle name="CurrencyExt 4 5 2 2 4" xfId="19102" xr:uid="{00000000-0005-0000-0000-0000984A0000}"/>
    <cellStyle name="CurrencyExt 4 5 2 2 5" xfId="19103" xr:uid="{00000000-0005-0000-0000-0000994A0000}"/>
    <cellStyle name="CurrencyExt 4 5 2 2 6" xfId="19104" xr:uid="{00000000-0005-0000-0000-00009A4A0000}"/>
    <cellStyle name="CurrencyExt 4 5 2 3" xfId="19105" xr:uid="{00000000-0005-0000-0000-00009B4A0000}"/>
    <cellStyle name="CurrencyExt 4 5 2 4" xfId="19106" xr:uid="{00000000-0005-0000-0000-00009C4A0000}"/>
    <cellStyle name="CurrencyExt 4 5 2 5" xfId="19107" xr:uid="{00000000-0005-0000-0000-00009D4A0000}"/>
    <cellStyle name="CurrencyExt 4 5 2 6" xfId="19108" xr:uid="{00000000-0005-0000-0000-00009E4A0000}"/>
    <cellStyle name="CurrencyExt 4 5 3" xfId="19109" xr:uid="{00000000-0005-0000-0000-00009F4A0000}"/>
    <cellStyle name="CurrencyExt 4 5 3 2" xfId="19110" xr:uid="{00000000-0005-0000-0000-0000A04A0000}"/>
    <cellStyle name="CurrencyExt 4 5 3 2 2" xfId="19111" xr:uid="{00000000-0005-0000-0000-0000A14A0000}"/>
    <cellStyle name="CurrencyExt 4 5 3 2 3" xfId="19112" xr:uid="{00000000-0005-0000-0000-0000A24A0000}"/>
    <cellStyle name="CurrencyExt 4 5 3 2 4" xfId="19113" xr:uid="{00000000-0005-0000-0000-0000A34A0000}"/>
    <cellStyle name="CurrencyExt 4 5 3 2 5" xfId="19114" xr:uid="{00000000-0005-0000-0000-0000A44A0000}"/>
    <cellStyle name="CurrencyExt 4 5 3 2 6" xfId="19115" xr:uid="{00000000-0005-0000-0000-0000A54A0000}"/>
    <cellStyle name="CurrencyExt 4 5 3 3" xfId="19116" xr:uid="{00000000-0005-0000-0000-0000A64A0000}"/>
    <cellStyle name="CurrencyExt 4 5 3 4" xfId="19117" xr:uid="{00000000-0005-0000-0000-0000A74A0000}"/>
    <cellStyle name="CurrencyExt 4 5 3 5" xfId="19118" xr:uid="{00000000-0005-0000-0000-0000A84A0000}"/>
    <cellStyle name="CurrencyExt 4 5 3 6" xfId="19119" xr:uid="{00000000-0005-0000-0000-0000A94A0000}"/>
    <cellStyle name="CurrencyExt 4 5 4" xfId="19120" xr:uid="{00000000-0005-0000-0000-0000AA4A0000}"/>
    <cellStyle name="CurrencyExt 4 5 4 2" xfId="19121" xr:uid="{00000000-0005-0000-0000-0000AB4A0000}"/>
    <cellStyle name="CurrencyExt 4 5 4 3" xfId="19122" xr:uid="{00000000-0005-0000-0000-0000AC4A0000}"/>
    <cellStyle name="CurrencyExt 4 5 4 4" xfId="19123" xr:uid="{00000000-0005-0000-0000-0000AD4A0000}"/>
    <cellStyle name="CurrencyExt 4 5 4 5" xfId="19124" xr:uid="{00000000-0005-0000-0000-0000AE4A0000}"/>
    <cellStyle name="CurrencyExt 4 5 4 6" xfId="19125" xr:uid="{00000000-0005-0000-0000-0000AF4A0000}"/>
    <cellStyle name="CurrencyExt 4 5 5" xfId="19126" xr:uid="{00000000-0005-0000-0000-0000B04A0000}"/>
    <cellStyle name="CurrencyExt 4 5 6" xfId="19127" xr:uid="{00000000-0005-0000-0000-0000B14A0000}"/>
    <cellStyle name="CurrencyExt 4 5 7" xfId="19128" xr:uid="{00000000-0005-0000-0000-0000B24A0000}"/>
    <cellStyle name="CurrencyExt 4 5 8" xfId="19129" xr:uid="{00000000-0005-0000-0000-0000B34A0000}"/>
    <cellStyle name="CurrencyExt 4 6" xfId="19130" xr:uid="{00000000-0005-0000-0000-0000B44A0000}"/>
    <cellStyle name="CurrencyExt 4 6 2" xfId="19131" xr:uid="{00000000-0005-0000-0000-0000B54A0000}"/>
    <cellStyle name="CurrencyExt 4 6 2 2" xfId="19132" xr:uid="{00000000-0005-0000-0000-0000B64A0000}"/>
    <cellStyle name="CurrencyExt 4 6 2 2 2" xfId="19133" xr:uid="{00000000-0005-0000-0000-0000B74A0000}"/>
    <cellStyle name="CurrencyExt 4 6 2 2 3" xfId="19134" xr:uid="{00000000-0005-0000-0000-0000B84A0000}"/>
    <cellStyle name="CurrencyExt 4 6 2 2 4" xfId="19135" xr:uid="{00000000-0005-0000-0000-0000B94A0000}"/>
    <cellStyle name="CurrencyExt 4 6 2 2 5" xfId="19136" xr:uid="{00000000-0005-0000-0000-0000BA4A0000}"/>
    <cellStyle name="CurrencyExt 4 6 2 2 6" xfId="19137" xr:uid="{00000000-0005-0000-0000-0000BB4A0000}"/>
    <cellStyle name="CurrencyExt 4 6 2 3" xfId="19138" xr:uid="{00000000-0005-0000-0000-0000BC4A0000}"/>
    <cellStyle name="CurrencyExt 4 6 2 4" xfId="19139" xr:uid="{00000000-0005-0000-0000-0000BD4A0000}"/>
    <cellStyle name="CurrencyExt 4 6 2 5" xfId="19140" xr:uid="{00000000-0005-0000-0000-0000BE4A0000}"/>
    <cellStyle name="CurrencyExt 4 6 2 6" xfId="19141" xr:uid="{00000000-0005-0000-0000-0000BF4A0000}"/>
    <cellStyle name="CurrencyExt 4 6 3" xfId="19142" xr:uid="{00000000-0005-0000-0000-0000C04A0000}"/>
    <cellStyle name="CurrencyExt 4 6 3 2" xfId="19143" xr:uid="{00000000-0005-0000-0000-0000C14A0000}"/>
    <cellStyle name="CurrencyExt 4 6 3 2 2" xfId="19144" xr:uid="{00000000-0005-0000-0000-0000C24A0000}"/>
    <cellStyle name="CurrencyExt 4 6 3 2 3" xfId="19145" xr:uid="{00000000-0005-0000-0000-0000C34A0000}"/>
    <cellStyle name="CurrencyExt 4 6 3 2 4" xfId="19146" xr:uid="{00000000-0005-0000-0000-0000C44A0000}"/>
    <cellStyle name="CurrencyExt 4 6 3 2 5" xfId="19147" xr:uid="{00000000-0005-0000-0000-0000C54A0000}"/>
    <cellStyle name="CurrencyExt 4 6 3 2 6" xfId="19148" xr:uid="{00000000-0005-0000-0000-0000C64A0000}"/>
    <cellStyle name="CurrencyExt 4 6 3 3" xfId="19149" xr:uid="{00000000-0005-0000-0000-0000C74A0000}"/>
    <cellStyle name="CurrencyExt 4 6 3 4" xfId="19150" xr:uid="{00000000-0005-0000-0000-0000C84A0000}"/>
    <cellStyle name="CurrencyExt 4 6 3 5" xfId="19151" xr:uid="{00000000-0005-0000-0000-0000C94A0000}"/>
    <cellStyle name="CurrencyExt 4 6 3 6" xfId="19152" xr:uid="{00000000-0005-0000-0000-0000CA4A0000}"/>
    <cellStyle name="CurrencyExt 4 6 4" xfId="19153" xr:uid="{00000000-0005-0000-0000-0000CB4A0000}"/>
    <cellStyle name="CurrencyExt 4 6 4 2" xfId="19154" xr:uid="{00000000-0005-0000-0000-0000CC4A0000}"/>
    <cellStyle name="CurrencyExt 4 6 4 3" xfId="19155" xr:uid="{00000000-0005-0000-0000-0000CD4A0000}"/>
    <cellStyle name="CurrencyExt 4 6 4 4" xfId="19156" xr:uid="{00000000-0005-0000-0000-0000CE4A0000}"/>
    <cellStyle name="CurrencyExt 4 6 4 5" xfId="19157" xr:uid="{00000000-0005-0000-0000-0000CF4A0000}"/>
    <cellStyle name="CurrencyExt 4 6 4 6" xfId="19158" xr:uid="{00000000-0005-0000-0000-0000D04A0000}"/>
    <cellStyle name="CurrencyExt 4 6 5" xfId="19159" xr:uid="{00000000-0005-0000-0000-0000D14A0000}"/>
    <cellStyle name="CurrencyExt 4 6 6" xfId="19160" xr:uid="{00000000-0005-0000-0000-0000D24A0000}"/>
    <cellStyle name="CurrencyExt 4 6 7" xfId="19161" xr:uid="{00000000-0005-0000-0000-0000D34A0000}"/>
    <cellStyle name="CurrencyExt 4 6 8" xfId="19162" xr:uid="{00000000-0005-0000-0000-0000D44A0000}"/>
    <cellStyle name="CurrencyExt 4 7" xfId="19163" xr:uid="{00000000-0005-0000-0000-0000D54A0000}"/>
    <cellStyle name="CurrencyExt 4 7 2" xfId="19164" xr:uid="{00000000-0005-0000-0000-0000D64A0000}"/>
    <cellStyle name="CurrencyExt 4 7 2 2" xfId="19165" xr:uid="{00000000-0005-0000-0000-0000D74A0000}"/>
    <cellStyle name="CurrencyExt 4 7 2 3" xfId="19166" xr:uid="{00000000-0005-0000-0000-0000D84A0000}"/>
    <cellStyle name="CurrencyExt 4 7 2 4" xfId="19167" xr:uid="{00000000-0005-0000-0000-0000D94A0000}"/>
    <cellStyle name="CurrencyExt 4 7 2 5" xfId="19168" xr:uid="{00000000-0005-0000-0000-0000DA4A0000}"/>
    <cellStyle name="CurrencyExt 4 7 2 6" xfId="19169" xr:uid="{00000000-0005-0000-0000-0000DB4A0000}"/>
    <cellStyle name="CurrencyExt 4 7 3" xfId="19170" xr:uid="{00000000-0005-0000-0000-0000DC4A0000}"/>
    <cellStyle name="CurrencyExt 4 7 4" xfId="19171" xr:uid="{00000000-0005-0000-0000-0000DD4A0000}"/>
    <cellStyle name="CurrencyExt 4 7 5" xfId="19172" xr:uid="{00000000-0005-0000-0000-0000DE4A0000}"/>
    <cellStyle name="CurrencyExt 4 7 6" xfId="19173" xr:uid="{00000000-0005-0000-0000-0000DF4A0000}"/>
    <cellStyle name="CurrencyExt 4 8" xfId="19174" xr:uid="{00000000-0005-0000-0000-0000E04A0000}"/>
    <cellStyle name="CurrencyExt 4 8 2" xfId="19175" xr:uid="{00000000-0005-0000-0000-0000E14A0000}"/>
    <cellStyle name="CurrencyExt 4 8 2 2" xfId="19176" xr:uid="{00000000-0005-0000-0000-0000E24A0000}"/>
    <cellStyle name="CurrencyExt 4 8 2 3" xfId="19177" xr:uid="{00000000-0005-0000-0000-0000E34A0000}"/>
    <cellStyle name="CurrencyExt 4 8 2 4" xfId="19178" xr:uid="{00000000-0005-0000-0000-0000E44A0000}"/>
    <cellStyle name="CurrencyExt 4 8 2 5" xfId="19179" xr:uid="{00000000-0005-0000-0000-0000E54A0000}"/>
    <cellStyle name="CurrencyExt 4 8 2 6" xfId="19180" xr:uid="{00000000-0005-0000-0000-0000E64A0000}"/>
    <cellStyle name="CurrencyExt 4 8 3" xfId="19181" xr:uid="{00000000-0005-0000-0000-0000E74A0000}"/>
    <cellStyle name="CurrencyExt 4 8 4" xfId="19182" xr:uid="{00000000-0005-0000-0000-0000E84A0000}"/>
    <cellStyle name="CurrencyExt 4 8 5" xfId="19183" xr:uid="{00000000-0005-0000-0000-0000E94A0000}"/>
    <cellStyle name="CurrencyExt 4 8 6" xfId="19184" xr:uid="{00000000-0005-0000-0000-0000EA4A0000}"/>
    <cellStyle name="CurrencyExt 4 9" xfId="19185" xr:uid="{00000000-0005-0000-0000-0000EB4A0000}"/>
    <cellStyle name="CurrencyExt 4 9 2" xfId="19186" xr:uid="{00000000-0005-0000-0000-0000EC4A0000}"/>
    <cellStyle name="CurrencyExt 4 9 3" xfId="19187" xr:uid="{00000000-0005-0000-0000-0000ED4A0000}"/>
    <cellStyle name="CurrencyExt 4 9 4" xfId="19188" xr:uid="{00000000-0005-0000-0000-0000EE4A0000}"/>
    <cellStyle name="CurrencyExt 4 9 5" xfId="19189" xr:uid="{00000000-0005-0000-0000-0000EF4A0000}"/>
    <cellStyle name="CurrencyExt 4 9 6" xfId="19190" xr:uid="{00000000-0005-0000-0000-0000F04A0000}"/>
    <cellStyle name="CurrencyExt 5" xfId="19191" xr:uid="{00000000-0005-0000-0000-0000F14A0000}"/>
    <cellStyle name="CurrencyExt 5 2" xfId="19192" xr:uid="{00000000-0005-0000-0000-0000F24A0000}"/>
    <cellStyle name="CurrencyExt 5 2 2" xfId="19193" xr:uid="{00000000-0005-0000-0000-0000F34A0000}"/>
    <cellStyle name="CurrencyExt 5 2 2 2" xfId="19194" xr:uid="{00000000-0005-0000-0000-0000F44A0000}"/>
    <cellStyle name="CurrencyExt 5 2 2 3" xfId="19195" xr:uid="{00000000-0005-0000-0000-0000F54A0000}"/>
    <cellStyle name="CurrencyExt 5 2 2 4" xfId="19196" xr:uid="{00000000-0005-0000-0000-0000F64A0000}"/>
    <cellStyle name="CurrencyExt 5 2 2 5" xfId="19197" xr:uid="{00000000-0005-0000-0000-0000F74A0000}"/>
    <cellStyle name="CurrencyExt 5 2 2 6" xfId="19198" xr:uid="{00000000-0005-0000-0000-0000F84A0000}"/>
    <cellStyle name="CurrencyExt 5 2 3" xfId="19199" xr:uid="{00000000-0005-0000-0000-0000F94A0000}"/>
    <cellStyle name="CurrencyExt 5 2 4" xfId="19200" xr:uid="{00000000-0005-0000-0000-0000FA4A0000}"/>
    <cellStyle name="CurrencyExt 5 2 5" xfId="19201" xr:uid="{00000000-0005-0000-0000-0000FB4A0000}"/>
    <cellStyle name="CurrencyExt 5 2 6" xfId="19202" xr:uid="{00000000-0005-0000-0000-0000FC4A0000}"/>
    <cellStyle name="CurrencyExt 5 3" xfId="19203" xr:uid="{00000000-0005-0000-0000-0000FD4A0000}"/>
    <cellStyle name="CurrencyExt 5 3 2" xfId="19204" xr:uid="{00000000-0005-0000-0000-0000FE4A0000}"/>
    <cellStyle name="CurrencyExt 5 3 2 2" xfId="19205" xr:uid="{00000000-0005-0000-0000-0000FF4A0000}"/>
    <cellStyle name="CurrencyExt 5 3 2 3" xfId="19206" xr:uid="{00000000-0005-0000-0000-0000004B0000}"/>
    <cellStyle name="CurrencyExt 5 3 2 4" xfId="19207" xr:uid="{00000000-0005-0000-0000-0000014B0000}"/>
    <cellStyle name="CurrencyExt 5 3 2 5" xfId="19208" xr:uid="{00000000-0005-0000-0000-0000024B0000}"/>
    <cellStyle name="CurrencyExt 5 3 2 6" xfId="19209" xr:uid="{00000000-0005-0000-0000-0000034B0000}"/>
    <cellStyle name="CurrencyExt 5 3 3" xfId="19210" xr:uid="{00000000-0005-0000-0000-0000044B0000}"/>
    <cellStyle name="CurrencyExt 5 3 4" xfId="19211" xr:uid="{00000000-0005-0000-0000-0000054B0000}"/>
    <cellStyle name="CurrencyExt 5 3 5" xfId="19212" xr:uid="{00000000-0005-0000-0000-0000064B0000}"/>
    <cellStyle name="CurrencyExt 5 3 6" xfId="19213" xr:uid="{00000000-0005-0000-0000-0000074B0000}"/>
    <cellStyle name="CurrencyExt 5 4" xfId="19214" xr:uid="{00000000-0005-0000-0000-0000084B0000}"/>
    <cellStyle name="CurrencyExt 5 4 2" xfId="19215" xr:uid="{00000000-0005-0000-0000-0000094B0000}"/>
    <cellStyle name="CurrencyExt 5 4 3" xfId="19216" xr:uid="{00000000-0005-0000-0000-00000A4B0000}"/>
    <cellStyle name="CurrencyExt 5 4 4" xfId="19217" xr:uid="{00000000-0005-0000-0000-00000B4B0000}"/>
    <cellStyle name="CurrencyExt 5 4 5" xfId="19218" xr:uid="{00000000-0005-0000-0000-00000C4B0000}"/>
    <cellStyle name="CurrencyExt 5 4 6" xfId="19219" xr:uid="{00000000-0005-0000-0000-00000D4B0000}"/>
    <cellStyle name="CurrencyExt 5 5" xfId="19220" xr:uid="{00000000-0005-0000-0000-00000E4B0000}"/>
    <cellStyle name="CurrencyExt 5 6" xfId="19221" xr:uid="{00000000-0005-0000-0000-00000F4B0000}"/>
    <cellStyle name="CurrencyExt 5 7" xfId="19222" xr:uid="{00000000-0005-0000-0000-0000104B0000}"/>
    <cellStyle name="CurrencyExt 5 8" xfId="19223" xr:uid="{00000000-0005-0000-0000-0000114B0000}"/>
    <cellStyle name="CurrencyExt 6" xfId="19224" xr:uid="{00000000-0005-0000-0000-0000124B0000}"/>
    <cellStyle name="CurrencyExt 6 2" xfId="19225" xr:uid="{00000000-0005-0000-0000-0000134B0000}"/>
    <cellStyle name="CurrencyExt 6 2 2" xfId="19226" xr:uid="{00000000-0005-0000-0000-0000144B0000}"/>
    <cellStyle name="CurrencyExt 6 2 2 2" xfId="19227" xr:uid="{00000000-0005-0000-0000-0000154B0000}"/>
    <cellStyle name="CurrencyExt 6 2 2 3" xfId="19228" xr:uid="{00000000-0005-0000-0000-0000164B0000}"/>
    <cellStyle name="CurrencyExt 6 2 2 4" xfId="19229" xr:uid="{00000000-0005-0000-0000-0000174B0000}"/>
    <cellStyle name="CurrencyExt 6 2 2 5" xfId="19230" xr:uid="{00000000-0005-0000-0000-0000184B0000}"/>
    <cellStyle name="CurrencyExt 6 2 2 6" xfId="19231" xr:uid="{00000000-0005-0000-0000-0000194B0000}"/>
    <cellStyle name="CurrencyExt 6 2 3" xfId="19232" xr:uid="{00000000-0005-0000-0000-00001A4B0000}"/>
    <cellStyle name="CurrencyExt 6 2 4" xfId="19233" xr:uid="{00000000-0005-0000-0000-00001B4B0000}"/>
    <cellStyle name="CurrencyExt 6 2 5" xfId="19234" xr:uid="{00000000-0005-0000-0000-00001C4B0000}"/>
    <cellStyle name="CurrencyExt 6 2 6" xfId="19235" xr:uid="{00000000-0005-0000-0000-00001D4B0000}"/>
    <cellStyle name="CurrencyExt 6 3" xfId="19236" xr:uid="{00000000-0005-0000-0000-00001E4B0000}"/>
    <cellStyle name="CurrencyExt 6 3 2" xfId="19237" xr:uid="{00000000-0005-0000-0000-00001F4B0000}"/>
    <cellStyle name="CurrencyExt 6 3 2 2" xfId="19238" xr:uid="{00000000-0005-0000-0000-0000204B0000}"/>
    <cellStyle name="CurrencyExt 6 3 2 3" xfId="19239" xr:uid="{00000000-0005-0000-0000-0000214B0000}"/>
    <cellStyle name="CurrencyExt 6 3 2 4" xfId="19240" xr:uid="{00000000-0005-0000-0000-0000224B0000}"/>
    <cellStyle name="CurrencyExt 6 3 2 5" xfId="19241" xr:uid="{00000000-0005-0000-0000-0000234B0000}"/>
    <cellStyle name="CurrencyExt 6 3 2 6" xfId="19242" xr:uid="{00000000-0005-0000-0000-0000244B0000}"/>
    <cellStyle name="CurrencyExt 6 3 3" xfId="19243" xr:uid="{00000000-0005-0000-0000-0000254B0000}"/>
    <cellStyle name="CurrencyExt 6 3 4" xfId="19244" xr:uid="{00000000-0005-0000-0000-0000264B0000}"/>
    <cellStyle name="CurrencyExt 6 3 5" xfId="19245" xr:uid="{00000000-0005-0000-0000-0000274B0000}"/>
    <cellStyle name="CurrencyExt 6 3 6" xfId="19246" xr:uid="{00000000-0005-0000-0000-0000284B0000}"/>
    <cellStyle name="CurrencyExt 6 4" xfId="19247" xr:uid="{00000000-0005-0000-0000-0000294B0000}"/>
    <cellStyle name="CurrencyExt 6 4 2" xfId="19248" xr:uid="{00000000-0005-0000-0000-00002A4B0000}"/>
    <cellStyle name="CurrencyExt 6 4 3" xfId="19249" xr:uid="{00000000-0005-0000-0000-00002B4B0000}"/>
    <cellStyle name="CurrencyExt 6 4 4" xfId="19250" xr:uid="{00000000-0005-0000-0000-00002C4B0000}"/>
    <cellStyle name="CurrencyExt 6 4 5" xfId="19251" xr:uid="{00000000-0005-0000-0000-00002D4B0000}"/>
    <cellStyle name="CurrencyExt 6 4 6" xfId="19252" xr:uid="{00000000-0005-0000-0000-00002E4B0000}"/>
    <cellStyle name="CurrencyExt 6 5" xfId="19253" xr:uid="{00000000-0005-0000-0000-00002F4B0000}"/>
    <cellStyle name="CurrencyExt 6 6" xfId="19254" xr:uid="{00000000-0005-0000-0000-0000304B0000}"/>
    <cellStyle name="CurrencyExt 6 7" xfId="19255" xr:uid="{00000000-0005-0000-0000-0000314B0000}"/>
    <cellStyle name="CurrencyExt 6 8" xfId="19256" xr:uid="{00000000-0005-0000-0000-0000324B0000}"/>
    <cellStyle name="CurrencyExt 7" xfId="19257" xr:uid="{00000000-0005-0000-0000-0000334B0000}"/>
    <cellStyle name="CurrencyExt 7 2" xfId="19258" xr:uid="{00000000-0005-0000-0000-0000344B0000}"/>
    <cellStyle name="CurrencyExt 7 2 2" xfId="19259" xr:uid="{00000000-0005-0000-0000-0000354B0000}"/>
    <cellStyle name="CurrencyExt 7 2 2 2" xfId="19260" xr:uid="{00000000-0005-0000-0000-0000364B0000}"/>
    <cellStyle name="CurrencyExt 7 2 2 3" xfId="19261" xr:uid="{00000000-0005-0000-0000-0000374B0000}"/>
    <cellStyle name="CurrencyExt 7 2 2 4" xfId="19262" xr:uid="{00000000-0005-0000-0000-0000384B0000}"/>
    <cellStyle name="CurrencyExt 7 2 2 5" xfId="19263" xr:uid="{00000000-0005-0000-0000-0000394B0000}"/>
    <cellStyle name="CurrencyExt 7 2 2 6" xfId="19264" xr:uid="{00000000-0005-0000-0000-00003A4B0000}"/>
    <cellStyle name="CurrencyExt 7 2 3" xfId="19265" xr:uid="{00000000-0005-0000-0000-00003B4B0000}"/>
    <cellStyle name="CurrencyExt 7 2 4" xfId="19266" xr:uid="{00000000-0005-0000-0000-00003C4B0000}"/>
    <cellStyle name="CurrencyExt 7 2 5" xfId="19267" xr:uid="{00000000-0005-0000-0000-00003D4B0000}"/>
    <cellStyle name="CurrencyExt 7 2 6" xfId="19268" xr:uid="{00000000-0005-0000-0000-00003E4B0000}"/>
    <cellStyle name="CurrencyExt 7 3" xfId="19269" xr:uid="{00000000-0005-0000-0000-00003F4B0000}"/>
    <cellStyle name="CurrencyExt 7 3 2" xfId="19270" xr:uid="{00000000-0005-0000-0000-0000404B0000}"/>
    <cellStyle name="CurrencyExt 7 3 2 2" xfId="19271" xr:uid="{00000000-0005-0000-0000-0000414B0000}"/>
    <cellStyle name="CurrencyExt 7 3 2 3" xfId="19272" xr:uid="{00000000-0005-0000-0000-0000424B0000}"/>
    <cellStyle name="CurrencyExt 7 3 2 4" xfId="19273" xr:uid="{00000000-0005-0000-0000-0000434B0000}"/>
    <cellStyle name="CurrencyExt 7 3 2 5" xfId="19274" xr:uid="{00000000-0005-0000-0000-0000444B0000}"/>
    <cellStyle name="CurrencyExt 7 3 2 6" xfId="19275" xr:uid="{00000000-0005-0000-0000-0000454B0000}"/>
    <cellStyle name="CurrencyExt 7 3 3" xfId="19276" xr:uid="{00000000-0005-0000-0000-0000464B0000}"/>
    <cellStyle name="CurrencyExt 7 3 4" xfId="19277" xr:uid="{00000000-0005-0000-0000-0000474B0000}"/>
    <cellStyle name="CurrencyExt 7 3 5" xfId="19278" xr:uid="{00000000-0005-0000-0000-0000484B0000}"/>
    <cellStyle name="CurrencyExt 7 3 6" xfId="19279" xr:uid="{00000000-0005-0000-0000-0000494B0000}"/>
    <cellStyle name="CurrencyExt 7 4" xfId="19280" xr:uid="{00000000-0005-0000-0000-00004A4B0000}"/>
    <cellStyle name="CurrencyExt 7 4 2" xfId="19281" xr:uid="{00000000-0005-0000-0000-00004B4B0000}"/>
    <cellStyle name="CurrencyExt 7 4 3" xfId="19282" xr:uid="{00000000-0005-0000-0000-00004C4B0000}"/>
    <cellStyle name="CurrencyExt 7 4 4" xfId="19283" xr:uid="{00000000-0005-0000-0000-00004D4B0000}"/>
    <cellStyle name="CurrencyExt 7 4 5" xfId="19284" xr:uid="{00000000-0005-0000-0000-00004E4B0000}"/>
    <cellStyle name="CurrencyExt 7 4 6" xfId="19285" xr:uid="{00000000-0005-0000-0000-00004F4B0000}"/>
    <cellStyle name="CurrencyExt 7 5" xfId="19286" xr:uid="{00000000-0005-0000-0000-0000504B0000}"/>
    <cellStyle name="CurrencyExt 7 6" xfId="19287" xr:uid="{00000000-0005-0000-0000-0000514B0000}"/>
    <cellStyle name="CurrencyExt 7 7" xfId="19288" xr:uid="{00000000-0005-0000-0000-0000524B0000}"/>
    <cellStyle name="CurrencyExt 7 8" xfId="19289" xr:uid="{00000000-0005-0000-0000-0000534B0000}"/>
    <cellStyle name="CurrencyExt 8" xfId="19290" xr:uid="{00000000-0005-0000-0000-0000544B0000}"/>
    <cellStyle name="CurrencyExt 8 2" xfId="19291" xr:uid="{00000000-0005-0000-0000-0000554B0000}"/>
    <cellStyle name="CurrencyExt 8 2 2" xfId="19292" xr:uid="{00000000-0005-0000-0000-0000564B0000}"/>
    <cellStyle name="CurrencyExt 8 2 3" xfId="19293" xr:uid="{00000000-0005-0000-0000-0000574B0000}"/>
    <cellStyle name="CurrencyExt 8 2 4" xfId="19294" xr:uid="{00000000-0005-0000-0000-0000584B0000}"/>
    <cellStyle name="CurrencyExt 8 2 5" xfId="19295" xr:uid="{00000000-0005-0000-0000-0000594B0000}"/>
    <cellStyle name="CurrencyExt 8 2 6" xfId="19296" xr:uid="{00000000-0005-0000-0000-00005A4B0000}"/>
    <cellStyle name="CurrencyExt 8 3" xfId="19297" xr:uid="{00000000-0005-0000-0000-00005B4B0000}"/>
    <cellStyle name="CurrencyExt 8 4" xfId="19298" xr:uid="{00000000-0005-0000-0000-00005C4B0000}"/>
    <cellStyle name="CurrencyExt 8 5" xfId="19299" xr:uid="{00000000-0005-0000-0000-00005D4B0000}"/>
    <cellStyle name="CurrencyExt 8 6" xfId="19300" xr:uid="{00000000-0005-0000-0000-00005E4B0000}"/>
    <cellStyle name="CurrencyExt 9" xfId="19301" xr:uid="{00000000-0005-0000-0000-00005F4B0000}"/>
    <cellStyle name="CurrencyExt 9 2" xfId="19302" xr:uid="{00000000-0005-0000-0000-0000604B0000}"/>
    <cellStyle name="CurrencyExt 9 2 2" xfId="19303" xr:uid="{00000000-0005-0000-0000-0000614B0000}"/>
    <cellStyle name="CurrencyExt 9 2 3" xfId="19304" xr:uid="{00000000-0005-0000-0000-0000624B0000}"/>
    <cellStyle name="CurrencyExt 9 2 4" xfId="19305" xr:uid="{00000000-0005-0000-0000-0000634B0000}"/>
    <cellStyle name="CurrencyExt 9 2 5" xfId="19306" xr:uid="{00000000-0005-0000-0000-0000644B0000}"/>
    <cellStyle name="CurrencyExt 9 2 6" xfId="19307" xr:uid="{00000000-0005-0000-0000-0000654B0000}"/>
    <cellStyle name="CurrencyExt 9 3" xfId="19308" xr:uid="{00000000-0005-0000-0000-0000664B0000}"/>
    <cellStyle name="CurrencyExt 9 4" xfId="19309" xr:uid="{00000000-0005-0000-0000-0000674B0000}"/>
    <cellStyle name="CurrencyExt 9 5" xfId="19310" xr:uid="{00000000-0005-0000-0000-0000684B0000}"/>
    <cellStyle name="CurrencyExt 9 6" xfId="19311" xr:uid="{00000000-0005-0000-0000-0000694B0000}"/>
    <cellStyle name="CurrencyRep" xfId="19312" xr:uid="{00000000-0005-0000-0000-00006A4B0000}"/>
    <cellStyle name="CurrencyRep 10" xfId="19313" xr:uid="{00000000-0005-0000-0000-00006B4B0000}"/>
    <cellStyle name="CurrencyRep 10 2" xfId="19314" xr:uid="{00000000-0005-0000-0000-00006C4B0000}"/>
    <cellStyle name="CurrencyRep 10 3" xfId="19315" xr:uid="{00000000-0005-0000-0000-00006D4B0000}"/>
    <cellStyle name="CurrencyRep 10 4" xfId="19316" xr:uid="{00000000-0005-0000-0000-00006E4B0000}"/>
    <cellStyle name="CurrencyRep 10 5" xfId="19317" xr:uid="{00000000-0005-0000-0000-00006F4B0000}"/>
    <cellStyle name="CurrencyRep 10 6" xfId="19318" xr:uid="{00000000-0005-0000-0000-0000704B0000}"/>
    <cellStyle name="CurrencyRep 11" xfId="19319" xr:uid="{00000000-0005-0000-0000-0000714B0000}"/>
    <cellStyle name="CurrencyRep 12" xfId="19320" xr:uid="{00000000-0005-0000-0000-0000724B0000}"/>
    <cellStyle name="CurrencyRep 13" xfId="19321" xr:uid="{00000000-0005-0000-0000-0000734B0000}"/>
    <cellStyle name="CurrencyRep 14" xfId="19322" xr:uid="{00000000-0005-0000-0000-0000744B0000}"/>
    <cellStyle name="CurrencyRep 2" xfId="19323" xr:uid="{00000000-0005-0000-0000-0000754B0000}"/>
    <cellStyle name="CurrencyRep 2 10" xfId="19324" xr:uid="{00000000-0005-0000-0000-0000764B0000}"/>
    <cellStyle name="CurrencyRep 2 11" xfId="19325" xr:uid="{00000000-0005-0000-0000-0000774B0000}"/>
    <cellStyle name="CurrencyRep 2 12" xfId="19326" xr:uid="{00000000-0005-0000-0000-0000784B0000}"/>
    <cellStyle name="CurrencyRep 2 13" xfId="19327" xr:uid="{00000000-0005-0000-0000-0000794B0000}"/>
    <cellStyle name="CurrencyRep 2 2" xfId="19328" xr:uid="{00000000-0005-0000-0000-00007A4B0000}"/>
    <cellStyle name="CurrencyRep 2 2 10" xfId="19329" xr:uid="{00000000-0005-0000-0000-00007B4B0000}"/>
    <cellStyle name="CurrencyRep 2 2 10 2" xfId="19330" xr:uid="{00000000-0005-0000-0000-00007C4B0000}"/>
    <cellStyle name="CurrencyRep 2 2 10 3" xfId="19331" xr:uid="{00000000-0005-0000-0000-00007D4B0000}"/>
    <cellStyle name="CurrencyRep 2 2 10 4" xfId="19332" xr:uid="{00000000-0005-0000-0000-00007E4B0000}"/>
    <cellStyle name="CurrencyRep 2 2 10 5" xfId="19333" xr:uid="{00000000-0005-0000-0000-00007F4B0000}"/>
    <cellStyle name="CurrencyRep 2 2 10 6" xfId="19334" xr:uid="{00000000-0005-0000-0000-0000804B0000}"/>
    <cellStyle name="CurrencyRep 2 2 11" xfId="19335" xr:uid="{00000000-0005-0000-0000-0000814B0000}"/>
    <cellStyle name="CurrencyRep 2 2 12" xfId="19336" xr:uid="{00000000-0005-0000-0000-0000824B0000}"/>
    <cellStyle name="CurrencyRep 2 2 13" xfId="19337" xr:uid="{00000000-0005-0000-0000-0000834B0000}"/>
    <cellStyle name="CurrencyRep 2 2 14" xfId="19338" xr:uid="{00000000-0005-0000-0000-0000844B0000}"/>
    <cellStyle name="CurrencyRep 2 2 2" xfId="19339" xr:uid="{00000000-0005-0000-0000-0000854B0000}"/>
    <cellStyle name="CurrencyRep 2 2 2 10" xfId="19340" xr:uid="{00000000-0005-0000-0000-0000864B0000}"/>
    <cellStyle name="CurrencyRep 2 2 2 11" xfId="19341" xr:uid="{00000000-0005-0000-0000-0000874B0000}"/>
    <cellStyle name="CurrencyRep 2 2 2 12" xfId="19342" xr:uid="{00000000-0005-0000-0000-0000884B0000}"/>
    <cellStyle name="CurrencyRep 2 2 2 13" xfId="19343" xr:uid="{00000000-0005-0000-0000-0000894B0000}"/>
    <cellStyle name="CurrencyRep 2 2 2 2" xfId="19344" xr:uid="{00000000-0005-0000-0000-00008A4B0000}"/>
    <cellStyle name="CurrencyRep 2 2 2 2 2" xfId="19345" xr:uid="{00000000-0005-0000-0000-00008B4B0000}"/>
    <cellStyle name="CurrencyRep 2 2 2 2 2 2" xfId="19346" xr:uid="{00000000-0005-0000-0000-00008C4B0000}"/>
    <cellStyle name="CurrencyRep 2 2 2 2 2 2 2" xfId="19347" xr:uid="{00000000-0005-0000-0000-00008D4B0000}"/>
    <cellStyle name="CurrencyRep 2 2 2 2 2 2 3" xfId="19348" xr:uid="{00000000-0005-0000-0000-00008E4B0000}"/>
    <cellStyle name="CurrencyRep 2 2 2 2 2 2 4" xfId="19349" xr:uid="{00000000-0005-0000-0000-00008F4B0000}"/>
    <cellStyle name="CurrencyRep 2 2 2 2 2 2 5" xfId="19350" xr:uid="{00000000-0005-0000-0000-0000904B0000}"/>
    <cellStyle name="CurrencyRep 2 2 2 2 2 2 6" xfId="19351" xr:uid="{00000000-0005-0000-0000-0000914B0000}"/>
    <cellStyle name="CurrencyRep 2 2 2 2 2 3" xfId="19352" xr:uid="{00000000-0005-0000-0000-0000924B0000}"/>
    <cellStyle name="CurrencyRep 2 2 2 2 2 4" xfId="19353" xr:uid="{00000000-0005-0000-0000-0000934B0000}"/>
    <cellStyle name="CurrencyRep 2 2 2 2 2 5" xfId="19354" xr:uid="{00000000-0005-0000-0000-0000944B0000}"/>
    <cellStyle name="CurrencyRep 2 2 2 2 2 6" xfId="19355" xr:uid="{00000000-0005-0000-0000-0000954B0000}"/>
    <cellStyle name="CurrencyRep 2 2 2 2 3" xfId="19356" xr:uid="{00000000-0005-0000-0000-0000964B0000}"/>
    <cellStyle name="CurrencyRep 2 2 2 2 3 2" xfId="19357" xr:uid="{00000000-0005-0000-0000-0000974B0000}"/>
    <cellStyle name="CurrencyRep 2 2 2 2 3 2 2" xfId="19358" xr:uid="{00000000-0005-0000-0000-0000984B0000}"/>
    <cellStyle name="CurrencyRep 2 2 2 2 3 2 3" xfId="19359" xr:uid="{00000000-0005-0000-0000-0000994B0000}"/>
    <cellStyle name="CurrencyRep 2 2 2 2 3 2 4" xfId="19360" xr:uid="{00000000-0005-0000-0000-00009A4B0000}"/>
    <cellStyle name="CurrencyRep 2 2 2 2 3 2 5" xfId="19361" xr:uid="{00000000-0005-0000-0000-00009B4B0000}"/>
    <cellStyle name="CurrencyRep 2 2 2 2 3 2 6" xfId="19362" xr:uid="{00000000-0005-0000-0000-00009C4B0000}"/>
    <cellStyle name="CurrencyRep 2 2 2 2 3 3" xfId="19363" xr:uid="{00000000-0005-0000-0000-00009D4B0000}"/>
    <cellStyle name="CurrencyRep 2 2 2 2 3 4" xfId="19364" xr:uid="{00000000-0005-0000-0000-00009E4B0000}"/>
    <cellStyle name="CurrencyRep 2 2 2 2 3 5" xfId="19365" xr:uid="{00000000-0005-0000-0000-00009F4B0000}"/>
    <cellStyle name="CurrencyRep 2 2 2 2 3 6" xfId="19366" xr:uid="{00000000-0005-0000-0000-0000A04B0000}"/>
    <cellStyle name="CurrencyRep 2 2 2 2 4" xfId="19367" xr:uid="{00000000-0005-0000-0000-0000A14B0000}"/>
    <cellStyle name="CurrencyRep 2 2 2 2 4 2" xfId="19368" xr:uid="{00000000-0005-0000-0000-0000A24B0000}"/>
    <cellStyle name="CurrencyRep 2 2 2 2 4 3" xfId="19369" xr:uid="{00000000-0005-0000-0000-0000A34B0000}"/>
    <cellStyle name="CurrencyRep 2 2 2 2 4 4" xfId="19370" xr:uid="{00000000-0005-0000-0000-0000A44B0000}"/>
    <cellStyle name="CurrencyRep 2 2 2 2 4 5" xfId="19371" xr:uid="{00000000-0005-0000-0000-0000A54B0000}"/>
    <cellStyle name="CurrencyRep 2 2 2 2 4 6" xfId="19372" xr:uid="{00000000-0005-0000-0000-0000A64B0000}"/>
    <cellStyle name="CurrencyRep 2 2 2 2 5" xfId="19373" xr:uid="{00000000-0005-0000-0000-0000A74B0000}"/>
    <cellStyle name="CurrencyRep 2 2 2 2 6" xfId="19374" xr:uid="{00000000-0005-0000-0000-0000A84B0000}"/>
    <cellStyle name="CurrencyRep 2 2 2 2 7" xfId="19375" xr:uid="{00000000-0005-0000-0000-0000A94B0000}"/>
    <cellStyle name="CurrencyRep 2 2 2 2 8" xfId="19376" xr:uid="{00000000-0005-0000-0000-0000AA4B0000}"/>
    <cellStyle name="CurrencyRep 2 2 2 3" xfId="19377" xr:uid="{00000000-0005-0000-0000-0000AB4B0000}"/>
    <cellStyle name="CurrencyRep 2 2 2 3 2" xfId="19378" xr:uid="{00000000-0005-0000-0000-0000AC4B0000}"/>
    <cellStyle name="CurrencyRep 2 2 2 3 2 2" xfId="19379" xr:uid="{00000000-0005-0000-0000-0000AD4B0000}"/>
    <cellStyle name="CurrencyRep 2 2 2 3 2 2 2" xfId="19380" xr:uid="{00000000-0005-0000-0000-0000AE4B0000}"/>
    <cellStyle name="CurrencyRep 2 2 2 3 2 2 3" xfId="19381" xr:uid="{00000000-0005-0000-0000-0000AF4B0000}"/>
    <cellStyle name="CurrencyRep 2 2 2 3 2 2 4" xfId="19382" xr:uid="{00000000-0005-0000-0000-0000B04B0000}"/>
    <cellStyle name="CurrencyRep 2 2 2 3 2 2 5" xfId="19383" xr:uid="{00000000-0005-0000-0000-0000B14B0000}"/>
    <cellStyle name="CurrencyRep 2 2 2 3 2 2 6" xfId="19384" xr:uid="{00000000-0005-0000-0000-0000B24B0000}"/>
    <cellStyle name="CurrencyRep 2 2 2 3 2 3" xfId="19385" xr:uid="{00000000-0005-0000-0000-0000B34B0000}"/>
    <cellStyle name="CurrencyRep 2 2 2 3 2 4" xfId="19386" xr:uid="{00000000-0005-0000-0000-0000B44B0000}"/>
    <cellStyle name="CurrencyRep 2 2 2 3 2 5" xfId="19387" xr:uid="{00000000-0005-0000-0000-0000B54B0000}"/>
    <cellStyle name="CurrencyRep 2 2 2 3 2 6" xfId="19388" xr:uid="{00000000-0005-0000-0000-0000B64B0000}"/>
    <cellStyle name="CurrencyRep 2 2 2 3 3" xfId="19389" xr:uid="{00000000-0005-0000-0000-0000B74B0000}"/>
    <cellStyle name="CurrencyRep 2 2 2 3 3 2" xfId="19390" xr:uid="{00000000-0005-0000-0000-0000B84B0000}"/>
    <cellStyle name="CurrencyRep 2 2 2 3 3 2 2" xfId="19391" xr:uid="{00000000-0005-0000-0000-0000B94B0000}"/>
    <cellStyle name="CurrencyRep 2 2 2 3 3 2 3" xfId="19392" xr:uid="{00000000-0005-0000-0000-0000BA4B0000}"/>
    <cellStyle name="CurrencyRep 2 2 2 3 3 2 4" xfId="19393" xr:uid="{00000000-0005-0000-0000-0000BB4B0000}"/>
    <cellStyle name="CurrencyRep 2 2 2 3 3 2 5" xfId="19394" xr:uid="{00000000-0005-0000-0000-0000BC4B0000}"/>
    <cellStyle name="CurrencyRep 2 2 2 3 3 2 6" xfId="19395" xr:uid="{00000000-0005-0000-0000-0000BD4B0000}"/>
    <cellStyle name="CurrencyRep 2 2 2 3 3 3" xfId="19396" xr:uid="{00000000-0005-0000-0000-0000BE4B0000}"/>
    <cellStyle name="CurrencyRep 2 2 2 3 3 4" xfId="19397" xr:uid="{00000000-0005-0000-0000-0000BF4B0000}"/>
    <cellStyle name="CurrencyRep 2 2 2 3 3 5" xfId="19398" xr:uid="{00000000-0005-0000-0000-0000C04B0000}"/>
    <cellStyle name="CurrencyRep 2 2 2 3 3 6" xfId="19399" xr:uid="{00000000-0005-0000-0000-0000C14B0000}"/>
    <cellStyle name="CurrencyRep 2 2 2 3 4" xfId="19400" xr:uid="{00000000-0005-0000-0000-0000C24B0000}"/>
    <cellStyle name="CurrencyRep 2 2 2 3 4 2" xfId="19401" xr:uid="{00000000-0005-0000-0000-0000C34B0000}"/>
    <cellStyle name="CurrencyRep 2 2 2 3 4 3" xfId="19402" xr:uid="{00000000-0005-0000-0000-0000C44B0000}"/>
    <cellStyle name="CurrencyRep 2 2 2 3 4 4" xfId="19403" xr:uid="{00000000-0005-0000-0000-0000C54B0000}"/>
    <cellStyle name="CurrencyRep 2 2 2 3 4 5" xfId="19404" xr:uid="{00000000-0005-0000-0000-0000C64B0000}"/>
    <cellStyle name="CurrencyRep 2 2 2 3 4 6" xfId="19405" xr:uid="{00000000-0005-0000-0000-0000C74B0000}"/>
    <cellStyle name="CurrencyRep 2 2 2 3 5" xfId="19406" xr:uid="{00000000-0005-0000-0000-0000C84B0000}"/>
    <cellStyle name="CurrencyRep 2 2 2 3 6" xfId="19407" xr:uid="{00000000-0005-0000-0000-0000C94B0000}"/>
    <cellStyle name="CurrencyRep 2 2 2 3 7" xfId="19408" xr:uid="{00000000-0005-0000-0000-0000CA4B0000}"/>
    <cellStyle name="CurrencyRep 2 2 2 3 8" xfId="19409" xr:uid="{00000000-0005-0000-0000-0000CB4B0000}"/>
    <cellStyle name="CurrencyRep 2 2 2 4" xfId="19410" xr:uid="{00000000-0005-0000-0000-0000CC4B0000}"/>
    <cellStyle name="CurrencyRep 2 2 2 4 2" xfId="19411" xr:uid="{00000000-0005-0000-0000-0000CD4B0000}"/>
    <cellStyle name="CurrencyRep 2 2 2 4 2 2" xfId="19412" xr:uid="{00000000-0005-0000-0000-0000CE4B0000}"/>
    <cellStyle name="CurrencyRep 2 2 2 4 2 2 2" xfId="19413" xr:uid="{00000000-0005-0000-0000-0000CF4B0000}"/>
    <cellStyle name="CurrencyRep 2 2 2 4 2 2 3" xfId="19414" xr:uid="{00000000-0005-0000-0000-0000D04B0000}"/>
    <cellStyle name="CurrencyRep 2 2 2 4 2 2 4" xfId="19415" xr:uid="{00000000-0005-0000-0000-0000D14B0000}"/>
    <cellStyle name="CurrencyRep 2 2 2 4 2 2 5" xfId="19416" xr:uid="{00000000-0005-0000-0000-0000D24B0000}"/>
    <cellStyle name="CurrencyRep 2 2 2 4 2 2 6" xfId="19417" xr:uid="{00000000-0005-0000-0000-0000D34B0000}"/>
    <cellStyle name="CurrencyRep 2 2 2 4 2 3" xfId="19418" xr:uid="{00000000-0005-0000-0000-0000D44B0000}"/>
    <cellStyle name="CurrencyRep 2 2 2 4 2 4" xfId="19419" xr:uid="{00000000-0005-0000-0000-0000D54B0000}"/>
    <cellStyle name="CurrencyRep 2 2 2 4 2 5" xfId="19420" xr:uid="{00000000-0005-0000-0000-0000D64B0000}"/>
    <cellStyle name="CurrencyRep 2 2 2 4 2 6" xfId="19421" xr:uid="{00000000-0005-0000-0000-0000D74B0000}"/>
    <cellStyle name="CurrencyRep 2 2 2 4 3" xfId="19422" xr:uid="{00000000-0005-0000-0000-0000D84B0000}"/>
    <cellStyle name="CurrencyRep 2 2 2 4 3 2" xfId="19423" xr:uid="{00000000-0005-0000-0000-0000D94B0000}"/>
    <cellStyle name="CurrencyRep 2 2 2 4 3 2 2" xfId="19424" xr:uid="{00000000-0005-0000-0000-0000DA4B0000}"/>
    <cellStyle name="CurrencyRep 2 2 2 4 3 2 3" xfId="19425" xr:uid="{00000000-0005-0000-0000-0000DB4B0000}"/>
    <cellStyle name="CurrencyRep 2 2 2 4 3 2 4" xfId="19426" xr:uid="{00000000-0005-0000-0000-0000DC4B0000}"/>
    <cellStyle name="CurrencyRep 2 2 2 4 3 2 5" xfId="19427" xr:uid="{00000000-0005-0000-0000-0000DD4B0000}"/>
    <cellStyle name="CurrencyRep 2 2 2 4 3 2 6" xfId="19428" xr:uid="{00000000-0005-0000-0000-0000DE4B0000}"/>
    <cellStyle name="CurrencyRep 2 2 2 4 3 3" xfId="19429" xr:uid="{00000000-0005-0000-0000-0000DF4B0000}"/>
    <cellStyle name="CurrencyRep 2 2 2 4 3 4" xfId="19430" xr:uid="{00000000-0005-0000-0000-0000E04B0000}"/>
    <cellStyle name="CurrencyRep 2 2 2 4 3 5" xfId="19431" xr:uid="{00000000-0005-0000-0000-0000E14B0000}"/>
    <cellStyle name="CurrencyRep 2 2 2 4 3 6" xfId="19432" xr:uid="{00000000-0005-0000-0000-0000E24B0000}"/>
    <cellStyle name="CurrencyRep 2 2 2 4 4" xfId="19433" xr:uid="{00000000-0005-0000-0000-0000E34B0000}"/>
    <cellStyle name="CurrencyRep 2 2 2 4 4 2" xfId="19434" xr:uid="{00000000-0005-0000-0000-0000E44B0000}"/>
    <cellStyle name="CurrencyRep 2 2 2 4 4 3" xfId="19435" xr:uid="{00000000-0005-0000-0000-0000E54B0000}"/>
    <cellStyle name="CurrencyRep 2 2 2 4 4 4" xfId="19436" xr:uid="{00000000-0005-0000-0000-0000E64B0000}"/>
    <cellStyle name="CurrencyRep 2 2 2 4 4 5" xfId="19437" xr:uid="{00000000-0005-0000-0000-0000E74B0000}"/>
    <cellStyle name="CurrencyRep 2 2 2 4 4 6" xfId="19438" xr:uid="{00000000-0005-0000-0000-0000E84B0000}"/>
    <cellStyle name="CurrencyRep 2 2 2 4 5" xfId="19439" xr:uid="{00000000-0005-0000-0000-0000E94B0000}"/>
    <cellStyle name="CurrencyRep 2 2 2 4 6" xfId="19440" xr:uid="{00000000-0005-0000-0000-0000EA4B0000}"/>
    <cellStyle name="CurrencyRep 2 2 2 4 7" xfId="19441" xr:uid="{00000000-0005-0000-0000-0000EB4B0000}"/>
    <cellStyle name="CurrencyRep 2 2 2 4 8" xfId="19442" xr:uid="{00000000-0005-0000-0000-0000EC4B0000}"/>
    <cellStyle name="CurrencyRep 2 2 2 5" xfId="19443" xr:uid="{00000000-0005-0000-0000-0000ED4B0000}"/>
    <cellStyle name="CurrencyRep 2 2 2 5 2" xfId="19444" xr:uid="{00000000-0005-0000-0000-0000EE4B0000}"/>
    <cellStyle name="CurrencyRep 2 2 2 5 2 2" xfId="19445" xr:uid="{00000000-0005-0000-0000-0000EF4B0000}"/>
    <cellStyle name="CurrencyRep 2 2 2 5 2 2 2" xfId="19446" xr:uid="{00000000-0005-0000-0000-0000F04B0000}"/>
    <cellStyle name="CurrencyRep 2 2 2 5 2 2 3" xfId="19447" xr:uid="{00000000-0005-0000-0000-0000F14B0000}"/>
    <cellStyle name="CurrencyRep 2 2 2 5 2 2 4" xfId="19448" xr:uid="{00000000-0005-0000-0000-0000F24B0000}"/>
    <cellStyle name="CurrencyRep 2 2 2 5 2 2 5" xfId="19449" xr:uid="{00000000-0005-0000-0000-0000F34B0000}"/>
    <cellStyle name="CurrencyRep 2 2 2 5 2 2 6" xfId="19450" xr:uid="{00000000-0005-0000-0000-0000F44B0000}"/>
    <cellStyle name="CurrencyRep 2 2 2 5 2 3" xfId="19451" xr:uid="{00000000-0005-0000-0000-0000F54B0000}"/>
    <cellStyle name="CurrencyRep 2 2 2 5 2 4" xfId="19452" xr:uid="{00000000-0005-0000-0000-0000F64B0000}"/>
    <cellStyle name="CurrencyRep 2 2 2 5 2 5" xfId="19453" xr:uid="{00000000-0005-0000-0000-0000F74B0000}"/>
    <cellStyle name="CurrencyRep 2 2 2 5 2 6" xfId="19454" xr:uid="{00000000-0005-0000-0000-0000F84B0000}"/>
    <cellStyle name="CurrencyRep 2 2 2 5 3" xfId="19455" xr:uid="{00000000-0005-0000-0000-0000F94B0000}"/>
    <cellStyle name="CurrencyRep 2 2 2 5 3 2" xfId="19456" xr:uid="{00000000-0005-0000-0000-0000FA4B0000}"/>
    <cellStyle name="CurrencyRep 2 2 2 5 3 2 2" xfId="19457" xr:uid="{00000000-0005-0000-0000-0000FB4B0000}"/>
    <cellStyle name="CurrencyRep 2 2 2 5 3 2 3" xfId="19458" xr:uid="{00000000-0005-0000-0000-0000FC4B0000}"/>
    <cellStyle name="CurrencyRep 2 2 2 5 3 2 4" xfId="19459" xr:uid="{00000000-0005-0000-0000-0000FD4B0000}"/>
    <cellStyle name="CurrencyRep 2 2 2 5 3 2 5" xfId="19460" xr:uid="{00000000-0005-0000-0000-0000FE4B0000}"/>
    <cellStyle name="CurrencyRep 2 2 2 5 3 2 6" xfId="19461" xr:uid="{00000000-0005-0000-0000-0000FF4B0000}"/>
    <cellStyle name="CurrencyRep 2 2 2 5 3 3" xfId="19462" xr:uid="{00000000-0005-0000-0000-0000004C0000}"/>
    <cellStyle name="CurrencyRep 2 2 2 5 3 4" xfId="19463" xr:uid="{00000000-0005-0000-0000-0000014C0000}"/>
    <cellStyle name="CurrencyRep 2 2 2 5 3 5" xfId="19464" xr:uid="{00000000-0005-0000-0000-0000024C0000}"/>
    <cellStyle name="CurrencyRep 2 2 2 5 3 6" xfId="19465" xr:uid="{00000000-0005-0000-0000-0000034C0000}"/>
    <cellStyle name="CurrencyRep 2 2 2 5 4" xfId="19466" xr:uid="{00000000-0005-0000-0000-0000044C0000}"/>
    <cellStyle name="CurrencyRep 2 2 2 5 4 2" xfId="19467" xr:uid="{00000000-0005-0000-0000-0000054C0000}"/>
    <cellStyle name="CurrencyRep 2 2 2 5 4 3" xfId="19468" xr:uid="{00000000-0005-0000-0000-0000064C0000}"/>
    <cellStyle name="CurrencyRep 2 2 2 5 4 4" xfId="19469" xr:uid="{00000000-0005-0000-0000-0000074C0000}"/>
    <cellStyle name="CurrencyRep 2 2 2 5 4 5" xfId="19470" xr:uid="{00000000-0005-0000-0000-0000084C0000}"/>
    <cellStyle name="CurrencyRep 2 2 2 5 4 6" xfId="19471" xr:uid="{00000000-0005-0000-0000-0000094C0000}"/>
    <cellStyle name="CurrencyRep 2 2 2 5 5" xfId="19472" xr:uid="{00000000-0005-0000-0000-00000A4C0000}"/>
    <cellStyle name="CurrencyRep 2 2 2 5 6" xfId="19473" xr:uid="{00000000-0005-0000-0000-00000B4C0000}"/>
    <cellStyle name="CurrencyRep 2 2 2 5 7" xfId="19474" xr:uid="{00000000-0005-0000-0000-00000C4C0000}"/>
    <cellStyle name="CurrencyRep 2 2 2 5 8" xfId="19475" xr:uid="{00000000-0005-0000-0000-00000D4C0000}"/>
    <cellStyle name="CurrencyRep 2 2 2 6" xfId="19476" xr:uid="{00000000-0005-0000-0000-00000E4C0000}"/>
    <cellStyle name="CurrencyRep 2 2 2 6 2" xfId="19477" xr:uid="{00000000-0005-0000-0000-00000F4C0000}"/>
    <cellStyle name="CurrencyRep 2 2 2 6 2 2" xfId="19478" xr:uid="{00000000-0005-0000-0000-0000104C0000}"/>
    <cellStyle name="CurrencyRep 2 2 2 6 2 2 2" xfId="19479" xr:uid="{00000000-0005-0000-0000-0000114C0000}"/>
    <cellStyle name="CurrencyRep 2 2 2 6 2 2 3" xfId="19480" xr:uid="{00000000-0005-0000-0000-0000124C0000}"/>
    <cellStyle name="CurrencyRep 2 2 2 6 2 2 4" xfId="19481" xr:uid="{00000000-0005-0000-0000-0000134C0000}"/>
    <cellStyle name="CurrencyRep 2 2 2 6 2 2 5" xfId="19482" xr:uid="{00000000-0005-0000-0000-0000144C0000}"/>
    <cellStyle name="CurrencyRep 2 2 2 6 2 2 6" xfId="19483" xr:uid="{00000000-0005-0000-0000-0000154C0000}"/>
    <cellStyle name="CurrencyRep 2 2 2 6 2 3" xfId="19484" xr:uid="{00000000-0005-0000-0000-0000164C0000}"/>
    <cellStyle name="CurrencyRep 2 2 2 6 2 4" xfId="19485" xr:uid="{00000000-0005-0000-0000-0000174C0000}"/>
    <cellStyle name="CurrencyRep 2 2 2 6 2 5" xfId="19486" xr:uid="{00000000-0005-0000-0000-0000184C0000}"/>
    <cellStyle name="CurrencyRep 2 2 2 6 2 6" xfId="19487" xr:uid="{00000000-0005-0000-0000-0000194C0000}"/>
    <cellStyle name="CurrencyRep 2 2 2 6 3" xfId="19488" xr:uid="{00000000-0005-0000-0000-00001A4C0000}"/>
    <cellStyle name="CurrencyRep 2 2 2 6 3 2" xfId="19489" xr:uid="{00000000-0005-0000-0000-00001B4C0000}"/>
    <cellStyle name="CurrencyRep 2 2 2 6 3 2 2" xfId="19490" xr:uid="{00000000-0005-0000-0000-00001C4C0000}"/>
    <cellStyle name="CurrencyRep 2 2 2 6 3 2 3" xfId="19491" xr:uid="{00000000-0005-0000-0000-00001D4C0000}"/>
    <cellStyle name="CurrencyRep 2 2 2 6 3 2 4" xfId="19492" xr:uid="{00000000-0005-0000-0000-00001E4C0000}"/>
    <cellStyle name="CurrencyRep 2 2 2 6 3 2 5" xfId="19493" xr:uid="{00000000-0005-0000-0000-00001F4C0000}"/>
    <cellStyle name="CurrencyRep 2 2 2 6 3 2 6" xfId="19494" xr:uid="{00000000-0005-0000-0000-0000204C0000}"/>
    <cellStyle name="CurrencyRep 2 2 2 6 3 3" xfId="19495" xr:uid="{00000000-0005-0000-0000-0000214C0000}"/>
    <cellStyle name="CurrencyRep 2 2 2 6 3 4" xfId="19496" xr:uid="{00000000-0005-0000-0000-0000224C0000}"/>
    <cellStyle name="CurrencyRep 2 2 2 6 3 5" xfId="19497" xr:uid="{00000000-0005-0000-0000-0000234C0000}"/>
    <cellStyle name="CurrencyRep 2 2 2 6 3 6" xfId="19498" xr:uid="{00000000-0005-0000-0000-0000244C0000}"/>
    <cellStyle name="CurrencyRep 2 2 2 6 4" xfId="19499" xr:uid="{00000000-0005-0000-0000-0000254C0000}"/>
    <cellStyle name="CurrencyRep 2 2 2 6 4 2" xfId="19500" xr:uid="{00000000-0005-0000-0000-0000264C0000}"/>
    <cellStyle name="CurrencyRep 2 2 2 6 4 3" xfId="19501" xr:uid="{00000000-0005-0000-0000-0000274C0000}"/>
    <cellStyle name="CurrencyRep 2 2 2 6 4 4" xfId="19502" xr:uid="{00000000-0005-0000-0000-0000284C0000}"/>
    <cellStyle name="CurrencyRep 2 2 2 6 4 5" xfId="19503" xr:uid="{00000000-0005-0000-0000-0000294C0000}"/>
    <cellStyle name="CurrencyRep 2 2 2 6 4 6" xfId="19504" xr:uid="{00000000-0005-0000-0000-00002A4C0000}"/>
    <cellStyle name="CurrencyRep 2 2 2 6 5" xfId="19505" xr:uid="{00000000-0005-0000-0000-00002B4C0000}"/>
    <cellStyle name="CurrencyRep 2 2 2 6 6" xfId="19506" xr:uid="{00000000-0005-0000-0000-00002C4C0000}"/>
    <cellStyle name="CurrencyRep 2 2 2 6 7" xfId="19507" xr:uid="{00000000-0005-0000-0000-00002D4C0000}"/>
    <cellStyle name="CurrencyRep 2 2 2 6 8" xfId="19508" xr:uid="{00000000-0005-0000-0000-00002E4C0000}"/>
    <cellStyle name="CurrencyRep 2 2 2 7" xfId="19509" xr:uid="{00000000-0005-0000-0000-00002F4C0000}"/>
    <cellStyle name="CurrencyRep 2 2 2 7 2" xfId="19510" xr:uid="{00000000-0005-0000-0000-0000304C0000}"/>
    <cellStyle name="CurrencyRep 2 2 2 7 2 2" xfId="19511" xr:uid="{00000000-0005-0000-0000-0000314C0000}"/>
    <cellStyle name="CurrencyRep 2 2 2 7 2 3" xfId="19512" xr:uid="{00000000-0005-0000-0000-0000324C0000}"/>
    <cellStyle name="CurrencyRep 2 2 2 7 2 4" xfId="19513" xr:uid="{00000000-0005-0000-0000-0000334C0000}"/>
    <cellStyle name="CurrencyRep 2 2 2 7 2 5" xfId="19514" xr:uid="{00000000-0005-0000-0000-0000344C0000}"/>
    <cellStyle name="CurrencyRep 2 2 2 7 2 6" xfId="19515" xr:uid="{00000000-0005-0000-0000-0000354C0000}"/>
    <cellStyle name="CurrencyRep 2 2 2 7 3" xfId="19516" xr:uid="{00000000-0005-0000-0000-0000364C0000}"/>
    <cellStyle name="CurrencyRep 2 2 2 7 4" xfId="19517" xr:uid="{00000000-0005-0000-0000-0000374C0000}"/>
    <cellStyle name="CurrencyRep 2 2 2 7 5" xfId="19518" xr:uid="{00000000-0005-0000-0000-0000384C0000}"/>
    <cellStyle name="CurrencyRep 2 2 2 7 6" xfId="19519" xr:uid="{00000000-0005-0000-0000-0000394C0000}"/>
    <cellStyle name="CurrencyRep 2 2 2 8" xfId="19520" xr:uid="{00000000-0005-0000-0000-00003A4C0000}"/>
    <cellStyle name="CurrencyRep 2 2 2 8 2" xfId="19521" xr:uid="{00000000-0005-0000-0000-00003B4C0000}"/>
    <cellStyle name="CurrencyRep 2 2 2 8 2 2" xfId="19522" xr:uid="{00000000-0005-0000-0000-00003C4C0000}"/>
    <cellStyle name="CurrencyRep 2 2 2 8 2 3" xfId="19523" xr:uid="{00000000-0005-0000-0000-00003D4C0000}"/>
    <cellStyle name="CurrencyRep 2 2 2 8 2 4" xfId="19524" xr:uid="{00000000-0005-0000-0000-00003E4C0000}"/>
    <cellStyle name="CurrencyRep 2 2 2 8 2 5" xfId="19525" xr:uid="{00000000-0005-0000-0000-00003F4C0000}"/>
    <cellStyle name="CurrencyRep 2 2 2 8 2 6" xfId="19526" xr:uid="{00000000-0005-0000-0000-0000404C0000}"/>
    <cellStyle name="CurrencyRep 2 2 2 8 3" xfId="19527" xr:uid="{00000000-0005-0000-0000-0000414C0000}"/>
    <cellStyle name="CurrencyRep 2 2 2 8 4" xfId="19528" xr:uid="{00000000-0005-0000-0000-0000424C0000}"/>
    <cellStyle name="CurrencyRep 2 2 2 8 5" xfId="19529" xr:uid="{00000000-0005-0000-0000-0000434C0000}"/>
    <cellStyle name="CurrencyRep 2 2 2 8 6" xfId="19530" xr:uid="{00000000-0005-0000-0000-0000444C0000}"/>
    <cellStyle name="CurrencyRep 2 2 2 9" xfId="19531" xr:uid="{00000000-0005-0000-0000-0000454C0000}"/>
    <cellStyle name="CurrencyRep 2 2 2 9 2" xfId="19532" xr:uid="{00000000-0005-0000-0000-0000464C0000}"/>
    <cellStyle name="CurrencyRep 2 2 2 9 3" xfId="19533" xr:uid="{00000000-0005-0000-0000-0000474C0000}"/>
    <cellStyle name="CurrencyRep 2 2 2 9 4" xfId="19534" xr:uid="{00000000-0005-0000-0000-0000484C0000}"/>
    <cellStyle name="CurrencyRep 2 2 2 9 5" xfId="19535" xr:uid="{00000000-0005-0000-0000-0000494C0000}"/>
    <cellStyle name="CurrencyRep 2 2 2 9 6" xfId="19536" xr:uid="{00000000-0005-0000-0000-00004A4C0000}"/>
    <cellStyle name="CurrencyRep 2 2 3" xfId="19537" xr:uid="{00000000-0005-0000-0000-00004B4C0000}"/>
    <cellStyle name="CurrencyRep 2 2 3 2" xfId="19538" xr:uid="{00000000-0005-0000-0000-00004C4C0000}"/>
    <cellStyle name="CurrencyRep 2 2 3 2 2" xfId="19539" xr:uid="{00000000-0005-0000-0000-00004D4C0000}"/>
    <cellStyle name="CurrencyRep 2 2 3 2 2 2" xfId="19540" xr:uid="{00000000-0005-0000-0000-00004E4C0000}"/>
    <cellStyle name="CurrencyRep 2 2 3 2 2 3" xfId="19541" xr:uid="{00000000-0005-0000-0000-00004F4C0000}"/>
    <cellStyle name="CurrencyRep 2 2 3 2 2 4" xfId="19542" xr:uid="{00000000-0005-0000-0000-0000504C0000}"/>
    <cellStyle name="CurrencyRep 2 2 3 2 2 5" xfId="19543" xr:uid="{00000000-0005-0000-0000-0000514C0000}"/>
    <cellStyle name="CurrencyRep 2 2 3 2 2 6" xfId="19544" xr:uid="{00000000-0005-0000-0000-0000524C0000}"/>
    <cellStyle name="CurrencyRep 2 2 3 2 3" xfId="19545" xr:uid="{00000000-0005-0000-0000-0000534C0000}"/>
    <cellStyle name="CurrencyRep 2 2 3 2 4" xfId="19546" xr:uid="{00000000-0005-0000-0000-0000544C0000}"/>
    <cellStyle name="CurrencyRep 2 2 3 2 5" xfId="19547" xr:uid="{00000000-0005-0000-0000-0000554C0000}"/>
    <cellStyle name="CurrencyRep 2 2 3 2 6" xfId="19548" xr:uid="{00000000-0005-0000-0000-0000564C0000}"/>
    <cellStyle name="CurrencyRep 2 2 3 3" xfId="19549" xr:uid="{00000000-0005-0000-0000-0000574C0000}"/>
    <cellStyle name="CurrencyRep 2 2 3 3 2" xfId="19550" xr:uid="{00000000-0005-0000-0000-0000584C0000}"/>
    <cellStyle name="CurrencyRep 2 2 3 3 2 2" xfId="19551" xr:uid="{00000000-0005-0000-0000-0000594C0000}"/>
    <cellStyle name="CurrencyRep 2 2 3 3 2 3" xfId="19552" xr:uid="{00000000-0005-0000-0000-00005A4C0000}"/>
    <cellStyle name="CurrencyRep 2 2 3 3 2 4" xfId="19553" xr:uid="{00000000-0005-0000-0000-00005B4C0000}"/>
    <cellStyle name="CurrencyRep 2 2 3 3 2 5" xfId="19554" xr:uid="{00000000-0005-0000-0000-00005C4C0000}"/>
    <cellStyle name="CurrencyRep 2 2 3 3 2 6" xfId="19555" xr:uid="{00000000-0005-0000-0000-00005D4C0000}"/>
    <cellStyle name="CurrencyRep 2 2 3 3 3" xfId="19556" xr:uid="{00000000-0005-0000-0000-00005E4C0000}"/>
    <cellStyle name="CurrencyRep 2 2 3 3 4" xfId="19557" xr:uid="{00000000-0005-0000-0000-00005F4C0000}"/>
    <cellStyle name="CurrencyRep 2 2 3 3 5" xfId="19558" xr:uid="{00000000-0005-0000-0000-0000604C0000}"/>
    <cellStyle name="CurrencyRep 2 2 3 3 6" xfId="19559" xr:uid="{00000000-0005-0000-0000-0000614C0000}"/>
    <cellStyle name="CurrencyRep 2 2 3 4" xfId="19560" xr:uid="{00000000-0005-0000-0000-0000624C0000}"/>
    <cellStyle name="CurrencyRep 2 2 3 4 2" xfId="19561" xr:uid="{00000000-0005-0000-0000-0000634C0000}"/>
    <cellStyle name="CurrencyRep 2 2 3 4 3" xfId="19562" xr:uid="{00000000-0005-0000-0000-0000644C0000}"/>
    <cellStyle name="CurrencyRep 2 2 3 4 4" xfId="19563" xr:uid="{00000000-0005-0000-0000-0000654C0000}"/>
    <cellStyle name="CurrencyRep 2 2 3 4 5" xfId="19564" xr:uid="{00000000-0005-0000-0000-0000664C0000}"/>
    <cellStyle name="CurrencyRep 2 2 3 4 6" xfId="19565" xr:uid="{00000000-0005-0000-0000-0000674C0000}"/>
    <cellStyle name="CurrencyRep 2 2 3 5" xfId="19566" xr:uid="{00000000-0005-0000-0000-0000684C0000}"/>
    <cellStyle name="CurrencyRep 2 2 3 6" xfId="19567" xr:uid="{00000000-0005-0000-0000-0000694C0000}"/>
    <cellStyle name="CurrencyRep 2 2 3 7" xfId="19568" xr:uid="{00000000-0005-0000-0000-00006A4C0000}"/>
    <cellStyle name="CurrencyRep 2 2 3 8" xfId="19569" xr:uid="{00000000-0005-0000-0000-00006B4C0000}"/>
    <cellStyle name="CurrencyRep 2 2 4" xfId="19570" xr:uid="{00000000-0005-0000-0000-00006C4C0000}"/>
    <cellStyle name="CurrencyRep 2 2 4 2" xfId="19571" xr:uid="{00000000-0005-0000-0000-00006D4C0000}"/>
    <cellStyle name="CurrencyRep 2 2 4 2 2" xfId="19572" xr:uid="{00000000-0005-0000-0000-00006E4C0000}"/>
    <cellStyle name="CurrencyRep 2 2 4 2 2 2" xfId="19573" xr:uid="{00000000-0005-0000-0000-00006F4C0000}"/>
    <cellStyle name="CurrencyRep 2 2 4 2 2 3" xfId="19574" xr:uid="{00000000-0005-0000-0000-0000704C0000}"/>
    <cellStyle name="CurrencyRep 2 2 4 2 2 4" xfId="19575" xr:uid="{00000000-0005-0000-0000-0000714C0000}"/>
    <cellStyle name="CurrencyRep 2 2 4 2 2 5" xfId="19576" xr:uid="{00000000-0005-0000-0000-0000724C0000}"/>
    <cellStyle name="CurrencyRep 2 2 4 2 2 6" xfId="19577" xr:uid="{00000000-0005-0000-0000-0000734C0000}"/>
    <cellStyle name="CurrencyRep 2 2 4 2 3" xfId="19578" xr:uid="{00000000-0005-0000-0000-0000744C0000}"/>
    <cellStyle name="CurrencyRep 2 2 4 2 4" xfId="19579" xr:uid="{00000000-0005-0000-0000-0000754C0000}"/>
    <cellStyle name="CurrencyRep 2 2 4 2 5" xfId="19580" xr:uid="{00000000-0005-0000-0000-0000764C0000}"/>
    <cellStyle name="CurrencyRep 2 2 4 2 6" xfId="19581" xr:uid="{00000000-0005-0000-0000-0000774C0000}"/>
    <cellStyle name="CurrencyRep 2 2 4 3" xfId="19582" xr:uid="{00000000-0005-0000-0000-0000784C0000}"/>
    <cellStyle name="CurrencyRep 2 2 4 3 2" xfId="19583" xr:uid="{00000000-0005-0000-0000-0000794C0000}"/>
    <cellStyle name="CurrencyRep 2 2 4 3 2 2" xfId="19584" xr:uid="{00000000-0005-0000-0000-00007A4C0000}"/>
    <cellStyle name="CurrencyRep 2 2 4 3 2 3" xfId="19585" xr:uid="{00000000-0005-0000-0000-00007B4C0000}"/>
    <cellStyle name="CurrencyRep 2 2 4 3 2 4" xfId="19586" xr:uid="{00000000-0005-0000-0000-00007C4C0000}"/>
    <cellStyle name="CurrencyRep 2 2 4 3 2 5" xfId="19587" xr:uid="{00000000-0005-0000-0000-00007D4C0000}"/>
    <cellStyle name="CurrencyRep 2 2 4 3 2 6" xfId="19588" xr:uid="{00000000-0005-0000-0000-00007E4C0000}"/>
    <cellStyle name="CurrencyRep 2 2 4 3 3" xfId="19589" xr:uid="{00000000-0005-0000-0000-00007F4C0000}"/>
    <cellStyle name="CurrencyRep 2 2 4 3 4" xfId="19590" xr:uid="{00000000-0005-0000-0000-0000804C0000}"/>
    <cellStyle name="CurrencyRep 2 2 4 3 5" xfId="19591" xr:uid="{00000000-0005-0000-0000-0000814C0000}"/>
    <cellStyle name="CurrencyRep 2 2 4 3 6" xfId="19592" xr:uid="{00000000-0005-0000-0000-0000824C0000}"/>
    <cellStyle name="CurrencyRep 2 2 4 4" xfId="19593" xr:uid="{00000000-0005-0000-0000-0000834C0000}"/>
    <cellStyle name="CurrencyRep 2 2 4 4 2" xfId="19594" xr:uid="{00000000-0005-0000-0000-0000844C0000}"/>
    <cellStyle name="CurrencyRep 2 2 4 4 3" xfId="19595" xr:uid="{00000000-0005-0000-0000-0000854C0000}"/>
    <cellStyle name="CurrencyRep 2 2 4 4 4" xfId="19596" xr:uid="{00000000-0005-0000-0000-0000864C0000}"/>
    <cellStyle name="CurrencyRep 2 2 4 4 5" xfId="19597" xr:uid="{00000000-0005-0000-0000-0000874C0000}"/>
    <cellStyle name="CurrencyRep 2 2 4 4 6" xfId="19598" xr:uid="{00000000-0005-0000-0000-0000884C0000}"/>
    <cellStyle name="CurrencyRep 2 2 4 5" xfId="19599" xr:uid="{00000000-0005-0000-0000-0000894C0000}"/>
    <cellStyle name="CurrencyRep 2 2 4 6" xfId="19600" xr:uid="{00000000-0005-0000-0000-00008A4C0000}"/>
    <cellStyle name="CurrencyRep 2 2 4 7" xfId="19601" xr:uid="{00000000-0005-0000-0000-00008B4C0000}"/>
    <cellStyle name="CurrencyRep 2 2 4 8" xfId="19602" xr:uid="{00000000-0005-0000-0000-00008C4C0000}"/>
    <cellStyle name="CurrencyRep 2 2 5" xfId="19603" xr:uid="{00000000-0005-0000-0000-00008D4C0000}"/>
    <cellStyle name="CurrencyRep 2 2 5 2" xfId="19604" xr:uid="{00000000-0005-0000-0000-00008E4C0000}"/>
    <cellStyle name="CurrencyRep 2 2 5 2 2" xfId="19605" xr:uid="{00000000-0005-0000-0000-00008F4C0000}"/>
    <cellStyle name="CurrencyRep 2 2 5 2 2 2" xfId="19606" xr:uid="{00000000-0005-0000-0000-0000904C0000}"/>
    <cellStyle name="CurrencyRep 2 2 5 2 2 3" xfId="19607" xr:uid="{00000000-0005-0000-0000-0000914C0000}"/>
    <cellStyle name="CurrencyRep 2 2 5 2 2 4" xfId="19608" xr:uid="{00000000-0005-0000-0000-0000924C0000}"/>
    <cellStyle name="CurrencyRep 2 2 5 2 2 5" xfId="19609" xr:uid="{00000000-0005-0000-0000-0000934C0000}"/>
    <cellStyle name="CurrencyRep 2 2 5 2 2 6" xfId="19610" xr:uid="{00000000-0005-0000-0000-0000944C0000}"/>
    <cellStyle name="CurrencyRep 2 2 5 2 3" xfId="19611" xr:uid="{00000000-0005-0000-0000-0000954C0000}"/>
    <cellStyle name="CurrencyRep 2 2 5 2 4" xfId="19612" xr:uid="{00000000-0005-0000-0000-0000964C0000}"/>
    <cellStyle name="CurrencyRep 2 2 5 2 5" xfId="19613" xr:uid="{00000000-0005-0000-0000-0000974C0000}"/>
    <cellStyle name="CurrencyRep 2 2 5 2 6" xfId="19614" xr:uid="{00000000-0005-0000-0000-0000984C0000}"/>
    <cellStyle name="CurrencyRep 2 2 5 3" xfId="19615" xr:uid="{00000000-0005-0000-0000-0000994C0000}"/>
    <cellStyle name="CurrencyRep 2 2 5 3 2" xfId="19616" xr:uid="{00000000-0005-0000-0000-00009A4C0000}"/>
    <cellStyle name="CurrencyRep 2 2 5 3 2 2" xfId="19617" xr:uid="{00000000-0005-0000-0000-00009B4C0000}"/>
    <cellStyle name="CurrencyRep 2 2 5 3 2 3" xfId="19618" xr:uid="{00000000-0005-0000-0000-00009C4C0000}"/>
    <cellStyle name="CurrencyRep 2 2 5 3 2 4" xfId="19619" xr:uid="{00000000-0005-0000-0000-00009D4C0000}"/>
    <cellStyle name="CurrencyRep 2 2 5 3 2 5" xfId="19620" xr:uid="{00000000-0005-0000-0000-00009E4C0000}"/>
    <cellStyle name="CurrencyRep 2 2 5 3 2 6" xfId="19621" xr:uid="{00000000-0005-0000-0000-00009F4C0000}"/>
    <cellStyle name="CurrencyRep 2 2 5 3 3" xfId="19622" xr:uid="{00000000-0005-0000-0000-0000A04C0000}"/>
    <cellStyle name="CurrencyRep 2 2 5 3 4" xfId="19623" xr:uid="{00000000-0005-0000-0000-0000A14C0000}"/>
    <cellStyle name="CurrencyRep 2 2 5 3 5" xfId="19624" xr:uid="{00000000-0005-0000-0000-0000A24C0000}"/>
    <cellStyle name="CurrencyRep 2 2 5 3 6" xfId="19625" xr:uid="{00000000-0005-0000-0000-0000A34C0000}"/>
    <cellStyle name="CurrencyRep 2 2 5 4" xfId="19626" xr:uid="{00000000-0005-0000-0000-0000A44C0000}"/>
    <cellStyle name="CurrencyRep 2 2 5 4 2" xfId="19627" xr:uid="{00000000-0005-0000-0000-0000A54C0000}"/>
    <cellStyle name="CurrencyRep 2 2 5 4 3" xfId="19628" xr:uid="{00000000-0005-0000-0000-0000A64C0000}"/>
    <cellStyle name="CurrencyRep 2 2 5 4 4" xfId="19629" xr:uid="{00000000-0005-0000-0000-0000A74C0000}"/>
    <cellStyle name="CurrencyRep 2 2 5 4 5" xfId="19630" xr:uid="{00000000-0005-0000-0000-0000A84C0000}"/>
    <cellStyle name="CurrencyRep 2 2 5 4 6" xfId="19631" xr:uid="{00000000-0005-0000-0000-0000A94C0000}"/>
    <cellStyle name="CurrencyRep 2 2 5 5" xfId="19632" xr:uid="{00000000-0005-0000-0000-0000AA4C0000}"/>
    <cellStyle name="CurrencyRep 2 2 5 6" xfId="19633" xr:uid="{00000000-0005-0000-0000-0000AB4C0000}"/>
    <cellStyle name="CurrencyRep 2 2 5 7" xfId="19634" xr:uid="{00000000-0005-0000-0000-0000AC4C0000}"/>
    <cellStyle name="CurrencyRep 2 2 5 8" xfId="19635" xr:uid="{00000000-0005-0000-0000-0000AD4C0000}"/>
    <cellStyle name="CurrencyRep 2 2 6" xfId="19636" xr:uid="{00000000-0005-0000-0000-0000AE4C0000}"/>
    <cellStyle name="CurrencyRep 2 2 6 2" xfId="19637" xr:uid="{00000000-0005-0000-0000-0000AF4C0000}"/>
    <cellStyle name="CurrencyRep 2 2 6 2 2" xfId="19638" xr:uid="{00000000-0005-0000-0000-0000B04C0000}"/>
    <cellStyle name="CurrencyRep 2 2 6 2 2 2" xfId="19639" xr:uid="{00000000-0005-0000-0000-0000B14C0000}"/>
    <cellStyle name="CurrencyRep 2 2 6 2 2 3" xfId="19640" xr:uid="{00000000-0005-0000-0000-0000B24C0000}"/>
    <cellStyle name="CurrencyRep 2 2 6 2 2 4" xfId="19641" xr:uid="{00000000-0005-0000-0000-0000B34C0000}"/>
    <cellStyle name="CurrencyRep 2 2 6 2 2 5" xfId="19642" xr:uid="{00000000-0005-0000-0000-0000B44C0000}"/>
    <cellStyle name="CurrencyRep 2 2 6 2 2 6" xfId="19643" xr:uid="{00000000-0005-0000-0000-0000B54C0000}"/>
    <cellStyle name="CurrencyRep 2 2 6 2 3" xfId="19644" xr:uid="{00000000-0005-0000-0000-0000B64C0000}"/>
    <cellStyle name="CurrencyRep 2 2 6 2 4" xfId="19645" xr:uid="{00000000-0005-0000-0000-0000B74C0000}"/>
    <cellStyle name="CurrencyRep 2 2 6 2 5" xfId="19646" xr:uid="{00000000-0005-0000-0000-0000B84C0000}"/>
    <cellStyle name="CurrencyRep 2 2 6 2 6" xfId="19647" xr:uid="{00000000-0005-0000-0000-0000B94C0000}"/>
    <cellStyle name="CurrencyRep 2 2 6 3" xfId="19648" xr:uid="{00000000-0005-0000-0000-0000BA4C0000}"/>
    <cellStyle name="CurrencyRep 2 2 6 3 2" xfId="19649" xr:uid="{00000000-0005-0000-0000-0000BB4C0000}"/>
    <cellStyle name="CurrencyRep 2 2 6 3 2 2" xfId="19650" xr:uid="{00000000-0005-0000-0000-0000BC4C0000}"/>
    <cellStyle name="CurrencyRep 2 2 6 3 2 3" xfId="19651" xr:uid="{00000000-0005-0000-0000-0000BD4C0000}"/>
    <cellStyle name="CurrencyRep 2 2 6 3 2 4" xfId="19652" xr:uid="{00000000-0005-0000-0000-0000BE4C0000}"/>
    <cellStyle name="CurrencyRep 2 2 6 3 2 5" xfId="19653" xr:uid="{00000000-0005-0000-0000-0000BF4C0000}"/>
    <cellStyle name="CurrencyRep 2 2 6 3 2 6" xfId="19654" xr:uid="{00000000-0005-0000-0000-0000C04C0000}"/>
    <cellStyle name="CurrencyRep 2 2 6 3 3" xfId="19655" xr:uid="{00000000-0005-0000-0000-0000C14C0000}"/>
    <cellStyle name="CurrencyRep 2 2 6 3 4" xfId="19656" xr:uid="{00000000-0005-0000-0000-0000C24C0000}"/>
    <cellStyle name="CurrencyRep 2 2 6 3 5" xfId="19657" xr:uid="{00000000-0005-0000-0000-0000C34C0000}"/>
    <cellStyle name="CurrencyRep 2 2 6 3 6" xfId="19658" xr:uid="{00000000-0005-0000-0000-0000C44C0000}"/>
    <cellStyle name="CurrencyRep 2 2 6 4" xfId="19659" xr:uid="{00000000-0005-0000-0000-0000C54C0000}"/>
    <cellStyle name="CurrencyRep 2 2 6 4 2" xfId="19660" xr:uid="{00000000-0005-0000-0000-0000C64C0000}"/>
    <cellStyle name="CurrencyRep 2 2 6 4 3" xfId="19661" xr:uid="{00000000-0005-0000-0000-0000C74C0000}"/>
    <cellStyle name="CurrencyRep 2 2 6 4 4" xfId="19662" xr:uid="{00000000-0005-0000-0000-0000C84C0000}"/>
    <cellStyle name="CurrencyRep 2 2 6 4 5" xfId="19663" xr:uid="{00000000-0005-0000-0000-0000C94C0000}"/>
    <cellStyle name="CurrencyRep 2 2 6 4 6" xfId="19664" xr:uid="{00000000-0005-0000-0000-0000CA4C0000}"/>
    <cellStyle name="CurrencyRep 2 2 6 5" xfId="19665" xr:uid="{00000000-0005-0000-0000-0000CB4C0000}"/>
    <cellStyle name="CurrencyRep 2 2 6 6" xfId="19666" xr:uid="{00000000-0005-0000-0000-0000CC4C0000}"/>
    <cellStyle name="CurrencyRep 2 2 6 7" xfId="19667" xr:uid="{00000000-0005-0000-0000-0000CD4C0000}"/>
    <cellStyle name="CurrencyRep 2 2 6 8" xfId="19668" xr:uid="{00000000-0005-0000-0000-0000CE4C0000}"/>
    <cellStyle name="CurrencyRep 2 2 7" xfId="19669" xr:uid="{00000000-0005-0000-0000-0000CF4C0000}"/>
    <cellStyle name="CurrencyRep 2 2 7 2" xfId="19670" xr:uid="{00000000-0005-0000-0000-0000D04C0000}"/>
    <cellStyle name="CurrencyRep 2 2 7 2 2" xfId="19671" xr:uid="{00000000-0005-0000-0000-0000D14C0000}"/>
    <cellStyle name="CurrencyRep 2 2 7 2 2 2" xfId="19672" xr:uid="{00000000-0005-0000-0000-0000D24C0000}"/>
    <cellStyle name="CurrencyRep 2 2 7 2 2 3" xfId="19673" xr:uid="{00000000-0005-0000-0000-0000D34C0000}"/>
    <cellStyle name="CurrencyRep 2 2 7 2 2 4" xfId="19674" xr:uid="{00000000-0005-0000-0000-0000D44C0000}"/>
    <cellStyle name="CurrencyRep 2 2 7 2 2 5" xfId="19675" xr:uid="{00000000-0005-0000-0000-0000D54C0000}"/>
    <cellStyle name="CurrencyRep 2 2 7 2 2 6" xfId="19676" xr:uid="{00000000-0005-0000-0000-0000D64C0000}"/>
    <cellStyle name="CurrencyRep 2 2 7 2 3" xfId="19677" xr:uid="{00000000-0005-0000-0000-0000D74C0000}"/>
    <cellStyle name="CurrencyRep 2 2 7 2 4" xfId="19678" xr:uid="{00000000-0005-0000-0000-0000D84C0000}"/>
    <cellStyle name="CurrencyRep 2 2 7 2 5" xfId="19679" xr:uid="{00000000-0005-0000-0000-0000D94C0000}"/>
    <cellStyle name="CurrencyRep 2 2 7 2 6" xfId="19680" xr:uid="{00000000-0005-0000-0000-0000DA4C0000}"/>
    <cellStyle name="CurrencyRep 2 2 7 3" xfId="19681" xr:uid="{00000000-0005-0000-0000-0000DB4C0000}"/>
    <cellStyle name="CurrencyRep 2 2 7 3 2" xfId="19682" xr:uid="{00000000-0005-0000-0000-0000DC4C0000}"/>
    <cellStyle name="CurrencyRep 2 2 7 3 2 2" xfId="19683" xr:uid="{00000000-0005-0000-0000-0000DD4C0000}"/>
    <cellStyle name="CurrencyRep 2 2 7 3 2 3" xfId="19684" xr:uid="{00000000-0005-0000-0000-0000DE4C0000}"/>
    <cellStyle name="CurrencyRep 2 2 7 3 2 4" xfId="19685" xr:uid="{00000000-0005-0000-0000-0000DF4C0000}"/>
    <cellStyle name="CurrencyRep 2 2 7 3 2 5" xfId="19686" xr:uid="{00000000-0005-0000-0000-0000E04C0000}"/>
    <cellStyle name="CurrencyRep 2 2 7 3 2 6" xfId="19687" xr:uid="{00000000-0005-0000-0000-0000E14C0000}"/>
    <cellStyle name="CurrencyRep 2 2 7 3 3" xfId="19688" xr:uid="{00000000-0005-0000-0000-0000E24C0000}"/>
    <cellStyle name="CurrencyRep 2 2 7 3 4" xfId="19689" xr:uid="{00000000-0005-0000-0000-0000E34C0000}"/>
    <cellStyle name="CurrencyRep 2 2 7 3 5" xfId="19690" xr:uid="{00000000-0005-0000-0000-0000E44C0000}"/>
    <cellStyle name="CurrencyRep 2 2 7 3 6" xfId="19691" xr:uid="{00000000-0005-0000-0000-0000E54C0000}"/>
    <cellStyle name="CurrencyRep 2 2 7 4" xfId="19692" xr:uid="{00000000-0005-0000-0000-0000E64C0000}"/>
    <cellStyle name="CurrencyRep 2 2 7 4 2" xfId="19693" xr:uid="{00000000-0005-0000-0000-0000E74C0000}"/>
    <cellStyle name="CurrencyRep 2 2 7 4 3" xfId="19694" xr:uid="{00000000-0005-0000-0000-0000E84C0000}"/>
    <cellStyle name="CurrencyRep 2 2 7 4 4" xfId="19695" xr:uid="{00000000-0005-0000-0000-0000E94C0000}"/>
    <cellStyle name="CurrencyRep 2 2 7 4 5" xfId="19696" xr:uid="{00000000-0005-0000-0000-0000EA4C0000}"/>
    <cellStyle name="CurrencyRep 2 2 7 4 6" xfId="19697" xr:uid="{00000000-0005-0000-0000-0000EB4C0000}"/>
    <cellStyle name="CurrencyRep 2 2 7 5" xfId="19698" xr:uid="{00000000-0005-0000-0000-0000EC4C0000}"/>
    <cellStyle name="CurrencyRep 2 2 7 6" xfId="19699" xr:uid="{00000000-0005-0000-0000-0000ED4C0000}"/>
    <cellStyle name="CurrencyRep 2 2 7 7" xfId="19700" xr:uid="{00000000-0005-0000-0000-0000EE4C0000}"/>
    <cellStyle name="CurrencyRep 2 2 7 8" xfId="19701" xr:uid="{00000000-0005-0000-0000-0000EF4C0000}"/>
    <cellStyle name="CurrencyRep 2 2 8" xfId="19702" xr:uid="{00000000-0005-0000-0000-0000F04C0000}"/>
    <cellStyle name="CurrencyRep 2 2 8 2" xfId="19703" xr:uid="{00000000-0005-0000-0000-0000F14C0000}"/>
    <cellStyle name="CurrencyRep 2 2 8 2 2" xfId="19704" xr:uid="{00000000-0005-0000-0000-0000F24C0000}"/>
    <cellStyle name="CurrencyRep 2 2 8 2 3" xfId="19705" xr:uid="{00000000-0005-0000-0000-0000F34C0000}"/>
    <cellStyle name="CurrencyRep 2 2 8 2 4" xfId="19706" xr:uid="{00000000-0005-0000-0000-0000F44C0000}"/>
    <cellStyle name="CurrencyRep 2 2 8 2 5" xfId="19707" xr:uid="{00000000-0005-0000-0000-0000F54C0000}"/>
    <cellStyle name="CurrencyRep 2 2 8 2 6" xfId="19708" xr:uid="{00000000-0005-0000-0000-0000F64C0000}"/>
    <cellStyle name="CurrencyRep 2 2 8 3" xfId="19709" xr:uid="{00000000-0005-0000-0000-0000F74C0000}"/>
    <cellStyle name="CurrencyRep 2 2 8 4" xfId="19710" xr:uid="{00000000-0005-0000-0000-0000F84C0000}"/>
    <cellStyle name="CurrencyRep 2 2 8 5" xfId="19711" xr:uid="{00000000-0005-0000-0000-0000F94C0000}"/>
    <cellStyle name="CurrencyRep 2 2 8 6" xfId="19712" xr:uid="{00000000-0005-0000-0000-0000FA4C0000}"/>
    <cellStyle name="CurrencyRep 2 2 9" xfId="19713" xr:uid="{00000000-0005-0000-0000-0000FB4C0000}"/>
    <cellStyle name="CurrencyRep 2 2 9 2" xfId="19714" xr:uid="{00000000-0005-0000-0000-0000FC4C0000}"/>
    <cellStyle name="CurrencyRep 2 2 9 2 2" xfId="19715" xr:uid="{00000000-0005-0000-0000-0000FD4C0000}"/>
    <cellStyle name="CurrencyRep 2 2 9 2 3" xfId="19716" xr:uid="{00000000-0005-0000-0000-0000FE4C0000}"/>
    <cellStyle name="CurrencyRep 2 2 9 2 4" xfId="19717" xr:uid="{00000000-0005-0000-0000-0000FF4C0000}"/>
    <cellStyle name="CurrencyRep 2 2 9 2 5" xfId="19718" xr:uid="{00000000-0005-0000-0000-0000004D0000}"/>
    <cellStyle name="CurrencyRep 2 2 9 2 6" xfId="19719" xr:uid="{00000000-0005-0000-0000-0000014D0000}"/>
    <cellStyle name="CurrencyRep 2 2 9 3" xfId="19720" xr:uid="{00000000-0005-0000-0000-0000024D0000}"/>
    <cellStyle name="CurrencyRep 2 2 9 4" xfId="19721" xr:uid="{00000000-0005-0000-0000-0000034D0000}"/>
    <cellStyle name="CurrencyRep 2 2 9 5" xfId="19722" xr:uid="{00000000-0005-0000-0000-0000044D0000}"/>
    <cellStyle name="CurrencyRep 2 2 9 6" xfId="19723" xr:uid="{00000000-0005-0000-0000-0000054D0000}"/>
    <cellStyle name="CurrencyRep 2 3" xfId="19724" xr:uid="{00000000-0005-0000-0000-0000064D0000}"/>
    <cellStyle name="CurrencyRep 2 3 10" xfId="19725" xr:uid="{00000000-0005-0000-0000-0000074D0000}"/>
    <cellStyle name="CurrencyRep 2 3 11" xfId="19726" xr:uid="{00000000-0005-0000-0000-0000084D0000}"/>
    <cellStyle name="CurrencyRep 2 3 12" xfId="19727" xr:uid="{00000000-0005-0000-0000-0000094D0000}"/>
    <cellStyle name="CurrencyRep 2 3 13" xfId="19728" xr:uid="{00000000-0005-0000-0000-00000A4D0000}"/>
    <cellStyle name="CurrencyRep 2 3 2" xfId="19729" xr:uid="{00000000-0005-0000-0000-00000B4D0000}"/>
    <cellStyle name="CurrencyRep 2 3 2 2" xfId="19730" xr:uid="{00000000-0005-0000-0000-00000C4D0000}"/>
    <cellStyle name="CurrencyRep 2 3 2 2 2" xfId="19731" xr:uid="{00000000-0005-0000-0000-00000D4D0000}"/>
    <cellStyle name="CurrencyRep 2 3 2 2 2 2" xfId="19732" xr:uid="{00000000-0005-0000-0000-00000E4D0000}"/>
    <cellStyle name="CurrencyRep 2 3 2 2 2 3" xfId="19733" xr:uid="{00000000-0005-0000-0000-00000F4D0000}"/>
    <cellStyle name="CurrencyRep 2 3 2 2 2 4" xfId="19734" xr:uid="{00000000-0005-0000-0000-0000104D0000}"/>
    <cellStyle name="CurrencyRep 2 3 2 2 2 5" xfId="19735" xr:uid="{00000000-0005-0000-0000-0000114D0000}"/>
    <cellStyle name="CurrencyRep 2 3 2 2 2 6" xfId="19736" xr:uid="{00000000-0005-0000-0000-0000124D0000}"/>
    <cellStyle name="CurrencyRep 2 3 2 2 3" xfId="19737" xr:uid="{00000000-0005-0000-0000-0000134D0000}"/>
    <cellStyle name="CurrencyRep 2 3 2 2 4" xfId="19738" xr:uid="{00000000-0005-0000-0000-0000144D0000}"/>
    <cellStyle name="CurrencyRep 2 3 2 2 5" xfId="19739" xr:uid="{00000000-0005-0000-0000-0000154D0000}"/>
    <cellStyle name="CurrencyRep 2 3 2 2 6" xfId="19740" xr:uid="{00000000-0005-0000-0000-0000164D0000}"/>
    <cellStyle name="CurrencyRep 2 3 2 3" xfId="19741" xr:uid="{00000000-0005-0000-0000-0000174D0000}"/>
    <cellStyle name="CurrencyRep 2 3 2 3 2" xfId="19742" xr:uid="{00000000-0005-0000-0000-0000184D0000}"/>
    <cellStyle name="CurrencyRep 2 3 2 3 2 2" xfId="19743" xr:uid="{00000000-0005-0000-0000-0000194D0000}"/>
    <cellStyle name="CurrencyRep 2 3 2 3 2 3" xfId="19744" xr:uid="{00000000-0005-0000-0000-00001A4D0000}"/>
    <cellStyle name="CurrencyRep 2 3 2 3 2 4" xfId="19745" xr:uid="{00000000-0005-0000-0000-00001B4D0000}"/>
    <cellStyle name="CurrencyRep 2 3 2 3 2 5" xfId="19746" xr:uid="{00000000-0005-0000-0000-00001C4D0000}"/>
    <cellStyle name="CurrencyRep 2 3 2 3 2 6" xfId="19747" xr:uid="{00000000-0005-0000-0000-00001D4D0000}"/>
    <cellStyle name="CurrencyRep 2 3 2 3 3" xfId="19748" xr:uid="{00000000-0005-0000-0000-00001E4D0000}"/>
    <cellStyle name="CurrencyRep 2 3 2 3 4" xfId="19749" xr:uid="{00000000-0005-0000-0000-00001F4D0000}"/>
    <cellStyle name="CurrencyRep 2 3 2 3 5" xfId="19750" xr:uid="{00000000-0005-0000-0000-0000204D0000}"/>
    <cellStyle name="CurrencyRep 2 3 2 3 6" xfId="19751" xr:uid="{00000000-0005-0000-0000-0000214D0000}"/>
    <cellStyle name="CurrencyRep 2 3 2 4" xfId="19752" xr:uid="{00000000-0005-0000-0000-0000224D0000}"/>
    <cellStyle name="CurrencyRep 2 3 2 4 2" xfId="19753" xr:uid="{00000000-0005-0000-0000-0000234D0000}"/>
    <cellStyle name="CurrencyRep 2 3 2 4 3" xfId="19754" xr:uid="{00000000-0005-0000-0000-0000244D0000}"/>
    <cellStyle name="CurrencyRep 2 3 2 4 4" xfId="19755" xr:uid="{00000000-0005-0000-0000-0000254D0000}"/>
    <cellStyle name="CurrencyRep 2 3 2 4 5" xfId="19756" xr:uid="{00000000-0005-0000-0000-0000264D0000}"/>
    <cellStyle name="CurrencyRep 2 3 2 4 6" xfId="19757" xr:uid="{00000000-0005-0000-0000-0000274D0000}"/>
    <cellStyle name="CurrencyRep 2 3 2 5" xfId="19758" xr:uid="{00000000-0005-0000-0000-0000284D0000}"/>
    <cellStyle name="CurrencyRep 2 3 2 6" xfId="19759" xr:uid="{00000000-0005-0000-0000-0000294D0000}"/>
    <cellStyle name="CurrencyRep 2 3 2 7" xfId="19760" xr:uid="{00000000-0005-0000-0000-00002A4D0000}"/>
    <cellStyle name="CurrencyRep 2 3 2 8" xfId="19761" xr:uid="{00000000-0005-0000-0000-00002B4D0000}"/>
    <cellStyle name="CurrencyRep 2 3 3" xfId="19762" xr:uid="{00000000-0005-0000-0000-00002C4D0000}"/>
    <cellStyle name="CurrencyRep 2 3 3 2" xfId="19763" xr:uid="{00000000-0005-0000-0000-00002D4D0000}"/>
    <cellStyle name="CurrencyRep 2 3 3 2 2" xfId="19764" xr:uid="{00000000-0005-0000-0000-00002E4D0000}"/>
    <cellStyle name="CurrencyRep 2 3 3 2 2 2" xfId="19765" xr:uid="{00000000-0005-0000-0000-00002F4D0000}"/>
    <cellStyle name="CurrencyRep 2 3 3 2 2 3" xfId="19766" xr:uid="{00000000-0005-0000-0000-0000304D0000}"/>
    <cellStyle name="CurrencyRep 2 3 3 2 2 4" xfId="19767" xr:uid="{00000000-0005-0000-0000-0000314D0000}"/>
    <cellStyle name="CurrencyRep 2 3 3 2 2 5" xfId="19768" xr:uid="{00000000-0005-0000-0000-0000324D0000}"/>
    <cellStyle name="CurrencyRep 2 3 3 2 2 6" xfId="19769" xr:uid="{00000000-0005-0000-0000-0000334D0000}"/>
    <cellStyle name="CurrencyRep 2 3 3 2 3" xfId="19770" xr:uid="{00000000-0005-0000-0000-0000344D0000}"/>
    <cellStyle name="CurrencyRep 2 3 3 2 4" xfId="19771" xr:uid="{00000000-0005-0000-0000-0000354D0000}"/>
    <cellStyle name="CurrencyRep 2 3 3 2 5" xfId="19772" xr:uid="{00000000-0005-0000-0000-0000364D0000}"/>
    <cellStyle name="CurrencyRep 2 3 3 2 6" xfId="19773" xr:uid="{00000000-0005-0000-0000-0000374D0000}"/>
    <cellStyle name="CurrencyRep 2 3 3 3" xfId="19774" xr:uid="{00000000-0005-0000-0000-0000384D0000}"/>
    <cellStyle name="CurrencyRep 2 3 3 3 2" xfId="19775" xr:uid="{00000000-0005-0000-0000-0000394D0000}"/>
    <cellStyle name="CurrencyRep 2 3 3 3 2 2" xfId="19776" xr:uid="{00000000-0005-0000-0000-00003A4D0000}"/>
    <cellStyle name="CurrencyRep 2 3 3 3 2 3" xfId="19777" xr:uid="{00000000-0005-0000-0000-00003B4D0000}"/>
    <cellStyle name="CurrencyRep 2 3 3 3 2 4" xfId="19778" xr:uid="{00000000-0005-0000-0000-00003C4D0000}"/>
    <cellStyle name="CurrencyRep 2 3 3 3 2 5" xfId="19779" xr:uid="{00000000-0005-0000-0000-00003D4D0000}"/>
    <cellStyle name="CurrencyRep 2 3 3 3 2 6" xfId="19780" xr:uid="{00000000-0005-0000-0000-00003E4D0000}"/>
    <cellStyle name="CurrencyRep 2 3 3 3 3" xfId="19781" xr:uid="{00000000-0005-0000-0000-00003F4D0000}"/>
    <cellStyle name="CurrencyRep 2 3 3 3 4" xfId="19782" xr:uid="{00000000-0005-0000-0000-0000404D0000}"/>
    <cellStyle name="CurrencyRep 2 3 3 3 5" xfId="19783" xr:uid="{00000000-0005-0000-0000-0000414D0000}"/>
    <cellStyle name="CurrencyRep 2 3 3 3 6" xfId="19784" xr:uid="{00000000-0005-0000-0000-0000424D0000}"/>
    <cellStyle name="CurrencyRep 2 3 3 4" xfId="19785" xr:uid="{00000000-0005-0000-0000-0000434D0000}"/>
    <cellStyle name="CurrencyRep 2 3 3 4 2" xfId="19786" xr:uid="{00000000-0005-0000-0000-0000444D0000}"/>
    <cellStyle name="CurrencyRep 2 3 3 4 3" xfId="19787" xr:uid="{00000000-0005-0000-0000-0000454D0000}"/>
    <cellStyle name="CurrencyRep 2 3 3 4 4" xfId="19788" xr:uid="{00000000-0005-0000-0000-0000464D0000}"/>
    <cellStyle name="CurrencyRep 2 3 3 4 5" xfId="19789" xr:uid="{00000000-0005-0000-0000-0000474D0000}"/>
    <cellStyle name="CurrencyRep 2 3 3 4 6" xfId="19790" xr:uid="{00000000-0005-0000-0000-0000484D0000}"/>
    <cellStyle name="CurrencyRep 2 3 3 5" xfId="19791" xr:uid="{00000000-0005-0000-0000-0000494D0000}"/>
    <cellStyle name="CurrencyRep 2 3 3 6" xfId="19792" xr:uid="{00000000-0005-0000-0000-00004A4D0000}"/>
    <cellStyle name="CurrencyRep 2 3 3 7" xfId="19793" xr:uid="{00000000-0005-0000-0000-00004B4D0000}"/>
    <cellStyle name="CurrencyRep 2 3 3 8" xfId="19794" xr:uid="{00000000-0005-0000-0000-00004C4D0000}"/>
    <cellStyle name="CurrencyRep 2 3 4" xfId="19795" xr:uid="{00000000-0005-0000-0000-00004D4D0000}"/>
    <cellStyle name="CurrencyRep 2 3 4 2" xfId="19796" xr:uid="{00000000-0005-0000-0000-00004E4D0000}"/>
    <cellStyle name="CurrencyRep 2 3 4 2 2" xfId="19797" xr:uid="{00000000-0005-0000-0000-00004F4D0000}"/>
    <cellStyle name="CurrencyRep 2 3 4 2 2 2" xfId="19798" xr:uid="{00000000-0005-0000-0000-0000504D0000}"/>
    <cellStyle name="CurrencyRep 2 3 4 2 2 3" xfId="19799" xr:uid="{00000000-0005-0000-0000-0000514D0000}"/>
    <cellStyle name="CurrencyRep 2 3 4 2 2 4" xfId="19800" xr:uid="{00000000-0005-0000-0000-0000524D0000}"/>
    <cellStyle name="CurrencyRep 2 3 4 2 2 5" xfId="19801" xr:uid="{00000000-0005-0000-0000-0000534D0000}"/>
    <cellStyle name="CurrencyRep 2 3 4 2 2 6" xfId="19802" xr:uid="{00000000-0005-0000-0000-0000544D0000}"/>
    <cellStyle name="CurrencyRep 2 3 4 2 3" xfId="19803" xr:uid="{00000000-0005-0000-0000-0000554D0000}"/>
    <cellStyle name="CurrencyRep 2 3 4 2 4" xfId="19804" xr:uid="{00000000-0005-0000-0000-0000564D0000}"/>
    <cellStyle name="CurrencyRep 2 3 4 2 5" xfId="19805" xr:uid="{00000000-0005-0000-0000-0000574D0000}"/>
    <cellStyle name="CurrencyRep 2 3 4 2 6" xfId="19806" xr:uid="{00000000-0005-0000-0000-0000584D0000}"/>
    <cellStyle name="CurrencyRep 2 3 4 3" xfId="19807" xr:uid="{00000000-0005-0000-0000-0000594D0000}"/>
    <cellStyle name="CurrencyRep 2 3 4 3 2" xfId="19808" xr:uid="{00000000-0005-0000-0000-00005A4D0000}"/>
    <cellStyle name="CurrencyRep 2 3 4 3 2 2" xfId="19809" xr:uid="{00000000-0005-0000-0000-00005B4D0000}"/>
    <cellStyle name="CurrencyRep 2 3 4 3 2 3" xfId="19810" xr:uid="{00000000-0005-0000-0000-00005C4D0000}"/>
    <cellStyle name="CurrencyRep 2 3 4 3 2 4" xfId="19811" xr:uid="{00000000-0005-0000-0000-00005D4D0000}"/>
    <cellStyle name="CurrencyRep 2 3 4 3 2 5" xfId="19812" xr:uid="{00000000-0005-0000-0000-00005E4D0000}"/>
    <cellStyle name="CurrencyRep 2 3 4 3 2 6" xfId="19813" xr:uid="{00000000-0005-0000-0000-00005F4D0000}"/>
    <cellStyle name="CurrencyRep 2 3 4 3 3" xfId="19814" xr:uid="{00000000-0005-0000-0000-0000604D0000}"/>
    <cellStyle name="CurrencyRep 2 3 4 3 4" xfId="19815" xr:uid="{00000000-0005-0000-0000-0000614D0000}"/>
    <cellStyle name="CurrencyRep 2 3 4 3 5" xfId="19816" xr:uid="{00000000-0005-0000-0000-0000624D0000}"/>
    <cellStyle name="CurrencyRep 2 3 4 3 6" xfId="19817" xr:uid="{00000000-0005-0000-0000-0000634D0000}"/>
    <cellStyle name="CurrencyRep 2 3 4 4" xfId="19818" xr:uid="{00000000-0005-0000-0000-0000644D0000}"/>
    <cellStyle name="CurrencyRep 2 3 4 4 2" xfId="19819" xr:uid="{00000000-0005-0000-0000-0000654D0000}"/>
    <cellStyle name="CurrencyRep 2 3 4 4 3" xfId="19820" xr:uid="{00000000-0005-0000-0000-0000664D0000}"/>
    <cellStyle name="CurrencyRep 2 3 4 4 4" xfId="19821" xr:uid="{00000000-0005-0000-0000-0000674D0000}"/>
    <cellStyle name="CurrencyRep 2 3 4 4 5" xfId="19822" xr:uid="{00000000-0005-0000-0000-0000684D0000}"/>
    <cellStyle name="CurrencyRep 2 3 4 4 6" xfId="19823" xr:uid="{00000000-0005-0000-0000-0000694D0000}"/>
    <cellStyle name="CurrencyRep 2 3 4 5" xfId="19824" xr:uid="{00000000-0005-0000-0000-00006A4D0000}"/>
    <cellStyle name="CurrencyRep 2 3 4 6" xfId="19825" xr:uid="{00000000-0005-0000-0000-00006B4D0000}"/>
    <cellStyle name="CurrencyRep 2 3 4 7" xfId="19826" xr:uid="{00000000-0005-0000-0000-00006C4D0000}"/>
    <cellStyle name="CurrencyRep 2 3 4 8" xfId="19827" xr:uid="{00000000-0005-0000-0000-00006D4D0000}"/>
    <cellStyle name="CurrencyRep 2 3 5" xfId="19828" xr:uid="{00000000-0005-0000-0000-00006E4D0000}"/>
    <cellStyle name="CurrencyRep 2 3 5 2" xfId="19829" xr:uid="{00000000-0005-0000-0000-00006F4D0000}"/>
    <cellStyle name="CurrencyRep 2 3 5 2 2" xfId="19830" xr:uid="{00000000-0005-0000-0000-0000704D0000}"/>
    <cellStyle name="CurrencyRep 2 3 5 2 2 2" xfId="19831" xr:uid="{00000000-0005-0000-0000-0000714D0000}"/>
    <cellStyle name="CurrencyRep 2 3 5 2 2 3" xfId="19832" xr:uid="{00000000-0005-0000-0000-0000724D0000}"/>
    <cellStyle name="CurrencyRep 2 3 5 2 2 4" xfId="19833" xr:uid="{00000000-0005-0000-0000-0000734D0000}"/>
    <cellStyle name="CurrencyRep 2 3 5 2 2 5" xfId="19834" xr:uid="{00000000-0005-0000-0000-0000744D0000}"/>
    <cellStyle name="CurrencyRep 2 3 5 2 2 6" xfId="19835" xr:uid="{00000000-0005-0000-0000-0000754D0000}"/>
    <cellStyle name="CurrencyRep 2 3 5 2 3" xfId="19836" xr:uid="{00000000-0005-0000-0000-0000764D0000}"/>
    <cellStyle name="CurrencyRep 2 3 5 2 4" xfId="19837" xr:uid="{00000000-0005-0000-0000-0000774D0000}"/>
    <cellStyle name="CurrencyRep 2 3 5 2 5" xfId="19838" xr:uid="{00000000-0005-0000-0000-0000784D0000}"/>
    <cellStyle name="CurrencyRep 2 3 5 2 6" xfId="19839" xr:uid="{00000000-0005-0000-0000-0000794D0000}"/>
    <cellStyle name="CurrencyRep 2 3 5 3" xfId="19840" xr:uid="{00000000-0005-0000-0000-00007A4D0000}"/>
    <cellStyle name="CurrencyRep 2 3 5 3 2" xfId="19841" xr:uid="{00000000-0005-0000-0000-00007B4D0000}"/>
    <cellStyle name="CurrencyRep 2 3 5 3 2 2" xfId="19842" xr:uid="{00000000-0005-0000-0000-00007C4D0000}"/>
    <cellStyle name="CurrencyRep 2 3 5 3 2 3" xfId="19843" xr:uid="{00000000-0005-0000-0000-00007D4D0000}"/>
    <cellStyle name="CurrencyRep 2 3 5 3 2 4" xfId="19844" xr:uid="{00000000-0005-0000-0000-00007E4D0000}"/>
    <cellStyle name="CurrencyRep 2 3 5 3 2 5" xfId="19845" xr:uid="{00000000-0005-0000-0000-00007F4D0000}"/>
    <cellStyle name="CurrencyRep 2 3 5 3 2 6" xfId="19846" xr:uid="{00000000-0005-0000-0000-0000804D0000}"/>
    <cellStyle name="CurrencyRep 2 3 5 3 3" xfId="19847" xr:uid="{00000000-0005-0000-0000-0000814D0000}"/>
    <cellStyle name="CurrencyRep 2 3 5 3 4" xfId="19848" xr:uid="{00000000-0005-0000-0000-0000824D0000}"/>
    <cellStyle name="CurrencyRep 2 3 5 3 5" xfId="19849" xr:uid="{00000000-0005-0000-0000-0000834D0000}"/>
    <cellStyle name="CurrencyRep 2 3 5 3 6" xfId="19850" xr:uid="{00000000-0005-0000-0000-0000844D0000}"/>
    <cellStyle name="CurrencyRep 2 3 5 4" xfId="19851" xr:uid="{00000000-0005-0000-0000-0000854D0000}"/>
    <cellStyle name="CurrencyRep 2 3 5 4 2" xfId="19852" xr:uid="{00000000-0005-0000-0000-0000864D0000}"/>
    <cellStyle name="CurrencyRep 2 3 5 4 3" xfId="19853" xr:uid="{00000000-0005-0000-0000-0000874D0000}"/>
    <cellStyle name="CurrencyRep 2 3 5 4 4" xfId="19854" xr:uid="{00000000-0005-0000-0000-0000884D0000}"/>
    <cellStyle name="CurrencyRep 2 3 5 4 5" xfId="19855" xr:uid="{00000000-0005-0000-0000-0000894D0000}"/>
    <cellStyle name="CurrencyRep 2 3 5 4 6" xfId="19856" xr:uid="{00000000-0005-0000-0000-00008A4D0000}"/>
    <cellStyle name="CurrencyRep 2 3 5 5" xfId="19857" xr:uid="{00000000-0005-0000-0000-00008B4D0000}"/>
    <cellStyle name="CurrencyRep 2 3 5 6" xfId="19858" xr:uid="{00000000-0005-0000-0000-00008C4D0000}"/>
    <cellStyle name="CurrencyRep 2 3 5 7" xfId="19859" xr:uid="{00000000-0005-0000-0000-00008D4D0000}"/>
    <cellStyle name="CurrencyRep 2 3 5 8" xfId="19860" xr:uid="{00000000-0005-0000-0000-00008E4D0000}"/>
    <cellStyle name="CurrencyRep 2 3 6" xfId="19861" xr:uid="{00000000-0005-0000-0000-00008F4D0000}"/>
    <cellStyle name="CurrencyRep 2 3 6 2" xfId="19862" xr:uid="{00000000-0005-0000-0000-0000904D0000}"/>
    <cellStyle name="CurrencyRep 2 3 6 2 2" xfId="19863" xr:uid="{00000000-0005-0000-0000-0000914D0000}"/>
    <cellStyle name="CurrencyRep 2 3 6 2 2 2" xfId="19864" xr:uid="{00000000-0005-0000-0000-0000924D0000}"/>
    <cellStyle name="CurrencyRep 2 3 6 2 2 3" xfId="19865" xr:uid="{00000000-0005-0000-0000-0000934D0000}"/>
    <cellStyle name="CurrencyRep 2 3 6 2 2 4" xfId="19866" xr:uid="{00000000-0005-0000-0000-0000944D0000}"/>
    <cellStyle name="CurrencyRep 2 3 6 2 2 5" xfId="19867" xr:uid="{00000000-0005-0000-0000-0000954D0000}"/>
    <cellStyle name="CurrencyRep 2 3 6 2 2 6" xfId="19868" xr:uid="{00000000-0005-0000-0000-0000964D0000}"/>
    <cellStyle name="CurrencyRep 2 3 6 2 3" xfId="19869" xr:uid="{00000000-0005-0000-0000-0000974D0000}"/>
    <cellStyle name="CurrencyRep 2 3 6 2 4" xfId="19870" xr:uid="{00000000-0005-0000-0000-0000984D0000}"/>
    <cellStyle name="CurrencyRep 2 3 6 2 5" xfId="19871" xr:uid="{00000000-0005-0000-0000-0000994D0000}"/>
    <cellStyle name="CurrencyRep 2 3 6 2 6" xfId="19872" xr:uid="{00000000-0005-0000-0000-00009A4D0000}"/>
    <cellStyle name="CurrencyRep 2 3 6 3" xfId="19873" xr:uid="{00000000-0005-0000-0000-00009B4D0000}"/>
    <cellStyle name="CurrencyRep 2 3 6 3 2" xfId="19874" xr:uid="{00000000-0005-0000-0000-00009C4D0000}"/>
    <cellStyle name="CurrencyRep 2 3 6 3 2 2" xfId="19875" xr:uid="{00000000-0005-0000-0000-00009D4D0000}"/>
    <cellStyle name="CurrencyRep 2 3 6 3 2 3" xfId="19876" xr:uid="{00000000-0005-0000-0000-00009E4D0000}"/>
    <cellStyle name="CurrencyRep 2 3 6 3 2 4" xfId="19877" xr:uid="{00000000-0005-0000-0000-00009F4D0000}"/>
    <cellStyle name="CurrencyRep 2 3 6 3 2 5" xfId="19878" xr:uid="{00000000-0005-0000-0000-0000A04D0000}"/>
    <cellStyle name="CurrencyRep 2 3 6 3 2 6" xfId="19879" xr:uid="{00000000-0005-0000-0000-0000A14D0000}"/>
    <cellStyle name="CurrencyRep 2 3 6 3 3" xfId="19880" xr:uid="{00000000-0005-0000-0000-0000A24D0000}"/>
    <cellStyle name="CurrencyRep 2 3 6 3 4" xfId="19881" xr:uid="{00000000-0005-0000-0000-0000A34D0000}"/>
    <cellStyle name="CurrencyRep 2 3 6 3 5" xfId="19882" xr:uid="{00000000-0005-0000-0000-0000A44D0000}"/>
    <cellStyle name="CurrencyRep 2 3 6 3 6" xfId="19883" xr:uid="{00000000-0005-0000-0000-0000A54D0000}"/>
    <cellStyle name="CurrencyRep 2 3 6 4" xfId="19884" xr:uid="{00000000-0005-0000-0000-0000A64D0000}"/>
    <cellStyle name="CurrencyRep 2 3 6 4 2" xfId="19885" xr:uid="{00000000-0005-0000-0000-0000A74D0000}"/>
    <cellStyle name="CurrencyRep 2 3 6 4 3" xfId="19886" xr:uid="{00000000-0005-0000-0000-0000A84D0000}"/>
    <cellStyle name="CurrencyRep 2 3 6 4 4" xfId="19887" xr:uid="{00000000-0005-0000-0000-0000A94D0000}"/>
    <cellStyle name="CurrencyRep 2 3 6 4 5" xfId="19888" xr:uid="{00000000-0005-0000-0000-0000AA4D0000}"/>
    <cellStyle name="CurrencyRep 2 3 6 4 6" xfId="19889" xr:uid="{00000000-0005-0000-0000-0000AB4D0000}"/>
    <cellStyle name="CurrencyRep 2 3 6 5" xfId="19890" xr:uid="{00000000-0005-0000-0000-0000AC4D0000}"/>
    <cellStyle name="CurrencyRep 2 3 6 6" xfId="19891" xr:uid="{00000000-0005-0000-0000-0000AD4D0000}"/>
    <cellStyle name="CurrencyRep 2 3 6 7" xfId="19892" xr:uid="{00000000-0005-0000-0000-0000AE4D0000}"/>
    <cellStyle name="CurrencyRep 2 3 6 8" xfId="19893" xr:uid="{00000000-0005-0000-0000-0000AF4D0000}"/>
    <cellStyle name="CurrencyRep 2 3 7" xfId="19894" xr:uid="{00000000-0005-0000-0000-0000B04D0000}"/>
    <cellStyle name="CurrencyRep 2 3 7 2" xfId="19895" xr:uid="{00000000-0005-0000-0000-0000B14D0000}"/>
    <cellStyle name="CurrencyRep 2 3 7 2 2" xfId="19896" xr:uid="{00000000-0005-0000-0000-0000B24D0000}"/>
    <cellStyle name="CurrencyRep 2 3 7 2 3" xfId="19897" xr:uid="{00000000-0005-0000-0000-0000B34D0000}"/>
    <cellStyle name="CurrencyRep 2 3 7 2 4" xfId="19898" xr:uid="{00000000-0005-0000-0000-0000B44D0000}"/>
    <cellStyle name="CurrencyRep 2 3 7 2 5" xfId="19899" xr:uid="{00000000-0005-0000-0000-0000B54D0000}"/>
    <cellStyle name="CurrencyRep 2 3 7 2 6" xfId="19900" xr:uid="{00000000-0005-0000-0000-0000B64D0000}"/>
    <cellStyle name="CurrencyRep 2 3 7 3" xfId="19901" xr:uid="{00000000-0005-0000-0000-0000B74D0000}"/>
    <cellStyle name="CurrencyRep 2 3 7 4" xfId="19902" xr:uid="{00000000-0005-0000-0000-0000B84D0000}"/>
    <cellStyle name="CurrencyRep 2 3 7 5" xfId="19903" xr:uid="{00000000-0005-0000-0000-0000B94D0000}"/>
    <cellStyle name="CurrencyRep 2 3 7 6" xfId="19904" xr:uid="{00000000-0005-0000-0000-0000BA4D0000}"/>
    <cellStyle name="CurrencyRep 2 3 8" xfId="19905" xr:uid="{00000000-0005-0000-0000-0000BB4D0000}"/>
    <cellStyle name="CurrencyRep 2 3 8 2" xfId="19906" xr:uid="{00000000-0005-0000-0000-0000BC4D0000}"/>
    <cellStyle name="CurrencyRep 2 3 8 2 2" xfId="19907" xr:uid="{00000000-0005-0000-0000-0000BD4D0000}"/>
    <cellStyle name="CurrencyRep 2 3 8 2 3" xfId="19908" xr:uid="{00000000-0005-0000-0000-0000BE4D0000}"/>
    <cellStyle name="CurrencyRep 2 3 8 2 4" xfId="19909" xr:uid="{00000000-0005-0000-0000-0000BF4D0000}"/>
    <cellStyle name="CurrencyRep 2 3 8 2 5" xfId="19910" xr:uid="{00000000-0005-0000-0000-0000C04D0000}"/>
    <cellStyle name="CurrencyRep 2 3 8 2 6" xfId="19911" xr:uid="{00000000-0005-0000-0000-0000C14D0000}"/>
    <cellStyle name="CurrencyRep 2 3 8 3" xfId="19912" xr:uid="{00000000-0005-0000-0000-0000C24D0000}"/>
    <cellStyle name="CurrencyRep 2 3 8 4" xfId="19913" xr:uid="{00000000-0005-0000-0000-0000C34D0000}"/>
    <cellStyle name="CurrencyRep 2 3 8 5" xfId="19914" xr:uid="{00000000-0005-0000-0000-0000C44D0000}"/>
    <cellStyle name="CurrencyRep 2 3 8 6" xfId="19915" xr:uid="{00000000-0005-0000-0000-0000C54D0000}"/>
    <cellStyle name="CurrencyRep 2 3 9" xfId="19916" xr:uid="{00000000-0005-0000-0000-0000C64D0000}"/>
    <cellStyle name="CurrencyRep 2 3 9 2" xfId="19917" xr:uid="{00000000-0005-0000-0000-0000C74D0000}"/>
    <cellStyle name="CurrencyRep 2 3 9 3" xfId="19918" xr:uid="{00000000-0005-0000-0000-0000C84D0000}"/>
    <cellStyle name="CurrencyRep 2 3 9 4" xfId="19919" xr:uid="{00000000-0005-0000-0000-0000C94D0000}"/>
    <cellStyle name="CurrencyRep 2 3 9 5" xfId="19920" xr:uid="{00000000-0005-0000-0000-0000CA4D0000}"/>
    <cellStyle name="CurrencyRep 2 3 9 6" xfId="19921" xr:uid="{00000000-0005-0000-0000-0000CB4D0000}"/>
    <cellStyle name="CurrencyRep 2 4" xfId="19922" xr:uid="{00000000-0005-0000-0000-0000CC4D0000}"/>
    <cellStyle name="CurrencyRep 2 4 2" xfId="19923" xr:uid="{00000000-0005-0000-0000-0000CD4D0000}"/>
    <cellStyle name="CurrencyRep 2 4 2 2" xfId="19924" xr:uid="{00000000-0005-0000-0000-0000CE4D0000}"/>
    <cellStyle name="CurrencyRep 2 4 2 2 2" xfId="19925" xr:uid="{00000000-0005-0000-0000-0000CF4D0000}"/>
    <cellStyle name="CurrencyRep 2 4 2 2 3" xfId="19926" xr:uid="{00000000-0005-0000-0000-0000D04D0000}"/>
    <cellStyle name="CurrencyRep 2 4 2 2 4" xfId="19927" xr:uid="{00000000-0005-0000-0000-0000D14D0000}"/>
    <cellStyle name="CurrencyRep 2 4 2 2 5" xfId="19928" xr:uid="{00000000-0005-0000-0000-0000D24D0000}"/>
    <cellStyle name="CurrencyRep 2 4 2 2 6" xfId="19929" xr:uid="{00000000-0005-0000-0000-0000D34D0000}"/>
    <cellStyle name="CurrencyRep 2 4 2 3" xfId="19930" xr:uid="{00000000-0005-0000-0000-0000D44D0000}"/>
    <cellStyle name="CurrencyRep 2 4 2 4" xfId="19931" xr:uid="{00000000-0005-0000-0000-0000D54D0000}"/>
    <cellStyle name="CurrencyRep 2 4 2 5" xfId="19932" xr:uid="{00000000-0005-0000-0000-0000D64D0000}"/>
    <cellStyle name="CurrencyRep 2 4 2 6" xfId="19933" xr:uid="{00000000-0005-0000-0000-0000D74D0000}"/>
    <cellStyle name="CurrencyRep 2 4 3" xfId="19934" xr:uid="{00000000-0005-0000-0000-0000D84D0000}"/>
    <cellStyle name="CurrencyRep 2 4 3 2" xfId="19935" xr:uid="{00000000-0005-0000-0000-0000D94D0000}"/>
    <cellStyle name="CurrencyRep 2 4 3 2 2" xfId="19936" xr:uid="{00000000-0005-0000-0000-0000DA4D0000}"/>
    <cellStyle name="CurrencyRep 2 4 3 2 3" xfId="19937" xr:uid="{00000000-0005-0000-0000-0000DB4D0000}"/>
    <cellStyle name="CurrencyRep 2 4 3 2 4" xfId="19938" xr:uid="{00000000-0005-0000-0000-0000DC4D0000}"/>
    <cellStyle name="CurrencyRep 2 4 3 2 5" xfId="19939" xr:uid="{00000000-0005-0000-0000-0000DD4D0000}"/>
    <cellStyle name="CurrencyRep 2 4 3 2 6" xfId="19940" xr:uid="{00000000-0005-0000-0000-0000DE4D0000}"/>
    <cellStyle name="CurrencyRep 2 4 3 3" xfId="19941" xr:uid="{00000000-0005-0000-0000-0000DF4D0000}"/>
    <cellStyle name="CurrencyRep 2 4 3 4" xfId="19942" xr:uid="{00000000-0005-0000-0000-0000E04D0000}"/>
    <cellStyle name="CurrencyRep 2 4 3 5" xfId="19943" xr:uid="{00000000-0005-0000-0000-0000E14D0000}"/>
    <cellStyle name="CurrencyRep 2 4 3 6" xfId="19944" xr:uid="{00000000-0005-0000-0000-0000E24D0000}"/>
    <cellStyle name="CurrencyRep 2 4 4" xfId="19945" xr:uid="{00000000-0005-0000-0000-0000E34D0000}"/>
    <cellStyle name="CurrencyRep 2 4 4 2" xfId="19946" xr:uid="{00000000-0005-0000-0000-0000E44D0000}"/>
    <cellStyle name="CurrencyRep 2 4 4 3" xfId="19947" xr:uid="{00000000-0005-0000-0000-0000E54D0000}"/>
    <cellStyle name="CurrencyRep 2 4 4 4" xfId="19948" xr:uid="{00000000-0005-0000-0000-0000E64D0000}"/>
    <cellStyle name="CurrencyRep 2 4 4 5" xfId="19949" xr:uid="{00000000-0005-0000-0000-0000E74D0000}"/>
    <cellStyle name="CurrencyRep 2 4 4 6" xfId="19950" xr:uid="{00000000-0005-0000-0000-0000E84D0000}"/>
    <cellStyle name="CurrencyRep 2 4 5" xfId="19951" xr:uid="{00000000-0005-0000-0000-0000E94D0000}"/>
    <cellStyle name="CurrencyRep 2 4 6" xfId="19952" xr:uid="{00000000-0005-0000-0000-0000EA4D0000}"/>
    <cellStyle name="CurrencyRep 2 4 7" xfId="19953" xr:uid="{00000000-0005-0000-0000-0000EB4D0000}"/>
    <cellStyle name="CurrencyRep 2 4 8" xfId="19954" xr:uid="{00000000-0005-0000-0000-0000EC4D0000}"/>
    <cellStyle name="CurrencyRep 2 5" xfId="19955" xr:uid="{00000000-0005-0000-0000-0000ED4D0000}"/>
    <cellStyle name="CurrencyRep 2 5 2" xfId="19956" xr:uid="{00000000-0005-0000-0000-0000EE4D0000}"/>
    <cellStyle name="CurrencyRep 2 5 2 2" xfId="19957" xr:uid="{00000000-0005-0000-0000-0000EF4D0000}"/>
    <cellStyle name="CurrencyRep 2 5 2 2 2" xfId="19958" xr:uid="{00000000-0005-0000-0000-0000F04D0000}"/>
    <cellStyle name="CurrencyRep 2 5 2 2 3" xfId="19959" xr:uid="{00000000-0005-0000-0000-0000F14D0000}"/>
    <cellStyle name="CurrencyRep 2 5 2 2 4" xfId="19960" xr:uid="{00000000-0005-0000-0000-0000F24D0000}"/>
    <cellStyle name="CurrencyRep 2 5 2 2 5" xfId="19961" xr:uid="{00000000-0005-0000-0000-0000F34D0000}"/>
    <cellStyle name="CurrencyRep 2 5 2 2 6" xfId="19962" xr:uid="{00000000-0005-0000-0000-0000F44D0000}"/>
    <cellStyle name="CurrencyRep 2 5 2 3" xfId="19963" xr:uid="{00000000-0005-0000-0000-0000F54D0000}"/>
    <cellStyle name="CurrencyRep 2 5 2 4" xfId="19964" xr:uid="{00000000-0005-0000-0000-0000F64D0000}"/>
    <cellStyle name="CurrencyRep 2 5 2 5" xfId="19965" xr:uid="{00000000-0005-0000-0000-0000F74D0000}"/>
    <cellStyle name="CurrencyRep 2 5 2 6" xfId="19966" xr:uid="{00000000-0005-0000-0000-0000F84D0000}"/>
    <cellStyle name="CurrencyRep 2 5 3" xfId="19967" xr:uid="{00000000-0005-0000-0000-0000F94D0000}"/>
    <cellStyle name="CurrencyRep 2 5 3 2" xfId="19968" xr:uid="{00000000-0005-0000-0000-0000FA4D0000}"/>
    <cellStyle name="CurrencyRep 2 5 3 2 2" xfId="19969" xr:uid="{00000000-0005-0000-0000-0000FB4D0000}"/>
    <cellStyle name="CurrencyRep 2 5 3 2 3" xfId="19970" xr:uid="{00000000-0005-0000-0000-0000FC4D0000}"/>
    <cellStyle name="CurrencyRep 2 5 3 2 4" xfId="19971" xr:uid="{00000000-0005-0000-0000-0000FD4D0000}"/>
    <cellStyle name="CurrencyRep 2 5 3 2 5" xfId="19972" xr:uid="{00000000-0005-0000-0000-0000FE4D0000}"/>
    <cellStyle name="CurrencyRep 2 5 3 2 6" xfId="19973" xr:uid="{00000000-0005-0000-0000-0000FF4D0000}"/>
    <cellStyle name="CurrencyRep 2 5 3 3" xfId="19974" xr:uid="{00000000-0005-0000-0000-0000004E0000}"/>
    <cellStyle name="CurrencyRep 2 5 3 4" xfId="19975" xr:uid="{00000000-0005-0000-0000-0000014E0000}"/>
    <cellStyle name="CurrencyRep 2 5 3 5" xfId="19976" xr:uid="{00000000-0005-0000-0000-0000024E0000}"/>
    <cellStyle name="CurrencyRep 2 5 3 6" xfId="19977" xr:uid="{00000000-0005-0000-0000-0000034E0000}"/>
    <cellStyle name="CurrencyRep 2 5 4" xfId="19978" xr:uid="{00000000-0005-0000-0000-0000044E0000}"/>
    <cellStyle name="CurrencyRep 2 5 4 2" xfId="19979" xr:uid="{00000000-0005-0000-0000-0000054E0000}"/>
    <cellStyle name="CurrencyRep 2 5 4 3" xfId="19980" xr:uid="{00000000-0005-0000-0000-0000064E0000}"/>
    <cellStyle name="CurrencyRep 2 5 4 4" xfId="19981" xr:uid="{00000000-0005-0000-0000-0000074E0000}"/>
    <cellStyle name="CurrencyRep 2 5 4 5" xfId="19982" xr:uid="{00000000-0005-0000-0000-0000084E0000}"/>
    <cellStyle name="CurrencyRep 2 5 4 6" xfId="19983" xr:uid="{00000000-0005-0000-0000-0000094E0000}"/>
    <cellStyle name="CurrencyRep 2 5 5" xfId="19984" xr:uid="{00000000-0005-0000-0000-00000A4E0000}"/>
    <cellStyle name="CurrencyRep 2 5 6" xfId="19985" xr:uid="{00000000-0005-0000-0000-00000B4E0000}"/>
    <cellStyle name="CurrencyRep 2 5 7" xfId="19986" xr:uid="{00000000-0005-0000-0000-00000C4E0000}"/>
    <cellStyle name="CurrencyRep 2 5 8" xfId="19987" xr:uid="{00000000-0005-0000-0000-00000D4E0000}"/>
    <cellStyle name="CurrencyRep 2 6" xfId="19988" xr:uid="{00000000-0005-0000-0000-00000E4E0000}"/>
    <cellStyle name="CurrencyRep 2 6 2" xfId="19989" xr:uid="{00000000-0005-0000-0000-00000F4E0000}"/>
    <cellStyle name="CurrencyRep 2 6 2 2" xfId="19990" xr:uid="{00000000-0005-0000-0000-0000104E0000}"/>
    <cellStyle name="CurrencyRep 2 6 2 2 2" xfId="19991" xr:uid="{00000000-0005-0000-0000-0000114E0000}"/>
    <cellStyle name="CurrencyRep 2 6 2 2 3" xfId="19992" xr:uid="{00000000-0005-0000-0000-0000124E0000}"/>
    <cellStyle name="CurrencyRep 2 6 2 2 4" xfId="19993" xr:uid="{00000000-0005-0000-0000-0000134E0000}"/>
    <cellStyle name="CurrencyRep 2 6 2 2 5" xfId="19994" xr:uid="{00000000-0005-0000-0000-0000144E0000}"/>
    <cellStyle name="CurrencyRep 2 6 2 2 6" xfId="19995" xr:uid="{00000000-0005-0000-0000-0000154E0000}"/>
    <cellStyle name="CurrencyRep 2 6 2 3" xfId="19996" xr:uid="{00000000-0005-0000-0000-0000164E0000}"/>
    <cellStyle name="CurrencyRep 2 6 2 4" xfId="19997" xr:uid="{00000000-0005-0000-0000-0000174E0000}"/>
    <cellStyle name="CurrencyRep 2 6 2 5" xfId="19998" xr:uid="{00000000-0005-0000-0000-0000184E0000}"/>
    <cellStyle name="CurrencyRep 2 6 2 6" xfId="19999" xr:uid="{00000000-0005-0000-0000-0000194E0000}"/>
    <cellStyle name="CurrencyRep 2 6 3" xfId="20000" xr:uid="{00000000-0005-0000-0000-00001A4E0000}"/>
    <cellStyle name="CurrencyRep 2 6 3 2" xfId="20001" xr:uid="{00000000-0005-0000-0000-00001B4E0000}"/>
    <cellStyle name="CurrencyRep 2 6 3 2 2" xfId="20002" xr:uid="{00000000-0005-0000-0000-00001C4E0000}"/>
    <cellStyle name="CurrencyRep 2 6 3 2 3" xfId="20003" xr:uid="{00000000-0005-0000-0000-00001D4E0000}"/>
    <cellStyle name="CurrencyRep 2 6 3 2 4" xfId="20004" xr:uid="{00000000-0005-0000-0000-00001E4E0000}"/>
    <cellStyle name="CurrencyRep 2 6 3 2 5" xfId="20005" xr:uid="{00000000-0005-0000-0000-00001F4E0000}"/>
    <cellStyle name="CurrencyRep 2 6 3 2 6" xfId="20006" xr:uid="{00000000-0005-0000-0000-0000204E0000}"/>
    <cellStyle name="CurrencyRep 2 6 3 3" xfId="20007" xr:uid="{00000000-0005-0000-0000-0000214E0000}"/>
    <cellStyle name="CurrencyRep 2 6 3 4" xfId="20008" xr:uid="{00000000-0005-0000-0000-0000224E0000}"/>
    <cellStyle name="CurrencyRep 2 6 3 5" xfId="20009" xr:uid="{00000000-0005-0000-0000-0000234E0000}"/>
    <cellStyle name="CurrencyRep 2 6 3 6" xfId="20010" xr:uid="{00000000-0005-0000-0000-0000244E0000}"/>
    <cellStyle name="CurrencyRep 2 6 4" xfId="20011" xr:uid="{00000000-0005-0000-0000-0000254E0000}"/>
    <cellStyle name="CurrencyRep 2 6 4 2" xfId="20012" xr:uid="{00000000-0005-0000-0000-0000264E0000}"/>
    <cellStyle name="CurrencyRep 2 6 4 3" xfId="20013" xr:uid="{00000000-0005-0000-0000-0000274E0000}"/>
    <cellStyle name="CurrencyRep 2 6 4 4" xfId="20014" xr:uid="{00000000-0005-0000-0000-0000284E0000}"/>
    <cellStyle name="CurrencyRep 2 6 4 5" xfId="20015" xr:uid="{00000000-0005-0000-0000-0000294E0000}"/>
    <cellStyle name="CurrencyRep 2 6 4 6" xfId="20016" xr:uid="{00000000-0005-0000-0000-00002A4E0000}"/>
    <cellStyle name="CurrencyRep 2 6 5" xfId="20017" xr:uid="{00000000-0005-0000-0000-00002B4E0000}"/>
    <cellStyle name="CurrencyRep 2 6 6" xfId="20018" xr:uid="{00000000-0005-0000-0000-00002C4E0000}"/>
    <cellStyle name="CurrencyRep 2 6 7" xfId="20019" xr:uid="{00000000-0005-0000-0000-00002D4E0000}"/>
    <cellStyle name="CurrencyRep 2 6 8" xfId="20020" xr:uid="{00000000-0005-0000-0000-00002E4E0000}"/>
    <cellStyle name="CurrencyRep 2 7" xfId="20021" xr:uid="{00000000-0005-0000-0000-00002F4E0000}"/>
    <cellStyle name="CurrencyRep 2 7 2" xfId="20022" xr:uid="{00000000-0005-0000-0000-0000304E0000}"/>
    <cellStyle name="CurrencyRep 2 7 2 2" xfId="20023" xr:uid="{00000000-0005-0000-0000-0000314E0000}"/>
    <cellStyle name="CurrencyRep 2 7 2 3" xfId="20024" xr:uid="{00000000-0005-0000-0000-0000324E0000}"/>
    <cellStyle name="CurrencyRep 2 7 2 4" xfId="20025" xr:uid="{00000000-0005-0000-0000-0000334E0000}"/>
    <cellStyle name="CurrencyRep 2 7 2 5" xfId="20026" xr:uid="{00000000-0005-0000-0000-0000344E0000}"/>
    <cellStyle name="CurrencyRep 2 7 2 6" xfId="20027" xr:uid="{00000000-0005-0000-0000-0000354E0000}"/>
    <cellStyle name="CurrencyRep 2 7 3" xfId="20028" xr:uid="{00000000-0005-0000-0000-0000364E0000}"/>
    <cellStyle name="CurrencyRep 2 7 4" xfId="20029" xr:uid="{00000000-0005-0000-0000-0000374E0000}"/>
    <cellStyle name="CurrencyRep 2 7 5" xfId="20030" xr:uid="{00000000-0005-0000-0000-0000384E0000}"/>
    <cellStyle name="CurrencyRep 2 7 6" xfId="20031" xr:uid="{00000000-0005-0000-0000-0000394E0000}"/>
    <cellStyle name="CurrencyRep 2 8" xfId="20032" xr:uid="{00000000-0005-0000-0000-00003A4E0000}"/>
    <cellStyle name="CurrencyRep 2 8 2" xfId="20033" xr:uid="{00000000-0005-0000-0000-00003B4E0000}"/>
    <cellStyle name="CurrencyRep 2 8 2 2" xfId="20034" xr:uid="{00000000-0005-0000-0000-00003C4E0000}"/>
    <cellStyle name="CurrencyRep 2 8 2 3" xfId="20035" xr:uid="{00000000-0005-0000-0000-00003D4E0000}"/>
    <cellStyle name="CurrencyRep 2 8 2 4" xfId="20036" xr:uid="{00000000-0005-0000-0000-00003E4E0000}"/>
    <cellStyle name="CurrencyRep 2 8 2 5" xfId="20037" xr:uid="{00000000-0005-0000-0000-00003F4E0000}"/>
    <cellStyle name="CurrencyRep 2 8 2 6" xfId="20038" xr:uid="{00000000-0005-0000-0000-0000404E0000}"/>
    <cellStyle name="CurrencyRep 2 8 3" xfId="20039" xr:uid="{00000000-0005-0000-0000-0000414E0000}"/>
    <cellStyle name="CurrencyRep 2 8 4" xfId="20040" xr:uid="{00000000-0005-0000-0000-0000424E0000}"/>
    <cellStyle name="CurrencyRep 2 8 5" xfId="20041" xr:uid="{00000000-0005-0000-0000-0000434E0000}"/>
    <cellStyle name="CurrencyRep 2 8 6" xfId="20042" xr:uid="{00000000-0005-0000-0000-0000444E0000}"/>
    <cellStyle name="CurrencyRep 2 9" xfId="20043" xr:uid="{00000000-0005-0000-0000-0000454E0000}"/>
    <cellStyle name="CurrencyRep 2 9 2" xfId="20044" xr:uid="{00000000-0005-0000-0000-0000464E0000}"/>
    <cellStyle name="CurrencyRep 2 9 3" xfId="20045" xr:uid="{00000000-0005-0000-0000-0000474E0000}"/>
    <cellStyle name="CurrencyRep 2 9 4" xfId="20046" xr:uid="{00000000-0005-0000-0000-0000484E0000}"/>
    <cellStyle name="CurrencyRep 2 9 5" xfId="20047" xr:uid="{00000000-0005-0000-0000-0000494E0000}"/>
    <cellStyle name="CurrencyRep 2 9 6" xfId="20048" xr:uid="{00000000-0005-0000-0000-00004A4E0000}"/>
    <cellStyle name="CurrencyRep 3" xfId="20049" xr:uid="{00000000-0005-0000-0000-00004B4E0000}"/>
    <cellStyle name="CurrencyRep 3 10" xfId="20050" xr:uid="{00000000-0005-0000-0000-00004C4E0000}"/>
    <cellStyle name="CurrencyRep 3 10 2" xfId="20051" xr:uid="{00000000-0005-0000-0000-00004D4E0000}"/>
    <cellStyle name="CurrencyRep 3 10 3" xfId="20052" xr:uid="{00000000-0005-0000-0000-00004E4E0000}"/>
    <cellStyle name="CurrencyRep 3 10 4" xfId="20053" xr:uid="{00000000-0005-0000-0000-00004F4E0000}"/>
    <cellStyle name="CurrencyRep 3 10 5" xfId="20054" xr:uid="{00000000-0005-0000-0000-0000504E0000}"/>
    <cellStyle name="CurrencyRep 3 10 6" xfId="20055" xr:uid="{00000000-0005-0000-0000-0000514E0000}"/>
    <cellStyle name="CurrencyRep 3 11" xfId="20056" xr:uid="{00000000-0005-0000-0000-0000524E0000}"/>
    <cellStyle name="CurrencyRep 3 12" xfId="20057" xr:uid="{00000000-0005-0000-0000-0000534E0000}"/>
    <cellStyle name="CurrencyRep 3 13" xfId="20058" xr:uid="{00000000-0005-0000-0000-0000544E0000}"/>
    <cellStyle name="CurrencyRep 3 14" xfId="20059" xr:uid="{00000000-0005-0000-0000-0000554E0000}"/>
    <cellStyle name="CurrencyRep 3 2" xfId="20060" xr:uid="{00000000-0005-0000-0000-0000564E0000}"/>
    <cellStyle name="CurrencyRep 3 2 10" xfId="20061" xr:uid="{00000000-0005-0000-0000-0000574E0000}"/>
    <cellStyle name="CurrencyRep 3 2 11" xfId="20062" xr:uid="{00000000-0005-0000-0000-0000584E0000}"/>
    <cellStyle name="CurrencyRep 3 2 12" xfId="20063" xr:uid="{00000000-0005-0000-0000-0000594E0000}"/>
    <cellStyle name="CurrencyRep 3 2 13" xfId="20064" xr:uid="{00000000-0005-0000-0000-00005A4E0000}"/>
    <cellStyle name="CurrencyRep 3 2 2" xfId="20065" xr:uid="{00000000-0005-0000-0000-00005B4E0000}"/>
    <cellStyle name="CurrencyRep 3 2 2 2" xfId="20066" xr:uid="{00000000-0005-0000-0000-00005C4E0000}"/>
    <cellStyle name="CurrencyRep 3 2 2 2 2" xfId="20067" xr:uid="{00000000-0005-0000-0000-00005D4E0000}"/>
    <cellStyle name="CurrencyRep 3 2 2 2 2 2" xfId="20068" xr:uid="{00000000-0005-0000-0000-00005E4E0000}"/>
    <cellStyle name="CurrencyRep 3 2 2 2 2 3" xfId="20069" xr:uid="{00000000-0005-0000-0000-00005F4E0000}"/>
    <cellStyle name="CurrencyRep 3 2 2 2 2 4" xfId="20070" xr:uid="{00000000-0005-0000-0000-0000604E0000}"/>
    <cellStyle name="CurrencyRep 3 2 2 2 2 5" xfId="20071" xr:uid="{00000000-0005-0000-0000-0000614E0000}"/>
    <cellStyle name="CurrencyRep 3 2 2 2 2 6" xfId="20072" xr:uid="{00000000-0005-0000-0000-0000624E0000}"/>
    <cellStyle name="CurrencyRep 3 2 2 2 3" xfId="20073" xr:uid="{00000000-0005-0000-0000-0000634E0000}"/>
    <cellStyle name="CurrencyRep 3 2 2 2 4" xfId="20074" xr:uid="{00000000-0005-0000-0000-0000644E0000}"/>
    <cellStyle name="CurrencyRep 3 2 2 2 5" xfId="20075" xr:uid="{00000000-0005-0000-0000-0000654E0000}"/>
    <cellStyle name="CurrencyRep 3 2 2 2 6" xfId="20076" xr:uid="{00000000-0005-0000-0000-0000664E0000}"/>
    <cellStyle name="CurrencyRep 3 2 2 3" xfId="20077" xr:uid="{00000000-0005-0000-0000-0000674E0000}"/>
    <cellStyle name="CurrencyRep 3 2 2 3 2" xfId="20078" xr:uid="{00000000-0005-0000-0000-0000684E0000}"/>
    <cellStyle name="CurrencyRep 3 2 2 3 2 2" xfId="20079" xr:uid="{00000000-0005-0000-0000-0000694E0000}"/>
    <cellStyle name="CurrencyRep 3 2 2 3 2 3" xfId="20080" xr:uid="{00000000-0005-0000-0000-00006A4E0000}"/>
    <cellStyle name="CurrencyRep 3 2 2 3 2 4" xfId="20081" xr:uid="{00000000-0005-0000-0000-00006B4E0000}"/>
    <cellStyle name="CurrencyRep 3 2 2 3 2 5" xfId="20082" xr:uid="{00000000-0005-0000-0000-00006C4E0000}"/>
    <cellStyle name="CurrencyRep 3 2 2 3 2 6" xfId="20083" xr:uid="{00000000-0005-0000-0000-00006D4E0000}"/>
    <cellStyle name="CurrencyRep 3 2 2 3 3" xfId="20084" xr:uid="{00000000-0005-0000-0000-00006E4E0000}"/>
    <cellStyle name="CurrencyRep 3 2 2 3 4" xfId="20085" xr:uid="{00000000-0005-0000-0000-00006F4E0000}"/>
    <cellStyle name="CurrencyRep 3 2 2 3 5" xfId="20086" xr:uid="{00000000-0005-0000-0000-0000704E0000}"/>
    <cellStyle name="CurrencyRep 3 2 2 3 6" xfId="20087" xr:uid="{00000000-0005-0000-0000-0000714E0000}"/>
    <cellStyle name="CurrencyRep 3 2 2 4" xfId="20088" xr:uid="{00000000-0005-0000-0000-0000724E0000}"/>
    <cellStyle name="CurrencyRep 3 2 2 4 2" xfId="20089" xr:uid="{00000000-0005-0000-0000-0000734E0000}"/>
    <cellStyle name="CurrencyRep 3 2 2 4 3" xfId="20090" xr:uid="{00000000-0005-0000-0000-0000744E0000}"/>
    <cellStyle name="CurrencyRep 3 2 2 4 4" xfId="20091" xr:uid="{00000000-0005-0000-0000-0000754E0000}"/>
    <cellStyle name="CurrencyRep 3 2 2 4 5" xfId="20092" xr:uid="{00000000-0005-0000-0000-0000764E0000}"/>
    <cellStyle name="CurrencyRep 3 2 2 4 6" xfId="20093" xr:uid="{00000000-0005-0000-0000-0000774E0000}"/>
    <cellStyle name="CurrencyRep 3 2 2 5" xfId="20094" xr:uid="{00000000-0005-0000-0000-0000784E0000}"/>
    <cellStyle name="CurrencyRep 3 2 2 6" xfId="20095" xr:uid="{00000000-0005-0000-0000-0000794E0000}"/>
    <cellStyle name="CurrencyRep 3 2 2 7" xfId="20096" xr:uid="{00000000-0005-0000-0000-00007A4E0000}"/>
    <cellStyle name="CurrencyRep 3 2 2 8" xfId="20097" xr:uid="{00000000-0005-0000-0000-00007B4E0000}"/>
    <cellStyle name="CurrencyRep 3 2 3" xfId="20098" xr:uid="{00000000-0005-0000-0000-00007C4E0000}"/>
    <cellStyle name="CurrencyRep 3 2 3 2" xfId="20099" xr:uid="{00000000-0005-0000-0000-00007D4E0000}"/>
    <cellStyle name="CurrencyRep 3 2 3 2 2" xfId="20100" xr:uid="{00000000-0005-0000-0000-00007E4E0000}"/>
    <cellStyle name="CurrencyRep 3 2 3 2 2 2" xfId="20101" xr:uid="{00000000-0005-0000-0000-00007F4E0000}"/>
    <cellStyle name="CurrencyRep 3 2 3 2 2 3" xfId="20102" xr:uid="{00000000-0005-0000-0000-0000804E0000}"/>
    <cellStyle name="CurrencyRep 3 2 3 2 2 4" xfId="20103" xr:uid="{00000000-0005-0000-0000-0000814E0000}"/>
    <cellStyle name="CurrencyRep 3 2 3 2 2 5" xfId="20104" xr:uid="{00000000-0005-0000-0000-0000824E0000}"/>
    <cellStyle name="CurrencyRep 3 2 3 2 2 6" xfId="20105" xr:uid="{00000000-0005-0000-0000-0000834E0000}"/>
    <cellStyle name="CurrencyRep 3 2 3 2 3" xfId="20106" xr:uid="{00000000-0005-0000-0000-0000844E0000}"/>
    <cellStyle name="CurrencyRep 3 2 3 2 4" xfId="20107" xr:uid="{00000000-0005-0000-0000-0000854E0000}"/>
    <cellStyle name="CurrencyRep 3 2 3 2 5" xfId="20108" xr:uid="{00000000-0005-0000-0000-0000864E0000}"/>
    <cellStyle name="CurrencyRep 3 2 3 2 6" xfId="20109" xr:uid="{00000000-0005-0000-0000-0000874E0000}"/>
    <cellStyle name="CurrencyRep 3 2 3 3" xfId="20110" xr:uid="{00000000-0005-0000-0000-0000884E0000}"/>
    <cellStyle name="CurrencyRep 3 2 3 3 2" xfId="20111" xr:uid="{00000000-0005-0000-0000-0000894E0000}"/>
    <cellStyle name="CurrencyRep 3 2 3 3 2 2" xfId="20112" xr:uid="{00000000-0005-0000-0000-00008A4E0000}"/>
    <cellStyle name="CurrencyRep 3 2 3 3 2 3" xfId="20113" xr:uid="{00000000-0005-0000-0000-00008B4E0000}"/>
    <cellStyle name="CurrencyRep 3 2 3 3 2 4" xfId="20114" xr:uid="{00000000-0005-0000-0000-00008C4E0000}"/>
    <cellStyle name="CurrencyRep 3 2 3 3 2 5" xfId="20115" xr:uid="{00000000-0005-0000-0000-00008D4E0000}"/>
    <cellStyle name="CurrencyRep 3 2 3 3 2 6" xfId="20116" xr:uid="{00000000-0005-0000-0000-00008E4E0000}"/>
    <cellStyle name="CurrencyRep 3 2 3 3 3" xfId="20117" xr:uid="{00000000-0005-0000-0000-00008F4E0000}"/>
    <cellStyle name="CurrencyRep 3 2 3 3 4" xfId="20118" xr:uid="{00000000-0005-0000-0000-0000904E0000}"/>
    <cellStyle name="CurrencyRep 3 2 3 3 5" xfId="20119" xr:uid="{00000000-0005-0000-0000-0000914E0000}"/>
    <cellStyle name="CurrencyRep 3 2 3 3 6" xfId="20120" xr:uid="{00000000-0005-0000-0000-0000924E0000}"/>
    <cellStyle name="CurrencyRep 3 2 3 4" xfId="20121" xr:uid="{00000000-0005-0000-0000-0000934E0000}"/>
    <cellStyle name="CurrencyRep 3 2 3 4 2" xfId="20122" xr:uid="{00000000-0005-0000-0000-0000944E0000}"/>
    <cellStyle name="CurrencyRep 3 2 3 4 3" xfId="20123" xr:uid="{00000000-0005-0000-0000-0000954E0000}"/>
    <cellStyle name="CurrencyRep 3 2 3 4 4" xfId="20124" xr:uid="{00000000-0005-0000-0000-0000964E0000}"/>
    <cellStyle name="CurrencyRep 3 2 3 4 5" xfId="20125" xr:uid="{00000000-0005-0000-0000-0000974E0000}"/>
    <cellStyle name="CurrencyRep 3 2 3 4 6" xfId="20126" xr:uid="{00000000-0005-0000-0000-0000984E0000}"/>
    <cellStyle name="CurrencyRep 3 2 3 5" xfId="20127" xr:uid="{00000000-0005-0000-0000-0000994E0000}"/>
    <cellStyle name="CurrencyRep 3 2 3 6" xfId="20128" xr:uid="{00000000-0005-0000-0000-00009A4E0000}"/>
    <cellStyle name="CurrencyRep 3 2 3 7" xfId="20129" xr:uid="{00000000-0005-0000-0000-00009B4E0000}"/>
    <cellStyle name="CurrencyRep 3 2 3 8" xfId="20130" xr:uid="{00000000-0005-0000-0000-00009C4E0000}"/>
    <cellStyle name="CurrencyRep 3 2 4" xfId="20131" xr:uid="{00000000-0005-0000-0000-00009D4E0000}"/>
    <cellStyle name="CurrencyRep 3 2 4 2" xfId="20132" xr:uid="{00000000-0005-0000-0000-00009E4E0000}"/>
    <cellStyle name="CurrencyRep 3 2 4 2 2" xfId="20133" xr:uid="{00000000-0005-0000-0000-00009F4E0000}"/>
    <cellStyle name="CurrencyRep 3 2 4 2 2 2" xfId="20134" xr:uid="{00000000-0005-0000-0000-0000A04E0000}"/>
    <cellStyle name="CurrencyRep 3 2 4 2 2 3" xfId="20135" xr:uid="{00000000-0005-0000-0000-0000A14E0000}"/>
    <cellStyle name="CurrencyRep 3 2 4 2 2 4" xfId="20136" xr:uid="{00000000-0005-0000-0000-0000A24E0000}"/>
    <cellStyle name="CurrencyRep 3 2 4 2 2 5" xfId="20137" xr:uid="{00000000-0005-0000-0000-0000A34E0000}"/>
    <cellStyle name="CurrencyRep 3 2 4 2 2 6" xfId="20138" xr:uid="{00000000-0005-0000-0000-0000A44E0000}"/>
    <cellStyle name="CurrencyRep 3 2 4 2 3" xfId="20139" xr:uid="{00000000-0005-0000-0000-0000A54E0000}"/>
    <cellStyle name="CurrencyRep 3 2 4 2 4" xfId="20140" xr:uid="{00000000-0005-0000-0000-0000A64E0000}"/>
    <cellStyle name="CurrencyRep 3 2 4 2 5" xfId="20141" xr:uid="{00000000-0005-0000-0000-0000A74E0000}"/>
    <cellStyle name="CurrencyRep 3 2 4 2 6" xfId="20142" xr:uid="{00000000-0005-0000-0000-0000A84E0000}"/>
    <cellStyle name="CurrencyRep 3 2 4 3" xfId="20143" xr:uid="{00000000-0005-0000-0000-0000A94E0000}"/>
    <cellStyle name="CurrencyRep 3 2 4 3 2" xfId="20144" xr:uid="{00000000-0005-0000-0000-0000AA4E0000}"/>
    <cellStyle name="CurrencyRep 3 2 4 3 2 2" xfId="20145" xr:uid="{00000000-0005-0000-0000-0000AB4E0000}"/>
    <cellStyle name="CurrencyRep 3 2 4 3 2 3" xfId="20146" xr:uid="{00000000-0005-0000-0000-0000AC4E0000}"/>
    <cellStyle name="CurrencyRep 3 2 4 3 2 4" xfId="20147" xr:uid="{00000000-0005-0000-0000-0000AD4E0000}"/>
    <cellStyle name="CurrencyRep 3 2 4 3 2 5" xfId="20148" xr:uid="{00000000-0005-0000-0000-0000AE4E0000}"/>
    <cellStyle name="CurrencyRep 3 2 4 3 2 6" xfId="20149" xr:uid="{00000000-0005-0000-0000-0000AF4E0000}"/>
    <cellStyle name="CurrencyRep 3 2 4 3 3" xfId="20150" xr:uid="{00000000-0005-0000-0000-0000B04E0000}"/>
    <cellStyle name="CurrencyRep 3 2 4 3 4" xfId="20151" xr:uid="{00000000-0005-0000-0000-0000B14E0000}"/>
    <cellStyle name="CurrencyRep 3 2 4 3 5" xfId="20152" xr:uid="{00000000-0005-0000-0000-0000B24E0000}"/>
    <cellStyle name="CurrencyRep 3 2 4 3 6" xfId="20153" xr:uid="{00000000-0005-0000-0000-0000B34E0000}"/>
    <cellStyle name="CurrencyRep 3 2 4 4" xfId="20154" xr:uid="{00000000-0005-0000-0000-0000B44E0000}"/>
    <cellStyle name="CurrencyRep 3 2 4 4 2" xfId="20155" xr:uid="{00000000-0005-0000-0000-0000B54E0000}"/>
    <cellStyle name="CurrencyRep 3 2 4 4 3" xfId="20156" xr:uid="{00000000-0005-0000-0000-0000B64E0000}"/>
    <cellStyle name="CurrencyRep 3 2 4 4 4" xfId="20157" xr:uid="{00000000-0005-0000-0000-0000B74E0000}"/>
    <cellStyle name="CurrencyRep 3 2 4 4 5" xfId="20158" xr:uid="{00000000-0005-0000-0000-0000B84E0000}"/>
    <cellStyle name="CurrencyRep 3 2 4 4 6" xfId="20159" xr:uid="{00000000-0005-0000-0000-0000B94E0000}"/>
    <cellStyle name="CurrencyRep 3 2 4 5" xfId="20160" xr:uid="{00000000-0005-0000-0000-0000BA4E0000}"/>
    <cellStyle name="CurrencyRep 3 2 4 6" xfId="20161" xr:uid="{00000000-0005-0000-0000-0000BB4E0000}"/>
    <cellStyle name="CurrencyRep 3 2 4 7" xfId="20162" xr:uid="{00000000-0005-0000-0000-0000BC4E0000}"/>
    <cellStyle name="CurrencyRep 3 2 4 8" xfId="20163" xr:uid="{00000000-0005-0000-0000-0000BD4E0000}"/>
    <cellStyle name="CurrencyRep 3 2 5" xfId="20164" xr:uid="{00000000-0005-0000-0000-0000BE4E0000}"/>
    <cellStyle name="CurrencyRep 3 2 5 2" xfId="20165" xr:uid="{00000000-0005-0000-0000-0000BF4E0000}"/>
    <cellStyle name="CurrencyRep 3 2 5 2 2" xfId="20166" xr:uid="{00000000-0005-0000-0000-0000C04E0000}"/>
    <cellStyle name="CurrencyRep 3 2 5 2 2 2" xfId="20167" xr:uid="{00000000-0005-0000-0000-0000C14E0000}"/>
    <cellStyle name="CurrencyRep 3 2 5 2 2 3" xfId="20168" xr:uid="{00000000-0005-0000-0000-0000C24E0000}"/>
    <cellStyle name="CurrencyRep 3 2 5 2 2 4" xfId="20169" xr:uid="{00000000-0005-0000-0000-0000C34E0000}"/>
    <cellStyle name="CurrencyRep 3 2 5 2 2 5" xfId="20170" xr:uid="{00000000-0005-0000-0000-0000C44E0000}"/>
    <cellStyle name="CurrencyRep 3 2 5 2 2 6" xfId="20171" xr:uid="{00000000-0005-0000-0000-0000C54E0000}"/>
    <cellStyle name="CurrencyRep 3 2 5 2 3" xfId="20172" xr:uid="{00000000-0005-0000-0000-0000C64E0000}"/>
    <cellStyle name="CurrencyRep 3 2 5 2 4" xfId="20173" xr:uid="{00000000-0005-0000-0000-0000C74E0000}"/>
    <cellStyle name="CurrencyRep 3 2 5 2 5" xfId="20174" xr:uid="{00000000-0005-0000-0000-0000C84E0000}"/>
    <cellStyle name="CurrencyRep 3 2 5 2 6" xfId="20175" xr:uid="{00000000-0005-0000-0000-0000C94E0000}"/>
    <cellStyle name="CurrencyRep 3 2 5 3" xfId="20176" xr:uid="{00000000-0005-0000-0000-0000CA4E0000}"/>
    <cellStyle name="CurrencyRep 3 2 5 3 2" xfId="20177" xr:uid="{00000000-0005-0000-0000-0000CB4E0000}"/>
    <cellStyle name="CurrencyRep 3 2 5 3 2 2" xfId="20178" xr:uid="{00000000-0005-0000-0000-0000CC4E0000}"/>
    <cellStyle name="CurrencyRep 3 2 5 3 2 3" xfId="20179" xr:uid="{00000000-0005-0000-0000-0000CD4E0000}"/>
    <cellStyle name="CurrencyRep 3 2 5 3 2 4" xfId="20180" xr:uid="{00000000-0005-0000-0000-0000CE4E0000}"/>
    <cellStyle name="CurrencyRep 3 2 5 3 2 5" xfId="20181" xr:uid="{00000000-0005-0000-0000-0000CF4E0000}"/>
    <cellStyle name="CurrencyRep 3 2 5 3 2 6" xfId="20182" xr:uid="{00000000-0005-0000-0000-0000D04E0000}"/>
    <cellStyle name="CurrencyRep 3 2 5 3 3" xfId="20183" xr:uid="{00000000-0005-0000-0000-0000D14E0000}"/>
    <cellStyle name="CurrencyRep 3 2 5 3 4" xfId="20184" xr:uid="{00000000-0005-0000-0000-0000D24E0000}"/>
    <cellStyle name="CurrencyRep 3 2 5 3 5" xfId="20185" xr:uid="{00000000-0005-0000-0000-0000D34E0000}"/>
    <cellStyle name="CurrencyRep 3 2 5 3 6" xfId="20186" xr:uid="{00000000-0005-0000-0000-0000D44E0000}"/>
    <cellStyle name="CurrencyRep 3 2 5 4" xfId="20187" xr:uid="{00000000-0005-0000-0000-0000D54E0000}"/>
    <cellStyle name="CurrencyRep 3 2 5 4 2" xfId="20188" xr:uid="{00000000-0005-0000-0000-0000D64E0000}"/>
    <cellStyle name="CurrencyRep 3 2 5 4 3" xfId="20189" xr:uid="{00000000-0005-0000-0000-0000D74E0000}"/>
    <cellStyle name="CurrencyRep 3 2 5 4 4" xfId="20190" xr:uid="{00000000-0005-0000-0000-0000D84E0000}"/>
    <cellStyle name="CurrencyRep 3 2 5 4 5" xfId="20191" xr:uid="{00000000-0005-0000-0000-0000D94E0000}"/>
    <cellStyle name="CurrencyRep 3 2 5 4 6" xfId="20192" xr:uid="{00000000-0005-0000-0000-0000DA4E0000}"/>
    <cellStyle name="CurrencyRep 3 2 5 5" xfId="20193" xr:uid="{00000000-0005-0000-0000-0000DB4E0000}"/>
    <cellStyle name="CurrencyRep 3 2 5 6" xfId="20194" xr:uid="{00000000-0005-0000-0000-0000DC4E0000}"/>
    <cellStyle name="CurrencyRep 3 2 5 7" xfId="20195" xr:uid="{00000000-0005-0000-0000-0000DD4E0000}"/>
    <cellStyle name="CurrencyRep 3 2 5 8" xfId="20196" xr:uid="{00000000-0005-0000-0000-0000DE4E0000}"/>
    <cellStyle name="CurrencyRep 3 2 6" xfId="20197" xr:uid="{00000000-0005-0000-0000-0000DF4E0000}"/>
    <cellStyle name="CurrencyRep 3 2 6 2" xfId="20198" xr:uid="{00000000-0005-0000-0000-0000E04E0000}"/>
    <cellStyle name="CurrencyRep 3 2 6 2 2" xfId="20199" xr:uid="{00000000-0005-0000-0000-0000E14E0000}"/>
    <cellStyle name="CurrencyRep 3 2 6 2 2 2" xfId="20200" xr:uid="{00000000-0005-0000-0000-0000E24E0000}"/>
    <cellStyle name="CurrencyRep 3 2 6 2 2 3" xfId="20201" xr:uid="{00000000-0005-0000-0000-0000E34E0000}"/>
    <cellStyle name="CurrencyRep 3 2 6 2 2 4" xfId="20202" xr:uid="{00000000-0005-0000-0000-0000E44E0000}"/>
    <cellStyle name="CurrencyRep 3 2 6 2 2 5" xfId="20203" xr:uid="{00000000-0005-0000-0000-0000E54E0000}"/>
    <cellStyle name="CurrencyRep 3 2 6 2 2 6" xfId="20204" xr:uid="{00000000-0005-0000-0000-0000E64E0000}"/>
    <cellStyle name="CurrencyRep 3 2 6 2 3" xfId="20205" xr:uid="{00000000-0005-0000-0000-0000E74E0000}"/>
    <cellStyle name="CurrencyRep 3 2 6 2 4" xfId="20206" xr:uid="{00000000-0005-0000-0000-0000E84E0000}"/>
    <cellStyle name="CurrencyRep 3 2 6 2 5" xfId="20207" xr:uid="{00000000-0005-0000-0000-0000E94E0000}"/>
    <cellStyle name="CurrencyRep 3 2 6 2 6" xfId="20208" xr:uid="{00000000-0005-0000-0000-0000EA4E0000}"/>
    <cellStyle name="CurrencyRep 3 2 6 3" xfId="20209" xr:uid="{00000000-0005-0000-0000-0000EB4E0000}"/>
    <cellStyle name="CurrencyRep 3 2 6 3 2" xfId="20210" xr:uid="{00000000-0005-0000-0000-0000EC4E0000}"/>
    <cellStyle name="CurrencyRep 3 2 6 3 2 2" xfId="20211" xr:uid="{00000000-0005-0000-0000-0000ED4E0000}"/>
    <cellStyle name="CurrencyRep 3 2 6 3 2 3" xfId="20212" xr:uid="{00000000-0005-0000-0000-0000EE4E0000}"/>
    <cellStyle name="CurrencyRep 3 2 6 3 2 4" xfId="20213" xr:uid="{00000000-0005-0000-0000-0000EF4E0000}"/>
    <cellStyle name="CurrencyRep 3 2 6 3 2 5" xfId="20214" xr:uid="{00000000-0005-0000-0000-0000F04E0000}"/>
    <cellStyle name="CurrencyRep 3 2 6 3 2 6" xfId="20215" xr:uid="{00000000-0005-0000-0000-0000F14E0000}"/>
    <cellStyle name="CurrencyRep 3 2 6 3 3" xfId="20216" xr:uid="{00000000-0005-0000-0000-0000F24E0000}"/>
    <cellStyle name="CurrencyRep 3 2 6 3 4" xfId="20217" xr:uid="{00000000-0005-0000-0000-0000F34E0000}"/>
    <cellStyle name="CurrencyRep 3 2 6 3 5" xfId="20218" xr:uid="{00000000-0005-0000-0000-0000F44E0000}"/>
    <cellStyle name="CurrencyRep 3 2 6 3 6" xfId="20219" xr:uid="{00000000-0005-0000-0000-0000F54E0000}"/>
    <cellStyle name="CurrencyRep 3 2 6 4" xfId="20220" xr:uid="{00000000-0005-0000-0000-0000F64E0000}"/>
    <cellStyle name="CurrencyRep 3 2 6 4 2" xfId="20221" xr:uid="{00000000-0005-0000-0000-0000F74E0000}"/>
    <cellStyle name="CurrencyRep 3 2 6 4 3" xfId="20222" xr:uid="{00000000-0005-0000-0000-0000F84E0000}"/>
    <cellStyle name="CurrencyRep 3 2 6 4 4" xfId="20223" xr:uid="{00000000-0005-0000-0000-0000F94E0000}"/>
    <cellStyle name="CurrencyRep 3 2 6 4 5" xfId="20224" xr:uid="{00000000-0005-0000-0000-0000FA4E0000}"/>
    <cellStyle name="CurrencyRep 3 2 6 4 6" xfId="20225" xr:uid="{00000000-0005-0000-0000-0000FB4E0000}"/>
    <cellStyle name="CurrencyRep 3 2 6 5" xfId="20226" xr:uid="{00000000-0005-0000-0000-0000FC4E0000}"/>
    <cellStyle name="CurrencyRep 3 2 6 6" xfId="20227" xr:uid="{00000000-0005-0000-0000-0000FD4E0000}"/>
    <cellStyle name="CurrencyRep 3 2 6 7" xfId="20228" xr:uid="{00000000-0005-0000-0000-0000FE4E0000}"/>
    <cellStyle name="CurrencyRep 3 2 6 8" xfId="20229" xr:uid="{00000000-0005-0000-0000-0000FF4E0000}"/>
    <cellStyle name="CurrencyRep 3 2 7" xfId="20230" xr:uid="{00000000-0005-0000-0000-0000004F0000}"/>
    <cellStyle name="CurrencyRep 3 2 7 2" xfId="20231" xr:uid="{00000000-0005-0000-0000-0000014F0000}"/>
    <cellStyle name="CurrencyRep 3 2 7 2 2" xfId="20232" xr:uid="{00000000-0005-0000-0000-0000024F0000}"/>
    <cellStyle name="CurrencyRep 3 2 7 2 3" xfId="20233" xr:uid="{00000000-0005-0000-0000-0000034F0000}"/>
    <cellStyle name="CurrencyRep 3 2 7 2 4" xfId="20234" xr:uid="{00000000-0005-0000-0000-0000044F0000}"/>
    <cellStyle name="CurrencyRep 3 2 7 2 5" xfId="20235" xr:uid="{00000000-0005-0000-0000-0000054F0000}"/>
    <cellStyle name="CurrencyRep 3 2 7 2 6" xfId="20236" xr:uid="{00000000-0005-0000-0000-0000064F0000}"/>
    <cellStyle name="CurrencyRep 3 2 7 3" xfId="20237" xr:uid="{00000000-0005-0000-0000-0000074F0000}"/>
    <cellStyle name="CurrencyRep 3 2 7 4" xfId="20238" xr:uid="{00000000-0005-0000-0000-0000084F0000}"/>
    <cellStyle name="CurrencyRep 3 2 7 5" xfId="20239" xr:uid="{00000000-0005-0000-0000-0000094F0000}"/>
    <cellStyle name="CurrencyRep 3 2 7 6" xfId="20240" xr:uid="{00000000-0005-0000-0000-00000A4F0000}"/>
    <cellStyle name="CurrencyRep 3 2 8" xfId="20241" xr:uid="{00000000-0005-0000-0000-00000B4F0000}"/>
    <cellStyle name="CurrencyRep 3 2 8 2" xfId="20242" xr:uid="{00000000-0005-0000-0000-00000C4F0000}"/>
    <cellStyle name="CurrencyRep 3 2 8 2 2" xfId="20243" xr:uid="{00000000-0005-0000-0000-00000D4F0000}"/>
    <cellStyle name="CurrencyRep 3 2 8 2 3" xfId="20244" xr:uid="{00000000-0005-0000-0000-00000E4F0000}"/>
    <cellStyle name="CurrencyRep 3 2 8 2 4" xfId="20245" xr:uid="{00000000-0005-0000-0000-00000F4F0000}"/>
    <cellStyle name="CurrencyRep 3 2 8 2 5" xfId="20246" xr:uid="{00000000-0005-0000-0000-0000104F0000}"/>
    <cellStyle name="CurrencyRep 3 2 8 2 6" xfId="20247" xr:uid="{00000000-0005-0000-0000-0000114F0000}"/>
    <cellStyle name="CurrencyRep 3 2 8 3" xfId="20248" xr:uid="{00000000-0005-0000-0000-0000124F0000}"/>
    <cellStyle name="CurrencyRep 3 2 8 4" xfId="20249" xr:uid="{00000000-0005-0000-0000-0000134F0000}"/>
    <cellStyle name="CurrencyRep 3 2 8 5" xfId="20250" xr:uid="{00000000-0005-0000-0000-0000144F0000}"/>
    <cellStyle name="CurrencyRep 3 2 8 6" xfId="20251" xr:uid="{00000000-0005-0000-0000-0000154F0000}"/>
    <cellStyle name="CurrencyRep 3 2 9" xfId="20252" xr:uid="{00000000-0005-0000-0000-0000164F0000}"/>
    <cellStyle name="CurrencyRep 3 2 9 2" xfId="20253" xr:uid="{00000000-0005-0000-0000-0000174F0000}"/>
    <cellStyle name="CurrencyRep 3 2 9 3" xfId="20254" xr:uid="{00000000-0005-0000-0000-0000184F0000}"/>
    <cellStyle name="CurrencyRep 3 2 9 4" xfId="20255" xr:uid="{00000000-0005-0000-0000-0000194F0000}"/>
    <cellStyle name="CurrencyRep 3 2 9 5" xfId="20256" xr:uid="{00000000-0005-0000-0000-00001A4F0000}"/>
    <cellStyle name="CurrencyRep 3 2 9 6" xfId="20257" xr:uid="{00000000-0005-0000-0000-00001B4F0000}"/>
    <cellStyle name="CurrencyRep 3 3" xfId="20258" xr:uid="{00000000-0005-0000-0000-00001C4F0000}"/>
    <cellStyle name="CurrencyRep 3 3 2" xfId="20259" xr:uid="{00000000-0005-0000-0000-00001D4F0000}"/>
    <cellStyle name="CurrencyRep 3 3 2 2" xfId="20260" xr:uid="{00000000-0005-0000-0000-00001E4F0000}"/>
    <cellStyle name="CurrencyRep 3 3 2 2 2" xfId="20261" xr:uid="{00000000-0005-0000-0000-00001F4F0000}"/>
    <cellStyle name="CurrencyRep 3 3 2 2 3" xfId="20262" xr:uid="{00000000-0005-0000-0000-0000204F0000}"/>
    <cellStyle name="CurrencyRep 3 3 2 2 4" xfId="20263" xr:uid="{00000000-0005-0000-0000-0000214F0000}"/>
    <cellStyle name="CurrencyRep 3 3 2 2 5" xfId="20264" xr:uid="{00000000-0005-0000-0000-0000224F0000}"/>
    <cellStyle name="CurrencyRep 3 3 2 2 6" xfId="20265" xr:uid="{00000000-0005-0000-0000-0000234F0000}"/>
    <cellStyle name="CurrencyRep 3 3 2 3" xfId="20266" xr:uid="{00000000-0005-0000-0000-0000244F0000}"/>
    <cellStyle name="CurrencyRep 3 3 2 4" xfId="20267" xr:uid="{00000000-0005-0000-0000-0000254F0000}"/>
    <cellStyle name="CurrencyRep 3 3 2 5" xfId="20268" xr:uid="{00000000-0005-0000-0000-0000264F0000}"/>
    <cellStyle name="CurrencyRep 3 3 2 6" xfId="20269" xr:uid="{00000000-0005-0000-0000-0000274F0000}"/>
    <cellStyle name="CurrencyRep 3 3 3" xfId="20270" xr:uid="{00000000-0005-0000-0000-0000284F0000}"/>
    <cellStyle name="CurrencyRep 3 3 3 2" xfId="20271" xr:uid="{00000000-0005-0000-0000-0000294F0000}"/>
    <cellStyle name="CurrencyRep 3 3 3 2 2" xfId="20272" xr:uid="{00000000-0005-0000-0000-00002A4F0000}"/>
    <cellStyle name="CurrencyRep 3 3 3 2 3" xfId="20273" xr:uid="{00000000-0005-0000-0000-00002B4F0000}"/>
    <cellStyle name="CurrencyRep 3 3 3 2 4" xfId="20274" xr:uid="{00000000-0005-0000-0000-00002C4F0000}"/>
    <cellStyle name="CurrencyRep 3 3 3 2 5" xfId="20275" xr:uid="{00000000-0005-0000-0000-00002D4F0000}"/>
    <cellStyle name="CurrencyRep 3 3 3 2 6" xfId="20276" xr:uid="{00000000-0005-0000-0000-00002E4F0000}"/>
    <cellStyle name="CurrencyRep 3 3 3 3" xfId="20277" xr:uid="{00000000-0005-0000-0000-00002F4F0000}"/>
    <cellStyle name="CurrencyRep 3 3 3 4" xfId="20278" xr:uid="{00000000-0005-0000-0000-0000304F0000}"/>
    <cellStyle name="CurrencyRep 3 3 3 5" xfId="20279" xr:uid="{00000000-0005-0000-0000-0000314F0000}"/>
    <cellStyle name="CurrencyRep 3 3 3 6" xfId="20280" xr:uid="{00000000-0005-0000-0000-0000324F0000}"/>
    <cellStyle name="CurrencyRep 3 3 4" xfId="20281" xr:uid="{00000000-0005-0000-0000-0000334F0000}"/>
    <cellStyle name="CurrencyRep 3 3 4 2" xfId="20282" xr:uid="{00000000-0005-0000-0000-0000344F0000}"/>
    <cellStyle name="CurrencyRep 3 3 4 3" xfId="20283" xr:uid="{00000000-0005-0000-0000-0000354F0000}"/>
    <cellStyle name="CurrencyRep 3 3 4 4" xfId="20284" xr:uid="{00000000-0005-0000-0000-0000364F0000}"/>
    <cellStyle name="CurrencyRep 3 3 4 5" xfId="20285" xr:uid="{00000000-0005-0000-0000-0000374F0000}"/>
    <cellStyle name="CurrencyRep 3 3 4 6" xfId="20286" xr:uid="{00000000-0005-0000-0000-0000384F0000}"/>
    <cellStyle name="CurrencyRep 3 3 5" xfId="20287" xr:uid="{00000000-0005-0000-0000-0000394F0000}"/>
    <cellStyle name="CurrencyRep 3 3 6" xfId="20288" xr:uid="{00000000-0005-0000-0000-00003A4F0000}"/>
    <cellStyle name="CurrencyRep 3 3 7" xfId="20289" xr:uid="{00000000-0005-0000-0000-00003B4F0000}"/>
    <cellStyle name="CurrencyRep 3 3 8" xfId="20290" xr:uid="{00000000-0005-0000-0000-00003C4F0000}"/>
    <cellStyle name="CurrencyRep 3 4" xfId="20291" xr:uid="{00000000-0005-0000-0000-00003D4F0000}"/>
    <cellStyle name="CurrencyRep 3 4 2" xfId="20292" xr:uid="{00000000-0005-0000-0000-00003E4F0000}"/>
    <cellStyle name="CurrencyRep 3 4 2 2" xfId="20293" xr:uid="{00000000-0005-0000-0000-00003F4F0000}"/>
    <cellStyle name="CurrencyRep 3 4 2 2 2" xfId="20294" xr:uid="{00000000-0005-0000-0000-0000404F0000}"/>
    <cellStyle name="CurrencyRep 3 4 2 2 3" xfId="20295" xr:uid="{00000000-0005-0000-0000-0000414F0000}"/>
    <cellStyle name="CurrencyRep 3 4 2 2 4" xfId="20296" xr:uid="{00000000-0005-0000-0000-0000424F0000}"/>
    <cellStyle name="CurrencyRep 3 4 2 2 5" xfId="20297" xr:uid="{00000000-0005-0000-0000-0000434F0000}"/>
    <cellStyle name="CurrencyRep 3 4 2 2 6" xfId="20298" xr:uid="{00000000-0005-0000-0000-0000444F0000}"/>
    <cellStyle name="CurrencyRep 3 4 2 3" xfId="20299" xr:uid="{00000000-0005-0000-0000-0000454F0000}"/>
    <cellStyle name="CurrencyRep 3 4 2 4" xfId="20300" xr:uid="{00000000-0005-0000-0000-0000464F0000}"/>
    <cellStyle name="CurrencyRep 3 4 2 5" xfId="20301" xr:uid="{00000000-0005-0000-0000-0000474F0000}"/>
    <cellStyle name="CurrencyRep 3 4 2 6" xfId="20302" xr:uid="{00000000-0005-0000-0000-0000484F0000}"/>
    <cellStyle name="CurrencyRep 3 4 3" xfId="20303" xr:uid="{00000000-0005-0000-0000-0000494F0000}"/>
    <cellStyle name="CurrencyRep 3 4 3 2" xfId="20304" xr:uid="{00000000-0005-0000-0000-00004A4F0000}"/>
    <cellStyle name="CurrencyRep 3 4 3 2 2" xfId="20305" xr:uid="{00000000-0005-0000-0000-00004B4F0000}"/>
    <cellStyle name="CurrencyRep 3 4 3 2 3" xfId="20306" xr:uid="{00000000-0005-0000-0000-00004C4F0000}"/>
    <cellStyle name="CurrencyRep 3 4 3 2 4" xfId="20307" xr:uid="{00000000-0005-0000-0000-00004D4F0000}"/>
    <cellStyle name="CurrencyRep 3 4 3 2 5" xfId="20308" xr:uid="{00000000-0005-0000-0000-00004E4F0000}"/>
    <cellStyle name="CurrencyRep 3 4 3 2 6" xfId="20309" xr:uid="{00000000-0005-0000-0000-00004F4F0000}"/>
    <cellStyle name="CurrencyRep 3 4 3 3" xfId="20310" xr:uid="{00000000-0005-0000-0000-0000504F0000}"/>
    <cellStyle name="CurrencyRep 3 4 3 4" xfId="20311" xr:uid="{00000000-0005-0000-0000-0000514F0000}"/>
    <cellStyle name="CurrencyRep 3 4 3 5" xfId="20312" xr:uid="{00000000-0005-0000-0000-0000524F0000}"/>
    <cellStyle name="CurrencyRep 3 4 3 6" xfId="20313" xr:uid="{00000000-0005-0000-0000-0000534F0000}"/>
    <cellStyle name="CurrencyRep 3 4 4" xfId="20314" xr:uid="{00000000-0005-0000-0000-0000544F0000}"/>
    <cellStyle name="CurrencyRep 3 4 4 2" xfId="20315" xr:uid="{00000000-0005-0000-0000-0000554F0000}"/>
    <cellStyle name="CurrencyRep 3 4 4 3" xfId="20316" xr:uid="{00000000-0005-0000-0000-0000564F0000}"/>
    <cellStyle name="CurrencyRep 3 4 4 4" xfId="20317" xr:uid="{00000000-0005-0000-0000-0000574F0000}"/>
    <cellStyle name="CurrencyRep 3 4 4 5" xfId="20318" xr:uid="{00000000-0005-0000-0000-0000584F0000}"/>
    <cellStyle name="CurrencyRep 3 4 4 6" xfId="20319" xr:uid="{00000000-0005-0000-0000-0000594F0000}"/>
    <cellStyle name="CurrencyRep 3 4 5" xfId="20320" xr:uid="{00000000-0005-0000-0000-00005A4F0000}"/>
    <cellStyle name="CurrencyRep 3 4 6" xfId="20321" xr:uid="{00000000-0005-0000-0000-00005B4F0000}"/>
    <cellStyle name="CurrencyRep 3 4 7" xfId="20322" xr:uid="{00000000-0005-0000-0000-00005C4F0000}"/>
    <cellStyle name="CurrencyRep 3 4 8" xfId="20323" xr:uid="{00000000-0005-0000-0000-00005D4F0000}"/>
    <cellStyle name="CurrencyRep 3 5" xfId="20324" xr:uid="{00000000-0005-0000-0000-00005E4F0000}"/>
    <cellStyle name="CurrencyRep 3 5 2" xfId="20325" xr:uid="{00000000-0005-0000-0000-00005F4F0000}"/>
    <cellStyle name="CurrencyRep 3 5 2 2" xfId="20326" xr:uid="{00000000-0005-0000-0000-0000604F0000}"/>
    <cellStyle name="CurrencyRep 3 5 2 2 2" xfId="20327" xr:uid="{00000000-0005-0000-0000-0000614F0000}"/>
    <cellStyle name="CurrencyRep 3 5 2 2 3" xfId="20328" xr:uid="{00000000-0005-0000-0000-0000624F0000}"/>
    <cellStyle name="CurrencyRep 3 5 2 2 4" xfId="20329" xr:uid="{00000000-0005-0000-0000-0000634F0000}"/>
    <cellStyle name="CurrencyRep 3 5 2 2 5" xfId="20330" xr:uid="{00000000-0005-0000-0000-0000644F0000}"/>
    <cellStyle name="CurrencyRep 3 5 2 2 6" xfId="20331" xr:uid="{00000000-0005-0000-0000-0000654F0000}"/>
    <cellStyle name="CurrencyRep 3 5 2 3" xfId="20332" xr:uid="{00000000-0005-0000-0000-0000664F0000}"/>
    <cellStyle name="CurrencyRep 3 5 2 4" xfId="20333" xr:uid="{00000000-0005-0000-0000-0000674F0000}"/>
    <cellStyle name="CurrencyRep 3 5 2 5" xfId="20334" xr:uid="{00000000-0005-0000-0000-0000684F0000}"/>
    <cellStyle name="CurrencyRep 3 5 2 6" xfId="20335" xr:uid="{00000000-0005-0000-0000-0000694F0000}"/>
    <cellStyle name="CurrencyRep 3 5 3" xfId="20336" xr:uid="{00000000-0005-0000-0000-00006A4F0000}"/>
    <cellStyle name="CurrencyRep 3 5 3 2" xfId="20337" xr:uid="{00000000-0005-0000-0000-00006B4F0000}"/>
    <cellStyle name="CurrencyRep 3 5 3 2 2" xfId="20338" xr:uid="{00000000-0005-0000-0000-00006C4F0000}"/>
    <cellStyle name="CurrencyRep 3 5 3 2 3" xfId="20339" xr:uid="{00000000-0005-0000-0000-00006D4F0000}"/>
    <cellStyle name="CurrencyRep 3 5 3 2 4" xfId="20340" xr:uid="{00000000-0005-0000-0000-00006E4F0000}"/>
    <cellStyle name="CurrencyRep 3 5 3 2 5" xfId="20341" xr:uid="{00000000-0005-0000-0000-00006F4F0000}"/>
    <cellStyle name="CurrencyRep 3 5 3 2 6" xfId="20342" xr:uid="{00000000-0005-0000-0000-0000704F0000}"/>
    <cellStyle name="CurrencyRep 3 5 3 3" xfId="20343" xr:uid="{00000000-0005-0000-0000-0000714F0000}"/>
    <cellStyle name="CurrencyRep 3 5 3 4" xfId="20344" xr:uid="{00000000-0005-0000-0000-0000724F0000}"/>
    <cellStyle name="CurrencyRep 3 5 3 5" xfId="20345" xr:uid="{00000000-0005-0000-0000-0000734F0000}"/>
    <cellStyle name="CurrencyRep 3 5 3 6" xfId="20346" xr:uid="{00000000-0005-0000-0000-0000744F0000}"/>
    <cellStyle name="CurrencyRep 3 5 4" xfId="20347" xr:uid="{00000000-0005-0000-0000-0000754F0000}"/>
    <cellStyle name="CurrencyRep 3 5 4 2" xfId="20348" xr:uid="{00000000-0005-0000-0000-0000764F0000}"/>
    <cellStyle name="CurrencyRep 3 5 4 3" xfId="20349" xr:uid="{00000000-0005-0000-0000-0000774F0000}"/>
    <cellStyle name="CurrencyRep 3 5 4 4" xfId="20350" xr:uid="{00000000-0005-0000-0000-0000784F0000}"/>
    <cellStyle name="CurrencyRep 3 5 4 5" xfId="20351" xr:uid="{00000000-0005-0000-0000-0000794F0000}"/>
    <cellStyle name="CurrencyRep 3 5 4 6" xfId="20352" xr:uid="{00000000-0005-0000-0000-00007A4F0000}"/>
    <cellStyle name="CurrencyRep 3 5 5" xfId="20353" xr:uid="{00000000-0005-0000-0000-00007B4F0000}"/>
    <cellStyle name="CurrencyRep 3 5 6" xfId="20354" xr:uid="{00000000-0005-0000-0000-00007C4F0000}"/>
    <cellStyle name="CurrencyRep 3 5 7" xfId="20355" xr:uid="{00000000-0005-0000-0000-00007D4F0000}"/>
    <cellStyle name="CurrencyRep 3 5 8" xfId="20356" xr:uid="{00000000-0005-0000-0000-00007E4F0000}"/>
    <cellStyle name="CurrencyRep 3 6" xfId="20357" xr:uid="{00000000-0005-0000-0000-00007F4F0000}"/>
    <cellStyle name="CurrencyRep 3 6 2" xfId="20358" xr:uid="{00000000-0005-0000-0000-0000804F0000}"/>
    <cellStyle name="CurrencyRep 3 6 2 2" xfId="20359" xr:uid="{00000000-0005-0000-0000-0000814F0000}"/>
    <cellStyle name="CurrencyRep 3 6 2 2 2" xfId="20360" xr:uid="{00000000-0005-0000-0000-0000824F0000}"/>
    <cellStyle name="CurrencyRep 3 6 2 2 3" xfId="20361" xr:uid="{00000000-0005-0000-0000-0000834F0000}"/>
    <cellStyle name="CurrencyRep 3 6 2 2 4" xfId="20362" xr:uid="{00000000-0005-0000-0000-0000844F0000}"/>
    <cellStyle name="CurrencyRep 3 6 2 2 5" xfId="20363" xr:uid="{00000000-0005-0000-0000-0000854F0000}"/>
    <cellStyle name="CurrencyRep 3 6 2 2 6" xfId="20364" xr:uid="{00000000-0005-0000-0000-0000864F0000}"/>
    <cellStyle name="CurrencyRep 3 6 2 3" xfId="20365" xr:uid="{00000000-0005-0000-0000-0000874F0000}"/>
    <cellStyle name="CurrencyRep 3 6 2 4" xfId="20366" xr:uid="{00000000-0005-0000-0000-0000884F0000}"/>
    <cellStyle name="CurrencyRep 3 6 2 5" xfId="20367" xr:uid="{00000000-0005-0000-0000-0000894F0000}"/>
    <cellStyle name="CurrencyRep 3 6 2 6" xfId="20368" xr:uid="{00000000-0005-0000-0000-00008A4F0000}"/>
    <cellStyle name="CurrencyRep 3 6 3" xfId="20369" xr:uid="{00000000-0005-0000-0000-00008B4F0000}"/>
    <cellStyle name="CurrencyRep 3 6 3 2" xfId="20370" xr:uid="{00000000-0005-0000-0000-00008C4F0000}"/>
    <cellStyle name="CurrencyRep 3 6 3 2 2" xfId="20371" xr:uid="{00000000-0005-0000-0000-00008D4F0000}"/>
    <cellStyle name="CurrencyRep 3 6 3 2 3" xfId="20372" xr:uid="{00000000-0005-0000-0000-00008E4F0000}"/>
    <cellStyle name="CurrencyRep 3 6 3 2 4" xfId="20373" xr:uid="{00000000-0005-0000-0000-00008F4F0000}"/>
    <cellStyle name="CurrencyRep 3 6 3 2 5" xfId="20374" xr:uid="{00000000-0005-0000-0000-0000904F0000}"/>
    <cellStyle name="CurrencyRep 3 6 3 2 6" xfId="20375" xr:uid="{00000000-0005-0000-0000-0000914F0000}"/>
    <cellStyle name="CurrencyRep 3 6 3 3" xfId="20376" xr:uid="{00000000-0005-0000-0000-0000924F0000}"/>
    <cellStyle name="CurrencyRep 3 6 3 4" xfId="20377" xr:uid="{00000000-0005-0000-0000-0000934F0000}"/>
    <cellStyle name="CurrencyRep 3 6 3 5" xfId="20378" xr:uid="{00000000-0005-0000-0000-0000944F0000}"/>
    <cellStyle name="CurrencyRep 3 6 3 6" xfId="20379" xr:uid="{00000000-0005-0000-0000-0000954F0000}"/>
    <cellStyle name="CurrencyRep 3 6 4" xfId="20380" xr:uid="{00000000-0005-0000-0000-0000964F0000}"/>
    <cellStyle name="CurrencyRep 3 6 4 2" xfId="20381" xr:uid="{00000000-0005-0000-0000-0000974F0000}"/>
    <cellStyle name="CurrencyRep 3 6 4 3" xfId="20382" xr:uid="{00000000-0005-0000-0000-0000984F0000}"/>
    <cellStyle name="CurrencyRep 3 6 4 4" xfId="20383" xr:uid="{00000000-0005-0000-0000-0000994F0000}"/>
    <cellStyle name="CurrencyRep 3 6 4 5" xfId="20384" xr:uid="{00000000-0005-0000-0000-00009A4F0000}"/>
    <cellStyle name="CurrencyRep 3 6 4 6" xfId="20385" xr:uid="{00000000-0005-0000-0000-00009B4F0000}"/>
    <cellStyle name="CurrencyRep 3 6 5" xfId="20386" xr:uid="{00000000-0005-0000-0000-00009C4F0000}"/>
    <cellStyle name="CurrencyRep 3 6 6" xfId="20387" xr:uid="{00000000-0005-0000-0000-00009D4F0000}"/>
    <cellStyle name="CurrencyRep 3 6 7" xfId="20388" xr:uid="{00000000-0005-0000-0000-00009E4F0000}"/>
    <cellStyle name="CurrencyRep 3 6 8" xfId="20389" xr:uid="{00000000-0005-0000-0000-00009F4F0000}"/>
    <cellStyle name="CurrencyRep 3 7" xfId="20390" xr:uid="{00000000-0005-0000-0000-0000A04F0000}"/>
    <cellStyle name="CurrencyRep 3 7 2" xfId="20391" xr:uid="{00000000-0005-0000-0000-0000A14F0000}"/>
    <cellStyle name="CurrencyRep 3 7 2 2" xfId="20392" xr:uid="{00000000-0005-0000-0000-0000A24F0000}"/>
    <cellStyle name="CurrencyRep 3 7 2 2 2" xfId="20393" xr:uid="{00000000-0005-0000-0000-0000A34F0000}"/>
    <cellStyle name="CurrencyRep 3 7 2 2 3" xfId="20394" xr:uid="{00000000-0005-0000-0000-0000A44F0000}"/>
    <cellStyle name="CurrencyRep 3 7 2 2 4" xfId="20395" xr:uid="{00000000-0005-0000-0000-0000A54F0000}"/>
    <cellStyle name="CurrencyRep 3 7 2 2 5" xfId="20396" xr:uid="{00000000-0005-0000-0000-0000A64F0000}"/>
    <cellStyle name="CurrencyRep 3 7 2 2 6" xfId="20397" xr:uid="{00000000-0005-0000-0000-0000A74F0000}"/>
    <cellStyle name="CurrencyRep 3 7 2 3" xfId="20398" xr:uid="{00000000-0005-0000-0000-0000A84F0000}"/>
    <cellStyle name="CurrencyRep 3 7 2 4" xfId="20399" xr:uid="{00000000-0005-0000-0000-0000A94F0000}"/>
    <cellStyle name="CurrencyRep 3 7 2 5" xfId="20400" xr:uid="{00000000-0005-0000-0000-0000AA4F0000}"/>
    <cellStyle name="CurrencyRep 3 7 2 6" xfId="20401" xr:uid="{00000000-0005-0000-0000-0000AB4F0000}"/>
    <cellStyle name="CurrencyRep 3 7 3" xfId="20402" xr:uid="{00000000-0005-0000-0000-0000AC4F0000}"/>
    <cellStyle name="CurrencyRep 3 7 3 2" xfId="20403" xr:uid="{00000000-0005-0000-0000-0000AD4F0000}"/>
    <cellStyle name="CurrencyRep 3 7 3 2 2" xfId="20404" xr:uid="{00000000-0005-0000-0000-0000AE4F0000}"/>
    <cellStyle name="CurrencyRep 3 7 3 2 3" xfId="20405" xr:uid="{00000000-0005-0000-0000-0000AF4F0000}"/>
    <cellStyle name="CurrencyRep 3 7 3 2 4" xfId="20406" xr:uid="{00000000-0005-0000-0000-0000B04F0000}"/>
    <cellStyle name="CurrencyRep 3 7 3 2 5" xfId="20407" xr:uid="{00000000-0005-0000-0000-0000B14F0000}"/>
    <cellStyle name="CurrencyRep 3 7 3 2 6" xfId="20408" xr:uid="{00000000-0005-0000-0000-0000B24F0000}"/>
    <cellStyle name="CurrencyRep 3 7 3 3" xfId="20409" xr:uid="{00000000-0005-0000-0000-0000B34F0000}"/>
    <cellStyle name="CurrencyRep 3 7 3 4" xfId="20410" xr:uid="{00000000-0005-0000-0000-0000B44F0000}"/>
    <cellStyle name="CurrencyRep 3 7 3 5" xfId="20411" xr:uid="{00000000-0005-0000-0000-0000B54F0000}"/>
    <cellStyle name="CurrencyRep 3 7 3 6" xfId="20412" xr:uid="{00000000-0005-0000-0000-0000B64F0000}"/>
    <cellStyle name="CurrencyRep 3 7 4" xfId="20413" xr:uid="{00000000-0005-0000-0000-0000B74F0000}"/>
    <cellStyle name="CurrencyRep 3 7 4 2" xfId="20414" xr:uid="{00000000-0005-0000-0000-0000B84F0000}"/>
    <cellStyle name="CurrencyRep 3 7 4 3" xfId="20415" xr:uid="{00000000-0005-0000-0000-0000B94F0000}"/>
    <cellStyle name="CurrencyRep 3 7 4 4" xfId="20416" xr:uid="{00000000-0005-0000-0000-0000BA4F0000}"/>
    <cellStyle name="CurrencyRep 3 7 4 5" xfId="20417" xr:uid="{00000000-0005-0000-0000-0000BB4F0000}"/>
    <cellStyle name="CurrencyRep 3 7 4 6" xfId="20418" xr:uid="{00000000-0005-0000-0000-0000BC4F0000}"/>
    <cellStyle name="CurrencyRep 3 7 5" xfId="20419" xr:uid="{00000000-0005-0000-0000-0000BD4F0000}"/>
    <cellStyle name="CurrencyRep 3 7 6" xfId="20420" xr:uid="{00000000-0005-0000-0000-0000BE4F0000}"/>
    <cellStyle name="CurrencyRep 3 7 7" xfId="20421" xr:uid="{00000000-0005-0000-0000-0000BF4F0000}"/>
    <cellStyle name="CurrencyRep 3 7 8" xfId="20422" xr:uid="{00000000-0005-0000-0000-0000C04F0000}"/>
    <cellStyle name="CurrencyRep 3 8" xfId="20423" xr:uid="{00000000-0005-0000-0000-0000C14F0000}"/>
    <cellStyle name="CurrencyRep 3 8 2" xfId="20424" xr:uid="{00000000-0005-0000-0000-0000C24F0000}"/>
    <cellStyle name="CurrencyRep 3 8 2 2" xfId="20425" xr:uid="{00000000-0005-0000-0000-0000C34F0000}"/>
    <cellStyle name="CurrencyRep 3 8 2 3" xfId="20426" xr:uid="{00000000-0005-0000-0000-0000C44F0000}"/>
    <cellStyle name="CurrencyRep 3 8 2 4" xfId="20427" xr:uid="{00000000-0005-0000-0000-0000C54F0000}"/>
    <cellStyle name="CurrencyRep 3 8 2 5" xfId="20428" xr:uid="{00000000-0005-0000-0000-0000C64F0000}"/>
    <cellStyle name="CurrencyRep 3 8 2 6" xfId="20429" xr:uid="{00000000-0005-0000-0000-0000C74F0000}"/>
    <cellStyle name="CurrencyRep 3 8 3" xfId="20430" xr:uid="{00000000-0005-0000-0000-0000C84F0000}"/>
    <cellStyle name="CurrencyRep 3 8 4" xfId="20431" xr:uid="{00000000-0005-0000-0000-0000C94F0000}"/>
    <cellStyle name="CurrencyRep 3 8 5" xfId="20432" xr:uid="{00000000-0005-0000-0000-0000CA4F0000}"/>
    <cellStyle name="CurrencyRep 3 8 6" xfId="20433" xr:uid="{00000000-0005-0000-0000-0000CB4F0000}"/>
    <cellStyle name="CurrencyRep 3 9" xfId="20434" xr:uid="{00000000-0005-0000-0000-0000CC4F0000}"/>
    <cellStyle name="CurrencyRep 3 9 2" xfId="20435" xr:uid="{00000000-0005-0000-0000-0000CD4F0000}"/>
    <cellStyle name="CurrencyRep 3 9 2 2" xfId="20436" xr:uid="{00000000-0005-0000-0000-0000CE4F0000}"/>
    <cellStyle name="CurrencyRep 3 9 2 3" xfId="20437" xr:uid="{00000000-0005-0000-0000-0000CF4F0000}"/>
    <cellStyle name="CurrencyRep 3 9 2 4" xfId="20438" xr:uid="{00000000-0005-0000-0000-0000D04F0000}"/>
    <cellStyle name="CurrencyRep 3 9 2 5" xfId="20439" xr:uid="{00000000-0005-0000-0000-0000D14F0000}"/>
    <cellStyle name="CurrencyRep 3 9 2 6" xfId="20440" xr:uid="{00000000-0005-0000-0000-0000D24F0000}"/>
    <cellStyle name="CurrencyRep 3 9 3" xfId="20441" xr:uid="{00000000-0005-0000-0000-0000D34F0000}"/>
    <cellStyle name="CurrencyRep 3 9 4" xfId="20442" xr:uid="{00000000-0005-0000-0000-0000D44F0000}"/>
    <cellStyle name="CurrencyRep 3 9 5" xfId="20443" xr:uid="{00000000-0005-0000-0000-0000D54F0000}"/>
    <cellStyle name="CurrencyRep 3 9 6" xfId="20444" xr:uid="{00000000-0005-0000-0000-0000D64F0000}"/>
    <cellStyle name="CurrencyRep 4" xfId="20445" xr:uid="{00000000-0005-0000-0000-0000D74F0000}"/>
    <cellStyle name="CurrencyRep 4 10" xfId="20446" xr:uid="{00000000-0005-0000-0000-0000D84F0000}"/>
    <cellStyle name="CurrencyRep 4 11" xfId="20447" xr:uid="{00000000-0005-0000-0000-0000D94F0000}"/>
    <cellStyle name="CurrencyRep 4 12" xfId="20448" xr:uid="{00000000-0005-0000-0000-0000DA4F0000}"/>
    <cellStyle name="CurrencyRep 4 13" xfId="20449" xr:uid="{00000000-0005-0000-0000-0000DB4F0000}"/>
    <cellStyle name="CurrencyRep 4 2" xfId="20450" xr:uid="{00000000-0005-0000-0000-0000DC4F0000}"/>
    <cellStyle name="CurrencyRep 4 2 2" xfId="20451" xr:uid="{00000000-0005-0000-0000-0000DD4F0000}"/>
    <cellStyle name="CurrencyRep 4 2 2 2" xfId="20452" xr:uid="{00000000-0005-0000-0000-0000DE4F0000}"/>
    <cellStyle name="CurrencyRep 4 2 2 2 2" xfId="20453" xr:uid="{00000000-0005-0000-0000-0000DF4F0000}"/>
    <cellStyle name="CurrencyRep 4 2 2 2 3" xfId="20454" xr:uid="{00000000-0005-0000-0000-0000E04F0000}"/>
    <cellStyle name="CurrencyRep 4 2 2 2 4" xfId="20455" xr:uid="{00000000-0005-0000-0000-0000E14F0000}"/>
    <cellStyle name="CurrencyRep 4 2 2 2 5" xfId="20456" xr:uid="{00000000-0005-0000-0000-0000E24F0000}"/>
    <cellStyle name="CurrencyRep 4 2 2 2 6" xfId="20457" xr:uid="{00000000-0005-0000-0000-0000E34F0000}"/>
    <cellStyle name="CurrencyRep 4 2 2 3" xfId="20458" xr:uid="{00000000-0005-0000-0000-0000E44F0000}"/>
    <cellStyle name="CurrencyRep 4 2 2 4" xfId="20459" xr:uid="{00000000-0005-0000-0000-0000E54F0000}"/>
    <cellStyle name="CurrencyRep 4 2 2 5" xfId="20460" xr:uid="{00000000-0005-0000-0000-0000E64F0000}"/>
    <cellStyle name="CurrencyRep 4 2 2 6" xfId="20461" xr:uid="{00000000-0005-0000-0000-0000E74F0000}"/>
    <cellStyle name="CurrencyRep 4 2 3" xfId="20462" xr:uid="{00000000-0005-0000-0000-0000E84F0000}"/>
    <cellStyle name="CurrencyRep 4 2 3 2" xfId="20463" xr:uid="{00000000-0005-0000-0000-0000E94F0000}"/>
    <cellStyle name="CurrencyRep 4 2 3 2 2" xfId="20464" xr:uid="{00000000-0005-0000-0000-0000EA4F0000}"/>
    <cellStyle name="CurrencyRep 4 2 3 2 3" xfId="20465" xr:uid="{00000000-0005-0000-0000-0000EB4F0000}"/>
    <cellStyle name="CurrencyRep 4 2 3 2 4" xfId="20466" xr:uid="{00000000-0005-0000-0000-0000EC4F0000}"/>
    <cellStyle name="CurrencyRep 4 2 3 2 5" xfId="20467" xr:uid="{00000000-0005-0000-0000-0000ED4F0000}"/>
    <cellStyle name="CurrencyRep 4 2 3 2 6" xfId="20468" xr:uid="{00000000-0005-0000-0000-0000EE4F0000}"/>
    <cellStyle name="CurrencyRep 4 2 3 3" xfId="20469" xr:uid="{00000000-0005-0000-0000-0000EF4F0000}"/>
    <cellStyle name="CurrencyRep 4 2 3 4" xfId="20470" xr:uid="{00000000-0005-0000-0000-0000F04F0000}"/>
    <cellStyle name="CurrencyRep 4 2 3 5" xfId="20471" xr:uid="{00000000-0005-0000-0000-0000F14F0000}"/>
    <cellStyle name="CurrencyRep 4 2 3 6" xfId="20472" xr:uid="{00000000-0005-0000-0000-0000F24F0000}"/>
    <cellStyle name="CurrencyRep 4 2 4" xfId="20473" xr:uid="{00000000-0005-0000-0000-0000F34F0000}"/>
    <cellStyle name="CurrencyRep 4 2 4 2" xfId="20474" xr:uid="{00000000-0005-0000-0000-0000F44F0000}"/>
    <cellStyle name="CurrencyRep 4 2 4 3" xfId="20475" xr:uid="{00000000-0005-0000-0000-0000F54F0000}"/>
    <cellStyle name="CurrencyRep 4 2 4 4" xfId="20476" xr:uid="{00000000-0005-0000-0000-0000F64F0000}"/>
    <cellStyle name="CurrencyRep 4 2 4 5" xfId="20477" xr:uid="{00000000-0005-0000-0000-0000F74F0000}"/>
    <cellStyle name="CurrencyRep 4 2 4 6" xfId="20478" xr:uid="{00000000-0005-0000-0000-0000F84F0000}"/>
    <cellStyle name="CurrencyRep 4 2 5" xfId="20479" xr:uid="{00000000-0005-0000-0000-0000F94F0000}"/>
    <cellStyle name="CurrencyRep 4 2 6" xfId="20480" xr:uid="{00000000-0005-0000-0000-0000FA4F0000}"/>
    <cellStyle name="CurrencyRep 4 2 7" xfId="20481" xr:uid="{00000000-0005-0000-0000-0000FB4F0000}"/>
    <cellStyle name="CurrencyRep 4 2 8" xfId="20482" xr:uid="{00000000-0005-0000-0000-0000FC4F0000}"/>
    <cellStyle name="CurrencyRep 4 3" xfId="20483" xr:uid="{00000000-0005-0000-0000-0000FD4F0000}"/>
    <cellStyle name="CurrencyRep 4 3 2" xfId="20484" xr:uid="{00000000-0005-0000-0000-0000FE4F0000}"/>
    <cellStyle name="CurrencyRep 4 3 2 2" xfId="20485" xr:uid="{00000000-0005-0000-0000-0000FF4F0000}"/>
    <cellStyle name="CurrencyRep 4 3 2 2 2" xfId="20486" xr:uid="{00000000-0005-0000-0000-000000500000}"/>
    <cellStyle name="CurrencyRep 4 3 2 2 3" xfId="20487" xr:uid="{00000000-0005-0000-0000-000001500000}"/>
    <cellStyle name="CurrencyRep 4 3 2 2 4" xfId="20488" xr:uid="{00000000-0005-0000-0000-000002500000}"/>
    <cellStyle name="CurrencyRep 4 3 2 2 5" xfId="20489" xr:uid="{00000000-0005-0000-0000-000003500000}"/>
    <cellStyle name="CurrencyRep 4 3 2 2 6" xfId="20490" xr:uid="{00000000-0005-0000-0000-000004500000}"/>
    <cellStyle name="CurrencyRep 4 3 2 3" xfId="20491" xr:uid="{00000000-0005-0000-0000-000005500000}"/>
    <cellStyle name="CurrencyRep 4 3 2 4" xfId="20492" xr:uid="{00000000-0005-0000-0000-000006500000}"/>
    <cellStyle name="CurrencyRep 4 3 2 5" xfId="20493" xr:uid="{00000000-0005-0000-0000-000007500000}"/>
    <cellStyle name="CurrencyRep 4 3 2 6" xfId="20494" xr:uid="{00000000-0005-0000-0000-000008500000}"/>
    <cellStyle name="CurrencyRep 4 3 3" xfId="20495" xr:uid="{00000000-0005-0000-0000-000009500000}"/>
    <cellStyle name="CurrencyRep 4 3 3 2" xfId="20496" xr:uid="{00000000-0005-0000-0000-00000A500000}"/>
    <cellStyle name="CurrencyRep 4 3 3 2 2" xfId="20497" xr:uid="{00000000-0005-0000-0000-00000B500000}"/>
    <cellStyle name="CurrencyRep 4 3 3 2 3" xfId="20498" xr:uid="{00000000-0005-0000-0000-00000C500000}"/>
    <cellStyle name="CurrencyRep 4 3 3 2 4" xfId="20499" xr:uid="{00000000-0005-0000-0000-00000D500000}"/>
    <cellStyle name="CurrencyRep 4 3 3 2 5" xfId="20500" xr:uid="{00000000-0005-0000-0000-00000E500000}"/>
    <cellStyle name="CurrencyRep 4 3 3 2 6" xfId="20501" xr:uid="{00000000-0005-0000-0000-00000F500000}"/>
    <cellStyle name="CurrencyRep 4 3 3 3" xfId="20502" xr:uid="{00000000-0005-0000-0000-000010500000}"/>
    <cellStyle name="CurrencyRep 4 3 3 4" xfId="20503" xr:uid="{00000000-0005-0000-0000-000011500000}"/>
    <cellStyle name="CurrencyRep 4 3 3 5" xfId="20504" xr:uid="{00000000-0005-0000-0000-000012500000}"/>
    <cellStyle name="CurrencyRep 4 3 3 6" xfId="20505" xr:uid="{00000000-0005-0000-0000-000013500000}"/>
    <cellStyle name="CurrencyRep 4 3 4" xfId="20506" xr:uid="{00000000-0005-0000-0000-000014500000}"/>
    <cellStyle name="CurrencyRep 4 3 4 2" xfId="20507" xr:uid="{00000000-0005-0000-0000-000015500000}"/>
    <cellStyle name="CurrencyRep 4 3 4 3" xfId="20508" xr:uid="{00000000-0005-0000-0000-000016500000}"/>
    <cellStyle name="CurrencyRep 4 3 4 4" xfId="20509" xr:uid="{00000000-0005-0000-0000-000017500000}"/>
    <cellStyle name="CurrencyRep 4 3 4 5" xfId="20510" xr:uid="{00000000-0005-0000-0000-000018500000}"/>
    <cellStyle name="CurrencyRep 4 3 4 6" xfId="20511" xr:uid="{00000000-0005-0000-0000-000019500000}"/>
    <cellStyle name="CurrencyRep 4 3 5" xfId="20512" xr:uid="{00000000-0005-0000-0000-00001A500000}"/>
    <cellStyle name="CurrencyRep 4 3 6" xfId="20513" xr:uid="{00000000-0005-0000-0000-00001B500000}"/>
    <cellStyle name="CurrencyRep 4 3 7" xfId="20514" xr:uid="{00000000-0005-0000-0000-00001C500000}"/>
    <cellStyle name="CurrencyRep 4 3 8" xfId="20515" xr:uid="{00000000-0005-0000-0000-00001D500000}"/>
    <cellStyle name="CurrencyRep 4 4" xfId="20516" xr:uid="{00000000-0005-0000-0000-00001E500000}"/>
    <cellStyle name="CurrencyRep 4 4 2" xfId="20517" xr:uid="{00000000-0005-0000-0000-00001F500000}"/>
    <cellStyle name="CurrencyRep 4 4 2 2" xfId="20518" xr:uid="{00000000-0005-0000-0000-000020500000}"/>
    <cellStyle name="CurrencyRep 4 4 2 2 2" xfId="20519" xr:uid="{00000000-0005-0000-0000-000021500000}"/>
    <cellStyle name="CurrencyRep 4 4 2 2 3" xfId="20520" xr:uid="{00000000-0005-0000-0000-000022500000}"/>
    <cellStyle name="CurrencyRep 4 4 2 2 4" xfId="20521" xr:uid="{00000000-0005-0000-0000-000023500000}"/>
    <cellStyle name="CurrencyRep 4 4 2 2 5" xfId="20522" xr:uid="{00000000-0005-0000-0000-000024500000}"/>
    <cellStyle name="CurrencyRep 4 4 2 2 6" xfId="20523" xr:uid="{00000000-0005-0000-0000-000025500000}"/>
    <cellStyle name="CurrencyRep 4 4 2 3" xfId="20524" xr:uid="{00000000-0005-0000-0000-000026500000}"/>
    <cellStyle name="CurrencyRep 4 4 2 4" xfId="20525" xr:uid="{00000000-0005-0000-0000-000027500000}"/>
    <cellStyle name="CurrencyRep 4 4 2 5" xfId="20526" xr:uid="{00000000-0005-0000-0000-000028500000}"/>
    <cellStyle name="CurrencyRep 4 4 2 6" xfId="20527" xr:uid="{00000000-0005-0000-0000-000029500000}"/>
    <cellStyle name="CurrencyRep 4 4 3" xfId="20528" xr:uid="{00000000-0005-0000-0000-00002A500000}"/>
    <cellStyle name="CurrencyRep 4 4 3 2" xfId="20529" xr:uid="{00000000-0005-0000-0000-00002B500000}"/>
    <cellStyle name="CurrencyRep 4 4 3 2 2" xfId="20530" xr:uid="{00000000-0005-0000-0000-00002C500000}"/>
    <cellStyle name="CurrencyRep 4 4 3 2 3" xfId="20531" xr:uid="{00000000-0005-0000-0000-00002D500000}"/>
    <cellStyle name="CurrencyRep 4 4 3 2 4" xfId="20532" xr:uid="{00000000-0005-0000-0000-00002E500000}"/>
    <cellStyle name="CurrencyRep 4 4 3 2 5" xfId="20533" xr:uid="{00000000-0005-0000-0000-00002F500000}"/>
    <cellStyle name="CurrencyRep 4 4 3 2 6" xfId="20534" xr:uid="{00000000-0005-0000-0000-000030500000}"/>
    <cellStyle name="CurrencyRep 4 4 3 3" xfId="20535" xr:uid="{00000000-0005-0000-0000-000031500000}"/>
    <cellStyle name="CurrencyRep 4 4 3 4" xfId="20536" xr:uid="{00000000-0005-0000-0000-000032500000}"/>
    <cellStyle name="CurrencyRep 4 4 3 5" xfId="20537" xr:uid="{00000000-0005-0000-0000-000033500000}"/>
    <cellStyle name="CurrencyRep 4 4 3 6" xfId="20538" xr:uid="{00000000-0005-0000-0000-000034500000}"/>
    <cellStyle name="CurrencyRep 4 4 4" xfId="20539" xr:uid="{00000000-0005-0000-0000-000035500000}"/>
    <cellStyle name="CurrencyRep 4 4 4 2" xfId="20540" xr:uid="{00000000-0005-0000-0000-000036500000}"/>
    <cellStyle name="CurrencyRep 4 4 4 3" xfId="20541" xr:uid="{00000000-0005-0000-0000-000037500000}"/>
    <cellStyle name="CurrencyRep 4 4 4 4" xfId="20542" xr:uid="{00000000-0005-0000-0000-000038500000}"/>
    <cellStyle name="CurrencyRep 4 4 4 5" xfId="20543" xr:uid="{00000000-0005-0000-0000-000039500000}"/>
    <cellStyle name="CurrencyRep 4 4 4 6" xfId="20544" xr:uid="{00000000-0005-0000-0000-00003A500000}"/>
    <cellStyle name="CurrencyRep 4 4 5" xfId="20545" xr:uid="{00000000-0005-0000-0000-00003B500000}"/>
    <cellStyle name="CurrencyRep 4 4 6" xfId="20546" xr:uid="{00000000-0005-0000-0000-00003C500000}"/>
    <cellStyle name="CurrencyRep 4 4 7" xfId="20547" xr:uid="{00000000-0005-0000-0000-00003D500000}"/>
    <cellStyle name="CurrencyRep 4 4 8" xfId="20548" xr:uid="{00000000-0005-0000-0000-00003E500000}"/>
    <cellStyle name="CurrencyRep 4 5" xfId="20549" xr:uid="{00000000-0005-0000-0000-00003F500000}"/>
    <cellStyle name="CurrencyRep 4 5 2" xfId="20550" xr:uid="{00000000-0005-0000-0000-000040500000}"/>
    <cellStyle name="CurrencyRep 4 5 2 2" xfId="20551" xr:uid="{00000000-0005-0000-0000-000041500000}"/>
    <cellStyle name="CurrencyRep 4 5 2 2 2" xfId="20552" xr:uid="{00000000-0005-0000-0000-000042500000}"/>
    <cellStyle name="CurrencyRep 4 5 2 2 3" xfId="20553" xr:uid="{00000000-0005-0000-0000-000043500000}"/>
    <cellStyle name="CurrencyRep 4 5 2 2 4" xfId="20554" xr:uid="{00000000-0005-0000-0000-000044500000}"/>
    <cellStyle name="CurrencyRep 4 5 2 2 5" xfId="20555" xr:uid="{00000000-0005-0000-0000-000045500000}"/>
    <cellStyle name="CurrencyRep 4 5 2 2 6" xfId="20556" xr:uid="{00000000-0005-0000-0000-000046500000}"/>
    <cellStyle name="CurrencyRep 4 5 2 3" xfId="20557" xr:uid="{00000000-0005-0000-0000-000047500000}"/>
    <cellStyle name="CurrencyRep 4 5 2 4" xfId="20558" xr:uid="{00000000-0005-0000-0000-000048500000}"/>
    <cellStyle name="CurrencyRep 4 5 2 5" xfId="20559" xr:uid="{00000000-0005-0000-0000-000049500000}"/>
    <cellStyle name="CurrencyRep 4 5 2 6" xfId="20560" xr:uid="{00000000-0005-0000-0000-00004A500000}"/>
    <cellStyle name="CurrencyRep 4 5 3" xfId="20561" xr:uid="{00000000-0005-0000-0000-00004B500000}"/>
    <cellStyle name="CurrencyRep 4 5 3 2" xfId="20562" xr:uid="{00000000-0005-0000-0000-00004C500000}"/>
    <cellStyle name="CurrencyRep 4 5 3 2 2" xfId="20563" xr:uid="{00000000-0005-0000-0000-00004D500000}"/>
    <cellStyle name="CurrencyRep 4 5 3 2 3" xfId="20564" xr:uid="{00000000-0005-0000-0000-00004E500000}"/>
    <cellStyle name="CurrencyRep 4 5 3 2 4" xfId="20565" xr:uid="{00000000-0005-0000-0000-00004F500000}"/>
    <cellStyle name="CurrencyRep 4 5 3 2 5" xfId="20566" xr:uid="{00000000-0005-0000-0000-000050500000}"/>
    <cellStyle name="CurrencyRep 4 5 3 2 6" xfId="20567" xr:uid="{00000000-0005-0000-0000-000051500000}"/>
    <cellStyle name="CurrencyRep 4 5 3 3" xfId="20568" xr:uid="{00000000-0005-0000-0000-000052500000}"/>
    <cellStyle name="CurrencyRep 4 5 3 4" xfId="20569" xr:uid="{00000000-0005-0000-0000-000053500000}"/>
    <cellStyle name="CurrencyRep 4 5 3 5" xfId="20570" xr:uid="{00000000-0005-0000-0000-000054500000}"/>
    <cellStyle name="CurrencyRep 4 5 3 6" xfId="20571" xr:uid="{00000000-0005-0000-0000-000055500000}"/>
    <cellStyle name="CurrencyRep 4 5 4" xfId="20572" xr:uid="{00000000-0005-0000-0000-000056500000}"/>
    <cellStyle name="CurrencyRep 4 5 4 2" xfId="20573" xr:uid="{00000000-0005-0000-0000-000057500000}"/>
    <cellStyle name="CurrencyRep 4 5 4 3" xfId="20574" xr:uid="{00000000-0005-0000-0000-000058500000}"/>
    <cellStyle name="CurrencyRep 4 5 4 4" xfId="20575" xr:uid="{00000000-0005-0000-0000-000059500000}"/>
    <cellStyle name="CurrencyRep 4 5 4 5" xfId="20576" xr:uid="{00000000-0005-0000-0000-00005A500000}"/>
    <cellStyle name="CurrencyRep 4 5 4 6" xfId="20577" xr:uid="{00000000-0005-0000-0000-00005B500000}"/>
    <cellStyle name="CurrencyRep 4 5 5" xfId="20578" xr:uid="{00000000-0005-0000-0000-00005C500000}"/>
    <cellStyle name="CurrencyRep 4 5 6" xfId="20579" xr:uid="{00000000-0005-0000-0000-00005D500000}"/>
    <cellStyle name="CurrencyRep 4 5 7" xfId="20580" xr:uid="{00000000-0005-0000-0000-00005E500000}"/>
    <cellStyle name="CurrencyRep 4 5 8" xfId="20581" xr:uid="{00000000-0005-0000-0000-00005F500000}"/>
    <cellStyle name="CurrencyRep 4 6" xfId="20582" xr:uid="{00000000-0005-0000-0000-000060500000}"/>
    <cellStyle name="CurrencyRep 4 6 2" xfId="20583" xr:uid="{00000000-0005-0000-0000-000061500000}"/>
    <cellStyle name="CurrencyRep 4 6 2 2" xfId="20584" xr:uid="{00000000-0005-0000-0000-000062500000}"/>
    <cellStyle name="CurrencyRep 4 6 2 2 2" xfId="20585" xr:uid="{00000000-0005-0000-0000-000063500000}"/>
    <cellStyle name="CurrencyRep 4 6 2 2 3" xfId="20586" xr:uid="{00000000-0005-0000-0000-000064500000}"/>
    <cellStyle name="CurrencyRep 4 6 2 2 4" xfId="20587" xr:uid="{00000000-0005-0000-0000-000065500000}"/>
    <cellStyle name="CurrencyRep 4 6 2 2 5" xfId="20588" xr:uid="{00000000-0005-0000-0000-000066500000}"/>
    <cellStyle name="CurrencyRep 4 6 2 2 6" xfId="20589" xr:uid="{00000000-0005-0000-0000-000067500000}"/>
    <cellStyle name="CurrencyRep 4 6 2 3" xfId="20590" xr:uid="{00000000-0005-0000-0000-000068500000}"/>
    <cellStyle name="CurrencyRep 4 6 2 4" xfId="20591" xr:uid="{00000000-0005-0000-0000-000069500000}"/>
    <cellStyle name="CurrencyRep 4 6 2 5" xfId="20592" xr:uid="{00000000-0005-0000-0000-00006A500000}"/>
    <cellStyle name="CurrencyRep 4 6 2 6" xfId="20593" xr:uid="{00000000-0005-0000-0000-00006B500000}"/>
    <cellStyle name="CurrencyRep 4 6 3" xfId="20594" xr:uid="{00000000-0005-0000-0000-00006C500000}"/>
    <cellStyle name="CurrencyRep 4 6 3 2" xfId="20595" xr:uid="{00000000-0005-0000-0000-00006D500000}"/>
    <cellStyle name="CurrencyRep 4 6 3 2 2" xfId="20596" xr:uid="{00000000-0005-0000-0000-00006E500000}"/>
    <cellStyle name="CurrencyRep 4 6 3 2 3" xfId="20597" xr:uid="{00000000-0005-0000-0000-00006F500000}"/>
    <cellStyle name="CurrencyRep 4 6 3 2 4" xfId="20598" xr:uid="{00000000-0005-0000-0000-000070500000}"/>
    <cellStyle name="CurrencyRep 4 6 3 2 5" xfId="20599" xr:uid="{00000000-0005-0000-0000-000071500000}"/>
    <cellStyle name="CurrencyRep 4 6 3 2 6" xfId="20600" xr:uid="{00000000-0005-0000-0000-000072500000}"/>
    <cellStyle name="CurrencyRep 4 6 3 3" xfId="20601" xr:uid="{00000000-0005-0000-0000-000073500000}"/>
    <cellStyle name="CurrencyRep 4 6 3 4" xfId="20602" xr:uid="{00000000-0005-0000-0000-000074500000}"/>
    <cellStyle name="CurrencyRep 4 6 3 5" xfId="20603" xr:uid="{00000000-0005-0000-0000-000075500000}"/>
    <cellStyle name="CurrencyRep 4 6 3 6" xfId="20604" xr:uid="{00000000-0005-0000-0000-000076500000}"/>
    <cellStyle name="CurrencyRep 4 6 4" xfId="20605" xr:uid="{00000000-0005-0000-0000-000077500000}"/>
    <cellStyle name="CurrencyRep 4 6 4 2" xfId="20606" xr:uid="{00000000-0005-0000-0000-000078500000}"/>
    <cellStyle name="CurrencyRep 4 6 4 3" xfId="20607" xr:uid="{00000000-0005-0000-0000-000079500000}"/>
    <cellStyle name="CurrencyRep 4 6 4 4" xfId="20608" xr:uid="{00000000-0005-0000-0000-00007A500000}"/>
    <cellStyle name="CurrencyRep 4 6 4 5" xfId="20609" xr:uid="{00000000-0005-0000-0000-00007B500000}"/>
    <cellStyle name="CurrencyRep 4 6 4 6" xfId="20610" xr:uid="{00000000-0005-0000-0000-00007C500000}"/>
    <cellStyle name="CurrencyRep 4 6 5" xfId="20611" xr:uid="{00000000-0005-0000-0000-00007D500000}"/>
    <cellStyle name="CurrencyRep 4 6 6" xfId="20612" xr:uid="{00000000-0005-0000-0000-00007E500000}"/>
    <cellStyle name="CurrencyRep 4 6 7" xfId="20613" xr:uid="{00000000-0005-0000-0000-00007F500000}"/>
    <cellStyle name="CurrencyRep 4 6 8" xfId="20614" xr:uid="{00000000-0005-0000-0000-000080500000}"/>
    <cellStyle name="CurrencyRep 4 7" xfId="20615" xr:uid="{00000000-0005-0000-0000-000081500000}"/>
    <cellStyle name="CurrencyRep 4 7 2" xfId="20616" xr:uid="{00000000-0005-0000-0000-000082500000}"/>
    <cellStyle name="CurrencyRep 4 7 2 2" xfId="20617" xr:uid="{00000000-0005-0000-0000-000083500000}"/>
    <cellStyle name="CurrencyRep 4 7 2 3" xfId="20618" xr:uid="{00000000-0005-0000-0000-000084500000}"/>
    <cellStyle name="CurrencyRep 4 7 2 4" xfId="20619" xr:uid="{00000000-0005-0000-0000-000085500000}"/>
    <cellStyle name="CurrencyRep 4 7 2 5" xfId="20620" xr:uid="{00000000-0005-0000-0000-000086500000}"/>
    <cellStyle name="CurrencyRep 4 7 2 6" xfId="20621" xr:uid="{00000000-0005-0000-0000-000087500000}"/>
    <cellStyle name="CurrencyRep 4 7 3" xfId="20622" xr:uid="{00000000-0005-0000-0000-000088500000}"/>
    <cellStyle name="CurrencyRep 4 7 4" xfId="20623" xr:uid="{00000000-0005-0000-0000-000089500000}"/>
    <cellStyle name="CurrencyRep 4 7 5" xfId="20624" xr:uid="{00000000-0005-0000-0000-00008A500000}"/>
    <cellStyle name="CurrencyRep 4 7 6" xfId="20625" xr:uid="{00000000-0005-0000-0000-00008B500000}"/>
    <cellStyle name="CurrencyRep 4 8" xfId="20626" xr:uid="{00000000-0005-0000-0000-00008C500000}"/>
    <cellStyle name="CurrencyRep 4 8 2" xfId="20627" xr:uid="{00000000-0005-0000-0000-00008D500000}"/>
    <cellStyle name="CurrencyRep 4 8 2 2" xfId="20628" xr:uid="{00000000-0005-0000-0000-00008E500000}"/>
    <cellStyle name="CurrencyRep 4 8 2 3" xfId="20629" xr:uid="{00000000-0005-0000-0000-00008F500000}"/>
    <cellStyle name="CurrencyRep 4 8 2 4" xfId="20630" xr:uid="{00000000-0005-0000-0000-000090500000}"/>
    <cellStyle name="CurrencyRep 4 8 2 5" xfId="20631" xr:uid="{00000000-0005-0000-0000-000091500000}"/>
    <cellStyle name="CurrencyRep 4 8 2 6" xfId="20632" xr:uid="{00000000-0005-0000-0000-000092500000}"/>
    <cellStyle name="CurrencyRep 4 8 3" xfId="20633" xr:uid="{00000000-0005-0000-0000-000093500000}"/>
    <cellStyle name="CurrencyRep 4 8 4" xfId="20634" xr:uid="{00000000-0005-0000-0000-000094500000}"/>
    <cellStyle name="CurrencyRep 4 8 5" xfId="20635" xr:uid="{00000000-0005-0000-0000-000095500000}"/>
    <cellStyle name="CurrencyRep 4 8 6" xfId="20636" xr:uid="{00000000-0005-0000-0000-000096500000}"/>
    <cellStyle name="CurrencyRep 4 9" xfId="20637" xr:uid="{00000000-0005-0000-0000-000097500000}"/>
    <cellStyle name="CurrencyRep 4 9 2" xfId="20638" xr:uid="{00000000-0005-0000-0000-000098500000}"/>
    <cellStyle name="CurrencyRep 4 9 3" xfId="20639" xr:uid="{00000000-0005-0000-0000-000099500000}"/>
    <cellStyle name="CurrencyRep 4 9 4" xfId="20640" xr:uid="{00000000-0005-0000-0000-00009A500000}"/>
    <cellStyle name="CurrencyRep 4 9 5" xfId="20641" xr:uid="{00000000-0005-0000-0000-00009B500000}"/>
    <cellStyle name="CurrencyRep 4 9 6" xfId="20642" xr:uid="{00000000-0005-0000-0000-00009C500000}"/>
    <cellStyle name="CurrencyRep 5" xfId="20643" xr:uid="{00000000-0005-0000-0000-00009D500000}"/>
    <cellStyle name="CurrencyRep 5 2" xfId="20644" xr:uid="{00000000-0005-0000-0000-00009E500000}"/>
    <cellStyle name="CurrencyRep 5 2 2" xfId="20645" xr:uid="{00000000-0005-0000-0000-00009F500000}"/>
    <cellStyle name="CurrencyRep 5 2 2 2" xfId="20646" xr:uid="{00000000-0005-0000-0000-0000A0500000}"/>
    <cellStyle name="CurrencyRep 5 2 2 3" xfId="20647" xr:uid="{00000000-0005-0000-0000-0000A1500000}"/>
    <cellStyle name="CurrencyRep 5 2 2 4" xfId="20648" xr:uid="{00000000-0005-0000-0000-0000A2500000}"/>
    <cellStyle name="CurrencyRep 5 2 2 5" xfId="20649" xr:uid="{00000000-0005-0000-0000-0000A3500000}"/>
    <cellStyle name="CurrencyRep 5 2 2 6" xfId="20650" xr:uid="{00000000-0005-0000-0000-0000A4500000}"/>
    <cellStyle name="CurrencyRep 5 2 3" xfId="20651" xr:uid="{00000000-0005-0000-0000-0000A5500000}"/>
    <cellStyle name="CurrencyRep 5 2 4" xfId="20652" xr:uid="{00000000-0005-0000-0000-0000A6500000}"/>
    <cellStyle name="CurrencyRep 5 2 5" xfId="20653" xr:uid="{00000000-0005-0000-0000-0000A7500000}"/>
    <cellStyle name="CurrencyRep 5 2 6" xfId="20654" xr:uid="{00000000-0005-0000-0000-0000A8500000}"/>
    <cellStyle name="CurrencyRep 5 3" xfId="20655" xr:uid="{00000000-0005-0000-0000-0000A9500000}"/>
    <cellStyle name="CurrencyRep 5 3 2" xfId="20656" xr:uid="{00000000-0005-0000-0000-0000AA500000}"/>
    <cellStyle name="CurrencyRep 5 3 2 2" xfId="20657" xr:uid="{00000000-0005-0000-0000-0000AB500000}"/>
    <cellStyle name="CurrencyRep 5 3 2 3" xfId="20658" xr:uid="{00000000-0005-0000-0000-0000AC500000}"/>
    <cellStyle name="CurrencyRep 5 3 2 4" xfId="20659" xr:uid="{00000000-0005-0000-0000-0000AD500000}"/>
    <cellStyle name="CurrencyRep 5 3 2 5" xfId="20660" xr:uid="{00000000-0005-0000-0000-0000AE500000}"/>
    <cellStyle name="CurrencyRep 5 3 2 6" xfId="20661" xr:uid="{00000000-0005-0000-0000-0000AF500000}"/>
    <cellStyle name="CurrencyRep 5 3 3" xfId="20662" xr:uid="{00000000-0005-0000-0000-0000B0500000}"/>
    <cellStyle name="CurrencyRep 5 3 4" xfId="20663" xr:uid="{00000000-0005-0000-0000-0000B1500000}"/>
    <cellStyle name="CurrencyRep 5 3 5" xfId="20664" xr:uid="{00000000-0005-0000-0000-0000B2500000}"/>
    <cellStyle name="CurrencyRep 5 3 6" xfId="20665" xr:uid="{00000000-0005-0000-0000-0000B3500000}"/>
    <cellStyle name="CurrencyRep 5 4" xfId="20666" xr:uid="{00000000-0005-0000-0000-0000B4500000}"/>
    <cellStyle name="CurrencyRep 5 4 2" xfId="20667" xr:uid="{00000000-0005-0000-0000-0000B5500000}"/>
    <cellStyle name="CurrencyRep 5 4 3" xfId="20668" xr:uid="{00000000-0005-0000-0000-0000B6500000}"/>
    <cellStyle name="CurrencyRep 5 4 4" xfId="20669" xr:uid="{00000000-0005-0000-0000-0000B7500000}"/>
    <cellStyle name="CurrencyRep 5 4 5" xfId="20670" xr:uid="{00000000-0005-0000-0000-0000B8500000}"/>
    <cellStyle name="CurrencyRep 5 4 6" xfId="20671" xr:uid="{00000000-0005-0000-0000-0000B9500000}"/>
    <cellStyle name="CurrencyRep 5 5" xfId="20672" xr:uid="{00000000-0005-0000-0000-0000BA500000}"/>
    <cellStyle name="CurrencyRep 5 6" xfId="20673" xr:uid="{00000000-0005-0000-0000-0000BB500000}"/>
    <cellStyle name="CurrencyRep 5 7" xfId="20674" xr:uid="{00000000-0005-0000-0000-0000BC500000}"/>
    <cellStyle name="CurrencyRep 5 8" xfId="20675" xr:uid="{00000000-0005-0000-0000-0000BD500000}"/>
    <cellStyle name="CurrencyRep 6" xfId="20676" xr:uid="{00000000-0005-0000-0000-0000BE500000}"/>
    <cellStyle name="CurrencyRep 6 2" xfId="20677" xr:uid="{00000000-0005-0000-0000-0000BF500000}"/>
    <cellStyle name="CurrencyRep 6 2 2" xfId="20678" xr:uid="{00000000-0005-0000-0000-0000C0500000}"/>
    <cellStyle name="CurrencyRep 6 2 2 2" xfId="20679" xr:uid="{00000000-0005-0000-0000-0000C1500000}"/>
    <cellStyle name="CurrencyRep 6 2 2 3" xfId="20680" xr:uid="{00000000-0005-0000-0000-0000C2500000}"/>
    <cellStyle name="CurrencyRep 6 2 2 4" xfId="20681" xr:uid="{00000000-0005-0000-0000-0000C3500000}"/>
    <cellStyle name="CurrencyRep 6 2 2 5" xfId="20682" xr:uid="{00000000-0005-0000-0000-0000C4500000}"/>
    <cellStyle name="CurrencyRep 6 2 2 6" xfId="20683" xr:uid="{00000000-0005-0000-0000-0000C5500000}"/>
    <cellStyle name="CurrencyRep 6 2 3" xfId="20684" xr:uid="{00000000-0005-0000-0000-0000C6500000}"/>
    <cellStyle name="CurrencyRep 6 2 4" xfId="20685" xr:uid="{00000000-0005-0000-0000-0000C7500000}"/>
    <cellStyle name="CurrencyRep 6 2 5" xfId="20686" xr:uid="{00000000-0005-0000-0000-0000C8500000}"/>
    <cellStyle name="CurrencyRep 6 2 6" xfId="20687" xr:uid="{00000000-0005-0000-0000-0000C9500000}"/>
    <cellStyle name="CurrencyRep 6 3" xfId="20688" xr:uid="{00000000-0005-0000-0000-0000CA500000}"/>
    <cellStyle name="CurrencyRep 6 3 2" xfId="20689" xr:uid="{00000000-0005-0000-0000-0000CB500000}"/>
    <cellStyle name="CurrencyRep 6 3 2 2" xfId="20690" xr:uid="{00000000-0005-0000-0000-0000CC500000}"/>
    <cellStyle name="CurrencyRep 6 3 2 3" xfId="20691" xr:uid="{00000000-0005-0000-0000-0000CD500000}"/>
    <cellStyle name="CurrencyRep 6 3 2 4" xfId="20692" xr:uid="{00000000-0005-0000-0000-0000CE500000}"/>
    <cellStyle name="CurrencyRep 6 3 2 5" xfId="20693" xr:uid="{00000000-0005-0000-0000-0000CF500000}"/>
    <cellStyle name="CurrencyRep 6 3 2 6" xfId="20694" xr:uid="{00000000-0005-0000-0000-0000D0500000}"/>
    <cellStyle name="CurrencyRep 6 3 3" xfId="20695" xr:uid="{00000000-0005-0000-0000-0000D1500000}"/>
    <cellStyle name="CurrencyRep 6 3 4" xfId="20696" xr:uid="{00000000-0005-0000-0000-0000D2500000}"/>
    <cellStyle name="CurrencyRep 6 3 5" xfId="20697" xr:uid="{00000000-0005-0000-0000-0000D3500000}"/>
    <cellStyle name="CurrencyRep 6 3 6" xfId="20698" xr:uid="{00000000-0005-0000-0000-0000D4500000}"/>
    <cellStyle name="CurrencyRep 6 4" xfId="20699" xr:uid="{00000000-0005-0000-0000-0000D5500000}"/>
    <cellStyle name="CurrencyRep 6 4 2" xfId="20700" xr:uid="{00000000-0005-0000-0000-0000D6500000}"/>
    <cellStyle name="CurrencyRep 6 4 3" xfId="20701" xr:uid="{00000000-0005-0000-0000-0000D7500000}"/>
    <cellStyle name="CurrencyRep 6 4 4" xfId="20702" xr:uid="{00000000-0005-0000-0000-0000D8500000}"/>
    <cellStyle name="CurrencyRep 6 4 5" xfId="20703" xr:uid="{00000000-0005-0000-0000-0000D9500000}"/>
    <cellStyle name="CurrencyRep 6 4 6" xfId="20704" xr:uid="{00000000-0005-0000-0000-0000DA500000}"/>
    <cellStyle name="CurrencyRep 6 5" xfId="20705" xr:uid="{00000000-0005-0000-0000-0000DB500000}"/>
    <cellStyle name="CurrencyRep 6 6" xfId="20706" xr:uid="{00000000-0005-0000-0000-0000DC500000}"/>
    <cellStyle name="CurrencyRep 6 7" xfId="20707" xr:uid="{00000000-0005-0000-0000-0000DD500000}"/>
    <cellStyle name="CurrencyRep 6 8" xfId="20708" xr:uid="{00000000-0005-0000-0000-0000DE500000}"/>
    <cellStyle name="CurrencyRep 7" xfId="20709" xr:uid="{00000000-0005-0000-0000-0000DF500000}"/>
    <cellStyle name="CurrencyRep 7 2" xfId="20710" xr:uid="{00000000-0005-0000-0000-0000E0500000}"/>
    <cellStyle name="CurrencyRep 7 2 2" xfId="20711" xr:uid="{00000000-0005-0000-0000-0000E1500000}"/>
    <cellStyle name="CurrencyRep 7 2 2 2" xfId="20712" xr:uid="{00000000-0005-0000-0000-0000E2500000}"/>
    <cellStyle name="CurrencyRep 7 2 2 3" xfId="20713" xr:uid="{00000000-0005-0000-0000-0000E3500000}"/>
    <cellStyle name="CurrencyRep 7 2 2 4" xfId="20714" xr:uid="{00000000-0005-0000-0000-0000E4500000}"/>
    <cellStyle name="CurrencyRep 7 2 2 5" xfId="20715" xr:uid="{00000000-0005-0000-0000-0000E5500000}"/>
    <cellStyle name="CurrencyRep 7 2 2 6" xfId="20716" xr:uid="{00000000-0005-0000-0000-0000E6500000}"/>
    <cellStyle name="CurrencyRep 7 2 3" xfId="20717" xr:uid="{00000000-0005-0000-0000-0000E7500000}"/>
    <cellStyle name="CurrencyRep 7 2 4" xfId="20718" xr:uid="{00000000-0005-0000-0000-0000E8500000}"/>
    <cellStyle name="CurrencyRep 7 2 5" xfId="20719" xr:uid="{00000000-0005-0000-0000-0000E9500000}"/>
    <cellStyle name="CurrencyRep 7 2 6" xfId="20720" xr:uid="{00000000-0005-0000-0000-0000EA500000}"/>
    <cellStyle name="CurrencyRep 7 3" xfId="20721" xr:uid="{00000000-0005-0000-0000-0000EB500000}"/>
    <cellStyle name="CurrencyRep 7 3 2" xfId="20722" xr:uid="{00000000-0005-0000-0000-0000EC500000}"/>
    <cellStyle name="CurrencyRep 7 3 2 2" xfId="20723" xr:uid="{00000000-0005-0000-0000-0000ED500000}"/>
    <cellStyle name="CurrencyRep 7 3 2 3" xfId="20724" xr:uid="{00000000-0005-0000-0000-0000EE500000}"/>
    <cellStyle name="CurrencyRep 7 3 2 4" xfId="20725" xr:uid="{00000000-0005-0000-0000-0000EF500000}"/>
    <cellStyle name="CurrencyRep 7 3 2 5" xfId="20726" xr:uid="{00000000-0005-0000-0000-0000F0500000}"/>
    <cellStyle name="CurrencyRep 7 3 2 6" xfId="20727" xr:uid="{00000000-0005-0000-0000-0000F1500000}"/>
    <cellStyle name="CurrencyRep 7 3 3" xfId="20728" xr:uid="{00000000-0005-0000-0000-0000F2500000}"/>
    <cellStyle name="CurrencyRep 7 3 4" xfId="20729" xr:uid="{00000000-0005-0000-0000-0000F3500000}"/>
    <cellStyle name="CurrencyRep 7 3 5" xfId="20730" xr:uid="{00000000-0005-0000-0000-0000F4500000}"/>
    <cellStyle name="CurrencyRep 7 3 6" xfId="20731" xr:uid="{00000000-0005-0000-0000-0000F5500000}"/>
    <cellStyle name="CurrencyRep 7 4" xfId="20732" xr:uid="{00000000-0005-0000-0000-0000F6500000}"/>
    <cellStyle name="CurrencyRep 7 4 2" xfId="20733" xr:uid="{00000000-0005-0000-0000-0000F7500000}"/>
    <cellStyle name="CurrencyRep 7 4 3" xfId="20734" xr:uid="{00000000-0005-0000-0000-0000F8500000}"/>
    <cellStyle name="CurrencyRep 7 4 4" xfId="20735" xr:uid="{00000000-0005-0000-0000-0000F9500000}"/>
    <cellStyle name="CurrencyRep 7 4 5" xfId="20736" xr:uid="{00000000-0005-0000-0000-0000FA500000}"/>
    <cellStyle name="CurrencyRep 7 4 6" xfId="20737" xr:uid="{00000000-0005-0000-0000-0000FB500000}"/>
    <cellStyle name="CurrencyRep 7 5" xfId="20738" xr:uid="{00000000-0005-0000-0000-0000FC500000}"/>
    <cellStyle name="CurrencyRep 7 6" xfId="20739" xr:uid="{00000000-0005-0000-0000-0000FD500000}"/>
    <cellStyle name="CurrencyRep 7 7" xfId="20740" xr:uid="{00000000-0005-0000-0000-0000FE500000}"/>
    <cellStyle name="CurrencyRep 7 8" xfId="20741" xr:uid="{00000000-0005-0000-0000-0000FF500000}"/>
    <cellStyle name="CurrencyRep 8" xfId="20742" xr:uid="{00000000-0005-0000-0000-000000510000}"/>
    <cellStyle name="CurrencyRep 8 2" xfId="20743" xr:uid="{00000000-0005-0000-0000-000001510000}"/>
    <cellStyle name="CurrencyRep 8 2 2" xfId="20744" xr:uid="{00000000-0005-0000-0000-000002510000}"/>
    <cellStyle name="CurrencyRep 8 2 3" xfId="20745" xr:uid="{00000000-0005-0000-0000-000003510000}"/>
    <cellStyle name="CurrencyRep 8 2 4" xfId="20746" xr:uid="{00000000-0005-0000-0000-000004510000}"/>
    <cellStyle name="CurrencyRep 8 2 5" xfId="20747" xr:uid="{00000000-0005-0000-0000-000005510000}"/>
    <cellStyle name="CurrencyRep 8 2 6" xfId="20748" xr:uid="{00000000-0005-0000-0000-000006510000}"/>
    <cellStyle name="CurrencyRep 8 3" xfId="20749" xr:uid="{00000000-0005-0000-0000-000007510000}"/>
    <cellStyle name="CurrencyRep 8 4" xfId="20750" xr:uid="{00000000-0005-0000-0000-000008510000}"/>
    <cellStyle name="CurrencyRep 8 5" xfId="20751" xr:uid="{00000000-0005-0000-0000-000009510000}"/>
    <cellStyle name="CurrencyRep 8 6" xfId="20752" xr:uid="{00000000-0005-0000-0000-00000A510000}"/>
    <cellStyle name="CurrencyRep 9" xfId="20753" xr:uid="{00000000-0005-0000-0000-00000B510000}"/>
    <cellStyle name="CurrencyRep 9 2" xfId="20754" xr:uid="{00000000-0005-0000-0000-00000C510000}"/>
    <cellStyle name="CurrencyRep 9 2 2" xfId="20755" xr:uid="{00000000-0005-0000-0000-00000D510000}"/>
    <cellStyle name="CurrencyRep 9 2 3" xfId="20756" xr:uid="{00000000-0005-0000-0000-00000E510000}"/>
    <cellStyle name="CurrencyRep 9 2 4" xfId="20757" xr:uid="{00000000-0005-0000-0000-00000F510000}"/>
    <cellStyle name="CurrencyRep 9 2 5" xfId="20758" xr:uid="{00000000-0005-0000-0000-000010510000}"/>
    <cellStyle name="CurrencyRep 9 2 6" xfId="20759" xr:uid="{00000000-0005-0000-0000-000011510000}"/>
    <cellStyle name="CurrencyRep 9 3" xfId="20760" xr:uid="{00000000-0005-0000-0000-000012510000}"/>
    <cellStyle name="CurrencyRep 9 4" xfId="20761" xr:uid="{00000000-0005-0000-0000-000013510000}"/>
    <cellStyle name="CurrencyRep 9 5" xfId="20762" xr:uid="{00000000-0005-0000-0000-000014510000}"/>
    <cellStyle name="CurrencyRep 9 6" xfId="20763" xr:uid="{00000000-0005-0000-0000-000015510000}"/>
    <cellStyle name="CurrencyTot" xfId="20764" xr:uid="{00000000-0005-0000-0000-000016510000}"/>
    <cellStyle name="CurrencyTot 10" xfId="20765" xr:uid="{00000000-0005-0000-0000-000017510000}"/>
    <cellStyle name="CurrencyTot 10 2" xfId="20766" xr:uid="{00000000-0005-0000-0000-000018510000}"/>
    <cellStyle name="CurrencyTot 10 3" xfId="20767" xr:uid="{00000000-0005-0000-0000-000019510000}"/>
    <cellStyle name="CurrencyTot 10 4" xfId="20768" xr:uid="{00000000-0005-0000-0000-00001A510000}"/>
    <cellStyle name="CurrencyTot 10 5" xfId="20769" xr:uid="{00000000-0005-0000-0000-00001B510000}"/>
    <cellStyle name="CurrencyTot 10 6" xfId="20770" xr:uid="{00000000-0005-0000-0000-00001C510000}"/>
    <cellStyle name="CurrencyTot 11" xfId="20771" xr:uid="{00000000-0005-0000-0000-00001D510000}"/>
    <cellStyle name="CurrencyTot 12" xfId="20772" xr:uid="{00000000-0005-0000-0000-00001E510000}"/>
    <cellStyle name="CurrencyTot 13" xfId="20773" xr:uid="{00000000-0005-0000-0000-00001F510000}"/>
    <cellStyle name="CurrencyTot 14" xfId="20774" xr:uid="{00000000-0005-0000-0000-000020510000}"/>
    <cellStyle name="CurrencyTot 2" xfId="20775" xr:uid="{00000000-0005-0000-0000-000021510000}"/>
    <cellStyle name="CurrencyTot 2 10" xfId="20776" xr:uid="{00000000-0005-0000-0000-000022510000}"/>
    <cellStyle name="CurrencyTot 2 11" xfId="20777" xr:uid="{00000000-0005-0000-0000-000023510000}"/>
    <cellStyle name="CurrencyTot 2 12" xfId="20778" xr:uid="{00000000-0005-0000-0000-000024510000}"/>
    <cellStyle name="CurrencyTot 2 13" xfId="20779" xr:uid="{00000000-0005-0000-0000-000025510000}"/>
    <cellStyle name="CurrencyTot 2 2" xfId="20780" xr:uid="{00000000-0005-0000-0000-000026510000}"/>
    <cellStyle name="CurrencyTot 2 2 10" xfId="20781" xr:uid="{00000000-0005-0000-0000-000027510000}"/>
    <cellStyle name="CurrencyTot 2 2 10 2" xfId="20782" xr:uid="{00000000-0005-0000-0000-000028510000}"/>
    <cellStyle name="CurrencyTot 2 2 10 3" xfId="20783" xr:uid="{00000000-0005-0000-0000-000029510000}"/>
    <cellStyle name="CurrencyTot 2 2 10 4" xfId="20784" xr:uid="{00000000-0005-0000-0000-00002A510000}"/>
    <cellStyle name="CurrencyTot 2 2 10 5" xfId="20785" xr:uid="{00000000-0005-0000-0000-00002B510000}"/>
    <cellStyle name="CurrencyTot 2 2 10 6" xfId="20786" xr:uid="{00000000-0005-0000-0000-00002C510000}"/>
    <cellStyle name="CurrencyTot 2 2 11" xfId="20787" xr:uid="{00000000-0005-0000-0000-00002D510000}"/>
    <cellStyle name="CurrencyTot 2 2 12" xfId="20788" xr:uid="{00000000-0005-0000-0000-00002E510000}"/>
    <cellStyle name="CurrencyTot 2 2 13" xfId="20789" xr:uid="{00000000-0005-0000-0000-00002F510000}"/>
    <cellStyle name="CurrencyTot 2 2 14" xfId="20790" xr:uid="{00000000-0005-0000-0000-000030510000}"/>
    <cellStyle name="CurrencyTot 2 2 2" xfId="20791" xr:uid="{00000000-0005-0000-0000-000031510000}"/>
    <cellStyle name="CurrencyTot 2 2 2 10" xfId="20792" xr:uid="{00000000-0005-0000-0000-000032510000}"/>
    <cellStyle name="CurrencyTot 2 2 2 11" xfId="20793" xr:uid="{00000000-0005-0000-0000-000033510000}"/>
    <cellStyle name="CurrencyTot 2 2 2 12" xfId="20794" xr:uid="{00000000-0005-0000-0000-000034510000}"/>
    <cellStyle name="CurrencyTot 2 2 2 13" xfId="20795" xr:uid="{00000000-0005-0000-0000-000035510000}"/>
    <cellStyle name="CurrencyTot 2 2 2 2" xfId="20796" xr:uid="{00000000-0005-0000-0000-000036510000}"/>
    <cellStyle name="CurrencyTot 2 2 2 2 2" xfId="20797" xr:uid="{00000000-0005-0000-0000-000037510000}"/>
    <cellStyle name="CurrencyTot 2 2 2 2 2 2" xfId="20798" xr:uid="{00000000-0005-0000-0000-000038510000}"/>
    <cellStyle name="CurrencyTot 2 2 2 2 2 2 2" xfId="20799" xr:uid="{00000000-0005-0000-0000-000039510000}"/>
    <cellStyle name="CurrencyTot 2 2 2 2 2 2 3" xfId="20800" xr:uid="{00000000-0005-0000-0000-00003A510000}"/>
    <cellStyle name="CurrencyTot 2 2 2 2 2 2 4" xfId="20801" xr:uid="{00000000-0005-0000-0000-00003B510000}"/>
    <cellStyle name="CurrencyTot 2 2 2 2 2 2 5" xfId="20802" xr:uid="{00000000-0005-0000-0000-00003C510000}"/>
    <cellStyle name="CurrencyTot 2 2 2 2 2 2 6" xfId="20803" xr:uid="{00000000-0005-0000-0000-00003D510000}"/>
    <cellStyle name="CurrencyTot 2 2 2 2 2 3" xfId="20804" xr:uid="{00000000-0005-0000-0000-00003E510000}"/>
    <cellStyle name="CurrencyTot 2 2 2 2 2 4" xfId="20805" xr:uid="{00000000-0005-0000-0000-00003F510000}"/>
    <cellStyle name="CurrencyTot 2 2 2 2 2 5" xfId="20806" xr:uid="{00000000-0005-0000-0000-000040510000}"/>
    <cellStyle name="CurrencyTot 2 2 2 2 2 6" xfId="20807" xr:uid="{00000000-0005-0000-0000-000041510000}"/>
    <cellStyle name="CurrencyTot 2 2 2 2 3" xfId="20808" xr:uid="{00000000-0005-0000-0000-000042510000}"/>
    <cellStyle name="CurrencyTot 2 2 2 2 3 2" xfId="20809" xr:uid="{00000000-0005-0000-0000-000043510000}"/>
    <cellStyle name="CurrencyTot 2 2 2 2 3 2 2" xfId="20810" xr:uid="{00000000-0005-0000-0000-000044510000}"/>
    <cellStyle name="CurrencyTot 2 2 2 2 3 2 3" xfId="20811" xr:uid="{00000000-0005-0000-0000-000045510000}"/>
    <cellStyle name="CurrencyTot 2 2 2 2 3 2 4" xfId="20812" xr:uid="{00000000-0005-0000-0000-000046510000}"/>
    <cellStyle name="CurrencyTot 2 2 2 2 3 2 5" xfId="20813" xr:uid="{00000000-0005-0000-0000-000047510000}"/>
    <cellStyle name="CurrencyTot 2 2 2 2 3 2 6" xfId="20814" xr:uid="{00000000-0005-0000-0000-000048510000}"/>
    <cellStyle name="CurrencyTot 2 2 2 2 3 3" xfId="20815" xr:uid="{00000000-0005-0000-0000-000049510000}"/>
    <cellStyle name="CurrencyTot 2 2 2 2 3 4" xfId="20816" xr:uid="{00000000-0005-0000-0000-00004A510000}"/>
    <cellStyle name="CurrencyTot 2 2 2 2 3 5" xfId="20817" xr:uid="{00000000-0005-0000-0000-00004B510000}"/>
    <cellStyle name="CurrencyTot 2 2 2 2 3 6" xfId="20818" xr:uid="{00000000-0005-0000-0000-00004C510000}"/>
    <cellStyle name="CurrencyTot 2 2 2 2 4" xfId="20819" xr:uid="{00000000-0005-0000-0000-00004D510000}"/>
    <cellStyle name="CurrencyTot 2 2 2 2 4 2" xfId="20820" xr:uid="{00000000-0005-0000-0000-00004E510000}"/>
    <cellStyle name="CurrencyTot 2 2 2 2 4 3" xfId="20821" xr:uid="{00000000-0005-0000-0000-00004F510000}"/>
    <cellStyle name="CurrencyTot 2 2 2 2 4 4" xfId="20822" xr:uid="{00000000-0005-0000-0000-000050510000}"/>
    <cellStyle name="CurrencyTot 2 2 2 2 4 5" xfId="20823" xr:uid="{00000000-0005-0000-0000-000051510000}"/>
    <cellStyle name="CurrencyTot 2 2 2 2 4 6" xfId="20824" xr:uid="{00000000-0005-0000-0000-000052510000}"/>
    <cellStyle name="CurrencyTot 2 2 2 2 5" xfId="20825" xr:uid="{00000000-0005-0000-0000-000053510000}"/>
    <cellStyle name="CurrencyTot 2 2 2 2 6" xfId="20826" xr:uid="{00000000-0005-0000-0000-000054510000}"/>
    <cellStyle name="CurrencyTot 2 2 2 2 7" xfId="20827" xr:uid="{00000000-0005-0000-0000-000055510000}"/>
    <cellStyle name="CurrencyTot 2 2 2 2 8" xfId="20828" xr:uid="{00000000-0005-0000-0000-000056510000}"/>
    <cellStyle name="CurrencyTot 2 2 2 3" xfId="20829" xr:uid="{00000000-0005-0000-0000-000057510000}"/>
    <cellStyle name="CurrencyTot 2 2 2 3 2" xfId="20830" xr:uid="{00000000-0005-0000-0000-000058510000}"/>
    <cellStyle name="CurrencyTot 2 2 2 3 2 2" xfId="20831" xr:uid="{00000000-0005-0000-0000-000059510000}"/>
    <cellStyle name="CurrencyTot 2 2 2 3 2 2 2" xfId="20832" xr:uid="{00000000-0005-0000-0000-00005A510000}"/>
    <cellStyle name="CurrencyTot 2 2 2 3 2 2 3" xfId="20833" xr:uid="{00000000-0005-0000-0000-00005B510000}"/>
    <cellStyle name="CurrencyTot 2 2 2 3 2 2 4" xfId="20834" xr:uid="{00000000-0005-0000-0000-00005C510000}"/>
    <cellStyle name="CurrencyTot 2 2 2 3 2 2 5" xfId="20835" xr:uid="{00000000-0005-0000-0000-00005D510000}"/>
    <cellStyle name="CurrencyTot 2 2 2 3 2 2 6" xfId="20836" xr:uid="{00000000-0005-0000-0000-00005E510000}"/>
    <cellStyle name="CurrencyTot 2 2 2 3 2 3" xfId="20837" xr:uid="{00000000-0005-0000-0000-00005F510000}"/>
    <cellStyle name="CurrencyTot 2 2 2 3 2 4" xfId="20838" xr:uid="{00000000-0005-0000-0000-000060510000}"/>
    <cellStyle name="CurrencyTot 2 2 2 3 2 5" xfId="20839" xr:uid="{00000000-0005-0000-0000-000061510000}"/>
    <cellStyle name="CurrencyTot 2 2 2 3 2 6" xfId="20840" xr:uid="{00000000-0005-0000-0000-000062510000}"/>
    <cellStyle name="CurrencyTot 2 2 2 3 3" xfId="20841" xr:uid="{00000000-0005-0000-0000-000063510000}"/>
    <cellStyle name="CurrencyTot 2 2 2 3 3 2" xfId="20842" xr:uid="{00000000-0005-0000-0000-000064510000}"/>
    <cellStyle name="CurrencyTot 2 2 2 3 3 2 2" xfId="20843" xr:uid="{00000000-0005-0000-0000-000065510000}"/>
    <cellStyle name="CurrencyTot 2 2 2 3 3 2 3" xfId="20844" xr:uid="{00000000-0005-0000-0000-000066510000}"/>
    <cellStyle name="CurrencyTot 2 2 2 3 3 2 4" xfId="20845" xr:uid="{00000000-0005-0000-0000-000067510000}"/>
    <cellStyle name="CurrencyTot 2 2 2 3 3 2 5" xfId="20846" xr:uid="{00000000-0005-0000-0000-000068510000}"/>
    <cellStyle name="CurrencyTot 2 2 2 3 3 2 6" xfId="20847" xr:uid="{00000000-0005-0000-0000-000069510000}"/>
    <cellStyle name="CurrencyTot 2 2 2 3 3 3" xfId="20848" xr:uid="{00000000-0005-0000-0000-00006A510000}"/>
    <cellStyle name="CurrencyTot 2 2 2 3 3 4" xfId="20849" xr:uid="{00000000-0005-0000-0000-00006B510000}"/>
    <cellStyle name="CurrencyTot 2 2 2 3 3 5" xfId="20850" xr:uid="{00000000-0005-0000-0000-00006C510000}"/>
    <cellStyle name="CurrencyTot 2 2 2 3 3 6" xfId="20851" xr:uid="{00000000-0005-0000-0000-00006D510000}"/>
    <cellStyle name="CurrencyTot 2 2 2 3 4" xfId="20852" xr:uid="{00000000-0005-0000-0000-00006E510000}"/>
    <cellStyle name="CurrencyTot 2 2 2 3 4 2" xfId="20853" xr:uid="{00000000-0005-0000-0000-00006F510000}"/>
    <cellStyle name="CurrencyTot 2 2 2 3 4 3" xfId="20854" xr:uid="{00000000-0005-0000-0000-000070510000}"/>
    <cellStyle name="CurrencyTot 2 2 2 3 4 4" xfId="20855" xr:uid="{00000000-0005-0000-0000-000071510000}"/>
    <cellStyle name="CurrencyTot 2 2 2 3 4 5" xfId="20856" xr:uid="{00000000-0005-0000-0000-000072510000}"/>
    <cellStyle name="CurrencyTot 2 2 2 3 4 6" xfId="20857" xr:uid="{00000000-0005-0000-0000-000073510000}"/>
    <cellStyle name="CurrencyTot 2 2 2 3 5" xfId="20858" xr:uid="{00000000-0005-0000-0000-000074510000}"/>
    <cellStyle name="CurrencyTot 2 2 2 3 6" xfId="20859" xr:uid="{00000000-0005-0000-0000-000075510000}"/>
    <cellStyle name="CurrencyTot 2 2 2 3 7" xfId="20860" xr:uid="{00000000-0005-0000-0000-000076510000}"/>
    <cellStyle name="CurrencyTot 2 2 2 3 8" xfId="20861" xr:uid="{00000000-0005-0000-0000-000077510000}"/>
    <cellStyle name="CurrencyTot 2 2 2 4" xfId="20862" xr:uid="{00000000-0005-0000-0000-000078510000}"/>
    <cellStyle name="CurrencyTot 2 2 2 4 2" xfId="20863" xr:uid="{00000000-0005-0000-0000-000079510000}"/>
    <cellStyle name="CurrencyTot 2 2 2 4 2 2" xfId="20864" xr:uid="{00000000-0005-0000-0000-00007A510000}"/>
    <cellStyle name="CurrencyTot 2 2 2 4 2 2 2" xfId="20865" xr:uid="{00000000-0005-0000-0000-00007B510000}"/>
    <cellStyle name="CurrencyTot 2 2 2 4 2 2 3" xfId="20866" xr:uid="{00000000-0005-0000-0000-00007C510000}"/>
    <cellStyle name="CurrencyTot 2 2 2 4 2 2 4" xfId="20867" xr:uid="{00000000-0005-0000-0000-00007D510000}"/>
    <cellStyle name="CurrencyTot 2 2 2 4 2 2 5" xfId="20868" xr:uid="{00000000-0005-0000-0000-00007E510000}"/>
    <cellStyle name="CurrencyTot 2 2 2 4 2 2 6" xfId="20869" xr:uid="{00000000-0005-0000-0000-00007F510000}"/>
    <cellStyle name="CurrencyTot 2 2 2 4 2 3" xfId="20870" xr:uid="{00000000-0005-0000-0000-000080510000}"/>
    <cellStyle name="CurrencyTot 2 2 2 4 2 4" xfId="20871" xr:uid="{00000000-0005-0000-0000-000081510000}"/>
    <cellStyle name="CurrencyTot 2 2 2 4 2 5" xfId="20872" xr:uid="{00000000-0005-0000-0000-000082510000}"/>
    <cellStyle name="CurrencyTot 2 2 2 4 2 6" xfId="20873" xr:uid="{00000000-0005-0000-0000-000083510000}"/>
    <cellStyle name="CurrencyTot 2 2 2 4 3" xfId="20874" xr:uid="{00000000-0005-0000-0000-000084510000}"/>
    <cellStyle name="CurrencyTot 2 2 2 4 3 2" xfId="20875" xr:uid="{00000000-0005-0000-0000-000085510000}"/>
    <cellStyle name="CurrencyTot 2 2 2 4 3 2 2" xfId="20876" xr:uid="{00000000-0005-0000-0000-000086510000}"/>
    <cellStyle name="CurrencyTot 2 2 2 4 3 2 3" xfId="20877" xr:uid="{00000000-0005-0000-0000-000087510000}"/>
    <cellStyle name="CurrencyTot 2 2 2 4 3 2 4" xfId="20878" xr:uid="{00000000-0005-0000-0000-000088510000}"/>
    <cellStyle name="CurrencyTot 2 2 2 4 3 2 5" xfId="20879" xr:uid="{00000000-0005-0000-0000-000089510000}"/>
    <cellStyle name="CurrencyTot 2 2 2 4 3 2 6" xfId="20880" xr:uid="{00000000-0005-0000-0000-00008A510000}"/>
    <cellStyle name="CurrencyTot 2 2 2 4 3 3" xfId="20881" xr:uid="{00000000-0005-0000-0000-00008B510000}"/>
    <cellStyle name="CurrencyTot 2 2 2 4 3 4" xfId="20882" xr:uid="{00000000-0005-0000-0000-00008C510000}"/>
    <cellStyle name="CurrencyTot 2 2 2 4 3 5" xfId="20883" xr:uid="{00000000-0005-0000-0000-00008D510000}"/>
    <cellStyle name="CurrencyTot 2 2 2 4 3 6" xfId="20884" xr:uid="{00000000-0005-0000-0000-00008E510000}"/>
    <cellStyle name="CurrencyTot 2 2 2 4 4" xfId="20885" xr:uid="{00000000-0005-0000-0000-00008F510000}"/>
    <cellStyle name="CurrencyTot 2 2 2 4 4 2" xfId="20886" xr:uid="{00000000-0005-0000-0000-000090510000}"/>
    <cellStyle name="CurrencyTot 2 2 2 4 4 3" xfId="20887" xr:uid="{00000000-0005-0000-0000-000091510000}"/>
    <cellStyle name="CurrencyTot 2 2 2 4 4 4" xfId="20888" xr:uid="{00000000-0005-0000-0000-000092510000}"/>
    <cellStyle name="CurrencyTot 2 2 2 4 4 5" xfId="20889" xr:uid="{00000000-0005-0000-0000-000093510000}"/>
    <cellStyle name="CurrencyTot 2 2 2 4 4 6" xfId="20890" xr:uid="{00000000-0005-0000-0000-000094510000}"/>
    <cellStyle name="CurrencyTot 2 2 2 4 5" xfId="20891" xr:uid="{00000000-0005-0000-0000-000095510000}"/>
    <cellStyle name="CurrencyTot 2 2 2 4 6" xfId="20892" xr:uid="{00000000-0005-0000-0000-000096510000}"/>
    <cellStyle name="CurrencyTot 2 2 2 4 7" xfId="20893" xr:uid="{00000000-0005-0000-0000-000097510000}"/>
    <cellStyle name="CurrencyTot 2 2 2 4 8" xfId="20894" xr:uid="{00000000-0005-0000-0000-000098510000}"/>
    <cellStyle name="CurrencyTot 2 2 2 5" xfId="20895" xr:uid="{00000000-0005-0000-0000-000099510000}"/>
    <cellStyle name="CurrencyTot 2 2 2 5 2" xfId="20896" xr:uid="{00000000-0005-0000-0000-00009A510000}"/>
    <cellStyle name="CurrencyTot 2 2 2 5 2 2" xfId="20897" xr:uid="{00000000-0005-0000-0000-00009B510000}"/>
    <cellStyle name="CurrencyTot 2 2 2 5 2 2 2" xfId="20898" xr:uid="{00000000-0005-0000-0000-00009C510000}"/>
    <cellStyle name="CurrencyTot 2 2 2 5 2 2 3" xfId="20899" xr:uid="{00000000-0005-0000-0000-00009D510000}"/>
    <cellStyle name="CurrencyTot 2 2 2 5 2 2 4" xfId="20900" xr:uid="{00000000-0005-0000-0000-00009E510000}"/>
    <cellStyle name="CurrencyTot 2 2 2 5 2 2 5" xfId="20901" xr:uid="{00000000-0005-0000-0000-00009F510000}"/>
    <cellStyle name="CurrencyTot 2 2 2 5 2 2 6" xfId="20902" xr:uid="{00000000-0005-0000-0000-0000A0510000}"/>
    <cellStyle name="CurrencyTot 2 2 2 5 2 3" xfId="20903" xr:uid="{00000000-0005-0000-0000-0000A1510000}"/>
    <cellStyle name="CurrencyTot 2 2 2 5 2 4" xfId="20904" xr:uid="{00000000-0005-0000-0000-0000A2510000}"/>
    <cellStyle name="CurrencyTot 2 2 2 5 2 5" xfId="20905" xr:uid="{00000000-0005-0000-0000-0000A3510000}"/>
    <cellStyle name="CurrencyTot 2 2 2 5 2 6" xfId="20906" xr:uid="{00000000-0005-0000-0000-0000A4510000}"/>
    <cellStyle name="CurrencyTot 2 2 2 5 3" xfId="20907" xr:uid="{00000000-0005-0000-0000-0000A5510000}"/>
    <cellStyle name="CurrencyTot 2 2 2 5 3 2" xfId="20908" xr:uid="{00000000-0005-0000-0000-0000A6510000}"/>
    <cellStyle name="CurrencyTot 2 2 2 5 3 2 2" xfId="20909" xr:uid="{00000000-0005-0000-0000-0000A7510000}"/>
    <cellStyle name="CurrencyTot 2 2 2 5 3 2 3" xfId="20910" xr:uid="{00000000-0005-0000-0000-0000A8510000}"/>
    <cellStyle name="CurrencyTot 2 2 2 5 3 2 4" xfId="20911" xr:uid="{00000000-0005-0000-0000-0000A9510000}"/>
    <cellStyle name="CurrencyTot 2 2 2 5 3 2 5" xfId="20912" xr:uid="{00000000-0005-0000-0000-0000AA510000}"/>
    <cellStyle name="CurrencyTot 2 2 2 5 3 2 6" xfId="20913" xr:uid="{00000000-0005-0000-0000-0000AB510000}"/>
    <cellStyle name="CurrencyTot 2 2 2 5 3 3" xfId="20914" xr:uid="{00000000-0005-0000-0000-0000AC510000}"/>
    <cellStyle name="CurrencyTot 2 2 2 5 3 4" xfId="20915" xr:uid="{00000000-0005-0000-0000-0000AD510000}"/>
    <cellStyle name="CurrencyTot 2 2 2 5 3 5" xfId="20916" xr:uid="{00000000-0005-0000-0000-0000AE510000}"/>
    <cellStyle name="CurrencyTot 2 2 2 5 3 6" xfId="20917" xr:uid="{00000000-0005-0000-0000-0000AF510000}"/>
    <cellStyle name="CurrencyTot 2 2 2 5 4" xfId="20918" xr:uid="{00000000-0005-0000-0000-0000B0510000}"/>
    <cellStyle name="CurrencyTot 2 2 2 5 4 2" xfId="20919" xr:uid="{00000000-0005-0000-0000-0000B1510000}"/>
    <cellStyle name="CurrencyTot 2 2 2 5 4 3" xfId="20920" xr:uid="{00000000-0005-0000-0000-0000B2510000}"/>
    <cellStyle name="CurrencyTot 2 2 2 5 4 4" xfId="20921" xr:uid="{00000000-0005-0000-0000-0000B3510000}"/>
    <cellStyle name="CurrencyTot 2 2 2 5 4 5" xfId="20922" xr:uid="{00000000-0005-0000-0000-0000B4510000}"/>
    <cellStyle name="CurrencyTot 2 2 2 5 4 6" xfId="20923" xr:uid="{00000000-0005-0000-0000-0000B5510000}"/>
    <cellStyle name="CurrencyTot 2 2 2 5 5" xfId="20924" xr:uid="{00000000-0005-0000-0000-0000B6510000}"/>
    <cellStyle name="CurrencyTot 2 2 2 5 6" xfId="20925" xr:uid="{00000000-0005-0000-0000-0000B7510000}"/>
    <cellStyle name="CurrencyTot 2 2 2 5 7" xfId="20926" xr:uid="{00000000-0005-0000-0000-0000B8510000}"/>
    <cellStyle name="CurrencyTot 2 2 2 5 8" xfId="20927" xr:uid="{00000000-0005-0000-0000-0000B9510000}"/>
    <cellStyle name="CurrencyTot 2 2 2 6" xfId="20928" xr:uid="{00000000-0005-0000-0000-0000BA510000}"/>
    <cellStyle name="CurrencyTot 2 2 2 6 2" xfId="20929" xr:uid="{00000000-0005-0000-0000-0000BB510000}"/>
    <cellStyle name="CurrencyTot 2 2 2 6 2 2" xfId="20930" xr:uid="{00000000-0005-0000-0000-0000BC510000}"/>
    <cellStyle name="CurrencyTot 2 2 2 6 2 2 2" xfId="20931" xr:uid="{00000000-0005-0000-0000-0000BD510000}"/>
    <cellStyle name="CurrencyTot 2 2 2 6 2 2 3" xfId="20932" xr:uid="{00000000-0005-0000-0000-0000BE510000}"/>
    <cellStyle name="CurrencyTot 2 2 2 6 2 2 4" xfId="20933" xr:uid="{00000000-0005-0000-0000-0000BF510000}"/>
    <cellStyle name="CurrencyTot 2 2 2 6 2 2 5" xfId="20934" xr:uid="{00000000-0005-0000-0000-0000C0510000}"/>
    <cellStyle name="CurrencyTot 2 2 2 6 2 2 6" xfId="20935" xr:uid="{00000000-0005-0000-0000-0000C1510000}"/>
    <cellStyle name="CurrencyTot 2 2 2 6 2 3" xfId="20936" xr:uid="{00000000-0005-0000-0000-0000C2510000}"/>
    <cellStyle name="CurrencyTot 2 2 2 6 2 4" xfId="20937" xr:uid="{00000000-0005-0000-0000-0000C3510000}"/>
    <cellStyle name="CurrencyTot 2 2 2 6 2 5" xfId="20938" xr:uid="{00000000-0005-0000-0000-0000C4510000}"/>
    <cellStyle name="CurrencyTot 2 2 2 6 2 6" xfId="20939" xr:uid="{00000000-0005-0000-0000-0000C5510000}"/>
    <cellStyle name="CurrencyTot 2 2 2 6 3" xfId="20940" xr:uid="{00000000-0005-0000-0000-0000C6510000}"/>
    <cellStyle name="CurrencyTot 2 2 2 6 3 2" xfId="20941" xr:uid="{00000000-0005-0000-0000-0000C7510000}"/>
    <cellStyle name="CurrencyTot 2 2 2 6 3 2 2" xfId="20942" xr:uid="{00000000-0005-0000-0000-0000C8510000}"/>
    <cellStyle name="CurrencyTot 2 2 2 6 3 2 3" xfId="20943" xr:uid="{00000000-0005-0000-0000-0000C9510000}"/>
    <cellStyle name="CurrencyTot 2 2 2 6 3 2 4" xfId="20944" xr:uid="{00000000-0005-0000-0000-0000CA510000}"/>
    <cellStyle name="CurrencyTot 2 2 2 6 3 2 5" xfId="20945" xr:uid="{00000000-0005-0000-0000-0000CB510000}"/>
    <cellStyle name="CurrencyTot 2 2 2 6 3 2 6" xfId="20946" xr:uid="{00000000-0005-0000-0000-0000CC510000}"/>
    <cellStyle name="CurrencyTot 2 2 2 6 3 3" xfId="20947" xr:uid="{00000000-0005-0000-0000-0000CD510000}"/>
    <cellStyle name="CurrencyTot 2 2 2 6 3 4" xfId="20948" xr:uid="{00000000-0005-0000-0000-0000CE510000}"/>
    <cellStyle name="CurrencyTot 2 2 2 6 3 5" xfId="20949" xr:uid="{00000000-0005-0000-0000-0000CF510000}"/>
    <cellStyle name="CurrencyTot 2 2 2 6 3 6" xfId="20950" xr:uid="{00000000-0005-0000-0000-0000D0510000}"/>
    <cellStyle name="CurrencyTot 2 2 2 6 4" xfId="20951" xr:uid="{00000000-0005-0000-0000-0000D1510000}"/>
    <cellStyle name="CurrencyTot 2 2 2 6 4 2" xfId="20952" xr:uid="{00000000-0005-0000-0000-0000D2510000}"/>
    <cellStyle name="CurrencyTot 2 2 2 6 4 3" xfId="20953" xr:uid="{00000000-0005-0000-0000-0000D3510000}"/>
    <cellStyle name="CurrencyTot 2 2 2 6 4 4" xfId="20954" xr:uid="{00000000-0005-0000-0000-0000D4510000}"/>
    <cellStyle name="CurrencyTot 2 2 2 6 4 5" xfId="20955" xr:uid="{00000000-0005-0000-0000-0000D5510000}"/>
    <cellStyle name="CurrencyTot 2 2 2 6 4 6" xfId="20956" xr:uid="{00000000-0005-0000-0000-0000D6510000}"/>
    <cellStyle name="CurrencyTot 2 2 2 6 5" xfId="20957" xr:uid="{00000000-0005-0000-0000-0000D7510000}"/>
    <cellStyle name="CurrencyTot 2 2 2 6 6" xfId="20958" xr:uid="{00000000-0005-0000-0000-0000D8510000}"/>
    <cellStyle name="CurrencyTot 2 2 2 6 7" xfId="20959" xr:uid="{00000000-0005-0000-0000-0000D9510000}"/>
    <cellStyle name="CurrencyTot 2 2 2 6 8" xfId="20960" xr:uid="{00000000-0005-0000-0000-0000DA510000}"/>
    <cellStyle name="CurrencyTot 2 2 2 7" xfId="20961" xr:uid="{00000000-0005-0000-0000-0000DB510000}"/>
    <cellStyle name="CurrencyTot 2 2 2 7 2" xfId="20962" xr:uid="{00000000-0005-0000-0000-0000DC510000}"/>
    <cellStyle name="CurrencyTot 2 2 2 7 2 2" xfId="20963" xr:uid="{00000000-0005-0000-0000-0000DD510000}"/>
    <cellStyle name="CurrencyTot 2 2 2 7 2 3" xfId="20964" xr:uid="{00000000-0005-0000-0000-0000DE510000}"/>
    <cellStyle name="CurrencyTot 2 2 2 7 2 4" xfId="20965" xr:uid="{00000000-0005-0000-0000-0000DF510000}"/>
    <cellStyle name="CurrencyTot 2 2 2 7 2 5" xfId="20966" xr:uid="{00000000-0005-0000-0000-0000E0510000}"/>
    <cellStyle name="CurrencyTot 2 2 2 7 2 6" xfId="20967" xr:uid="{00000000-0005-0000-0000-0000E1510000}"/>
    <cellStyle name="CurrencyTot 2 2 2 7 3" xfId="20968" xr:uid="{00000000-0005-0000-0000-0000E2510000}"/>
    <cellStyle name="CurrencyTot 2 2 2 7 4" xfId="20969" xr:uid="{00000000-0005-0000-0000-0000E3510000}"/>
    <cellStyle name="CurrencyTot 2 2 2 7 5" xfId="20970" xr:uid="{00000000-0005-0000-0000-0000E4510000}"/>
    <cellStyle name="CurrencyTot 2 2 2 7 6" xfId="20971" xr:uid="{00000000-0005-0000-0000-0000E5510000}"/>
    <cellStyle name="CurrencyTot 2 2 2 8" xfId="20972" xr:uid="{00000000-0005-0000-0000-0000E6510000}"/>
    <cellStyle name="CurrencyTot 2 2 2 8 2" xfId="20973" xr:uid="{00000000-0005-0000-0000-0000E7510000}"/>
    <cellStyle name="CurrencyTot 2 2 2 8 2 2" xfId="20974" xr:uid="{00000000-0005-0000-0000-0000E8510000}"/>
    <cellStyle name="CurrencyTot 2 2 2 8 2 3" xfId="20975" xr:uid="{00000000-0005-0000-0000-0000E9510000}"/>
    <cellStyle name="CurrencyTot 2 2 2 8 2 4" xfId="20976" xr:uid="{00000000-0005-0000-0000-0000EA510000}"/>
    <cellStyle name="CurrencyTot 2 2 2 8 2 5" xfId="20977" xr:uid="{00000000-0005-0000-0000-0000EB510000}"/>
    <cellStyle name="CurrencyTot 2 2 2 8 2 6" xfId="20978" xr:uid="{00000000-0005-0000-0000-0000EC510000}"/>
    <cellStyle name="CurrencyTot 2 2 2 8 3" xfId="20979" xr:uid="{00000000-0005-0000-0000-0000ED510000}"/>
    <cellStyle name="CurrencyTot 2 2 2 8 4" xfId="20980" xr:uid="{00000000-0005-0000-0000-0000EE510000}"/>
    <cellStyle name="CurrencyTot 2 2 2 8 5" xfId="20981" xr:uid="{00000000-0005-0000-0000-0000EF510000}"/>
    <cellStyle name="CurrencyTot 2 2 2 8 6" xfId="20982" xr:uid="{00000000-0005-0000-0000-0000F0510000}"/>
    <cellStyle name="CurrencyTot 2 2 2 9" xfId="20983" xr:uid="{00000000-0005-0000-0000-0000F1510000}"/>
    <cellStyle name="CurrencyTot 2 2 2 9 2" xfId="20984" xr:uid="{00000000-0005-0000-0000-0000F2510000}"/>
    <cellStyle name="CurrencyTot 2 2 2 9 3" xfId="20985" xr:uid="{00000000-0005-0000-0000-0000F3510000}"/>
    <cellStyle name="CurrencyTot 2 2 2 9 4" xfId="20986" xr:uid="{00000000-0005-0000-0000-0000F4510000}"/>
    <cellStyle name="CurrencyTot 2 2 2 9 5" xfId="20987" xr:uid="{00000000-0005-0000-0000-0000F5510000}"/>
    <cellStyle name="CurrencyTot 2 2 2 9 6" xfId="20988" xr:uid="{00000000-0005-0000-0000-0000F6510000}"/>
    <cellStyle name="CurrencyTot 2 2 3" xfId="20989" xr:uid="{00000000-0005-0000-0000-0000F7510000}"/>
    <cellStyle name="CurrencyTot 2 2 3 2" xfId="20990" xr:uid="{00000000-0005-0000-0000-0000F8510000}"/>
    <cellStyle name="CurrencyTot 2 2 3 2 2" xfId="20991" xr:uid="{00000000-0005-0000-0000-0000F9510000}"/>
    <cellStyle name="CurrencyTot 2 2 3 2 2 2" xfId="20992" xr:uid="{00000000-0005-0000-0000-0000FA510000}"/>
    <cellStyle name="CurrencyTot 2 2 3 2 2 3" xfId="20993" xr:uid="{00000000-0005-0000-0000-0000FB510000}"/>
    <cellStyle name="CurrencyTot 2 2 3 2 2 4" xfId="20994" xr:uid="{00000000-0005-0000-0000-0000FC510000}"/>
    <cellStyle name="CurrencyTot 2 2 3 2 2 5" xfId="20995" xr:uid="{00000000-0005-0000-0000-0000FD510000}"/>
    <cellStyle name="CurrencyTot 2 2 3 2 2 6" xfId="20996" xr:uid="{00000000-0005-0000-0000-0000FE510000}"/>
    <cellStyle name="CurrencyTot 2 2 3 2 3" xfId="20997" xr:uid="{00000000-0005-0000-0000-0000FF510000}"/>
    <cellStyle name="CurrencyTot 2 2 3 2 4" xfId="20998" xr:uid="{00000000-0005-0000-0000-000000520000}"/>
    <cellStyle name="CurrencyTot 2 2 3 2 5" xfId="20999" xr:uid="{00000000-0005-0000-0000-000001520000}"/>
    <cellStyle name="CurrencyTot 2 2 3 2 6" xfId="21000" xr:uid="{00000000-0005-0000-0000-000002520000}"/>
    <cellStyle name="CurrencyTot 2 2 3 3" xfId="21001" xr:uid="{00000000-0005-0000-0000-000003520000}"/>
    <cellStyle name="CurrencyTot 2 2 3 3 2" xfId="21002" xr:uid="{00000000-0005-0000-0000-000004520000}"/>
    <cellStyle name="CurrencyTot 2 2 3 3 2 2" xfId="21003" xr:uid="{00000000-0005-0000-0000-000005520000}"/>
    <cellStyle name="CurrencyTot 2 2 3 3 2 3" xfId="21004" xr:uid="{00000000-0005-0000-0000-000006520000}"/>
    <cellStyle name="CurrencyTot 2 2 3 3 2 4" xfId="21005" xr:uid="{00000000-0005-0000-0000-000007520000}"/>
    <cellStyle name="CurrencyTot 2 2 3 3 2 5" xfId="21006" xr:uid="{00000000-0005-0000-0000-000008520000}"/>
    <cellStyle name="CurrencyTot 2 2 3 3 2 6" xfId="21007" xr:uid="{00000000-0005-0000-0000-000009520000}"/>
    <cellStyle name="CurrencyTot 2 2 3 3 3" xfId="21008" xr:uid="{00000000-0005-0000-0000-00000A520000}"/>
    <cellStyle name="CurrencyTot 2 2 3 3 4" xfId="21009" xr:uid="{00000000-0005-0000-0000-00000B520000}"/>
    <cellStyle name="CurrencyTot 2 2 3 3 5" xfId="21010" xr:uid="{00000000-0005-0000-0000-00000C520000}"/>
    <cellStyle name="CurrencyTot 2 2 3 3 6" xfId="21011" xr:uid="{00000000-0005-0000-0000-00000D520000}"/>
    <cellStyle name="CurrencyTot 2 2 3 4" xfId="21012" xr:uid="{00000000-0005-0000-0000-00000E520000}"/>
    <cellStyle name="CurrencyTot 2 2 3 4 2" xfId="21013" xr:uid="{00000000-0005-0000-0000-00000F520000}"/>
    <cellStyle name="CurrencyTot 2 2 3 4 3" xfId="21014" xr:uid="{00000000-0005-0000-0000-000010520000}"/>
    <cellStyle name="CurrencyTot 2 2 3 4 4" xfId="21015" xr:uid="{00000000-0005-0000-0000-000011520000}"/>
    <cellStyle name="CurrencyTot 2 2 3 4 5" xfId="21016" xr:uid="{00000000-0005-0000-0000-000012520000}"/>
    <cellStyle name="CurrencyTot 2 2 3 4 6" xfId="21017" xr:uid="{00000000-0005-0000-0000-000013520000}"/>
    <cellStyle name="CurrencyTot 2 2 3 5" xfId="21018" xr:uid="{00000000-0005-0000-0000-000014520000}"/>
    <cellStyle name="CurrencyTot 2 2 3 6" xfId="21019" xr:uid="{00000000-0005-0000-0000-000015520000}"/>
    <cellStyle name="CurrencyTot 2 2 3 7" xfId="21020" xr:uid="{00000000-0005-0000-0000-000016520000}"/>
    <cellStyle name="CurrencyTot 2 2 3 8" xfId="21021" xr:uid="{00000000-0005-0000-0000-000017520000}"/>
    <cellStyle name="CurrencyTot 2 2 4" xfId="21022" xr:uid="{00000000-0005-0000-0000-000018520000}"/>
    <cellStyle name="CurrencyTot 2 2 4 2" xfId="21023" xr:uid="{00000000-0005-0000-0000-000019520000}"/>
    <cellStyle name="CurrencyTot 2 2 4 2 2" xfId="21024" xr:uid="{00000000-0005-0000-0000-00001A520000}"/>
    <cellStyle name="CurrencyTot 2 2 4 2 2 2" xfId="21025" xr:uid="{00000000-0005-0000-0000-00001B520000}"/>
    <cellStyle name="CurrencyTot 2 2 4 2 2 3" xfId="21026" xr:uid="{00000000-0005-0000-0000-00001C520000}"/>
    <cellStyle name="CurrencyTot 2 2 4 2 2 4" xfId="21027" xr:uid="{00000000-0005-0000-0000-00001D520000}"/>
    <cellStyle name="CurrencyTot 2 2 4 2 2 5" xfId="21028" xr:uid="{00000000-0005-0000-0000-00001E520000}"/>
    <cellStyle name="CurrencyTot 2 2 4 2 2 6" xfId="21029" xr:uid="{00000000-0005-0000-0000-00001F520000}"/>
    <cellStyle name="CurrencyTot 2 2 4 2 3" xfId="21030" xr:uid="{00000000-0005-0000-0000-000020520000}"/>
    <cellStyle name="CurrencyTot 2 2 4 2 4" xfId="21031" xr:uid="{00000000-0005-0000-0000-000021520000}"/>
    <cellStyle name="CurrencyTot 2 2 4 2 5" xfId="21032" xr:uid="{00000000-0005-0000-0000-000022520000}"/>
    <cellStyle name="CurrencyTot 2 2 4 2 6" xfId="21033" xr:uid="{00000000-0005-0000-0000-000023520000}"/>
    <cellStyle name="CurrencyTot 2 2 4 3" xfId="21034" xr:uid="{00000000-0005-0000-0000-000024520000}"/>
    <cellStyle name="CurrencyTot 2 2 4 3 2" xfId="21035" xr:uid="{00000000-0005-0000-0000-000025520000}"/>
    <cellStyle name="CurrencyTot 2 2 4 3 2 2" xfId="21036" xr:uid="{00000000-0005-0000-0000-000026520000}"/>
    <cellStyle name="CurrencyTot 2 2 4 3 2 3" xfId="21037" xr:uid="{00000000-0005-0000-0000-000027520000}"/>
    <cellStyle name="CurrencyTot 2 2 4 3 2 4" xfId="21038" xr:uid="{00000000-0005-0000-0000-000028520000}"/>
    <cellStyle name="CurrencyTot 2 2 4 3 2 5" xfId="21039" xr:uid="{00000000-0005-0000-0000-000029520000}"/>
    <cellStyle name="CurrencyTot 2 2 4 3 2 6" xfId="21040" xr:uid="{00000000-0005-0000-0000-00002A520000}"/>
    <cellStyle name="CurrencyTot 2 2 4 3 3" xfId="21041" xr:uid="{00000000-0005-0000-0000-00002B520000}"/>
    <cellStyle name="CurrencyTot 2 2 4 3 4" xfId="21042" xr:uid="{00000000-0005-0000-0000-00002C520000}"/>
    <cellStyle name="CurrencyTot 2 2 4 3 5" xfId="21043" xr:uid="{00000000-0005-0000-0000-00002D520000}"/>
    <cellStyle name="CurrencyTot 2 2 4 3 6" xfId="21044" xr:uid="{00000000-0005-0000-0000-00002E520000}"/>
    <cellStyle name="CurrencyTot 2 2 4 4" xfId="21045" xr:uid="{00000000-0005-0000-0000-00002F520000}"/>
    <cellStyle name="CurrencyTot 2 2 4 4 2" xfId="21046" xr:uid="{00000000-0005-0000-0000-000030520000}"/>
    <cellStyle name="CurrencyTot 2 2 4 4 3" xfId="21047" xr:uid="{00000000-0005-0000-0000-000031520000}"/>
    <cellStyle name="CurrencyTot 2 2 4 4 4" xfId="21048" xr:uid="{00000000-0005-0000-0000-000032520000}"/>
    <cellStyle name="CurrencyTot 2 2 4 4 5" xfId="21049" xr:uid="{00000000-0005-0000-0000-000033520000}"/>
    <cellStyle name="CurrencyTot 2 2 4 4 6" xfId="21050" xr:uid="{00000000-0005-0000-0000-000034520000}"/>
    <cellStyle name="CurrencyTot 2 2 4 5" xfId="21051" xr:uid="{00000000-0005-0000-0000-000035520000}"/>
    <cellStyle name="CurrencyTot 2 2 4 6" xfId="21052" xr:uid="{00000000-0005-0000-0000-000036520000}"/>
    <cellStyle name="CurrencyTot 2 2 4 7" xfId="21053" xr:uid="{00000000-0005-0000-0000-000037520000}"/>
    <cellStyle name="CurrencyTot 2 2 4 8" xfId="21054" xr:uid="{00000000-0005-0000-0000-000038520000}"/>
    <cellStyle name="CurrencyTot 2 2 5" xfId="21055" xr:uid="{00000000-0005-0000-0000-000039520000}"/>
    <cellStyle name="CurrencyTot 2 2 5 2" xfId="21056" xr:uid="{00000000-0005-0000-0000-00003A520000}"/>
    <cellStyle name="CurrencyTot 2 2 5 2 2" xfId="21057" xr:uid="{00000000-0005-0000-0000-00003B520000}"/>
    <cellStyle name="CurrencyTot 2 2 5 2 2 2" xfId="21058" xr:uid="{00000000-0005-0000-0000-00003C520000}"/>
    <cellStyle name="CurrencyTot 2 2 5 2 2 3" xfId="21059" xr:uid="{00000000-0005-0000-0000-00003D520000}"/>
    <cellStyle name="CurrencyTot 2 2 5 2 2 4" xfId="21060" xr:uid="{00000000-0005-0000-0000-00003E520000}"/>
    <cellStyle name="CurrencyTot 2 2 5 2 2 5" xfId="21061" xr:uid="{00000000-0005-0000-0000-00003F520000}"/>
    <cellStyle name="CurrencyTot 2 2 5 2 2 6" xfId="21062" xr:uid="{00000000-0005-0000-0000-000040520000}"/>
    <cellStyle name="CurrencyTot 2 2 5 2 3" xfId="21063" xr:uid="{00000000-0005-0000-0000-000041520000}"/>
    <cellStyle name="CurrencyTot 2 2 5 2 4" xfId="21064" xr:uid="{00000000-0005-0000-0000-000042520000}"/>
    <cellStyle name="CurrencyTot 2 2 5 2 5" xfId="21065" xr:uid="{00000000-0005-0000-0000-000043520000}"/>
    <cellStyle name="CurrencyTot 2 2 5 2 6" xfId="21066" xr:uid="{00000000-0005-0000-0000-000044520000}"/>
    <cellStyle name="CurrencyTot 2 2 5 3" xfId="21067" xr:uid="{00000000-0005-0000-0000-000045520000}"/>
    <cellStyle name="CurrencyTot 2 2 5 3 2" xfId="21068" xr:uid="{00000000-0005-0000-0000-000046520000}"/>
    <cellStyle name="CurrencyTot 2 2 5 3 2 2" xfId="21069" xr:uid="{00000000-0005-0000-0000-000047520000}"/>
    <cellStyle name="CurrencyTot 2 2 5 3 2 3" xfId="21070" xr:uid="{00000000-0005-0000-0000-000048520000}"/>
    <cellStyle name="CurrencyTot 2 2 5 3 2 4" xfId="21071" xr:uid="{00000000-0005-0000-0000-000049520000}"/>
    <cellStyle name="CurrencyTot 2 2 5 3 2 5" xfId="21072" xr:uid="{00000000-0005-0000-0000-00004A520000}"/>
    <cellStyle name="CurrencyTot 2 2 5 3 2 6" xfId="21073" xr:uid="{00000000-0005-0000-0000-00004B520000}"/>
    <cellStyle name="CurrencyTot 2 2 5 3 3" xfId="21074" xr:uid="{00000000-0005-0000-0000-00004C520000}"/>
    <cellStyle name="CurrencyTot 2 2 5 3 4" xfId="21075" xr:uid="{00000000-0005-0000-0000-00004D520000}"/>
    <cellStyle name="CurrencyTot 2 2 5 3 5" xfId="21076" xr:uid="{00000000-0005-0000-0000-00004E520000}"/>
    <cellStyle name="CurrencyTot 2 2 5 3 6" xfId="21077" xr:uid="{00000000-0005-0000-0000-00004F520000}"/>
    <cellStyle name="CurrencyTot 2 2 5 4" xfId="21078" xr:uid="{00000000-0005-0000-0000-000050520000}"/>
    <cellStyle name="CurrencyTot 2 2 5 4 2" xfId="21079" xr:uid="{00000000-0005-0000-0000-000051520000}"/>
    <cellStyle name="CurrencyTot 2 2 5 4 3" xfId="21080" xr:uid="{00000000-0005-0000-0000-000052520000}"/>
    <cellStyle name="CurrencyTot 2 2 5 4 4" xfId="21081" xr:uid="{00000000-0005-0000-0000-000053520000}"/>
    <cellStyle name="CurrencyTot 2 2 5 4 5" xfId="21082" xr:uid="{00000000-0005-0000-0000-000054520000}"/>
    <cellStyle name="CurrencyTot 2 2 5 4 6" xfId="21083" xr:uid="{00000000-0005-0000-0000-000055520000}"/>
    <cellStyle name="CurrencyTot 2 2 5 5" xfId="21084" xr:uid="{00000000-0005-0000-0000-000056520000}"/>
    <cellStyle name="CurrencyTot 2 2 5 6" xfId="21085" xr:uid="{00000000-0005-0000-0000-000057520000}"/>
    <cellStyle name="CurrencyTot 2 2 5 7" xfId="21086" xr:uid="{00000000-0005-0000-0000-000058520000}"/>
    <cellStyle name="CurrencyTot 2 2 5 8" xfId="21087" xr:uid="{00000000-0005-0000-0000-000059520000}"/>
    <cellStyle name="CurrencyTot 2 2 6" xfId="21088" xr:uid="{00000000-0005-0000-0000-00005A520000}"/>
    <cellStyle name="CurrencyTot 2 2 6 2" xfId="21089" xr:uid="{00000000-0005-0000-0000-00005B520000}"/>
    <cellStyle name="CurrencyTot 2 2 6 2 2" xfId="21090" xr:uid="{00000000-0005-0000-0000-00005C520000}"/>
    <cellStyle name="CurrencyTot 2 2 6 2 2 2" xfId="21091" xr:uid="{00000000-0005-0000-0000-00005D520000}"/>
    <cellStyle name="CurrencyTot 2 2 6 2 2 3" xfId="21092" xr:uid="{00000000-0005-0000-0000-00005E520000}"/>
    <cellStyle name="CurrencyTot 2 2 6 2 2 4" xfId="21093" xr:uid="{00000000-0005-0000-0000-00005F520000}"/>
    <cellStyle name="CurrencyTot 2 2 6 2 2 5" xfId="21094" xr:uid="{00000000-0005-0000-0000-000060520000}"/>
    <cellStyle name="CurrencyTot 2 2 6 2 2 6" xfId="21095" xr:uid="{00000000-0005-0000-0000-000061520000}"/>
    <cellStyle name="CurrencyTot 2 2 6 2 3" xfId="21096" xr:uid="{00000000-0005-0000-0000-000062520000}"/>
    <cellStyle name="CurrencyTot 2 2 6 2 4" xfId="21097" xr:uid="{00000000-0005-0000-0000-000063520000}"/>
    <cellStyle name="CurrencyTot 2 2 6 2 5" xfId="21098" xr:uid="{00000000-0005-0000-0000-000064520000}"/>
    <cellStyle name="CurrencyTot 2 2 6 2 6" xfId="21099" xr:uid="{00000000-0005-0000-0000-000065520000}"/>
    <cellStyle name="CurrencyTot 2 2 6 3" xfId="21100" xr:uid="{00000000-0005-0000-0000-000066520000}"/>
    <cellStyle name="CurrencyTot 2 2 6 3 2" xfId="21101" xr:uid="{00000000-0005-0000-0000-000067520000}"/>
    <cellStyle name="CurrencyTot 2 2 6 3 2 2" xfId="21102" xr:uid="{00000000-0005-0000-0000-000068520000}"/>
    <cellStyle name="CurrencyTot 2 2 6 3 2 3" xfId="21103" xr:uid="{00000000-0005-0000-0000-000069520000}"/>
    <cellStyle name="CurrencyTot 2 2 6 3 2 4" xfId="21104" xr:uid="{00000000-0005-0000-0000-00006A520000}"/>
    <cellStyle name="CurrencyTot 2 2 6 3 2 5" xfId="21105" xr:uid="{00000000-0005-0000-0000-00006B520000}"/>
    <cellStyle name="CurrencyTot 2 2 6 3 2 6" xfId="21106" xr:uid="{00000000-0005-0000-0000-00006C520000}"/>
    <cellStyle name="CurrencyTot 2 2 6 3 3" xfId="21107" xr:uid="{00000000-0005-0000-0000-00006D520000}"/>
    <cellStyle name="CurrencyTot 2 2 6 3 4" xfId="21108" xr:uid="{00000000-0005-0000-0000-00006E520000}"/>
    <cellStyle name="CurrencyTot 2 2 6 3 5" xfId="21109" xr:uid="{00000000-0005-0000-0000-00006F520000}"/>
    <cellStyle name="CurrencyTot 2 2 6 3 6" xfId="21110" xr:uid="{00000000-0005-0000-0000-000070520000}"/>
    <cellStyle name="CurrencyTot 2 2 6 4" xfId="21111" xr:uid="{00000000-0005-0000-0000-000071520000}"/>
    <cellStyle name="CurrencyTot 2 2 6 4 2" xfId="21112" xr:uid="{00000000-0005-0000-0000-000072520000}"/>
    <cellStyle name="CurrencyTot 2 2 6 4 3" xfId="21113" xr:uid="{00000000-0005-0000-0000-000073520000}"/>
    <cellStyle name="CurrencyTot 2 2 6 4 4" xfId="21114" xr:uid="{00000000-0005-0000-0000-000074520000}"/>
    <cellStyle name="CurrencyTot 2 2 6 4 5" xfId="21115" xr:uid="{00000000-0005-0000-0000-000075520000}"/>
    <cellStyle name="CurrencyTot 2 2 6 4 6" xfId="21116" xr:uid="{00000000-0005-0000-0000-000076520000}"/>
    <cellStyle name="CurrencyTot 2 2 6 5" xfId="21117" xr:uid="{00000000-0005-0000-0000-000077520000}"/>
    <cellStyle name="CurrencyTot 2 2 6 6" xfId="21118" xr:uid="{00000000-0005-0000-0000-000078520000}"/>
    <cellStyle name="CurrencyTot 2 2 6 7" xfId="21119" xr:uid="{00000000-0005-0000-0000-000079520000}"/>
    <cellStyle name="CurrencyTot 2 2 6 8" xfId="21120" xr:uid="{00000000-0005-0000-0000-00007A520000}"/>
    <cellStyle name="CurrencyTot 2 2 7" xfId="21121" xr:uid="{00000000-0005-0000-0000-00007B520000}"/>
    <cellStyle name="CurrencyTot 2 2 7 2" xfId="21122" xr:uid="{00000000-0005-0000-0000-00007C520000}"/>
    <cellStyle name="CurrencyTot 2 2 7 2 2" xfId="21123" xr:uid="{00000000-0005-0000-0000-00007D520000}"/>
    <cellStyle name="CurrencyTot 2 2 7 2 2 2" xfId="21124" xr:uid="{00000000-0005-0000-0000-00007E520000}"/>
    <cellStyle name="CurrencyTot 2 2 7 2 2 3" xfId="21125" xr:uid="{00000000-0005-0000-0000-00007F520000}"/>
    <cellStyle name="CurrencyTot 2 2 7 2 2 4" xfId="21126" xr:uid="{00000000-0005-0000-0000-000080520000}"/>
    <cellStyle name="CurrencyTot 2 2 7 2 2 5" xfId="21127" xr:uid="{00000000-0005-0000-0000-000081520000}"/>
    <cellStyle name="CurrencyTot 2 2 7 2 2 6" xfId="21128" xr:uid="{00000000-0005-0000-0000-000082520000}"/>
    <cellStyle name="CurrencyTot 2 2 7 2 3" xfId="21129" xr:uid="{00000000-0005-0000-0000-000083520000}"/>
    <cellStyle name="CurrencyTot 2 2 7 2 4" xfId="21130" xr:uid="{00000000-0005-0000-0000-000084520000}"/>
    <cellStyle name="CurrencyTot 2 2 7 2 5" xfId="21131" xr:uid="{00000000-0005-0000-0000-000085520000}"/>
    <cellStyle name="CurrencyTot 2 2 7 2 6" xfId="21132" xr:uid="{00000000-0005-0000-0000-000086520000}"/>
    <cellStyle name="CurrencyTot 2 2 7 3" xfId="21133" xr:uid="{00000000-0005-0000-0000-000087520000}"/>
    <cellStyle name="CurrencyTot 2 2 7 3 2" xfId="21134" xr:uid="{00000000-0005-0000-0000-000088520000}"/>
    <cellStyle name="CurrencyTot 2 2 7 3 2 2" xfId="21135" xr:uid="{00000000-0005-0000-0000-000089520000}"/>
    <cellStyle name="CurrencyTot 2 2 7 3 2 3" xfId="21136" xr:uid="{00000000-0005-0000-0000-00008A520000}"/>
    <cellStyle name="CurrencyTot 2 2 7 3 2 4" xfId="21137" xr:uid="{00000000-0005-0000-0000-00008B520000}"/>
    <cellStyle name="CurrencyTot 2 2 7 3 2 5" xfId="21138" xr:uid="{00000000-0005-0000-0000-00008C520000}"/>
    <cellStyle name="CurrencyTot 2 2 7 3 2 6" xfId="21139" xr:uid="{00000000-0005-0000-0000-00008D520000}"/>
    <cellStyle name="CurrencyTot 2 2 7 3 3" xfId="21140" xr:uid="{00000000-0005-0000-0000-00008E520000}"/>
    <cellStyle name="CurrencyTot 2 2 7 3 4" xfId="21141" xr:uid="{00000000-0005-0000-0000-00008F520000}"/>
    <cellStyle name="CurrencyTot 2 2 7 3 5" xfId="21142" xr:uid="{00000000-0005-0000-0000-000090520000}"/>
    <cellStyle name="CurrencyTot 2 2 7 3 6" xfId="21143" xr:uid="{00000000-0005-0000-0000-000091520000}"/>
    <cellStyle name="CurrencyTot 2 2 7 4" xfId="21144" xr:uid="{00000000-0005-0000-0000-000092520000}"/>
    <cellStyle name="CurrencyTot 2 2 7 4 2" xfId="21145" xr:uid="{00000000-0005-0000-0000-000093520000}"/>
    <cellStyle name="CurrencyTot 2 2 7 4 3" xfId="21146" xr:uid="{00000000-0005-0000-0000-000094520000}"/>
    <cellStyle name="CurrencyTot 2 2 7 4 4" xfId="21147" xr:uid="{00000000-0005-0000-0000-000095520000}"/>
    <cellStyle name="CurrencyTot 2 2 7 4 5" xfId="21148" xr:uid="{00000000-0005-0000-0000-000096520000}"/>
    <cellStyle name="CurrencyTot 2 2 7 4 6" xfId="21149" xr:uid="{00000000-0005-0000-0000-000097520000}"/>
    <cellStyle name="CurrencyTot 2 2 7 5" xfId="21150" xr:uid="{00000000-0005-0000-0000-000098520000}"/>
    <cellStyle name="CurrencyTot 2 2 7 6" xfId="21151" xr:uid="{00000000-0005-0000-0000-000099520000}"/>
    <cellStyle name="CurrencyTot 2 2 7 7" xfId="21152" xr:uid="{00000000-0005-0000-0000-00009A520000}"/>
    <cellStyle name="CurrencyTot 2 2 7 8" xfId="21153" xr:uid="{00000000-0005-0000-0000-00009B520000}"/>
    <cellStyle name="CurrencyTot 2 2 8" xfId="21154" xr:uid="{00000000-0005-0000-0000-00009C520000}"/>
    <cellStyle name="CurrencyTot 2 2 8 2" xfId="21155" xr:uid="{00000000-0005-0000-0000-00009D520000}"/>
    <cellStyle name="CurrencyTot 2 2 8 2 2" xfId="21156" xr:uid="{00000000-0005-0000-0000-00009E520000}"/>
    <cellStyle name="CurrencyTot 2 2 8 2 3" xfId="21157" xr:uid="{00000000-0005-0000-0000-00009F520000}"/>
    <cellStyle name="CurrencyTot 2 2 8 2 4" xfId="21158" xr:uid="{00000000-0005-0000-0000-0000A0520000}"/>
    <cellStyle name="CurrencyTot 2 2 8 2 5" xfId="21159" xr:uid="{00000000-0005-0000-0000-0000A1520000}"/>
    <cellStyle name="CurrencyTot 2 2 8 2 6" xfId="21160" xr:uid="{00000000-0005-0000-0000-0000A2520000}"/>
    <cellStyle name="CurrencyTot 2 2 8 3" xfId="21161" xr:uid="{00000000-0005-0000-0000-0000A3520000}"/>
    <cellStyle name="CurrencyTot 2 2 8 4" xfId="21162" xr:uid="{00000000-0005-0000-0000-0000A4520000}"/>
    <cellStyle name="CurrencyTot 2 2 8 5" xfId="21163" xr:uid="{00000000-0005-0000-0000-0000A5520000}"/>
    <cellStyle name="CurrencyTot 2 2 8 6" xfId="21164" xr:uid="{00000000-0005-0000-0000-0000A6520000}"/>
    <cellStyle name="CurrencyTot 2 2 9" xfId="21165" xr:uid="{00000000-0005-0000-0000-0000A7520000}"/>
    <cellStyle name="CurrencyTot 2 2 9 2" xfId="21166" xr:uid="{00000000-0005-0000-0000-0000A8520000}"/>
    <cellStyle name="CurrencyTot 2 2 9 2 2" xfId="21167" xr:uid="{00000000-0005-0000-0000-0000A9520000}"/>
    <cellStyle name="CurrencyTot 2 2 9 2 3" xfId="21168" xr:uid="{00000000-0005-0000-0000-0000AA520000}"/>
    <cellStyle name="CurrencyTot 2 2 9 2 4" xfId="21169" xr:uid="{00000000-0005-0000-0000-0000AB520000}"/>
    <cellStyle name="CurrencyTot 2 2 9 2 5" xfId="21170" xr:uid="{00000000-0005-0000-0000-0000AC520000}"/>
    <cellStyle name="CurrencyTot 2 2 9 2 6" xfId="21171" xr:uid="{00000000-0005-0000-0000-0000AD520000}"/>
    <cellStyle name="CurrencyTot 2 2 9 3" xfId="21172" xr:uid="{00000000-0005-0000-0000-0000AE520000}"/>
    <cellStyle name="CurrencyTot 2 2 9 4" xfId="21173" xr:uid="{00000000-0005-0000-0000-0000AF520000}"/>
    <cellStyle name="CurrencyTot 2 2 9 5" xfId="21174" xr:uid="{00000000-0005-0000-0000-0000B0520000}"/>
    <cellStyle name="CurrencyTot 2 2 9 6" xfId="21175" xr:uid="{00000000-0005-0000-0000-0000B1520000}"/>
    <cellStyle name="CurrencyTot 2 3" xfId="21176" xr:uid="{00000000-0005-0000-0000-0000B2520000}"/>
    <cellStyle name="CurrencyTot 2 3 10" xfId="21177" xr:uid="{00000000-0005-0000-0000-0000B3520000}"/>
    <cellStyle name="CurrencyTot 2 3 11" xfId="21178" xr:uid="{00000000-0005-0000-0000-0000B4520000}"/>
    <cellStyle name="CurrencyTot 2 3 12" xfId="21179" xr:uid="{00000000-0005-0000-0000-0000B5520000}"/>
    <cellStyle name="CurrencyTot 2 3 13" xfId="21180" xr:uid="{00000000-0005-0000-0000-0000B6520000}"/>
    <cellStyle name="CurrencyTot 2 3 2" xfId="21181" xr:uid="{00000000-0005-0000-0000-0000B7520000}"/>
    <cellStyle name="CurrencyTot 2 3 2 2" xfId="21182" xr:uid="{00000000-0005-0000-0000-0000B8520000}"/>
    <cellStyle name="CurrencyTot 2 3 2 2 2" xfId="21183" xr:uid="{00000000-0005-0000-0000-0000B9520000}"/>
    <cellStyle name="CurrencyTot 2 3 2 2 2 2" xfId="21184" xr:uid="{00000000-0005-0000-0000-0000BA520000}"/>
    <cellStyle name="CurrencyTot 2 3 2 2 2 3" xfId="21185" xr:uid="{00000000-0005-0000-0000-0000BB520000}"/>
    <cellStyle name="CurrencyTot 2 3 2 2 2 4" xfId="21186" xr:uid="{00000000-0005-0000-0000-0000BC520000}"/>
    <cellStyle name="CurrencyTot 2 3 2 2 2 5" xfId="21187" xr:uid="{00000000-0005-0000-0000-0000BD520000}"/>
    <cellStyle name="CurrencyTot 2 3 2 2 2 6" xfId="21188" xr:uid="{00000000-0005-0000-0000-0000BE520000}"/>
    <cellStyle name="CurrencyTot 2 3 2 2 3" xfId="21189" xr:uid="{00000000-0005-0000-0000-0000BF520000}"/>
    <cellStyle name="CurrencyTot 2 3 2 2 4" xfId="21190" xr:uid="{00000000-0005-0000-0000-0000C0520000}"/>
    <cellStyle name="CurrencyTot 2 3 2 2 5" xfId="21191" xr:uid="{00000000-0005-0000-0000-0000C1520000}"/>
    <cellStyle name="CurrencyTot 2 3 2 2 6" xfId="21192" xr:uid="{00000000-0005-0000-0000-0000C2520000}"/>
    <cellStyle name="CurrencyTot 2 3 2 3" xfId="21193" xr:uid="{00000000-0005-0000-0000-0000C3520000}"/>
    <cellStyle name="CurrencyTot 2 3 2 3 2" xfId="21194" xr:uid="{00000000-0005-0000-0000-0000C4520000}"/>
    <cellStyle name="CurrencyTot 2 3 2 3 2 2" xfId="21195" xr:uid="{00000000-0005-0000-0000-0000C5520000}"/>
    <cellStyle name="CurrencyTot 2 3 2 3 2 3" xfId="21196" xr:uid="{00000000-0005-0000-0000-0000C6520000}"/>
    <cellStyle name="CurrencyTot 2 3 2 3 2 4" xfId="21197" xr:uid="{00000000-0005-0000-0000-0000C7520000}"/>
    <cellStyle name="CurrencyTot 2 3 2 3 2 5" xfId="21198" xr:uid="{00000000-0005-0000-0000-0000C8520000}"/>
    <cellStyle name="CurrencyTot 2 3 2 3 2 6" xfId="21199" xr:uid="{00000000-0005-0000-0000-0000C9520000}"/>
    <cellStyle name="CurrencyTot 2 3 2 3 3" xfId="21200" xr:uid="{00000000-0005-0000-0000-0000CA520000}"/>
    <cellStyle name="CurrencyTot 2 3 2 3 4" xfId="21201" xr:uid="{00000000-0005-0000-0000-0000CB520000}"/>
    <cellStyle name="CurrencyTot 2 3 2 3 5" xfId="21202" xr:uid="{00000000-0005-0000-0000-0000CC520000}"/>
    <cellStyle name="CurrencyTot 2 3 2 3 6" xfId="21203" xr:uid="{00000000-0005-0000-0000-0000CD520000}"/>
    <cellStyle name="CurrencyTot 2 3 2 4" xfId="21204" xr:uid="{00000000-0005-0000-0000-0000CE520000}"/>
    <cellStyle name="CurrencyTot 2 3 2 4 2" xfId="21205" xr:uid="{00000000-0005-0000-0000-0000CF520000}"/>
    <cellStyle name="CurrencyTot 2 3 2 4 3" xfId="21206" xr:uid="{00000000-0005-0000-0000-0000D0520000}"/>
    <cellStyle name="CurrencyTot 2 3 2 4 4" xfId="21207" xr:uid="{00000000-0005-0000-0000-0000D1520000}"/>
    <cellStyle name="CurrencyTot 2 3 2 4 5" xfId="21208" xr:uid="{00000000-0005-0000-0000-0000D2520000}"/>
    <cellStyle name="CurrencyTot 2 3 2 4 6" xfId="21209" xr:uid="{00000000-0005-0000-0000-0000D3520000}"/>
    <cellStyle name="CurrencyTot 2 3 2 5" xfId="21210" xr:uid="{00000000-0005-0000-0000-0000D4520000}"/>
    <cellStyle name="CurrencyTot 2 3 2 6" xfId="21211" xr:uid="{00000000-0005-0000-0000-0000D5520000}"/>
    <cellStyle name="CurrencyTot 2 3 2 7" xfId="21212" xr:uid="{00000000-0005-0000-0000-0000D6520000}"/>
    <cellStyle name="CurrencyTot 2 3 2 8" xfId="21213" xr:uid="{00000000-0005-0000-0000-0000D7520000}"/>
    <cellStyle name="CurrencyTot 2 3 3" xfId="21214" xr:uid="{00000000-0005-0000-0000-0000D8520000}"/>
    <cellStyle name="CurrencyTot 2 3 3 2" xfId="21215" xr:uid="{00000000-0005-0000-0000-0000D9520000}"/>
    <cellStyle name="CurrencyTot 2 3 3 2 2" xfId="21216" xr:uid="{00000000-0005-0000-0000-0000DA520000}"/>
    <cellStyle name="CurrencyTot 2 3 3 2 2 2" xfId="21217" xr:uid="{00000000-0005-0000-0000-0000DB520000}"/>
    <cellStyle name="CurrencyTot 2 3 3 2 2 3" xfId="21218" xr:uid="{00000000-0005-0000-0000-0000DC520000}"/>
    <cellStyle name="CurrencyTot 2 3 3 2 2 4" xfId="21219" xr:uid="{00000000-0005-0000-0000-0000DD520000}"/>
    <cellStyle name="CurrencyTot 2 3 3 2 2 5" xfId="21220" xr:uid="{00000000-0005-0000-0000-0000DE520000}"/>
    <cellStyle name="CurrencyTot 2 3 3 2 2 6" xfId="21221" xr:uid="{00000000-0005-0000-0000-0000DF520000}"/>
    <cellStyle name="CurrencyTot 2 3 3 2 3" xfId="21222" xr:uid="{00000000-0005-0000-0000-0000E0520000}"/>
    <cellStyle name="CurrencyTot 2 3 3 2 4" xfId="21223" xr:uid="{00000000-0005-0000-0000-0000E1520000}"/>
    <cellStyle name="CurrencyTot 2 3 3 2 5" xfId="21224" xr:uid="{00000000-0005-0000-0000-0000E2520000}"/>
    <cellStyle name="CurrencyTot 2 3 3 2 6" xfId="21225" xr:uid="{00000000-0005-0000-0000-0000E3520000}"/>
    <cellStyle name="CurrencyTot 2 3 3 3" xfId="21226" xr:uid="{00000000-0005-0000-0000-0000E4520000}"/>
    <cellStyle name="CurrencyTot 2 3 3 3 2" xfId="21227" xr:uid="{00000000-0005-0000-0000-0000E5520000}"/>
    <cellStyle name="CurrencyTot 2 3 3 3 2 2" xfId="21228" xr:uid="{00000000-0005-0000-0000-0000E6520000}"/>
    <cellStyle name="CurrencyTot 2 3 3 3 2 3" xfId="21229" xr:uid="{00000000-0005-0000-0000-0000E7520000}"/>
    <cellStyle name="CurrencyTot 2 3 3 3 2 4" xfId="21230" xr:uid="{00000000-0005-0000-0000-0000E8520000}"/>
    <cellStyle name="CurrencyTot 2 3 3 3 2 5" xfId="21231" xr:uid="{00000000-0005-0000-0000-0000E9520000}"/>
    <cellStyle name="CurrencyTot 2 3 3 3 2 6" xfId="21232" xr:uid="{00000000-0005-0000-0000-0000EA520000}"/>
    <cellStyle name="CurrencyTot 2 3 3 3 3" xfId="21233" xr:uid="{00000000-0005-0000-0000-0000EB520000}"/>
    <cellStyle name="CurrencyTot 2 3 3 3 4" xfId="21234" xr:uid="{00000000-0005-0000-0000-0000EC520000}"/>
    <cellStyle name="CurrencyTot 2 3 3 3 5" xfId="21235" xr:uid="{00000000-0005-0000-0000-0000ED520000}"/>
    <cellStyle name="CurrencyTot 2 3 3 3 6" xfId="21236" xr:uid="{00000000-0005-0000-0000-0000EE520000}"/>
    <cellStyle name="CurrencyTot 2 3 3 4" xfId="21237" xr:uid="{00000000-0005-0000-0000-0000EF520000}"/>
    <cellStyle name="CurrencyTot 2 3 3 4 2" xfId="21238" xr:uid="{00000000-0005-0000-0000-0000F0520000}"/>
    <cellStyle name="CurrencyTot 2 3 3 4 3" xfId="21239" xr:uid="{00000000-0005-0000-0000-0000F1520000}"/>
    <cellStyle name="CurrencyTot 2 3 3 4 4" xfId="21240" xr:uid="{00000000-0005-0000-0000-0000F2520000}"/>
    <cellStyle name="CurrencyTot 2 3 3 4 5" xfId="21241" xr:uid="{00000000-0005-0000-0000-0000F3520000}"/>
    <cellStyle name="CurrencyTot 2 3 3 4 6" xfId="21242" xr:uid="{00000000-0005-0000-0000-0000F4520000}"/>
    <cellStyle name="CurrencyTot 2 3 3 5" xfId="21243" xr:uid="{00000000-0005-0000-0000-0000F5520000}"/>
    <cellStyle name="CurrencyTot 2 3 3 6" xfId="21244" xr:uid="{00000000-0005-0000-0000-0000F6520000}"/>
    <cellStyle name="CurrencyTot 2 3 3 7" xfId="21245" xr:uid="{00000000-0005-0000-0000-0000F7520000}"/>
    <cellStyle name="CurrencyTot 2 3 3 8" xfId="21246" xr:uid="{00000000-0005-0000-0000-0000F8520000}"/>
    <cellStyle name="CurrencyTot 2 3 4" xfId="21247" xr:uid="{00000000-0005-0000-0000-0000F9520000}"/>
    <cellStyle name="CurrencyTot 2 3 4 2" xfId="21248" xr:uid="{00000000-0005-0000-0000-0000FA520000}"/>
    <cellStyle name="CurrencyTot 2 3 4 2 2" xfId="21249" xr:uid="{00000000-0005-0000-0000-0000FB520000}"/>
    <cellStyle name="CurrencyTot 2 3 4 2 2 2" xfId="21250" xr:uid="{00000000-0005-0000-0000-0000FC520000}"/>
    <cellStyle name="CurrencyTot 2 3 4 2 2 3" xfId="21251" xr:uid="{00000000-0005-0000-0000-0000FD520000}"/>
    <cellStyle name="CurrencyTot 2 3 4 2 2 4" xfId="21252" xr:uid="{00000000-0005-0000-0000-0000FE520000}"/>
    <cellStyle name="CurrencyTot 2 3 4 2 2 5" xfId="21253" xr:uid="{00000000-0005-0000-0000-0000FF520000}"/>
    <cellStyle name="CurrencyTot 2 3 4 2 2 6" xfId="21254" xr:uid="{00000000-0005-0000-0000-000000530000}"/>
    <cellStyle name="CurrencyTot 2 3 4 2 3" xfId="21255" xr:uid="{00000000-0005-0000-0000-000001530000}"/>
    <cellStyle name="CurrencyTot 2 3 4 2 4" xfId="21256" xr:uid="{00000000-0005-0000-0000-000002530000}"/>
    <cellStyle name="CurrencyTot 2 3 4 2 5" xfId="21257" xr:uid="{00000000-0005-0000-0000-000003530000}"/>
    <cellStyle name="CurrencyTot 2 3 4 2 6" xfId="21258" xr:uid="{00000000-0005-0000-0000-000004530000}"/>
    <cellStyle name="CurrencyTot 2 3 4 3" xfId="21259" xr:uid="{00000000-0005-0000-0000-000005530000}"/>
    <cellStyle name="CurrencyTot 2 3 4 3 2" xfId="21260" xr:uid="{00000000-0005-0000-0000-000006530000}"/>
    <cellStyle name="CurrencyTot 2 3 4 3 2 2" xfId="21261" xr:uid="{00000000-0005-0000-0000-000007530000}"/>
    <cellStyle name="CurrencyTot 2 3 4 3 2 3" xfId="21262" xr:uid="{00000000-0005-0000-0000-000008530000}"/>
    <cellStyle name="CurrencyTot 2 3 4 3 2 4" xfId="21263" xr:uid="{00000000-0005-0000-0000-000009530000}"/>
    <cellStyle name="CurrencyTot 2 3 4 3 2 5" xfId="21264" xr:uid="{00000000-0005-0000-0000-00000A530000}"/>
    <cellStyle name="CurrencyTot 2 3 4 3 2 6" xfId="21265" xr:uid="{00000000-0005-0000-0000-00000B530000}"/>
    <cellStyle name="CurrencyTot 2 3 4 3 3" xfId="21266" xr:uid="{00000000-0005-0000-0000-00000C530000}"/>
    <cellStyle name="CurrencyTot 2 3 4 3 4" xfId="21267" xr:uid="{00000000-0005-0000-0000-00000D530000}"/>
    <cellStyle name="CurrencyTot 2 3 4 3 5" xfId="21268" xr:uid="{00000000-0005-0000-0000-00000E530000}"/>
    <cellStyle name="CurrencyTot 2 3 4 3 6" xfId="21269" xr:uid="{00000000-0005-0000-0000-00000F530000}"/>
    <cellStyle name="CurrencyTot 2 3 4 4" xfId="21270" xr:uid="{00000000-0005-0000-0000-000010530000}"/>
    <cellStyle name="CurrencyTot 2 3 4 4 2" xfId="21271" xr:uid="{00000000-0005-0000-0000-000011530000}"/>
    <cellStyle name="CurrencyTot 2 3 4 4 3" xfId="21272" xr:uid="{00000000-0005-0000-0000-000012530000}"/>
    <cellStyle name="CurrencyTot 2 3 4 4 4" xfId="21273" xr:uid="{00000000-0005-0000-0000-000013530000}"/>
    <cellStyle name="CurrencyTot 2 3 4 4 5" xfId="21274" xr:uid="{00000000-0005-0000-0000-000014530000}"/>
    <cellStyle name="CurrencyTot 2 3 4 4 6" xfId="21275" xr:uid="{00000000-0005-0000-0000-000015530000}"/>
    <cellStyle name="CurrencyTot 2 3 4 5" xfId="21276" xr:uid="{00000000-0005-0000-0000-000016530000}"/>
    <cellStyle name="CurrencyTot 2 3 4 6" xfId="21277" xr:uid="{00000000-0005-0000-0000-000017530000}"/>
    <cellStyle name="CurrencyTot 2 3 4 7" xfId="21278" xr:uid="{00000000-0005-0000-0000-000018530000}"/>
    <cellStyle name="CurrencyTot 2 3 4 8" xfId="21279" xr:uid="{00000000-0005-0000-0000-000019530000}"/>
    <cellStyle name="CurrencyTot 2 3 5" xfId="21280" xr:uid="{00000000-0005-0000-0000-00001A530000}"/>
    <cellStyle name="CurrencyTot 2 3 5 2" xfId="21281" xr:uid="{00000000-0005-0000-0000-00001B530000}"/>
    <cellStyle name="CurrencyTot 2 3 5 2 2" xfId="21282" xr:uid="{00000000-0005-0000-0000-00001C530000}"/>
    <cellStyle name="CurrencyTot 2 3 5 2 2 2" xfId="21283" xr:uid="{00000000-0005-0000-0000-00001D530000}"/>
    <cellStyle name="CurrencyTot 2 3 5 2 2 3" xfId="21284" xr:uid="{00000000-0005-0000-0000-00001E530000}"/>
    <cellStyle name="CurrencyTot 2 3 5 2 2 4" xfId="21285" xr:uid="{00000000-0005-0000-0000-00001F530000}"/>
    <cellStyle name="CurrencyTot 2 3 5 2 2 5" xfId="21286" xr:uid="{00000000-0005-0000-0000-000020530000}"/>
    <cellStyle name="CurrencyTot 2 3 5 2 2 6" xfId="21287" xr:uid="{00000000-0005-0000-0000-000021530000}"/>
    <cellStyle name="CurrencyTot 2 3 5 2 3" xfId="21288" xr:uid="{00000000-0005-0000-0000-000022530000}"/>
    <cellStyle name="CurrencyTot 2 3 5 2 4" xfId="21289" xr:uid="{00000000-0005-0000-0000-000023530000}"/>
    <cellStyle name="CurrencyTot 2 3 5 2 5" xfId="21290" xr:uid="{00000000-0005-0000-0000-000024530000}"/>
    <cellStyle name="CurrencyTot 2 3 5 2 6" xfId="21291" xr:uid="{00000000-0005-0000-0000-000025530000}"/>
    <cellStyle name="CurrencyTot 2 3 5 3" xfId="21292" xr:uid="{00000000-0005-0000-0000-000026530000}"/>
    <cellStyle name="CurrencyTot 2 3 5 3 2" xfId="21293" xr:uid="{00000000-0005-0000-0000-000027530000}"/>
    <cellStyle name="CurrencyTot 2 3 5 3 2 2" xfId="21294" xr:uid="{00000000-0005-0000-0000-000028530000}"/>
    <cellStyle name="CurrencyTot 2 3 5 3 2 3" xfId="21295" xr:uid="{00000000-0005-0000-0000-000029530000}"/>
    <cellStyle name="CurrencyTot 2 3 5 3 2 4" xfId="21296" xr:uid="{00000000-0005-0000-0000-00002A530000}"/>
    <cellStyle name="CurrencyTot 2 3 5 3 2 5" xfId="21297" xr:uid="{00000000-0005-0000-0000-00002B530000}"/>
    <cellStyle name="CurrencyTot 2 3 5 3 2 6" xfId="21298" xr:uid="{00000000-0005-0000-0000-00002C530000}"/>
    <cellStyle name="CurrencyTot 2 3 5 3 3" xfId="21299" xr:uid="{00000000-0005-0000-0000-00002D530000}"/>
    <cellStyle name="CurrencyTot 2 3 5 3 4" xfId="21300" xr:uid="{00000000-0005-0000-0000-00002E530000}"/>
    <cellStyle name="CurrencyTot 2 3 5 3 5" xfId="21301" xr:uid="{00000000-0005-0000-0000-00002F530000}"/>
    <cellStyle name="CurrencyTot 2 3 5 3 6" xfId="21302" xr:uid="{00000000-0005-0000-0000-000030530000}"/>
    <cellStyle name="CurrencyTot 2 3 5 4" xfId="21303" xr:uid="{00000000-0005-0000-0000-000031530000}"/>
    <cellStyle name="CurrencyTot 2 3 5 4 2" xfId="21304" xr:uid="{00000000-0005-0000-0000-000032530000}"/>
    <cellStyle name="CurrencyTot 2 3 5 4 3" xfId="21305" xr:uid="{00000000-0005-0000-0000-000033530000}"/>
    <cellStyle name="CurrencyTot 2 3 5 4 4" xfId="21306" xr:uid="{00000000-0005-0000-0000-000034530000}"/>
    <cellStyle name="CurrencyTot 2 3 5 4 5" xfId="21307" xr:uid="{00000000-0005-0000-0000-000035530000}"/>
    <cellStyle name="CurrencyTot 2 3 5 4 6" xfId="21308" xr:uid="{00000000-0005-0000-0000-000036530000}"/>
    <cellStyle name="CurrencyTot 2 3 5 5" xfId="21309" xr:uid="{00000000-0005-0000-0000-000037530000}"/>
    <cellStyle name="CurrencyTot 2 3 5 6" xfId="21310" xr:uid="{00000000-0005-0000-0000-000038530000}"/>
    <cellStyle name="CurrencyTot 2 3 5 7" xfId="21311" xr:uid="{00000000-0005-0000-0000-000039530000}"/>
    <cellStyle name="CurrencyTot 2 3 5 8" xfId="21312" xr:uid="{00000000-0005-0000-0000-00003A530000}"/>
    <cellStyle name="CurrencyTot 2 3 6" xfId="21313" xr:uid="{00000000-0005-0000-0000-00003B530000}"/>
    <cellStyle name="CurrencyTot 2 3 6 2" xfId="21314" xr:uid="{00000000-0005-0000-0000-00003C530000}"/>
    <cellStyle name="CurrencyTot 2 3 6 2 2" xfId="21315" xr:uid="{00000000-0005-0000-0000-00003D530000}"/>
    <cellStyle name="CurrencyTot 2 3 6 2 2 2" xfId="21316" xr:uid="{00000000-0005-0000-0000-00003E530000}"/>
    <cellStyle name="CurrencyTot 2 3 6 2 2 3" xfId="21317" xr:uid="{00000000-0005-0000-0000-00003F530000}"/>
    <cellStyle name="CurrencyTot 2 3 6 2 2 4" xfId="21318" xr:uid="{00000000-0005-0000-0000-000040530000}"/>
    <cellStyle name="CurrencyTot 2 3 6 2 2 5" xfId="21319" xr:uid="{00000000-0005-0000-0000-000041530000}"/>
    <cellStyle name="CurrencyTot 2 3 6 2 2 6" xfId="21320" xr:uid="{00000000-0005-0000-0000-000042530000}"/>
    <cellStyle name="CurrencyTot 2 3 6 2 3" xfId="21321" xr:uid="{00000000-0005-0000-0000-000043530000}"/>
    <cellStyle name="CurrencyTot 2 3 6 2 4" xfId="21322" xr:uid="{00000000-0005-0000-0000-000044530000}"/>
    <cellStyle name="CurrencyTot 2 3 6 2 5" xfId="21323" xr:uid="{00000000-0005-0000-0000-000045530000}"/>
    <cellStyle name="CurrencyTot 2 3 6 2 6" xfId="21324" xr:uid="{00000000-0005-0000-0000-000046530000}"/>
    <cellStyle name="CurrencyTot 2 3 6 3" xfId="21325" xr:uid="{00000000-0005-0000-0000-000047530000}"/>
    <cellStyle name="CurrencyTot 2 3 6 3 2" xfId="21326" xr:uid="{00000000-0005-0000-0000-000048530000}"/>
    <cellStyle name="CurrencyTot 2 3 6 3 2 2" xfId="21327" xr:uid="{00000000-0005-0000-0000-000049530000}"/>
    <cellStyle name="CurrencyTot 2 3 6 3 2 3" xfId="21328" xr:uid="{00000000-0005-0000-0000-00004A530000}"/>
    <cellStyle name="CurrencyTot 2 3 6 3 2 4" xfId="21329" xr:uid="{00000000-0005-0000-0000-00004B530000}"/>
    <cellStyle name="CurrencyTot 2 3 6 3 2 5" xfId="21330" xr:uid="{00000000-0005-0000-0000-00004C530000}"/>
    <cellStyle name="CurrencyTot 2 3 6 3 2 6" xfId="21331" xr:uid="{00000000-0005-0000-0000-00004D530000}"/>
    <cellStyle name="CurrencyTot 2 3 6 3 3" xfId="21332" xr:uid="{00000000-0005-0000-0000-00004E530000}"/>
    <cellStyle name="CurrencyTot 2 3 6 3 4" xfId="21333" xr:uid="{00000000-0005-0000-0000-00004F530000}"/>
    <cellStyle name="CurrencyTot 2 3 6 3 5" xfId="21334" xr:uid="{00000000-0005-0000-0000-000050530000}"/>
    <cellStyle name="CurrencyTot 2 3 6 3 6" xfId="21335" xr:uid="{00000000-0005-0000-0000-000051530000}"/>
    <cellStyle name="CurrencyTot 2 3 6 4" xfId="21336" xr:uid="{00000000-0005-0000-0000-000052530000}"/>
    <cellStyle name="CurrencyTot 2 3 6 4 2" xfId="21337" xr:uid="{00000000-0005-0000-0000-000053530000}"/>
    <cellStyle name="CurrencyTot 2 3 6 4 3" xfId="21338" xr:uid="{00000000-0005-0000-0000-000054530000}"/>
    <cellStyle name="CurrencyTot 2 3 6 4 4" xfId="21339" xr:uid="{00000000-0005-0000-0000-000055530000}"/>
    <cellStyle name="CurrencyTot 2 3 6 4 5" xfId="21340" xr:uid="{00000000-0005-0000-0000-000056530000}"/>
    <cellStyle name="CurrencyTot 2 3 6 4 6" xfId="21341" xr:uid="{00000000-0005-0000-0000-000057530000}"/>
    <cellStyle name="CurrencyTot 2 3 6 5" xfId="21342" xr:uid="{00000000-0005-0000-0000-000058530000}"/>
    <cellStyle name="CurrencyTot 2 3 6 6" xfId="21343" xr:uid="{00000000-0005-0000-0000-000059530000}"/>
    <cellStyle name="CurrencyTot 2 3 6 7" xfId="21344" xr:uid="{00000000-0005-0000-0000-00005A530000}"/>
    <cellStyle name="CurrencyTot 2 3 6 8" xfId="21345" xr:uid="{00000000-0005-0000-0000-00005B530000}"/>
    <cellStyle name="CurrencyTot 2 3 7" xfId="21346" xr:uid="{00000000-0005-0000-0000-00005C530000}"/>
    <cellStyle name="CurrencyTot 2 3 7 2" xfId="21347" xr:uid="{00000000-0005-0000-0000-00005D530000}"/>
    <cellStyle name="CurrencyTot 2 3 7 2 2" xfId="21348" xr:uid="{00000000-0005-0000-0000-00005E530000}"/>
    <cellStyle name="CurrencyTot 2 3 7 2 3" xfId="21349" xr:uid="{00000000-0005-0000-0000-00005F530000}"/>
    <cellStyle name="CurrencyTot 2 3 7 2 4" xfId="21350" xr:uid="{00000000-0005-0000-0000-000060530000}"/>
    <cellStyle name="CurrencyTot 2 3 7 2 5" xfId="21351" xr:uid="{00000000-0005-0000-0000-000061530000}"/>
    <cellStyle name="CurrencyTot 2 3 7 2 6" xfId="21352" xr:uid="{00000000-0005-0000-0000-000062530000}"/>
    <cellStyle name="CurrencyTot 2 3 7 3" xfId="21353" xr:uid="{00000000-0005-0000-0000-000063530000}"/>
    <cellStyle name="CurrencyTot 2 3 7 4" xfId="21354" xr:uid="{00000000-0005-0000-0000-000064530000}"/>
    <cellStyle name="CurrencyTot 2 3 7 5" xfId="21355" xr:uid="{00000000-0005-0000-0000-000065530000}"/>
    <cellStyle name="CurrencyTot 2 3 7 6" xfId="21356" xr:uid="{00000000-0005-0000-0000-000066530000}"/>
    <cellStyle name="CurrencyTot 2 3 8" xfId="21357" xr:uid="{00000000-0005-0000-0000-000067530000}"/>
    <cellStyle name="CurrencyTot 2 3 8 2" xfId="21358" xr:uid="{00000000-0005-0000-0000-000068530000}"/>
    <cellStyle name="CurrencyTot 2 3 8 2 2" xfId="21359" xr:uid="{00000000-0005-0000-0000-000069530000}"/>
    <cellStyle name="CurrencyTot 2 3 8 2 3" xfId="21360" xr:uid="{00000000-0005-0000-0000-00006A530000}"/>
    <cellStyle name="CurrencyTot 2 3 8 2 4" xfId="21361" xr:uid="{00000000-0005-0000-0000-00006B530000}"/>
    <cellStyle name="CurrencyTot 2 3 8 2 5" xfId="21362" xr:uid="{00000000-0005-0000-0000-00006C530000}"/>
    <cellStyle name="CurrencyTot 2 3 8 2 6" xfId="21363" xr:uid="{00000000-0005-0000-0000-00006D530000}"/>
    <cellStyle name="CurrencyTot 2 3 8 3" xfId="21364" xr:uid="{00000000-0005-0000-0000-00006E530000}"/>
    <cellStyle name="CurrencyTot 2 3 8 4" xfId="21365" xr:uid="{00000000-0005-0000-0000-00006F530000}"/>
    <cellStyle name="CurrencyTot 2 3 8 5" xfId="21366" xr:uid="{00000000-0005-0000-0000-000070530000}"/>
    <cellStyle name="CurrencyTot 2 3 8 6" xfId="21367" xr:uid="{00000000-0005-0000-0000-000071530000}"/>
    <cellStyle name="CurrencyTot 2 3 9" xfId="21368" xr:uid="{00000000-0005-0000-0000-000072530000}"/>
    <cellStyle name="CurrencyTot 2 3 9 2" xfId="21369" xr:uid="{00000000-0005-0000-0000-000073530000}"/>
    <cellStyle name="CurrencyTot 2 3 9 3" xfId="21370" xr:uid="{00000000-0005-0000-0000-000074530000}"/>
    <cellStyle name="CurrencyTot 2 3 9 4" xfId="21371" xr:uid="{00000000-0005-0000-0000-000075530000}"/>
    <cellStyle name="CurrencyTot 2 3 9 5" xfId="21372" xr:uid="{00000000-0005-0000-0000-000076530000}"/>
    <cellStyle name="CurrencyTot 2 3 9 6" xfId="21373" xr:uid="{00000000-0005-0000-0000-000077530000}"/>
    <cellStyle name="CurrencyTot 2 4" xfId="21374" xr:uid="{00000000-0005-0000-0000-000078530000}"/>
    <cellStyle name="CurrencyTot 2 4 2" xfId="21375" xr:uid="{00000000-0005-0000-0000-000079530000}"/>
    <cellStyle name="CurrencyTot 2 4 2 2" xfId="21376" xr:uid="{00000000-0005-0000-0000-00007A530000}"/>
    <cellStyle name="CurrencyTot 2 4 2 2 2" xfId="21377" xr:uid="{00000000-0005-0000-0000-00007B530000}"/>
    <cellStyle name="CurrencyTot 2 4 2 2 3" xfId="21378" xr:uid="{00000000-0005-0000-0000-00007C530000}"/>
    <cellStyle name="CurrencyTot 2 4 2 2 4" xfId="21379" xr:uid="{00000000-0005-0000-0000-00007D530000}"/>
    <cellStyle name="CurrencyTot 2 4 2 2 5" xfId="21380" xr:uid="{00000000-0005-0000-0000-00007E530000}"/>
    <cellStyle name="CurrencyTot 2 4 2 2 6" xfId="21381" xr:uid="{00000000-0005-0000-0000-00007F530000}"/>
    <cellStyle name="CurrencyTot 2 4 2 3" xfId="21382" xr:uid="{00000000-0005-0000-0000-000080530000}"/>
    <cellStyle name="CurrencyTot 2 4 2 4" xfId="21383" xr:uid="{00000000-0005-0000-0000-000081530000}"/>
    <cellStyle name="CurrencyTot 2 4 2 5" xfId="21384" xr:uid="{00000000-0005-0000-0000-000082530000}"/>
    <cellStyle name="CurrencyTot 2 4 2 6" xfId="21385" xr:uid="{00000000-0005-0000-0000-000083530000}"/>
    <cellStyle name="CurrencyTot 2 4 3" xfId="21386" xr:uid="{00000000-0005-0000-0000-000084530000}"/>
    <cellStyle name="CurrencyTot 2 4 3 2" xfId="21387" xr:uid="{00000000-0005-0000-0000-000085530000}"/>
    <cellStyle name="CurrencyTot 2 4 3 2 2" xfId="21388" xr:uid="{00000000-0005-0000-0000-000086530000}"/>
    <cellStyle name="CurrencyTot 2 4 3 2 3" xfId="21389" xr:uid="{00000000-0005-0000-0000-000087530000}"/>
    <cellStyle name="CurrencyTot 2 4 3 2 4" xfId="21390" xr:uid="{00000000-0005-0000-0000-000088530000}"/>
    <cellStyle name="CurrencyTot 2 4 3 2 5" xfId="21391" xr:uid="{00000000-0005-0000-0000-000089530000}"/>
    <cellStyle name="CurrencyTot 2 4 3 2 6" xfId="21392" xr:uid="{00000000-0005-0000-0000-00008A530000}"/>
    <cellStyle name="CurrencyTot 2 4 3 3" xfId="21393" xr:uid="{00000000-0005-0000-0000-00008B530000}"/>
    <cellStyle name="CurrencyTot 2 4 3 4" xfId="21394" xr:uid="{00000000-0005-0000-0000-00008C530000}"/>
    <cellStyle name="CurrencyTot 2 4 3 5" xfId="21395" xr:uid="{00000000-0005-0000-0000-00008D530000}"/>
    <cellStyle name="CurrencyTot 2 4 3 6" xfId="21396" xr:uid="{00000000-0005-0000-0000-00008E530000}"/>
    <cellStyle name="CurrencyTot 2 4 4" xfId="21397" xr:uid="{00000000-0005-0000-0000-00008F530000}"/>
    <cellStyle name="CurrencyTot 2 4 4 2" xfId="21398" xr:uid="{00000000-0005-0000-0000-000090530000}"/>
    <cellStyle name="CurrencyTot 2 4 4 3" xfId="21399" xr:uid="{00000000-0005-0000-0000-000091530000}"/>
    <cellStyle name="CurrencyTot 2 4 4 4" xfId="21400" xr:uid="{00000000-0005-0000-0000-000092530000}"/>
    <cellStyle name="CurrencyTot 2 4 4 5" xfId="21401" xr:uid="{00000000-0005-0000-0000-000093530000}"/>
    <cellStyle name="CurrencyTot 2 4 4 6" xfId="21402" xr:uid="{00000000-0005-0000-0000-000094530000}"/>
    <cellStyle name="CurrencyTot 2 4 5" xfId="21403" xr:uid="{00000000-0005-0000-0000-000095530000}"/>
    <cellStyle name="CurrencyTot 2 4 6" xfId="21404" xr:uid="{00000000-0005-0000-0000-000096530000}"/>
    <cellStyle name="CurrencyTot 2 4 7" xfId="21405" xr:uid="{00000000-0005-0000-0000-000097530000}"/>
    <cellStyle name="CurrencyTot 2 4 8" xfId="21406" xr:uid="{00000000-0005-0000-0000-000098530000}"/>
    <cellStyle name="CurrencyTot 2 5" xfId="21407" xr:uid="{00000000-0005-0000-0000-000099530000}"/>
    <cellStyle name="CurrencyTot 2 5 2" xfId="21408" xr:uid="{00000000-0005-0000-0000-00009A530000}"/>
    <cellStyle name="CurrencyTot 2 5 2 2" xfId="21409" xr:uid="{00000000-0005-0000-0000-00009B530000}"/>
    <cellStyle name="CurrencyTot 2 5 2 2 2" xfId="21410" xr:uid="{00000000-0005-0000-0000-00009C530000}"/>
    <cellStyle name="CurrencyTot 2 5 2 2 3" xfId="21411" xr:uid="{00000000-0005-0000-0000-00009D530000}"/>
    <cellStyle name="CurrencyTot 2 5 2 2 4" xfId="21412" xr:uid="{00000000-0005-0000-0000-00009E530000}"/>
    <cellStyle name="CurrencyTot 2 5 2 2 5" xfId="21413" xr:uid="{00000000-0005-0000-0000-00009F530000}"/>
    <cellStyle name="CurrencyTot 2 5 2 2 6" xfId="21414" xr:uid="{00000000-0005-0000-0000-0000A0530000}"/>
    <cellStyle name="CurrencyTot 2 5 2 3" xfId="21415" xr:uid="{00000000-0005-0000-0000-0000A1530000}"/>
    <cellStyle name="CurrencyTot 2 5 2 4" xfId="21416" xr:uid="{00000000-0005-0000-0000-0000A2530000}"/>
    <cellStyle name="CurrencyTot 2 5 2 5" xfId="21417" xr:uid="{00000000-0005-0000-0000-0000A3530000}"/>
    <cellStyle name="CurrencyTot 2 5 2 6" xfId="21418" xr:uid="{00000000-0005-0000-0000-0000A4530000}"/>
    <cellStyle name="CurrencyTot 2 5 3" xfId="21419" xr:uid="{00000000-0005-0000-0000-0000A5530000}"/>
    <cellStyle name="CurrencyTot 2 5 3 2" xfId="21420" xr:uid="{00000000-0005-0000-0000-0000A6530000}"/>
    <cellStyle name="CurrencyTot 2 5 3 2 2" xfId="21421" xr:uid="{00000000-0005-0000-0000-0000A7530000}"/>
    <cellStyle name="CurrencyTot 2 5 3 2 3" xfId="21422" xr:uid="{00000000-0005-0000-0000-0000A8530000}"/>
    <cellStyle name="CurrencyTot 2 5 3 2 4" xfId="21423" xr:uid="{00000000-0005-0000-0000-0000A9530000}"/>
    <cellStyle name="CurrencyTot 2 5 3 2 5" xfId="21424" xr:uid="{00000000-0005-0000-0000-0000AA530000}"/>
    <cellStyle name="CurrencyTot 2 5 3 2 6" xfId="21425" xr:uid="{00000000-0005-0000-0000-0000AB530000}"/>
    <cellStyle name="CurrencyTot 2 5 3 3" xfId="21426" xr:uid="{00000000-0005-0000-0000-0000AC530000}"/>
    <cellStyle name="CurrencyTot 2 5 3 4" xfId="21427" xr:uid="{00000000-0005-0000-0000-0000AD530000}"/>
    <cellStyle name="CurrencyTot 2 5 3 5" xfId="21428" xr:uid="{00000000-0005-0000-0000-0000AE530000}"/>
    <cellStyle name="CurrencyTot 2 5 3 6" xfId="21429" xr:uid="{00000000-0005-0000-0000-0000AF530000}"/>
    <cellStyle name="CurrencyTot 2 5 4" xfId="21430" xr:uid="{00000000-0005-0000-0000-0000B0530000}"/>
    <cellStyle name="CurrencyTot 2 5 4 2" xfId="21431" xr:uid="{00000000-0005-0000-0000-0000B1530000}"/>
    <cellStyle name="CurrencyTot 2 5 4 3" xfId="21432" xr:uid="{00000000-0005-0000-0000-0000B2530000}"/>
    <cellStyle name="CurrencyTot 2 5 4 4" xfId="21433" xr:uid="{00000000-0005-0000-0000-0000B3530000}"/>
    <cellStyle name="CurrencyTot 2 5 4 5" xfId="21434" xr:uid="{00000000-0005-0000-0000-0000B4530000}"/>
    <cellStyle name="CurrencyTot 2 5 4 6" xfId="21435" xr:uid="{00000000-0005-0000-0000-0000B5530000}"/>
    <cellStyle name="CurrencyTot 2 5 5" xfId="21436" xr:uid="{00000000-0005-0000-0000-0000B6530000}"/>
    <cellStyle name="CurrencyTot 2 5 6" xfId="21437" xr:uid="{00000000-0005-0000-0000-0000B7530000}"/>
    <cellStyle name="CurrencyTot 2 5 7" xfId="21438" xr:uid="{00000000-0005-0000-0000-0000B8530000}"/>
    <cellStyle name="CurrencyTot 2 5 8" xfId="21439" xr:uid="{00000000-0005-0000-0000-0000B9530000}"/>
    <cellStyle name="CurrencyTot 2 6" xfId="21440" xr:uid="{00000000-0005-0000-0000-0000BA530000}"/>
    <cellStyle name="CurrencyTot 2 6 2" xfId="21441" xr:uid="{00000000-0005-0000-0000-0000BB530000}"/>
    <cellStyle name="CurrencyTot 2 6 2 2" xfId="21442" xr:uid="{00000000-0005-0000-0000-0000BC530000}"/>
    <cellStyle name="CurrencyTot 2 6 2 2 2" xfId="21443" xr:uid="{00000000-0005-0000-0000-0000BD530000}"/>
    <cellStyle name="CurrencyTot 2 6 2 2 3" xfId="21444" xr:uid="{00000000-0005-0000-0000-0000BE530000}"/>
    <cellStyle name="CurrencyTot 2 6 2 2 4" xfId="21445" xr:uid="{00000000-0005-0000-0000-0000BF530000}"/>
    <cellStyle name="CurrencyTot 2 6 2 2 5" xfId="21446" xr:uid="{00000000-0005-0000-0000-0000C0530000}"/>
    <cellStyle name="CurrencyTot 2 6 2 2 6" xfId="21447" xr:uid="{00000000-0005-0000-0000-0000C1530000}"/>
    <cellStyle name="CurrencyTot 2 6 2 3" xfId="21448" xr:uid="{00000000-0005-0000-0000-0000C2530000}"/>
    <cellStyle name="CurrencyTot 2 6 2 4" xfId="21449" xr:uid="{00000000-0005-0000-0000-0000C3530000}"/>
    <cellStyle name="CurrencyTot 2 6 2 5" xfId="21450" xr:uid="{00000000-0005-0000-0000-0000C4530000}"/>
    <cellStyle name="CurrencyTot 2 6 2 6" xfId="21451" xr:uid="{00000000-0005-0000-0000-0000C5530000}"/>
    <cellStyle name="CurrencyTot 2 6 3" xfId="21452" xr:uid="{00000000-0005-0000-0000-0000C6530000}"/>
    <cellStyle name="CurrencyTot 2 6 3 2" xfId="21453" xr:uid="{00000000-0005-0000-0000-0000C7530000}"/>
    <cellStyle name="CurrencyTot 2 6 3 2 2" xfId="21454" xr:uid="{00000000-0005-0000-0000-0000C8530000}"/>
    <cellStyle name="CurrencyTot 2 6 3 2 3" xfId="21455" xr:uid="{00000000-0005-0000-0000-0000C9530000}"/>
    <cellStyle name="CurrencyTot 2 6 3 2 4" xfId="21456" xr:uid="{00000000-0005-0000-0000-0000CA530000}"/>
    <cellStyle name="CurrencyTot 2 6 3 2 5" xfId="21457" xr:uid="{00000000-0005-0000-0000-0000CB530000}"/>
    <cellStyle name="CurrencyTot 2 6 3 2 6" xfId="21458" xr:uid="{00000000-0005-0000-0000-0000CC530000}"/>
    <cellStyle name="CurrencyTot 2 6 3 3" xfId="21459" xr:uid="{00000000-0005-0000-0000-0000CD530000}"/>
    <cellStyle name="CurrencyTot 2 6 3 4" xfId="21460" xr:uid="{00000000-0005-0000-0000-0000CE530000}"/>
    <cellStyle name="CurrencyTot 2 6 3 5" xfId="21461" xr:uid="{00000000-0005-0000-0000-0000CF530000}"/>
    <cellStyle name="CurrencyTot 2 6 3 6" xfId="21462" xr:uid="{00000000-0005-0000-0000-0000D0530000}"/>
    <cellStyle name="CurrencyTot 2 6 4" xfId="21463" xr:uid="{00000000-0005-0000-0000-0000D1530000}"/>
    <cellStyle name="CurrencyTot 2 6 4 2" xfId="21464" xr:uid="{00000000-0005-0000-0000-0000D2530000}"/>
    <cellStyle name="CurrencyTot 2 6 4 3" xfId="21465" xr:uid="{00000000-0005-0000-0000-0000D3530000}"/>
    <cellStyle name="CurrencyTot 2 6 4 4" xfId="21466" xr:uid="{00000000-0005-0000-0000-0000D4530000}"/>
    <cellStyle name="CurrencyTot 2 6 4 5" xfId="21467" xr:uid="{00000000-0005-0000-0000-0000D5530000}"/>
    <cellStyle name="CurrencyTot 2 6 4 6" xfId="21468" xr:uid="{00000000-0005-0000-0000-0000D6530000}"/>
    <cellStyle name="CurrencyTot 2 6 5" xfId="21469" xr:uid="{00000000-0005-0000-0000-0000D7530000}"/>
    <cellStyle name="CurrencyTot 2 6 6" xfId="21470" xr:uid="{00000000-0005-0000-0000-0000D8530000}"/>
    <cellStyle name="CurrencyTot 2 6 7" xfId="21471" xr:uid="{00000000-0005-0000-0000-0000D9530000}"/>
    <cellStyle name="CurrencyTot 2 6 8" xfId="21472" xr:uid="{00000000-0005-0000-0000-0000DA530000}"/>
    <cellStyle name="CurrencyTot 2 7" xfId="21473" xr:uid="{00000000-0005-0000-0000-0000DB530000}"/>
    <cellStyle name="CurrencyTot 2 7 2" xfId="21474" xr:uid="{00000000-0005-0000-0000-0000DC530000}"/>
    <cellStyle name="CurrencyTot 2 7 2 2" xfId="21475" xr:uid="{00000000-0005-0000-0000-0000DD530000}"/>
    <cellStyle name="CurrencyTot 2 7 2 3" xfId="21476" xr:uid="{00000000-0005-0000-0000-0000DE530000}"/>
    <cellStyle name="CurrencyTot 2 7 2 4" xfId="21477" xr:uid="{00000000-0005-0000-0000-0000DF530000}"/>
    <cellStyle name="CurrencyTot 2 7 2 5" xfId="21478" xr:uid="{00000000-0005-0000-0000-0000E0530000}"/>
    <cellStyle name="CurrencyTot 2 7 2 6" xfId="21479" xr:uid="{00000000-0005-0000-0000-0000E1530000}"/>
    <cellStyle name="CurrencyTot 2 7 3" xfId="21480" xr:uid="{00000000-0005-0000-0000-0000E2530000}"/>
    <cellStyle name="CurrencyTot 2 7 4" xfId="21481" xr:uid="{00000000-0005-0000-0000-0000E3530000}"/>
    <cellStyle name="CurrencyTot 2 7 5" xfId="21482" xr:uid="{00000000-0005-0000-0000-0000E4530000}"/>
    <cellStyle name="CurrencyTot 2 7 6" xfId="21483" xr:uid="{00000000-0005-0000-0000-0000E5530000}"/>
    <cellStyle name="CurrencyTot 2 8" xfId="21484" xr:uid="{00000000-0005-0000-0000-0000E6530000}"/>
    <cellStyle name="CurrencyTot 2 8 2" xfId="21485" xr:uid="{00000000-0005-0000-0000-0000E7530000}"/>
    <cellStyle name="CurrencyTot 2 8 2 2" xfId="21486" xr:uid="{00000000-0005-0000-0000-0000E8530000}"/>
    <cellStyle name="CurrencyTot 2 8 2 3" xfId="21487" xr:uid="{00000000-0005-0000-0000-0000E9530000}"/>
    <cellStyle name="CurrencyTot 2 8 2 4" xfId="21488" xr:uid="{00000000-0005-0000-0000-0000EA530000}"/>
    <cellStyle name="CurrencyTot 2 8 2 5" xfId="21489" xr:uid="{00000000-0005-0000-0000-0000EB530000}"/>
    <cellStyle name="CurrencyTot 2 8 2 6" xfId="21490" xr:uid="{00000000-0005-0000-0000-0000EC530000}"/>
    <cellStyle name="CurrencyTot 2 8 3" xfId="21491" xr:uid="{00000000-0005-0000-0000-0000ED530000}"/>
    <cellStyle name="CurrencyTot 2 8 4" xfId="21492" xr:uid="{00000000-0005-0000-0000-0000EE530000}"/>
    <cellStyle name="CurrencyTot 2 8 5" xfId="21493" xr:uid="{00000000-0005-0000-0000-0000EF530000}"/>
    <cellStyle name="CurrencyTot 2 8 6" xfId="21494" xr:uid="{00000000-0005-0000-0000-0000F0530000}"/>
    <cellStyle name="CurrencyTot 2 9" xfId="21495" xr:uid="{00000000-0005-0000-0000-0000F1530000}"/>
    <cellStyle name="CurrencyTot 2 9 2" xfId="21496" xr:uid="{00000000-0005-0000-0000-0000F2530000}"/>
    <cellStyle name="CurrencyTot 2 9 3" xfId="21497" xr:uid="{00000000-0005-0000-0000-0000F3530000}"/>
    <cellStyle name="CurrencyTot 2 9 4" xfId="21498" xr:uid="{00000000-0005-0000-0000-0000F4530000}"/>
    <cellStyle name="CurrencyTot 2 9 5" xfId="21499" xr:uid="{00000000-0005-0000-0000-0000F5530000}"/>
    <cellStyle name="CurrencyTot 2 9 6" xfId="21500" xr:uid="{00000000-0005-0000-0000-0000F6530000}"/>
    <cellStyle name="CurrencyTot 3" xfId="21501" xr:uid="{00000000-0005-0000-0000-0000F7530000}"/>
    <cellStyle name="CurrencyTot 3 10" xfId="21502" xr:uid="{00000000-0005-0000-0000-0000F8530000}"/>
    <cellStyle name="CurrencyTot 3 10 2" xfId="21503" xr:uid="{00000000-0005-0000-0000-0000F9530000}"/>
    <cellStyle name="CurrencyTot 3 10 3" xfId="21504" xr:uid="{00000000-0005-0000-0000-0000FA530000}"/>
    <cellStyle name="CurrencyTot 3 10 4" xfId="21505" xr:uid="{00000000-0005-0000-0000-0000FB530000}"/>
    <cellStyle name="CurrencyTot 3 10 5" xfId="21506" xr:uid="{00000000-0005-0000-0000-0000FC530000}"/>
    <cellStyle name="CurrencyTot 3 10 6" xfId="21507" xr:uid="{00000000-0005-0000-0000-0000FD530000}"/>
    <cellStyle name="CurrencyTot 3 11" xfId="21508" xr:uid="{00000000-0005-0000-0000-0000FE530000}"/>
    <cellStyle name="CurrencyTot 3 12" xfId="21509" xr:uid="{00000000-0005-0000-0000-0000FF530000}"/>
    <cellStyle name="CurrencyTot 3 13" xfId="21510" xr:uid="{00000000-0005-0000-0000-000000540000}"/>
    <cellStyle name="CurrencyTot 3 14" xfId="21511" xr:uid="{00000000-0005-0000-0000-000001540000}"/>
    <cellStyle name="CurrencyTot 3 2" xfId="21512" xr:uid="{00000000-0005-0000-0000-000002540000}"/>
    <cellStyle name="CurrencyTot 3 2 10" xfId="21513" xr:uid="{00000000-0005-0000-0000-000003540000}"/>
    <cellStyle name="CurrencyTot 3 2 11" xfId="21514" xr:uid="{00000000-0005-0000-0000-000004540000}"/>
    <cellStyle name="CurrencyTot 3 2 12" xfId="21515" xr:uid="{00000000-0005-0000-0000-000005540000}"/>
    <cellStyle name="CurrencyTot 3 2 13" xfId="21516" xr:uid="{00000000-0005-0000-0000-000006540000}"/>
    <cellStyle name="CurrencyTot 3 2 2" xfId="21517" xr:uid="{00000000-0005-0000-0000-000007540000}"/>
    <cellStyle name="CurrencyTot 3 2 2 2" xfId="21518" xr:uid="{00000000-0005-0000-0000-000008540000}"/>
    <cellStyle name="CurrencyTot 3 2 2 2 2" xfId="21519" xr:uid="{00000000-0005-0000-0000-000009540000}"/>
    <cellStyle name="CurrencyTot 3 2 2 2 2 2" xfId="21520" xr:uid="{00000000-0005-0000-0000-00000A540000}"/>
    <cellStyle name="CurrencyTot 3 2 2 2 2 3" xfId="21521" xr:uid="{00000000-0005-0000-0000-00000B540000}"/>
    <cellStyle name="CurrencyTot 3 2 2 2 2 4" xfId="21522" xr:uid="{00000000-0005-0000-0000-00000C540000}"/>
    <cellStyle name="CurrencyTot 3 2 2 2 2 5" xfId="21523" xr:uid="{00000000-0005-0000-0000-00000D540000}"/>
    <cellStyle name="CurrencyTot 3 2 2 2 2 6" xfId="21524" xr:uid="{00000000-0005-0000-0000-00000E540000}"/>
    <cellStyle name="CurrencyTot 3 2 2 2 3" xfId="21525" xr:uid="{00000000-0005-0000-0000-00000F540000}"/>
    <cellStyle name="CurrencyTot 3 2 2 2 4" xfId="21526" xr:uid="{00000000-0005-0000-0000-000010540000}"/>
    <cellStyle name="CurrencyTot 3 2 2 2 5" xfId="21527" xr:uid="{00000000-0005-0000-0000-000011540000}"/>
    <cellStyle name="CurrencyTot 3 2 2 2 6" xfId="21528" xr:uid="{00000000-0005-0000-0000-000012540000}"/>
    <cellStyle name="CurrencyTot 3 2 2 3" xfId="21529" xr:uid="{00000000-0005-0000-0000-000013540000}"/>
    <cellStyle name="CurrencyTot 3 2 2 3 2" xfId="21530" xr:uid="{00000000-0005-0000-0000-000014540000}"/>
    <cellStyle name="CurrencyTot 3 2 2 3 2 2" xfId="21531" xr:uid="{00000000-0005-0000-0000-000015540000}"/>
    <cellStyle name="CurrencyTot 3 2 2 3 2 3" xfId="21532" xr:uid="{00000000-0005-0000-0000-000016540000}"/>
    <cellStyle name="CurrencyTot 3 2 2 3 2 4" xfId="21533" xr:uid="{00000000-0005-0000-0000-000017540000}"/>
    <cellStyle name="CurrencyTot 3 2 2 3 2 5" xfId="21534" xr:uid="{00000000-0005-0000-0000-000018540000}"/>
    <cellStyle name="CurrencyTot 3 2 2 3 2 6" xfId="21535" xr:uid="{00000000-0005-0000-0000-000019540000}"/>
    <cellStyle name="CurrencyTot 3 2 2 3 3" xfId="21536" xr:uid="{00000000-0005-0000-0000-00001A540000}"/>
    <cellStyle name="CurrencyTot 3 2 2 3 4" xfId="21537" xr:uid="{00000000-0005-0000-0000-00001B540000}"/>
    <cellStyle name="CurrencyTot 3 2 2 3 5" xfId="21538" xr:uid="{00000000-0005-0000-0000-00001C540000}"/>
    <cellStyle name="CurrencyTot 3 2 2 3 6" xfId="21539" xr:uid="{00000000-0005-0000-0000-00001D540000}"/>
    <cellStyle name="CurrencyTot 3 2 2 4" xfId="21540" xr:uid="{00000000-0005-0000-0000-00001E540000}"/>
    <cellStyle name="CurrencyTot 3 2 2 4 2" xfId="21541" xr:uid="{00000000-0005-0000-0000-00001F540000}"/>
    <cellStyle name="CurrencyTot 3 2 2 4 3" xfId="21542" xr:uid="{00000000-0005-0000-0000-000020540000}"/>
    <cellStyle name="CurrencyTot 3 2 2 4 4" xfId="21543" xr:uid="{00000000-0005-0000-0000-000021540000}"/>
    <cellStyle name="CurrencyTot 3 2 2 4 5" xfId="21544" xr:uid="{00000000-0005-0000-0000-000022540000}"/>
    <cellStyle name="CurrencyTot 3 2 2 4 6" xfId="21545" xr:uid="{00000000-0005-0000-0000-000023540000}"/>
    <cellStyle name="CurrencyTot 3 2 2 5" xfId="21546" xr:uid="{00000000-0005-0000-0000-000024540000}"/>
    <cellStyle name="CurrencyTot 3 2 2 6" xfId="21547" xr:uid="{00000000-0005-0000-0000-000025540000}"/>
    <cellStyle name="CurrencyTot 3 2 2 7" xfId="21548" xr:uid="{00000000-0005-0000-0000-000026540000}"/>
    <cellStyle name="CurrencyTot 3 2 2 8" xfId="21549" xr:uid="{00000000-0005-0000-0000-000027540000}"/>
    <cellStyle name="CurrencyTot 3 2 3" xfId="21550" xr:uid="{00000000-0005-0000-0000-000028540000}"/>
    <cellStyle name="CurrencyTot 3 2 3 2" xfId="21551" xr:uid="{00000000-0005-0000-0000-000029540000}"/>
    <cellStyle name="CurrencyTot 3 2 3 2 2" xfId="21552" xr:uid="{00000000-0005-0000-0000-00002A540000}"/>
    <cellStyle name="CurrencyTot 3 2 3 2 2 2" xfId="21553" xr:uid="{00000000-0005-0000-0000-00002B540000}"/>
    <cellStyle name="CurrencyTot 3 2 3 2 2 3" xfId="21554" xr:uid="{00000000-0005-0000-0000-00002C540000}"/>
    <cellStyle name="CurrencyTot 3 2 3 2 2 4" xfId="21555" xr:uid="{00000000-0005-0000-0000-00002D540000}"/>
    <cellStyle name="CurrencyTot 3 2 3 2 2 5" xfId="21556" xr:uid="{00000000-0005-0000-0000-00002E540000}"/>
    <cellStyle name="CurrencyTot 3 2 3 2 2 6" xfId="21557" xr:uid="{00000000-0005-0000-0000-00002F540000}"/>
    <cellStyle name="CurrencyTot 3 2 3 2 3" xfId="21558" xr:uid="{00000000-0005-0000-0000-000030540000}"/>
    <cellStyle name="CurrencyTot 3 2 3 2 4" xfId="21559" xr:uid="{00000000-0005-0000-0000-000031540000}"/>
    <cellStyle name="CurrencyTot 3 2 3 2 5" xfId="21560" xr:uid="{00000000-0005-0000-0000-000032540000}"/>
    <cellStyle name="CurrencyTot 3 2 3 2 6" xfId="21561" xr:uid="{00000000-0005-0000-0000-000033540000}"/>
    <cellStyle name="CurrencyTot 3 2 3 3" xfId="21562" xr:uid="{00000000-0005-0000-0000-000034540000}"/>
    <cellStyle name="CurrencyTot 3 2 3 3 2" xfId="21563" xr:uid="{00000000-0005-0000-0000-000035540000}"/>
    <cellStyle name="CurrencyTot 3 2 3 3 2 2" xfId="21564" xr:uid="{00000000-0005-0000-0000-000036540000}"/>
    <cellStyle name="CurrencyTot 3 2 3 3 2 3" xfId="21565" xr:uid="{00000000-0005-0000-0000-000037540000}"/>
    <cellStyle name="CurrencyTot 3 2 3 3 2 4" xfId="21566" xr:uid="{00000000-0005-0000-0000-000038540000}"/>
    <cellStyle name="CurrencyTot 3 2 3 3 2 5" xfId="21567" xr:uid="{00000000-0005-0000-0000-000039540000}"/>
    <cellStyle name="CurrencyTot 3 2 3 3 2 6" xfId="21568" xr:uid="{00000000-0005-0000-0000-00003A540000}"/>
    <cellStyle name="CurrencyTot 3 2 3 3 3" xfId="21569" xr:uid="{00000000-0005-0000-0000-00003B540000}"/>
    <cellStyle name="CurrencyTot 3 2 3 3 4" xfId="21570" xr:uid="{00000000-0005-0000-0000-00003C540000}"/>
    <cellStyle name="CurrencyTot 3 2 3 3 5" xfId="21571" xr:uid="{00000000-0005-0000-0000-00003D540000}"/>
    <cellStyle name="CurrencyTot 3 2 3 3 6" xfId="21572" xr:uid="{00000000-0005-0000-0000-00003E540000}"/>
    <cellStyle name="CurrencyTot 3 2 3 4" xfId="21573" xr:uid="{00000000-0005-0000-0000-00003F540000}"/>
    <cellStyle name="CurrencyTot 3 2 3 4 2" xfId="21574" xr:uid="{00000000-0005-0000-0000-000040540000}"/>
    <cellStyle name="CurrencyTot 3 2 3 4 3" xfId="21575" xr:uid="{00000000-0005-0000-0000-000041540000}"/>
    <cellStyle name="CurrencyTot 3 2 3 4 4" xfId="21576" xr:uid="{00000000-0005-0000-0000-000042540000}"/>
    <cellStyle name="CurrencyTot 3 2 3 4 5" xfId="21577" xr:uid="{00000000-0005-0000-0000-000043540000}"/>
    <cellStyle name="CurrencyTot 3 2 3 4 6" xfId="21578" xr:uid="{00000000-0005-0000-0000-000044540000}"/>
    <cellStyle name="CurrencyTot 3 2 3 5" xfId="21579" xr:uid="{00000000-0005-0000-0000-000045540000}"/>
    <cellStyle name="CurrencyTot 3 2 3 6" xfId="21580" xr:uid="{00000000-0005-0000-0000-000046540000}"/>
    <cellStyle name="CurrencyTot 3 2 3 7" xfId="21581" xr:uid="{00000000-0005-0000-0000-000047540000}"/>
    <cellStyle name="CurrencyTot 3 2 3 8" xfId="21582" xr:uid="{00000000-0005-0000-0000-000048540000}"/>
    <cellStyle name="CurrencyTot 3 2 4" xfId="21583" xr:uid="{00000000-0005-0000-0000-000049540000}"/>
    <cellStyle name="CurrencyTot 3 2 4 2" xfId="21584" xr:uid="{00000000-0005-0000-0000-00004A540000}"/>
    <cellStyle name="CurrencyTot 3 2 4 2 2" xfId="21585" xr:uid="{00000000-0005-0000-0000-00004B540000}"/>
    <cellStyle name="CurrencyTot 3 2 4 2 2 2" xfId="21586" xr:uid="{00000000-0005-0000-0000-00004C540000}"/>
    <cellStyle name="CurrencyTot 3 2 4 2 2 3" xfId="21587" xr:uid="{00000000-0005-0000-0000-00004D540000}"/>
    <cellStyle name="CurrencyTot 3 2 4 2 2 4" xfId="21588" xr:uid="{00000000-0005-0000-0000-00004E540000}"/>
    <cellStyle name="CurrencyTot 3 2 4 2 2 5" xfId="21589" xr:uid="{00000000-0005-0000-0000-00004F540000}"/>
    <cellStyle name="CurrencyTot 3 2 4 2 2 6" xfId="21590" xr:uid="{00000000-0005-0000-0000-000050540000}"/>
    <cellStyle name="CurrencyTot 3 2 4 2 3" xfId="21591" xr:uid="{00000000-0005-0000-0000-000051540000}"/>
    <cellStyle name="CurrencyTot 3 2 4 2 4" xfId="21592" xr:uid="{00000000-0005-0000-0000-000052540000}"/>
    <cellStyle name="CurrencyTot 3 2 4 2 5" xfId="21593" xr:uid="{00000000-0005-0000-0000-000053540000}"/>
    <cellStyle name="CurrencyTot 3 2 4 2 6" xfId="21594" xr:uid="{00000000-0005-0000-0000-000054540000}"/>
    <cellStyle name="CurrencyTot 3 2 4 3" xfId="21595" xr:uid="{00000000-0005-0000-0000-000055540000}"/>
    <cellStyle name="CurrencyTot 3 2 4 3 2" xfId="21596" xr:uid="{00000000-0005-0000-0000-000056540000}"/>
    <cellStyle name="CurrencyTot 3 2 4 3 2 2" xfId="21597" xr:uid="{00000000-0005-0000-0000-000057540000}"/>
    <cellStyle name="CurrencyTot 3 2 4 3 2 3" xfId="21598" xr:uid="{00000000-0005-0000-0000-000058540000}"/>
    <cellStyle name="CurrencyTot 3 2 4 3 2 4" xfId="21599" xr:uid="{00000000-0005-0000-0000-000059540000}"/>
    <cellStyle name="CurrencyTot 3 2 4 3 2 5" xfId="21600" xr:uid="{00000000-0005-0000-0000-00005A540000}"/>
    <cellStyle name="CurrencyTot 3 2 4 3 2 6" xfId="21601" xr:uid="{00000000-0005-0000-0000-00005B540000}"/>
    <cellStyle name="CurrencyTot 3 2 4 3 3" xfId="21602" xr:uid="{00000000-0005-0000-0000-00005C540000}"/>
    <cellStyle name="CurrencyTot 3 2 4 3 4" xfId="21603" xr:uid="{00000000-0005-0000-0000-00005D540000}"/>
    <cellStyle name="CurrencyTot 3 2 4 3 5" xfId="21604" xr:uid="{00000000-0005-0000-0000-00005E540000}"/>
    <cellStyle name="CurrencyTot 3 2 4 3 6" xfId="21605" xr:uid="{00000000-0005-0000-0000-00005F540000}"/>
    <cellStyle name="CurrencyTot 3 2 4 4" xfId="21606" xr:uid="{00000000-0005-0000-0000-000060540000}"/>
    <cellStyle name="CurrencyTot 3 2 4 4 2" xfId="21607" xr:uid="{00000000-0005-0000-0000-000061540000}"/>
    <cellStyle name="CurrencyTot 3 2 4 4 3" xfId="21608" xr:uid="{00000000-0005-0000-0000-000062540000}"/>
    <cellStyle name="CurrencyTot 3 2 4 4 4" xfId="21609" xr:uid="{00000000-0005-0000-0000-000063540000}"/>
    <cellStyle name="CurrencyTot 3 2 4 4 5" xfId="21610" xr:uid="{00000000-0005-0000-0000-000064540000}"/>
    <cellStyle name="CurrencyTot 3 2 4 4 6" xfId="21611" xr:uid="{00000000-0005-0000-0000-000065540000}"/>
    <cellStyle name="CurrencyTot 3 2 4 5" xfId="21612" xr:uid="{00000000-0005-0000-0000-000066540000}"/>
    <cellStyle name="CurrencyTot 3 2 4 6" xfId="21613" xr:uid="{00000000-0005-0000-0000-000067540000}"/>
    <cellStyle name="CurrencyTot 3 2 4 7" xfId="21614" xr:uid="{00000000-0005-0000-0000-000068540000}"/>
    <cellStyle name="CurrencyTot 3 2 4 8" xfId="21615" xr:uid="{00000000-0005-0000-0000-000069540000}"/>
    <cellStyle name="CurrencyTot 3 2 5" xfId="21616" xr:uid="{00000000-0005-0000-0000-00006A540000}"/>
    <cellStyle name="CurrencyTot 3 2 5 2" xfId="21617" xr:uid="{00000000-0005-0000-0000-00006B540000}"/>
    <cellStyle name="CurrencyTot 3 2 5 2 2" xfId="21618" xr:uid="{00000000-0005-0000-0000-00006C540000}"/>
    <cellStyle name="CurrencyTot 3 2 5 2 2 2" xfId="21619" xr:uid="{00000000-0005-0000-0000-00006D540000}"/>
    <cellStyle name="CurrencyTot 3 2 5 2 2 3" xfId="21620" xr:uid="{00000000-0005-0000-0000-00006E540000}"/>
    <cellStyle name="CurrencyTot 3 2 5 2 2 4" xfId="21621" xr:uid="{00000000-0005-0000-0000-00006F540000}"/>
    <cellStyle name="CurrencyTot 3 2 5 2 2 5" xfId="21622" xr:uid="{00000000-0005-0000-0000-000070540000}"/>
    <cellStyle name="CurrencyTot 3 2 5 2 2 6" xfId="21623" xr:uid="{00000000-0005-0000-0000-000071540000}"/>
    <cellStyle name="CurrencyTot 3 2 5 2 3" xfId="21624" xr:uid="{00000000-0005-0000-0000-000072540000}"/>
    <cellStyle name="CurrencyTot 3 2 5 2 4" xfId="21625" xr:uid="{00000000-0005-0000-0000-000073540000}"/>
    <cellStyle name="CurrencyTot 3 2 5 2 5" xfId="21626" xr:uid="{00000000-0005-0000-0000-000074540000}"/>
    <cellStyle name="CurrencyTot 3 2 5 2 6" xfId="21627" xr:uid="{00000000-0005-0000-0000-000075540000}"/>
    <cellStyle name="CurrencyTot 3 2 5 3" xfId="21628" xr:uid="{00000000-0005-0000-0000-000076540000}"/>
    <cellStyle name="CurrencyTot 3 2 5 3 2" xfId="21629" xr:uid="{00000000-0005-0000-0000-000077540000}"/>
    <cellStyle name="CurrencyTot 3 2 5 3 2 2" xfId="21630" xr:uid="{00000000-0005-0000-0000-000078540000}"/>
    <cellStyle name="CurrencyTot 3 2 5 3 2 3" xfId="21631" xr:uid="{00000000-0005-0000-0000-000079540000}"/>
    <cellStyle name="CurrencyTot 3 2 5 3 2 4" xfId="21632" xr:uid="{00000000-0005-0000-0000-00007A540000}"/>
    <cellStyle name="CurrencyTot 3 2 5 3 2 5" xfId="21633" xr:uid="{00000000-0005-0000-0000-00007B540000}"/>
    <cellStyle name="CurrencyTot 3 2 5 3 2 6" xfId="21634" xr:uid="{00000000-0005-0000-0000-00007C540000}"/>
    <cellStyle name="CurrencyTot 3 2 5 3 3" xfId="21635" xr:uid="{00000000-0005-0000-0000-00007D540000}"/>
    <cellStyle name="CurrencyTot 3 2 5 3 4" xfId="21636" xr:uid="{00000000-0005-0000-0000-00007E540000}"/>
    <cellStyle name="CurrencyTot 3 2 5 3 5" xfId="21637" xr:uid="{00000000-0005-0000-0000-00007F540000}"/>
    <cellStyle name="CurrencyTot 3 2 5 3 6" xfId="21638" xr:uid="{00000000-0005-0000-0000-000080540000}"/>
    <cellStyle name="CurrencyTot 3 2 5 4" xfId="21639" xr:uid="{00000000-0005-0000-0000-000081540000}"/>
    <cellStyle name="CurrencyTot 3 2 5 4 2" xfId="21640" xr:uid="{00000000-0005-0000-0000-000082540000}"/>
    <cellStyle name="CurrencyTot 3 2 5 4 3" xfId="21641" xr:uid="{00000000-0005-0000-0000-000083540000}"/>
    <cellStyle name="CurrencyTot 3 2 5 4 4" xfId="21642" xr:uid="{00000000-0005-0000-0000-000084540000}"/>
    <cellStyle name="CurrencyTot 3 2 5 4 5" xfId="21643" xr:uid="{00000000-0005-0000-0000-000085540000}"/>
    <cellStyle name="CurrencyTot 3 2 5 4 6" xfId="21644" xr:uid="{00000000-0005-0000-0000-000086540000}"/>
    <cellStyle name="CurrencyTot 3 2 5 5" xfId="21645" xr:uid="{00000000-0005-0000-0000-000087540000}"/>
    <cellStyle name="CurrencyTot 3 2 5 6" xfId="21646" xr:uid="{00000000-0005-0000-0000-000088540000}"/>
    <cellStyle name="CurrencyTot 3 2 5 7" xfId="21647" xr:uid="{00000000-0005-0000-0000-000089540000}"/>
    <cellStyle name="CurrencyTot 3 2 5 8" xfId="21648" xr:uid="{00000000-0005-0000-0000-00008A540000}"/>
    <cellStyle name="CurrencyTot 3 2 6" xfId="21649" xr:uid="{00000000-0005-0000-0000-00008B540000}"/>
    <cellStyle name="CurrencyTot 3 2 6 2" xfId="21650" xr:uid="{00000000-0005-0000-0000-00008C540000}"/>
    <cellStyle name="CurrencyTot 3 2 6 2 2" xfId="21651" xr:uid="{00000000-0005-0000-0000-00008D540000}"/>
    <cellStyle name="CurrencyTot 3 2 6 2 2 2" xfId="21652" xr:uid="{00000000-0005-0000-0000-00008E540000}"/>
    <cellStyle name="CurrencyTot 3 2 6 2 2 3" xfId="21653" xr:uid="{00000000-0005-0000-0000-00008F540000}"/>
    <cellStyle name="CurrencyTot 3 2 6 2 2 4" xfId="21654" xr:uid="{00000000-0005-0000-0000-000090540000}"/>
    <cellStyle name="CurrencyTot 3 2 6 2 2 5" xfId="21655" xr:uid="{00000000-0005-0000-0000-000091540000}"/>
    <cellStyle name="CurrencyTot 3 2 6 2 2 6" xfId="21656" xr:uid="{00000000-0005-0000-0000-000092540000}"/>
    <cellStyle name="CurrencyTot 3 2 6 2 3" xfId="21657" xr:uid="{00000000-0005-0000-0000-000093540000}"/>
    <cellStyle name="CurrencyTot 3 2 6 2 4" xfId="21658" xr:uid="{00000000-0005-0000-0000-000094540000}"/>
    <cellStyle name="CurrencyTot 3 2 6 2 5" xfId="21659" xr:uid="{00000000-0005-0000-0000-000095540000}"/>
    <cellStyle name="CurrencyTot 3 2 6 2 6" xfId="21660" xr:uid="{00000000-0005-0000-0000-000096540000}"/>
    <cellStyle name="CurrencyTot 3 2 6 3" xfId="21661" xr:uid="{00000000-0005-0000-0000-000097540000}"/>
    <cellStyle name="CurrencyTot 3 2 6 3 2" xfId="21662" xr:uid="{00000000-0005-0000-0000-000098540000}"/>
    <cellStyle name="CurrencyTot 3 2 6 3 2 2" xfId="21663" xr:uid="{00000000-0005-0000-0000-000099540000}"/>
    <cellStyle name="CurrencyTot 3 2 6 3 2 3" xfId="21664" xr:uid="{00000000-0005-0000-0000-00009A540000}"/>
    <cellStyle name="CurrencyTot 3 2 6 3 2 4" xfId="21665" xr:uid="{00000000-0005-0000-0000-00009B540000}"/>
    <cellStyle name="CurrencyTot 3 2 6 3 2 5" xfId="21666" xr:uid="{00000000-0005-0000-0000-00009C540000}"/>
    <cellStyle name="CurrencyTot 3 2 6 3 2 6" xfId="21667" xr:uid="{00000000-0005-0000-0000-00009D540000}"/>
    <cellStyle name="CurrencyTot 3 2 6 3 3" xfId="21668" xr:uid="{00000000-0005-0000-0000-00009E540000}"/>
    <cellStyle name="CurrencyTot 3 2 6 3 4" xfId="21669" xr:uid="{00000000-0005-0000-0000-00009F540000}"/>
    <cellStyle name="CurrencyTot 3 2 6 3 5" xfId="21670" xr:uid="{00000000-0005-0000-0000-0000A0540000}"/>
    <cellStyle name="CurrencyTot 3 2 6 3 6" xfId="21671" xr:uid="{00000000-0005-0000-0000-0000A1540000}"/>
    <cellStyle name="CurrencyTot 3 2 6 4" xfId="21672" xr:uid="{00000000-0005-0000-0000-0000A2540000}"/>
    <cellStyle name="CurrencyTot 3 2 6 4 2" xfId="21673" xr:uid="{00000000-0005-0000-0000-0000A3540000}"/>
    <cellStyle name="CurrencyTot 3 2 6 4 3" xfId="21674" xr:uid="{00000000-0005-0000-0000-0000A4540000}"/>
    <cellStyle name="CurrencyTot 3 2 6 4 4" xfId="21675" xr:uid="{00000000-0005-0000-0000-0000A5540000}"/>
    <cellStyle name="CurrencyTot 3 2 6 4 5" xfId="21676" xr:uid="{00000000-0005-0000-0000-0000A6540000}"/>
    <cellStyle name="CurrencyTot 3 2 6 4 6" xfId="21677" xr:uid="{00000000-0005-0000-0000-0000A7540000}"/>
    <cellStyle name="CurrencyTot 3 2 6 5" xfId="21678" xr:uid="{00000000-0005-0000-0000-0000A8540000}"/>
    <cellStyle name="CurrencyTot 3 2 6 6" xfId="21679" xr:uid="{00000000-0005-0000-0000-0000A9540000}"/>
    <cellStyle name="CurrencyTot 3 2 6 7" xfId="21680" xr:uid="{00000000-0005-0000-0000-0000AA540000}"/>
    <cellStyle name="CurrencyTot 3 2 6 8" xfId="21681" xr:uid="{00000000-0005-0000-0000-0000AB540000}"/>
    <cellStyle name="CurrencyTot 3 2 7" xfId="21682" xr:uid="{00000000-0005-0000-0000-0000AC540000}"/>
    <cellStyle name="CurrencyTot 3 2 7 2" xfId="21683" xr:uid="{00000000-0005-0000-0000-0000AD540000}"/>
    <cellStyle name="CurrencyTot 3 2 7 2 2" xfId="21684" xr:uid="{00000000-0005-0000-0000-0000AE540000}"/>
    <cellStyle name="CurrencyTot 3 2 7 2 3" xfId="21685" xr:uid="{00000000-0005-0000-0000-0000AF540000}"/>
    <cellStyle name="CurrencyTot 3 2 7 2 4" xfId="21686" xr:uid="{00000000-0005-0000-0000-0000B0540000}"/>
    <cellStyle name="CurrencyTot 3 2 7 2 5" xfId="21687" xr:uid="{00000000-0005-0000-0000-0000B1540000}"/>
    <cellStyle name="CurrencyTot 3 2 7 2 6" xfId="21688" xr:uid="{00000000-0005-0000-0000-0000B2540000}"/>
    <cellStyle name="CurrencyTot 3 2 7 3" xfId="21689" xr:uid="{00000000-0005-0000-0000-0000B3540000}"/>
    <cellStyle name="CurrencyTot 3 2 7 4" xfId="21690" xr:uid="{00000000-0005-0000-0000-0000B4540000}"/>
    <cellStyle name="CurrencyTot 3 2 7 5" xfId="21691" xr:uid="{00000000-0005-0000-0000-0000B5540000}"/>
    <cellStyle name="CurrencyTot 3 2 7 6" xfId="21692" xr:uid="{00000000-0005-0000-0000-0000B6540000}"/>
    <cellStyle name="CurrencyTot 3 2 8" xfId="21693" xr:uid="{00000000-0005-0000-0000-0000B7540000}"/>
    <cellStyle name="CurrencyTot 3 2 8 2" xfId="21694" xr:uid="{00000000-0005-0000-0000-0000B8540000}"/>
    <cellStyle name="CurrencyTot 3 2 8 2 2" xfId="21695" xr:uid="{00000000-0005-0000-0000-0000B9540000}"/>
    <cellStyle name="CurrencyTot 3 2 8 2 3" xfId="21696" xr:uid="{00000000-0005-0000-0000-0000BA540000}"/>
    <cellStyle name="CurrencyTot 3 2 8 2 4" xfId="21697" xr:uid="{00000000-0005-0000-0000-0000BB540000}"/>
    <cellStyle name="CurrencyTot 3 2 8 2 5" xfId="21698" xr:uid="{00000000-0005-0000-0000-0000BC540000}"/>
    <cellStyle name="CurrencyTot 3 2 8 2 6" xfId="21699" xr:uid="{00000000-0005-0000-0000-0000BD540000}"/>
    <cellStyle name="CurrencyTot 3 2 8 3" xfId="21700" xr:uid="{00000000-0005-0000-0000-0000BE540000}"/>
    <cellStyle name="CurrencyTot 3 2 8 4" xfId="21701" xr:uid="{00000000-0005-0000-0000-0000BF540000}"/>
    <cellStyle name="CurrencyTot 3 2 8 5" xfId="21702" xr:uid="{00000000-0005-0000-0000-0000C0540000}"/>
    <cellStyle name="CurrencyTot 3 2 8 6" xfId="21703" xr:uid="{00000000-0005-0000-0000-0000C1540000}"/>
    <cellStyle name="CurrencyTot 3 2 9" xfId="21704" xr:uid="{00000000-0005-0000-0000-0000C2540000}"/>
    <cellStyle name="CurrencyTot 3 2 9 2" xfId="21705" xr:uid="{00000000-0005-0000-0000-0000C3540000}"/>
    <cellStyle name="CurrencyTot 3 2 9 3" xfId="21706" xr:uid="{00000000-0005-0000-0000-0000C4540000}"/>
    <cellStyle name="CurrencyTot 3 2 9 4" xfId="21707" xr:uid="{00000000-0005-0000-0000-0000C5540000}"/>
    <cellStyle name="CurrencyTot 3 2 9 5" xfId="21708" xr:uid="{00000000-0005-0000-0000-0000C6540000}"/>
    <cellStyle name="CurrencyTot 3 2 9 6" xfId="21709" xr:uid="{00000000-0005-0000-0000-0000C7540000}"/>
    <cellStyle name="CurrencyTot 3 3" xfId="21710" xr:uid="{00000000-0005-0000-0000-0000C8540000}"/>
    <cellStyle name="CurrencyTot 3 3 2" xfId="21711" xr:uid="{00000000-0005-0000-0000-0000C9540000}"/>
    <cellStyle name="CurrencyTot 3 3 2 2" xfId="21712" xr:uid="{00000000-0005-0000-0000-0000CA540000}"/>
    <cellStyle name="CurrencyTot 3 3 2 2 2" xfId="21713" xr:uid="{00000000-0005-0000-0000-0000CB540000}"/>
    <cellStyle name="CurrencyTot 3 3 2 2 3" xfId="21714" xr:uid="{00000000-0005-0000-0000-0000CC540000}"/>
    <cellStyle name="CurrencyTot 3 3 2 2 4" xfId="21715" xr:uid="{00000000-0005-0000-0000-0000CD540000}"/>
    <cellStyle name="CurrencyTot 3 3 2 2 5" xfId="21716" xr:uid="{00000000-0005-0000-0000-0000CE540000}"/>
    <cellStyle name="CurrencyTot 3 3 2 2 6" xfId="21717" xr:uid="{00000000-0005-0000-0000-0000CF540000}"/>
    <cellStyle name="CurrencyTot 3 3 2 3" xfId="21718" xr:uid="{00000000-0005-0000-0000-0000D0540000}"/>
    <cellStyle name="CurrencyTot 3 3 2 4" xfId="21719" xr:uid="{00000000-0005-0000-0000-0000D1540000}"/>
    <cellStyle name="CurrencyTot 3 3 2 5" xfId="21720" xr:uid="{00000000-0005-0000-0000-0000D2540000}"/>
    <cellStyle name="CurrencyTot 3 3 2 6" xfId="21721" xr:uid="{00000000-0005-0000-0000-0000D3540000}"/>
    <cellStyle name="CurrencyTot 3 3 3" xfId="21722" xr:uid="{00000000-0005-0000-0000-0000D4540000}"/>
    <cellStyle name="CurrencyTot 3 3 3 2" xfId="21723" xr:uid="{00000000-0005-0000-0000-0000D5540000}"/>
    <cellStyle name="CurrencyTot 3 3 3 2 2" xfId="21724" xr:uid="{00000000-0005-0000-0000-0000D6540000}"/>
    <cellStyle name="CurrencyTot 3 3 3 2 3" xfId="21725" xr:uid="{00000000-0005-0000-0000-0000D7540000}"/>
    <cellStyle name="CurrencyTot 3 3 3 2 4" xfId="21726" xr:uid="{00000000-0005-0000-0000-0000D8540000}"/>
    <cellStyle name="CurrencyTot 3 3 3 2 5" xfId="21727" xr:uid="{00000000-0005-0000-0000-0000D9540000}"/>
    <cellStyle name="CurrencyTot 3 3 3 2 6" xfId="21728" xr:uid="{00000000-0005-0000-0000-0000DA540000}"/>
    <cellStyle name="CurrencyTot 3 3 3 3" xfId="21729" xr:uid="{00000000-0005-0000-0000-0000DB540000}"/>
    <cellStyle name="CurrencyTot 3 3 3 4" xfId="21730" xr:uid="{00000000-0005-0000-0000-0000DC540000}"/>
    <cellStyle name="CurrencyTot 3 3 3 5" xfId="21731" xr:uid="{00000000-0005-0000-0000-0000DD540000}"/>
    <cellStyle name="CurrencyTot 3 3 3 6" xfId="21732" xr:uid="{00000000-0005-0000-0000-0000DE540000}"/>
    <cellStyle name="CurrencyTot 3 3 4" xfId="21733" xr:uid="{00000000-0005-0000-0000-0000DF540000}"/>
    <cellStyle name="CurrencyTot 3 3 4 2" xfId="21734" xr:uid="{00000000-0005-0000-0000-0000E0540000}"/>
    <cellStyle name="CurrencyTot 3 3 4 3" xfId="21735" xr:uid="{00000000-0005-0000-0000-0000E1540000}"/>
    <cellStyle name="CurrencyTot 3 3 4 4" xfId="21736" xr:uid="{00000000-0005-0000-0000-0000E2540000}"/>
    <cellStyle name="CurrencyTot 3 3 4 5" xfId="21737" xr:uid="{00000000-0005-0000-0000-0000E3540000}"/>
    <cellStyle name="CurrencyTot 3 3 4 6" xfId="21738" xr:uid="{00000000-0005-0000-0000-0000E4540000}"/>
    <cellStyle name="CurrencyTot 3 3 5" xfId="21739" xr:uid="{00000000-0005-0000-0000-0000E5540000}"/>
    <cellStyle name="CurrencyTot 3 3 6" xfId="21740" xr:uid="{00000000-0005-0000-0000-0000E6540000}"/>
    <cellStyle name="CurrencyTot 3 3 7" xfId="21741" xr:uid="{00000000-0005-0000-0000-0000E7540000}"/>
    <cellStyle name="CurrencyTot 3 3 8" xfId="21742" xr:uid="{00000000-0005-0000-0000-0000E8540000}"/>
    <cellStyle name="CurrencyTot 3 4" xfId="21743" xr:uid="{00000000-0005-0000-0000-0000E9540000}"/>
    <cellStyle name="CurrencyTot 3 4 2" xfId="21744" xr:uid="{00000000-0005-0000-0000-0000EA540000}"/>
    <cellStyle name="CurrencyTot 3 4 2 2" xfId="21745" xr:uid="{00000000-0005-0000-0000-0000EB540000}"/>
    <cellStyle name="CurrencyTot 3 4 2 2 2" xfId="21746" xr:uid="{00000000-0005-0000-0000-0000EC540000}"/>
    <cellStyle name="CurrencyTot 3 4 2 2 3" xfId="21747" xr:uid="{00000000-0005-0000-0000-0000ED540000}"/>
    <cellStyle name="CurrencyTot 3 4 2 2 4" xfId="21748" xr:uid="{00000000-0005-0000-0000-0000EE540000}"/>
    <cellStyle name="CurrencyTot 3 4 2 2 5" xfId="21749" xr:uid="{00000000-0005-0000-0000-0000EF540000}"/>
    <cellStyle name="CurrencyTot 3 4 2 2 6" xfId="21750" xr:uid="{00000000-0005-0000-0000-0000F0540000}"/>
    <cellStyle name="CurrencyTot 3 4 2 3" xfId="21751" xr:uid="{00000000-0005-0000-0000-0000F1540000}"/>
    <cellStyle name="CurrencyTot 3 4 2 4" xfId="21752" xr:uid="{00000000-0005-0000-0000-0000F2540000}"/>
    <cellStyle name="CurrencyTot 3 4 2 5" xfId="21753" xr:uid="{00000000-0005-0000-0000-0000F3540000}"/>
    <cellStyle name="CurrencyTot 3 4 2 6" xfId="21754" xr:uid="{00000000-0005-0000-0000-0000F4540000}"/>
    <cellStyle name="CurrencyTot 3 4 3" xfId="21755" xr:uid="{00000000-0005-0000-0000-0000F5540000}"/>
    <cellStyle name="CurrencyTot 3 4 3 2" xfId="21756" xr:uid="{00000000-0005-0000-0000-0000F6540000}"/>
    <cellStyle name="CurrencyTot 3 4 3 2 2" xfId="21757" xr:uid="{00000000-0005-0000-0000-0000F7540000}"/>
    <cellStyle name="CurrencyTot 3 4 3 2 3" xfId="21758" xr:uid="{00000000-0005-0000-0000-0000F8540000}"/>
    <cellStyle name="CurrencyTot 3 4 3 2 4" xfId="21759" xr:uid="{00000000-0005-0000-0000-0000F9540000}"/>
    <cellStyle name="CurrencyTot 3 4 3 2 5" xfId="21760" xr:uid="{00000000-0005-0000-0000-0000FA540000}"/>
    <cellStyle name="CurrencyTot 3 4 3 2 6" xfId="21761" xr:uid="{00000000-0005-0000-0000-0000FB540000}"/>
    <cellStyle name="CurrencyTot 3 4 3 3" xfId="21762" xr:uid="{00000000-0005-0000-0000-0000FC540000}"/>
    <cellStyle name="CurrencyTot 3 4 3 4" xfId="21763" xr:uid="{00000000-0005-0000-0000-0000FD540000}"/>
    <cellStyle name="CurrencyTot 3 4 3 5" xfId="21764" xr:uid="{00000000-0005-0000-0000-0000FE540000}"/>
    <cellStyle name="CurrencyTot 3 4 3 6" xfId="21765" xr:uid="{00000000-0005-0000-0000-0000FF540000}"/>
    <cellStyle name="CurrencyTot 3 4 4" xfId="21766" xr:uid="{00000000-0005-0000-0000-000000550000}"/>
    <cellStyle name="CurrencyTot 3 4 4 2" xfId="21767" xr:uid="{00000000-0005-0000-0000-000001550000}"/>
    <cellStyle name="CurrencyTot 3 4 4 3" xfId="21768" xr:uid="{00000000-0005-0000-0000-000002550000}"/>
    <cellStyle name="CurrencyTot 3 4 4 4" xfId="21769" xr:uid="{00000000-0005-0000-0000-000003550000}"/>
    <cellStyle name="CurrencyTot 3 4 4 5" xfId="21770" xr:uid="{00000000-0005-0000-0000-000004550000}"/>
    <cellStyle name="CurrencyTot 3 4 4 6" xfId="21771" xr:uid="{00000000-0005-0000-0000-000005550000}"/>
    <cellStyle name="CurrencyTot 3 4 5" xfId="21772" xr:uid="{00000000-0005-0000-0000-000006550000}"/>
    <cellStyle name="CurrencyTot 3 4 6" xfId="21773" xr:uid="{00000000-0005-0000-0000-000007550000}"/>
    <cellStyle name="CurrencyTot 3 4 7" xfId="21774" xr:uid="{00000000-0005-0000-0000-000008550000}"/>
    <cellStyle name="CurrencyTot 3 4 8" xfId="21775" xr:uid="{00000000-0005-0000-0000-000009550000}"/>
    <cellStyle name="CurrencyTot 3 5" xfId="21776" xr:uid="{00000000-0005-0000-0000-00000A550000}"/>
    <cellStyle name="CurrencyTot 3 5 2" xfId="21777" xr:uid="{00000000-0005-0000-0000-00000B550000}"/>
    <cellStyle name="CurrencyTot 3 5 2 2" xfId="21778" xr:uid="{00000000-0005-0000-0000-00000C550000}"/>
    <cellStyle name="CurrencyTot 3 5 2 2 2" xfId="21779" xr:uid="{00000000-0005-0000-0000-00000D550000}"/>
    <cellStyle name="CurrencyTot 3 5 2 2 3" xfId="21780" xr:uid="{00000000-0005-0000-0000-00000E550000}"/>
    <cellStyle name="CurrencyTot 3 5 2 2 4" xfId="21781" xr:uid="{00000000-0005-0000-0000-00000F550000}"/>
    <cellStyle name="CurrencyTot 3 5 2 2 5" xfId="21782" xr:uid="{00000000-0005-0000-0000-000010550000}"/>
    <cellStyle name="CurrencyTot 3 5 2 2 6" xfId="21783" xr:uid="{00000000-0005-0000-0000-000011550000}"/>
    <cellStyle name="CurrencyTot 3 5 2 3" xfId="21784" xr:uid="{00000000-0005-0000-0000-000012550000}"/>
    <cellStyle name="CurrencyTot 3 5 2 4" xfId="21785" xr:uid="{00000000-0005-0000-0000-000013550000}"/>
    <cellStyle name="CurrencyTot 3 5 2 5" xfId="21786" xr:uid="{00000000-0005-0000-0000-000014550000}"/>
    <cellStyle name="CurrencyTot 3 5 2 6" xfId="21787" xr:uid="{00000000-0005-0000-0000-000015550000}"/>
    <cellStyle name="CurrencyTot 3 5 3" xfId="21788" xr:uid="{00000000-0005-0000-0000-000016550000}"/>
    <cellStyle name="CurrencyTot 3 5 3 2" xfId="21789" xr:uid="{00000000-0005-0000-0000-000017550000}"/>
    <cellStyle name="CurrencyTot 3 5 3 2 2" xfId="21790" xr:uid="{00000000-0005-0000-0000-000018550000}"/>
    <cellStyle name="CurrencyTot 3 5 3 2 3" xfId="21791" xr:uid="{00000000-0005-0000-0000-000019550000}"/>
    <cellStyle name="CurrencyTot 3 5 3 2 4" xfId="21792" xr:uid="{00000000-0005-0000-0000-00001A550000}"/>
    <cellStyle name="CurrencyTot 3 5 3 2 5" xfId="21793" xr:uid="{00000000-0005-0000-0000-00001B550000}"/>
    <cellStyle name="CurrencyTot 3 5 3 2 6" xfId="21794" xr:uid="{00000000-0005-0000-0000-00001C550000}"/>
    <cellStyle name="CurrencyTot 3 5 3 3" xfId="21795" xr:uid="{00000000-0005-0000-0000-00001D550000}"/>
    <cellStyle name="CurrencyTot 3 5 3 4" xfId="21796" xr:uid="{00000000-0005-0000-0000-00001E550000}"/>
    <cellStyle name="CurrencyTot 3 5 3 5" xfId="21797" xr:uid="{00000000-0005-0000-0000-00001F550000}"/>
    <cellStyle name="CurrencyTot 3 5 3 6" xfId="21798" xr:uid="{00000000-0005-0000-0000-000020550000}"/>
    <cellStyle name="CurrencyTot 3 5 4" xfId="21799" xr:uid="{00000000-0005-0000-0000-000021550000}"/>
    <cellStyle name="CurrencyTot 3 5 4 2" xfId="21800" xr:uid="{00000000-0005-0000-0000-000022550000}"/>
    <cellStyle name="CurrencyTot 3 5 4 3" xfId="21801" xr:uid="{00000000-0005-0000-0000-000023550000}"/>
    <cellStyle name="CurrencyTot 3 5 4 4" xfId="21802" xr:uid="{00000000-0005-0000-0000-000024550000}"/>
    <cellStyle name="CurrencyTot 3 5 4 5" xfId="21803" xr:uid="{00000000-0005-0000-0000-000025550000}"/>
    <cellStyle name="CurrencyTot 3 5 4 6" xfId="21804" xr:uid="{00000000-0005-0000-0000-000026550000}"/>
    <cellStyle name="CurrencyTot 3 5 5" xfId="21805" xr:uid="{00000000-0005-0000-0000-000027550000}"/>
    <cellStyle name="CurrencyTot 3 5 6" xfId="21806" xr:uid="{00000000-0005-0000-0000-000028550000}"/>
    <cellStyle name="CurrencyTot 3 5 7" xfId="21807" xr:uid="{00000000-0005-0000-0000-000029550000}"/>
    <cellStyle name="CurrencyTot 3 5 8" xfId="21808" xr:uid="{00000000-0005-0000-0000-00002A550000}"/>
    <cellStyle name="CurrencyTot 3 6" xfId="21809" xr:uid="{00000000-0005-0000-0000-00002B550000}"/>
    <cellStyle name="CurrencyTot 3 6 2" xfId="21810" xr:uid="{00000000-0005-0000-0000-00002C550000}"/>
    <cellStyle name="CurrencyTot 3 6 2 2" xfId="21811" xr:uid="{00000000-0005-0000-0000-00002D550000}"/>
    <cellStyle name="CurrencyTot 3 6 2 2 2" xfId="21812" xr:uid="{00000000-0005-0000-0000-00002E550000}"/>
    <cellStyle name="CurrencyTot 3 6 2 2 3" xfId="21813" xr:uid="{00000000-0005-0000-0000-00002F550000}"/>
    <cellStyle name="CurrencyTot 3 6 2 2 4" xfId="21814" xr:uid="{00000000-0005-0000-0000-000030550000}"/>
    <cellStyle name="CurrencyTot 3 6 2 2 5" xfId="21815" xr:uid="{00000000-0005-0000-0000-000031550000}"/>
    <cellStyle name="CurrencyTot 3 6 2 2 6" xfId="21816" xr:uid="{00000000-0005-0000-0000-000032550000}"/>
    <cellStyle name="CurrencyTot 3 6 2 3" xfId="21817" xr:uid="{00000000-0005-0000-0000-000033550000}"/>
    <cellStyle name="CurrencyTot 3 6 2 4" xfId="21818" xr:uid="{00000000-0005-0000-0000-000034550000}"/>
    <cellStyle name="CurrencyTot 3 6 2 5" xfId="21819" xr:uid="{00000000-0005-0000-0000-000035550000}"/>
    <cellStyle name="CurrencyTot 3 6 2 6" xfId="21820" xr:uid="{00000000-0005-0000-0000-000036550000}"/>
    <cellStyle name="CurrencyTot 3 6 3" xfId="21821" xr:uid="{00000000-0005-0000-0000-000037550000}"/>
    <cellStyle name="CurrencyTot 3 6 3 2" xfId="21822" xr:uid="{00000000-0005-0000-0000-000038550000}"/>
    <cellStyle name="CurrencyTot 3 6 3 2 2" xfId="21823" xr:uid="{00000000-0005-0000-0000-000039550000}"/>
    <cellStyle name="CurrencyTot 3 6 3 2 3" xfId="21824" xr:uid="{00000000-0005-0000-0000-00003A550000}"/>
    <cellStyle name="CurrencyTot 3 6 3 2 4" xfId="21825" xr:uid="{00000000-0005-0000-0000-00003B550000}"/>
    <cellStyle name="CurrencyTot 3 6 3 2 5" xfId="21826" xr:uid="{00000000-0005-0000-0000-00003C550000}"/>
    <cellStyle name="CurrencyTot 3 6 3 2 6" xfId="21827" xr:uid="{00000000-0005-0000-0000-00003D550000}"/>
    <cellStyle name="CurrencyTot 3 6 3 3" xfId="21828" xr:uid="{00000000-0005-0000-0000-00003E550000}"/>
    <cellStyle name="CurrencyTot 3 6 3 4" xfId="21829" xr:uid="{00000000-0005-0000-0000-00003F550000}"/>
    <cellStyle name="CurrencyTot 3 6 3 5" xfId="21830" xr:uid="{00000000-0005-0000-0000-000040550000}"/>
    <cellStyle name="CurrencyTot 3 6 3 6" xfId="21831" xr:uid="{00000000-0005-0000-0000-000041550000}"/>
    <cellStyle name="CurrencyTot 3 6 4" xfId="21832" xr:uid="{00000000-0005-0000-0000-000042550000}"/>
    <cellStyle name="CurrencyTot 3 6 4 2" xfId="21833" xr:uid="{00000000-0005-0000-0000-000043550000}"/>
    <cellStyle name="CurrencyTot 3 6 4 3" xfId="21834" xr:uid="{00000000-0005-0000-0000-000044550000}"/>
    <cellStyle name="CurrencyTot 3 6 4 4" xfId="21835" xr:uid="{00000000-0005-0000-0000-000045550000}"/>
    <cellStyle name="CurrencyTot 3 6 4 5" xfId="21836" xr:uid="{00000000-0005-0000-0000-000046550000}"/>
    <cellStyle name="CurrencyTot 3 6 4 6" xfId="21837" xr:uid="{00000000-0005-0000-0000-000047550000}"/>
    <cellStyle name="CurrencyTot 3 6 5" xfId="21838" xr:uid="{00000000-0005-0000-0000-000048550000}"/>
    <cellStyle name="CurrencyTot 3 6 6" xfId="21839" xr:uid="{00000000-0005-0000-0000-000049550000}"/>
    <cellStyle name="CurrencyTot 3 6 7" xfId="21840" xr:uid="{00000000-0005-0000-0000-00004A550000}"/>
    <cellStyle name="CurrencyTot 3 6 8" xfId="21841" xr:uid="{00000000-0005-0000-0000-00004B550000}"/>
    <cellStyle name="CurrencyTot 3 7" xfId="21842" xr:uid="{00000000-0005-0000-0000-00004C550000}"/>
    <cellStyle name="CurrencyTot 3 7 2" xfId="21843" xr:uid="{00000000-0005-0000-0000-00004D550000}"/>
    <cellStyle name="CurrencyTot 3 7 2 2" xfId="21844" xr:uid="{00000000-0005-0000-0000-00004E550000}"/>
    <cellStyle name="CurrencyTot 3 7 2 2 2" xfId="21845" xr:uid="{00000000-0005-0000-0000-00004F550000}"/>
    <cellStyle name="CurrencyTot 3 7 2 2 3" xfId="21846" xr:uid="{00000000-0005-0000-0000-000050550000}"/>
    <cellStyle name="CurrencyTot 3 7 2 2 4" xfId="21847" xr:uid="{00000000-0005-0000-0000-000051550000}"/>
    <cellStyle name="CurrencyTot 3 7 2 2 5" xfId="21848" xr:uid="{00000000-0005-0000-0000-000052550000}"/>
    <cellStyle name="CurrencyTot 3 7 2 2 6" xfId="21849" xr:uid="{00000000-0005-0000-0000-000053550000}"/>
    <cellStyle name="CurrencyTot 3 7 2 3" xfId="21850" xr:uid="{00000000-0005-0000-0000-000054550000}"/>
    <cellStyle name="CurrencyTot 3 7 2 4" xfId="21851" xr:uid="{00000000-0005-0000-0000-000055550000}"/>
    <cellStyle name="CurrencyTot 3 7 2 5" xfId="21852" xr:uid="{00000000-0005-0000-0000-000056550000}"/>
    <cellStyle name="CurrencyTot 3 7 2 6" xfId="21853" xr:uid="{00000000-0005-0000-0000-000057550000}"/>
    <cellStyle name="CurrencyTot 3 7 3" xfId="21854" xr:uid="{00000000-0005-0000-0000-000058550000}"/>
    <cellStyle name="CurrencyTot 3 7 3 2" xfId="21855" xr:uid="{00000000-0005-0000-0000-000059550000}"/>
    <cellStyle name="CurrencyTot 3 7 3 2 2" xfId="21856" xr:uid="{00000000-0005-0000-0000-00005A550000}"/>
    <cellStyle name="CurrencyTot 3 7 3 2 3" xfId="21857" xr:uid="{00000000-0005-0000-0000-00005B550000}"/>
    <cellStyle name="CurrencyTot 3 7 3 2 4" xfId="21858" xr:uid="{00000000-0005-0000-0000-00005C550000}"/>
    <cellStyle name="CurrencyTot 3 7 3 2 5" xfId="21859" xr:uid="{00000000-0005-0000-0000-00005D550000}"/>
    <cellStyle name="CurrencyTot 3 7 3 2 6" xfId="21860" xr:uid="{00000000-0005-0000-0000-00005E550000}"/>
    <cellStyle name="CurrencyTot 3 7 3 3" xfId="21861" xr:uid="{00000000-0005-0000-0000-00005F550000}"/>
    <cellStyle name="CurrencyTot 3 7 3 4" xfId="21862" xr:uid="{00000000-0005-0000-0000-000060550000}"/>
    <cellStyle name="CurrencyTot 3 7 3 5" xfId="21863" xr:uid="{00000000-0005-0000-0000-000061550000}"/>
    <cellStyle name="CurrencyTot 3 7 3 6" xfId="21864" xr:uid="{00000000-0005-0000-0000-000062550000}"/>
    <cellStyle name="CurrencyTot 3 7 4" xfId="21865" xr:uid="{00000000-0005-0000-0000-000063550000}"/>
    <cellStyle name="CurrencyTot 3 7 4 2" xfId="21866" xr:uid="{00000000-0005-0000-0000-000064550000}"/>
    <cellStyle name="CurrencyTot 3 7 4 3" xfId="21867" xr:uid="{00000000-0005-0000-0000-000065550000}"/>
    <cellStyle name="CurrencyTot 3 7 4 4" xfId="21868" xr:uid="{00000000-0005-0000-0000-000066550000}"/>
    <cellStyle name="CurrencyTot 3 7 4 5" xfId="21869" xr:uid="{00000000-0005-0000-0000-000067550000}"/>
    <cellStyle name="CurrencyTot 3 7 4 6" xfId="21870" xr:uid="{00000000-0005-0000-0000-000068550000}"/>
    <cellStyle name="CurrencyTot 3 7 5" xfId="21871" xr:uid="{00000000-0005-0000-0000-000069550000}"/>
    <cellStyle name="CurrencyTot 3 7 6" xfId="21872" xr:uid="{00000000-0005-0000-0000-00006A550000}"/>
    <cellStyle name="CurrencyTot 3 7 7" xfId="21873" xr:uid="{00000000-0005-0000-0000-00006B550000}"/>
    <cellStyle name="CurrencyTot 3 7 8" xfId="21874" xr:uid="{00000000-0005-0000-0000-00006C550000}"/>
    <cellStyle name="CurrencyTot 3 8" xfId="21875" xr:uid="{00000000-0005-0000-0000-00006D550000}"/>
    <cellStyle name="CurrencyTot 3 8 2" xfId="21876" xr:uid="{00000000-0005-0000-0000-00006E550000}"/>
    <cellStyle name="CurrencyTot 3 8 2 2" xfId="21877" xr:uid="{00000000-0005-0000-0000-00006F550000}"/>
    <cellStyle name="CurrencyTot 3 8 2 3" xfId="21878" xr:uid="{00000000-0005-0000-0000-000070550000}"/>
    <cellStyle name="CurrencyTot 3 8 2 4" xfId="21879" xr:uid="{00000000-0005-0000-0000-000071550000}"/>
    <cellStyle name="CurrencyTot 3 8 2 5" xfId="21880" xr:uid="{00000000-0005-0000-0000-000072550000}"/>
    <cellStyle name="CurrencyTot 3 8 2 6" xfId="21881" xr:uid="{00000000-0005-0000-0000-000073550000}"/>
    <cellStyle name="CurrencyTot 3 8 3" xfId="21882" xr:uid="{00000000-0005-0000-0000-000074550000}"/>
    <cellStyle name="CurrencyTot 3 8 4" xfId="21883" xr:uid="{00000000-0005-0000-0000-000075550000}"/>
    <cellStyle name="CurrencyTot 3 8 5" xfId="21884" xr:uid="{00000000-0005-0000-0000-000076550000}"/>
    <cellStyle name="CurrencyTot 3 8 6" xfId="21885" xr:uid="{00000000-0005-0000-0000-000077550000}"/>
    <cellStyle name="CurrencyTot 3 9" xfId="21886" xr:uid="{00000000-0005-0000-0000-000078550000}"/>
    <cellStyle name="CurrencyTot 3 9 2" xfId="21887" xr:uid="{00000000-0005-0000-0000-000079550000}"/>
    <cellStyle name="CurrencyTot 3 9 2 2" xfId="21888" xr:uid="{00000000-0005-0000-0000-00007A550000}"/>
    <cellStyle name="CurrencyTot 3 9 2 3" xfId="21889" xr:uid="{00000000-0005-0000-0000-00007B550000}"/>
    <cellStyle name="CurrencyTot 3 9 2 4" xfId="21890" xr:uid="{00000000-0005-0000-0000-00007C550000}"/>
    <cellStyle name="CurrencyTot 3 9 2 5" xfId="21891" xr:uid="{00000000-0005-0000-0000-00007D550000}"/>
    <cellStyle name="CurrencyTot 3 9 2 6" xfId="21892" xr:uid="{00000000-0005-0000-0000-00007E550000}"/>
    <cellStyle name="CurrencyTot 3 9 3" xfId="21893" xr:uid="{00000000-0005-0000-0000-00007F550000}"/>
    <cellStyle name="CurrencyTot 3 9 4" xfId="21894" xr:uid="{00000000-0005-0000-0000-000080550000}"/>
    <cellStyle name="CurrencyTot 3 9 5" xfId="21895" xr:uid="{00000000-0005-0000-0000-000081550000}"/>
    <cellStyle name="CurrencyTot 3 9 6" xfId="21896" xr:uid="{00000000-0005-0000-0000-000082550000}"/>
    <cellStyle name="CurrencyTot 4" xfId="21897" xr:uid="{00000000-0005-0000-0000-000083550000}"/>
    <cellStyle name="CurrencyTot 4 10" xfId="21898" xr:uid="{00000000-0005-0000-0000-000084550000}"/>
    <cellStyle name="CurrencyTot 4 11" xfId="21899" xr:uid="{00000000-0005-0000-0000-000085550000}"/>
    <cellStyle name="CurrencyTot 4 12" xfId="21900" xr:uid="{00000000-0005-0000-0000-000086550000}"/>
    <cellStyle name="CurrencyTot 4 13" xfId="21901" xr:uid="{00000000-0005-0000-0000-000087550000}"/>
    <cellStyle name="CurrencyTot 4 2" xfId="21902" xr:uid="{00000000-0005-0000-0000-000088550000}"/>
    <cellStyle name="CurrencyTot 4 2 2" xfId="21903" xr:uid="{00000000-0005-0000-0000-000089550000}"/>
    <cellStyle name="CurrencyTot 4 2 2 2" xfId="21904" xr:uid="{00000000-0005-0000-0000-00008A550000}"/>
    <cellStyle name="CurrencyTot 4 2 2 2 2" xfId="21905" xr:uid="{00000000-0005-0000-0000-00008B550000}"/>
    <cellStyle name="CurrencyTot 4 2 2 2 3" xfId="21906" xr:uid="{00000000-0005-0000-0000-00008C550000}"/>
    <cellStyle name="CurrencyTot 4 2 2 2 4" xfId="21907" xr:uid="{00000000-0005-0000-0000-00008D550000}"/>
    <cellStyle name="CurrencyTot 4 2 2 2 5" xfId="21908" xr:uid="{00000000-0005-0000-0000-00008E550000}"/>
    <cellStyle name="CurrencyTot 4 2 2 2 6" xfId="21909" xr:uid="{00000000-0005-0000-0000-00008F550000}"/>
    <cellStyle name="CurrencyTot 4 2 2 3" xfId="21910" xr:uid="{00000000-0005-0000-0000-000090550000}"/>
    <cellStyle name="CurrencyTot 4 2 2 4" xfId="21911" xr:uid="{00000000-0005-0000-0000-000091550000}"/>
    <cellStyle name="CurrencyTot 4 2 2 5" xfId="21912" xr:uid="{00000000-0005-0000-0000-000092550000}"/>
    <cellStyle name="CurrencyTot 4 2 2 6" xfId="21913" xr:uid="{00000000-0005-0000-0000-000093550000}"/>
    <cellStyle name="CurrencyTot 4 2 3" xfId="21914" xr:uid="{00000000-0005-0000-0000-000094550000}"/>
    <cellStyle name="CurrencyTot 4 2 3 2" xfId="21915" xr:uid="{00000000-0005-0000-0000-000095550000}"/>
    <cellStyle name="CurrencyTot 4 2 3 2 2" xfId="21916" xr:uid="{00000000-0005-0000-0000-000096550000}"/>
    <cellStyle name="CurrencyTot 4 2 3 2 3" xfId="21917" xr:uid="{00000000-0005-0000-0000-000097550000}"/>
    <cellStyle name="CurrencyTot 4 2 3 2 4" xfId="21918" xr:uid="{00000000-0005-0000-0000-000098550000}"/>
    <cellStyle name="CurrencyTot 4 2 3 2 5" xfId="21919" xr:uid="{00000000-0005-0000-0000-000099550000}"/>
    <cellStyle name="CurrencyTot 4 2 3 2 6" xfId="21920" xr:uid="{00000000-0005-0000-0000-00009A550000}"/>
    <cellStyle name="CurrencyTot 4 2 3 3" xfId="21921" xr:uid="{00000000-0005-0000-0000-00009B550000}"/>
    <cellStyle name="CurrencyTot 4 2 3 4" xfId="21922" xr:uid="{00000000-0005-0000-0000-00009C550000}"/>
    <cellStyle name="CurrencyTot 4 2 3 5" xfId="21923" xr:uid="{00000000-0005-0000-0000-00009D550000}"/>
    <cellStyle name="CurrencyTot 4 2 3 6" xfId="21924" xr:uid="{00000000-0005-0000-0000-00009E550000}"/>
    <cellStyle name="CurrencyTot 4 2 4" xfId="21925" xr:uid="{00000000-0005-0000-0000-00009F550000}"/>
    <cellStyle name="CurrencyTot 4 2 4 2" xfId="21926" xr:uid="{00000000-0005-0000-0000-0000A0550000}"/>
    <cellStyle name="CurrencyTot 4 2 4 3" xfId="21927" xr:uid="{00000000-0005-0000-0000-0000A1550000}"/>
    <cellStyle name="CurrencyTot 4 2 4 4" xfId="21928" xr:uid="{00000000-0005-0000-0000-0000A2550000}"/>
    <cellStyle name="CurrencyTot 4 2 4 5" xfId="21929" xr:uid="{00000000-0005-0000-0000-0000A3550000}"/>
    <cellStyle name="CurrencyTot 4 2 4 6" xfId="21930" xr:uid="{00000000-0005-0000-0000-0000A4550000}"/>
    <cellStyle name="CurrencyTot 4 2 5" xfId="21931" xr:uid="{00000000-0005-0000-0000-0000A5550000}"/>
    <cellStyle name="CurrencyTot 4 2 6" xfId="21932" xr:uid="{00000000-0005-0000-0000-0000A6550000}"/>
    <cellStyle name="CurrencyTot 4 2 7" xfId="21933" xr:uid="{00000000-0005-0000-0000-0000A7550000}"/>
    <cellStyle name="CurrencyTot 4 2 8" xfId="21934" xr:uid="{00000000-0005-0000-0000-0000A8550000}"/>
    <cellStyle name="CurrencyTot 4 3" xfId="21935" xr:uid="{00000000-0005-0000-0000-0000A9550000}"/>
    <cellStyle name="CurrencyTot 4 3 2" xfId="21936" xr:uid="{00000000-0005-0000-0000-0000AA550000}"/>
    <cellStyle name="CurrencyTot 4 3 2 2" xfId="21937" xr:uid="{00000000-0005-0000-0000-0000AB550000}"/>
    <cellStyle name="CurrencyTot 4 3 2 2 2" xfId="21938" xr:uid="{00000000-0005-0000-0000-0000AC550000}"/>
    <cellStyle name="CurrencyTot 4 3 2 2 3" xfId="21939" xr:uid="{00000000-0005-0000-0000-0000AD550000}"/>
    <cellStyle name="CurrencyTot 4 3 2 2 4" xfId="21940" xr:uid="{00000000-0005-0000-0000-0000AE550000}"/>
    <cellStyle name="CurrencyTot 4 3 2 2 5" xfId="21941" xr:uid="{00000000-0005-0000-0000-0000AF550000}"/>
    <cellStyle name="CurrencyTot 4 3 2 2 6" xfId="21942" xr:uid="{00000000-0005-0000-0000-0000B0550000}"/>
    <cellStyle name="CurrencyTot 4 3 2 3" xfId="21943" xr:uid="{00000000-0005-0000-0000-0000B1550000}"/>
    <cellStyle name="CurrencyTot 4 3 2 4" xfId="21944" xr:uid="{00000000-0005-0000-0000-0000B2550000}"/>
    <cellStyle name="CurrencyTot 4 3 2 5" xfId="21945" xr:uid="{00000000-0005-0000-0000-0000B3550000}"/>
    <cellStyle name="CurrencyTot 4 3 2 6" xfId="21946" xr:uid="{00000000-0005-0000-0000-0000B4550000}"/>
    <cellStyle name="CurrencyTot 4 3 3" xfId="21947" xr:uid="{00000000-0005-0000-0000-0000B5550000}"/>
    <cellStyle name="CurrencyTot 4 3 3 2" xfId="21948" xr:uid="{00000000-0005-0000-0000-0000B6550000}"/>
    <cellStyle name="CurrencyTot 4 3 3 2 2" xfId="21949" xr:uid="{00000000-0005-0000-0000-0000B7550000}"/>
    <cellStyle name="CurrencyTot 4 3 3 2 3" xfId="21950" xr:uid="{00000000-0005-0000-0000-0000B8550000}"/>
    <cellStyle name="CurrencyTot 4 3 3 2 4" xfId="21951" xr:uid="{00000000-0005-0000-0000-0000B9550000}"/>
    <cellStyle name="CurrencyTot 4 3 3 2 5" xfId="21952" xr:uid="{00000000-0005-0000-0000-0000BA550000}"/>
    <cellStyle name="CurrencyTot 4 3 3 2 6" xfId="21953" xr:uid="{00000000-0005-0000-0000-0000BB550000}"/>
    <cellStyle name="CurrencyTot 4 3 3 3" xfId="21954" xr:uid="{00000000-0005-0000-0000-0000BC550000}"/>
    <cellStyle name="CurrencyTot 4 3 3 4" xfId="21955" xr:uid="{00000000-0005-0000-0000-0000BD550000}"/>
    <cellStyle name="CurrencyTot 4 3 3 5" xfId="21956" xr:uid="{00000000-0005-0000-0000-0000BE550000}"/>
    <cellStyle name="CurrencyTot 4 3 3 6" xfId="21957" xr:uid="{00000000-0005-0000-0000-0000BF550000}"/>
    <cellStyle name="CurrencyTot 4 3 4" xfId="21958" xr:uid="{00000000-0005-0000-0000-0000C0550000}"/>
    <cellStyle name="CurrencyTot 4 3 4 2" xfId="21959" xr:uid="{00000000-0005-0000-0000-0000C1550000}"/>
    <cellStyle name="CurrencyTot 4 3 4 3" xfId="21960" xr:uid="{00000000-0005-0000-0000-0000C2550000}"/>
    <cellStyle name="CurrencyTot 4 3 4 4" xfId="21961" xr:uid="{00000000-0005-0000-0000-0000C3550000}"/>
    <cellStyle name="CurrencyTot 4 3 4 5" xfId="21962" xr:uid="{00000000-0005-0000-0000-0000C4550000}"/>
    <cellStyle name="CurrencyTot 4 3 4 6" xfId="21963" xr:uid="{00000000-0005-0000-0000-0000C5550000}"/>
    <cellStyle name="CurrencyTot 4 3 5" xfId="21964" xr:uid="{00000000-0005-0000-0000-0000C6550000}"/>
    <cellStyle name="CurrencyTot 4 3 6" xfId="21965" xr:uid="{00000000-0005-0000-0000-0000C7550000}"/>
    <cellStyle name="CurrencyTot 4 3 7" xfId="21966" xr:uid="{00000000-0005-0000-0000-0000C8550000}"/>
    <cellStyle name="CurrencyTot 4 3 8" xfId="21967" xr:uid="{00000000-0005-0000-0000-0000C9550000}"/>
    <cellStyle name="CurrencyTot 4 4" xfId="21968" xr:uid="{00000000-0005-0000-0000-0000CA550000}"/>
    <cellStyle name="CurrencyTot 4 4 2" xfId="21969" xr:uid="{00000000-0005-0000-0000-0000CB550000}"/>
    <cellStyle name="CurrencyTot 4 4 2 2" xfId="21970" xr:uid="{00000000-0005-0000-0000-0000CC550000}"/>
    <cellStyle name="CurrencyTot 4 4 2 2 2" xfId="21971" xr:uid="{00000000-0005-0000-0000-0000CD550000}"/>
    <cellStyle name="CurrencyTot 4 4 2 2 3" xfId="21972" xr:uid="{00000000-0005-0000-0000-0000CE550000}"/>
    <cellStyle name="CurrencyTot 4 4 2 2 4" xfId="21973" xr:uid="{00000000-0005-0000-0000-0000CF550000}"/>
    <cellStyle name="CurrencyTot 4 4 2 2 5" xfId="21974" xr:uid="{00000000-0005-0000-0000-0000D0550000}"/>
    <cellStyle name="CurrencyTot 4 4 2 2 6" xfId="21975" xr:uid="{00000000-0005-0000-0000-0000D1550000}"/>
    <cellStyle name="CurrencyTot 4 4 2 3" xfId="21976" xr:uid="{00000000-0005-0000-0000-0000D2550000}"/>
    <cellStyle name="CurrencyTot 4 4 2 4" xfId="21977" xr:uid="{00000000-0005-0000-0000-0000D3550000}"/>
    <cellStyle name="CurrencyTot 4 4 2 5" xfId="21978" xr:uid="{00000000-0005-0000-0000-0000D4550000}"/>
    <cellStyle name="CurrencyTot 4 4 2 6" xfId="21979" xr:uid="{00000000-0005-0000-0000-0000D5550000}"/>
    <cellStyle name="CurrencyTot 4 4 3" xfId="21980" xr:uid="{00000000-0005-0000-0000-0000D6550000}"/>
    <cellStyle name="CurrencyTot 4 4 3 2" xfId="21981" xr:uid="{00000000-0005-0000-0000-0000D7550000}"/>
    <cellStyle name="CurrencyTot 4 4 3 2 2" xfId="21982" xr:uid="{00000000-0005-0000-0000-0000D8550000}"/>
    <cellStyle name="CurrencyTot 4 4 3 2 3" xfId="21983" xr:uid="{00000000-0005-0000-0000-0000D9550000}"/>
    <cellStyle name="CurrencyTot 4 4 3 2 4" xfId="21984" xr:uid="{00000000-0005-0000-0000-0000DA550000}"/>
    <cellStyle name="CurrencyTot 4 4 3 2 5" xfId="21985" xr:uid="{00000000-0005-0000-0000-0000DB550000}"/>
    <cellStyle name="CurrencyTot 4 4 3 2 6" xfId="21986" xr:uid="{00000000-0005-0000-0000-0000DC550000}"/>
    <cellStyle name="CurrencyTot 4 4 3 3" xfId="21987" xr:uid="{00000000-0005-0000-0000-0000DD550000}"/>
    <cellStyle name="CurrencyTot 4 4 3 4" xfId="21988" xr:uid="{00000000-0005-0000-0000-0000DE550000}"/>
    <cellStyle name="CurrencyTot 4 4 3 5" xfId="21989" xr:uid="{00000000-0005-0000-0000-0000DF550000}"/>
    <cellStyle name="CurrencyTot 4 4 3 6" xfId="21990" xr:uid="{00000000-0005-0000-0000-0000E0550000}"/>
    <cellStyle name="CurrencyTot 4 4 4" xfId="21991" xr:uid="{00000000-0005-0000-0000-0000E1550000}"/>
    <cellStyle name="CurrencyTot 4 4 4 2" xfId="21992" xr:uid="{00000000-0005-0000-0000-0000E2550000}"/>
    <cellStyle name="CurrencyTot 4 4 4 3" xfId="21993" xr:uid="{00000000-0005-0000-0000-0000E3550000}"/>
    <cellStyle name="CurrencyTot 4 4 4 4" xfId="21994" xr:uid="{00000000-0005-0000-0000-0000E4550000}"/>
    <cellStyle name="CurrencyTot 4 4 4 5" xfId="21995" xr:uid="{00000000-0005-0000-0000-0000E5550000}"/>
    <cellStyle name="CurrencyTot 4 4 4 6" xfId="21996" xr:uid="{00000000-0005-0000-0000-0000E6550000}"/>
    <cellStyle name="CurrencyTot 4 4 5" xfId="21997" xr:uid="{00000000-0005-0000-0000-0000E7550000}"/>
    <cellStyle name="CurrencyTot 4 4 6" xfId="21998" xr:uid="{00000000-0005-0000-0000-0000E8550000}"/>
    <cellStyle name="CurrencyTot 4 4 7" xfId="21999" xr:uid="{00000000-0005-0000-0000-0000E9550000}"/>
    <cellStyle name="CurrencyTot 4 4 8" xfId="22000" xr:uid="{00000000-0005-0000-0000-0000EA550000}"/>
    <cellStyle name="CurrencyTot 4 5" xfId="22001" xr:uid="{00000000-0005-0000-0000-0000EB550000}"/>
    <cellStyle name="CurrencyTot 4 5 2" xfId="22002" xr:uid="{00000000-0005-0000-0000-0000EC550000}"/>
    <cellStyle name="CurrencyTot 4 5 2 2" xfId="22003" xr:uid="{00000000-0005-0000-0000-0000ED550000}"/>
    <cellStyle name="CurrencyTot 4 5 2 2 2" xfId="22004" xr:uid="{00000000-0005-0000-0000-0000EE550000}"/>
    <cellStyle name="CurrencyTot 4 5 2 2 3" xfId="22005" xr:uid="{00000000-0005-0000-0000-0000EF550000}"/>
    <cellStyle name="CurrencyTot 4 5 2 2 4" xfId="22006" xr:uid="{00000000-0005-0000-0000-0000F0550000}"/>
    <cellStyle name="CurrencyTot 4 5 2 2 5" xfId="22007" xr:uid="{00000000-0005-0000-0000-0000F1550000}"/>
    <cellStyle name="CurrencyTot 4 5 2 2 6" xfId="22008" xr:uid="{00000000-0005-0000-0000-0000F2550000}"/>
    <cellStyle name="CurrencyTot 4 5 2 3" xfId="22009" xr:uid="{00000000-0005-0000-0000-0000F3550000}"/>
    <cellStyle name="CurrencyTot 4 5 2 4" xfId="22010" xr:uid="{00000000-0005-0000-0000-0000F4550000}"/>
    <cellStyle name="CurrencyTot 4 5 2 5" xfId="22011" xr:uid="{00000000-0005-0000-0000-0000F5550000}"/>
    <cellStyle name="CurrencyTot 4 5 2 6" xfId="22012" xr:uid="{00000000-0005-0000-0000-0000F6550000}"/>
    <cellStyle name="CurrencyTot 4 5 3" xfId="22013" xr:uid="{00000000-0005-0000-0000-0000F7550000}"/>
    <cellStyle name="CurrencyTot 4 5 3 2" xfId="22014" xr:uid="{00000000-0005-0000-0000-0000F8550000}"/>
    <cellStyle name="CurrencyTot 4 5 3 2 2" xfId="22015" xr:uid="{00000000-0005-0000-0000-0000F9550000}"/>
    <cellStyle name="CurrencyTot 4 5 3 2 3" xfId="22016" xr:uid="{00000000-0005-0000-0000-0000FA550000}"/>
    <cellStyle name="CurrencyTot 4 5 3 2 4" xfId="22017" xr:uid="{00000000-0005-0000-0000-0000FB550000}"/>
    <cellStyle name="CurrencyTot 4 5 3 2 5" xfId="22018" xr:uid="{00000000-0005-0000-0000-0000FC550000}"/>
    <cellStyle name="CurrencyTot 4 5 3 2 6" xfId="22019" xr:uid="{00000000-0005-0000-0000-0000FD550000}"/>
    <cellStyle name="CurrencyTot 4 5 3 3" xfId="22020" xr:uid="{00000000-0005-0000-0000-0000FE550000}"/>
    <cellStyle name="CurrencyTot 4 5 3 4" xfId="22021" xr:uid="{00000000-0005-0000-0000-0000FF550000}"/>
    <cellStyle name="CurrencyTot 4 5 3 5" xfId="22022" xr:uid="{00000000-0005-0000-0000-000000560000}"/>
    <cellStyle name="CurrencyTot 4 5 3 6" xfId="22023" xr:uid="{00000000-0005-0000-0000-000001560000}"/>
    <cellStyle name="CurrencyTot 4 5 4" xfId="22024" xr:uid="{00000000-0005-0000-0000-000002560000}"/>
    <cellStyle name="CurrencyTot 4 5 4 2" xfId="22025" xr:uid="{00000000-0005-0000-0000-000003560000}"/>
    <cellStyle name="CurrencyTot 4 5 4 3" xfId="22026" xr:uid="{00000000-0005-0000-0000-000004560000}"/>
    <cellStyle name="CurrencyTot 4 5 4 4" xfId="22027" xr:uid="{00000000-0005-0000-0000-000005560000}"/>
    <cellStyle name="CurrencyTot 4 5 4 5" xfId="22028" xr:uid="{00000000-0005-0000-0000-000006560000}"/>
    <cellStyle name="CurrencyTot 4 5 4 6" xfId="22029" xr:uid="{00000000-0005-0000-0000-000007560000}"/>
    <cellStyle name="CurrencyTot 4 5 5" xfId="22030" xr:uid="{00000000-0005-0000-0000-000008560000}"/>
    <cellStyle name="CurrencyTot 4 5 6" xfId="22031" xr:uid="{00000000-0005-0000-0000-000009560000}"/>
    <cellStyle name="CurrencyTot 4 5 7" xfId="22032" xr:uid="{00000000-0005-0000-0000-00000A560000}"/>
    <cellStyle name="CurrencyTot 4 5 8" xfId="22033" xr:uid="{00000000-0005-0000-0000-00000B560000}"/>
    <cellStyle name="CurrencyTot 4 6" xfId="22034" xr:uid="{00000000-0005-0000-0000-00000C560000}"/>
    <cellStyle name="CurrencyTot 4 6 2" xfId="22035" xr:uid="{00000000-0005-0000-0000-00000D560000}"/>
    <cellStyle name="CurrencyTot 4 6 2 2" xfId="22036" xr:uid="{00000000-0005-0000-0000-00000E560000}"/>
    <cellStyle name="CurrencyTot 4 6 2 2 2" xfId="22037" xr:uid="{00000000-0005-0000-0000-00000F560000}"/>
    <cellStyle name="CurrencyTot 4 6 2 2 3" xfId="22038" xr:uid="{00000000-0005-0000-0000-000010560000}"/>
    <cellStyle name="CurrencyTot 4 6 2 2 4" xfId="22039" xr:uid="{00000000-0005-0000-0000-000011560000}"/>
    <cellStyle name="CurrencyTot 4 6 2 2 5" xfId="22040" xr:uid="{00000000-0005-0000-0000-000012560000}"/>
    <cellStyle name="CurrencyTot 4 6 2 2 6" xfId="22041" xr:uid="{00000000-0005-0000-0000-000013560000}"/>
    <cellStyle name="CurrencyTot 4 6 2 3" xfId="22042" xr:uid="{00000000-0005-0000-0000-000014560000}"/>
    <cellStyle name="CurrencyTot 4 6 2 4" xfId="22043" xr:uid="{00000000-0005-0000-0000-000015560000}"/>
    <cellStyle name="CurrencyTot 4 6 2 5" xfId="22044" xr:uid="{00000000-0005-0000-0000-000016560000}"/>
    <cellStyle name="CurrencyTot 4 6 2 6" xfId="22045" xr:uid="{00000000-0005-0000-0000-000017560000}"/>
    <cellStyle name="CurrencyTot 4 6 3" xfId="22046" xr:uid="{00000000-0005-0000-0000-000018560000}"/>
    <cellStyle name="CurrencyTot 4 6 3 2" xfId="22047" xr:uid="{00000000-0005-0000-0000-000019560000}"/>
    <cellStyle name="CurrencyTot 4 6 3 2 2" xfId="22048" xr:uid="{00000000-0005-0000-0000-00001A560000}"/>
    <cellStyle name="CurrencyTot 4 6 3 2 3" xfId="22049" xr:uid="{00000000-0005-0000-0000-00001B560000}"/>
    <cellStyle name="CurrencyTot 4 6 3 2 4" xfId="22050" xr:uid="{00000000-0005-0000-0000-00001C560000}"/>
    <cellStyle name="CurrencyTot 4 6 3 2 5" xfId="22051" xr:uid="{00000000-0005-0000-0000-00001D560000}"/>
    <cellStyle name="CurrencyTot 4 6 3 2 6" xfId="22052" xr:uid="{00000000-0005-0000-0000-00001E560000}"/>
    <cellStyle name="CurrencyTot 4 6 3 3" xfId="22053" xr:uid="{00000000-0005-0000-0000-00001F560000}"/>
    <cellStyle name="CurrencyTot 4 6 3 4" xfId="22054" xr:uid="{00000000-0005-0000-0000-000020560000}"/>
    <cellStyle name="CurrencyTot 4 6 3 5" xfId="22055" xr:uid="{00000000-0005-0000-0000-000021560000}"/>
    <cellStyle name="CurrencyTot 4 6 3 6" xfId="22056" xr:uid="{00000000-0005-0000-0000-000022560000}"/>
    <cellStyle name="CurrencyTot 4 6 4" xfId="22057" xr:uid="{00000000-0005-0000-0000-000023560000}"/>
    <cellStyle name="CurrencyTot 4 6 4 2" xfId="22058" xr:uid="{00000000-0005-0000-0000-000024560000}"/>
    <cellStyle name="CurrencyTot 4 6 4 3" xfId="22059" xr:uid="{00000000-0005-0000-0000-000025560000}"/>
    <cellStyle name="CurrencyTot 4 6 4 4" xfId="22060" xr:uid="{00000000-0005-0000-0000-000026560000}"/>
    <cellStyle name="CurrencyTot 4 6 4 5" xfId="22061" xr:uid="{00000000-0005-0000-0000-000027560000}"/>
    <cellStyle name="CurrencyTot 4 6 4 6" xfId="22062" xr:uid="{00000000-0005-0000-0000-000028560000}"/>
    <cellStyle name="CurrencyTot 4 6 5" xfId="22063" xr:uid="{00000000-0005-0000-0000-000029560000}"/>
    <cellStyle name="CurrencyTot 4 6 6" xfId="22064" xr:uid="{00000000-0005-0000-0000-00002A560000}"/>
    <cellStyle name="CurrencyTot 4 6 7" xfId="22065" xr:uid="{00000000-0005-0000-0000-00002B560000}"/>
    <cellStyle name="CurrencyTot 4 6 8" xfId="22066" xr:uid="{00000000-0005-0000-0000-00002C560000}"/>
    <cellStyle name="CurrencyTot 4 7" xfId="22067" xr:uid="{00000000-0005-0000-0000-00002D560000}"/>
    <cellStyle name="CurrencyTot 4 7 2" xfId="22068" xr:uid="{00000000-0005-0000-0000-00002E560000}"/>
    <cellStyle name="CurrencyTot 4 7 2 2" xfId="22069" xr:uid="{00000000-0005-0000-0000-00002F560000}"/>
    <cellStyle name="CurrencyTot 4 7 2 3" xfId="22070" xr:uid="{00000000-0005-0000-0000-000030560000}"/>
    <cellStyle name="CurrencyTot 4 7 2 4" xfId="22071" xr:uid="{00000000-0005-0000-0000-000031560000}"/>
    <cellStyle name="CurrencyTot 4 7 2 5" xfId="22072" xr:uid="{00000000-0005-0000-0000-000032560000}"/>
    <cellStyle name="CurrencyTot 4 7 2 6" xfId="22073" xr:uid="{00000000-0005-0000-0000-000033560000}"/>
    <cellStyle name="CurrencyTot 4 7 3" xfId="22074" xr:uid="{00000000-0005-0000-0000-000034560000}"/>
    <cellStyle name="CurrencyTot 4 7 4" xfId="22075" xr:uid="{00000000-0005-0000-0000-000035560000}"/>
    <cellStyle name="CurrencyTot 4 7 5" xfId="22076" xr:uid="{00000000-0005-0000-0000-000036560000}"/>
    <cellStyle name="CurrencyTot 4 7 6" xfId="22077" xr:uid="{00000000-0005-0000-0000-000037560000}"/>
    <cellStyle name="CurrencyTot 4 8" xfId="22078" xr:uid="{00000000-0005-0000-0000-000038560000}"/>
    <cellStyle name="CurrencyTot 4 8 2" xfId="22079" xr:uid="{00000000-0005-0000-0000-000039560000}"/>
    <cellStyle name="CurrencyTot 4 8 2 2" xfId="22080" xr:uid="{00000000-0005-0000-0000-00003A560000}"/>
    <cellStyle name="CurrencyTot 4 8 2 3" xfId="22081" xr:uid="{00000000-0005-0000-0000-00003B560000}"/>
    <cellStyle name="CurrencyTot 4 8 2 4" xfId="22082" xr:uid="{00000000-0005-0000-0000-00003C560000}"/>
    <cellStyle name="CurrencyTot 4 8 2 5" xfId="22083" xr:uid="{00000000-0005-0000-0000-00003D560000}"/>
    <cellStyle name="CurrencyTot 4 8 2 6" xfId="22084" xr:uid="{00000000-0005-0000-0000-00003E560000}"/>
    <cellStyle name="CurrencyTot 4 8 3" xfId="22085" xr:uid="{00000000-0005-0000-0000-00003F560000}"/>
    <cellStyle name="CurrencyTot 4 8 4" xfId="22086" xr:uid="{00000000-0005-0000-0000-000040560000}"/>
    <cellStyle name="CurrencyTot 4 8 5" xfId="22087" xr:uid="{00000000-0005-0000-0000-000041560000}"/>
    <cellStyle name="CurrencyTot 4 8 6" xfId="22088" xr:uid="{00000000-0005-0000-0000-000042560000}"/>
    <cellStyle name="CurrencyTot 4 9" xfId="22089" xr:uid="{00000000-0005-0000-0000-000043560000}"/>
    <cellStyle name="CurrencyTot 4 9 2" xfId="22090" xr:uid="{00000000-0005-0000-0000-000044560000}"/>
    <cellStyle name="CurrencyTot 4 9 3" xfId="22091" xr:uid="{00000000-0005-0000-0000-000045560000}"/>
    <cellStyle name="CurrencyTot 4 9 4" xfId="22092" xr:uid="{00000000-0005-0000-0000-000046560000}"/>
    <cellStyle name="CurrencyTot 4 9 5" xfId="22093" xr:uid="{00000000-0005-0000-0000-000047560000}"/>
    <cellStyle name="CurrencyTot 4 9 6" xfId="22094" xr:uid="{00000000-0005-0000-0000-000048560000}"/>
    <cellStyle name="CurrencyTot 5" xfId="22095" xr:uid="{00000000-0005-0000-0000-000049560000}"/>
    <cellStyle name="CurrencyTot 5 2" xfId="22096" xr:uid="{00000000-0005-0000-0000-00004A560000}"/>
    <cellStyle name="CurrencyTot 5 2 2" xfId="22097" xr:uid="{00000000-0005-0000-0000-00004B560000}"/>
    <cellStyle name="CurrencyTot 5 2 2 2" xfId="22098" xr:uid="{00000000-0005-0000-0000-00004C560000}"/>
    <cellStyle name="CurrencyTot 5 2 2 3" xfId="22099" xr:uid="{00000000-0005-0000-0000-00004D560000}"/>
    <cellStyle name="CurrencyTot 5 2 2 4" xfId="22100" xr:uid="{00000000-0005-0000-0000-00004E560000}"/>
    <cellStyle name="CurrencyTot 5 2 2 5" xfId="22101" xr:uid="{00000000-0005-0000-0000-00004F560000}"/>
    <cellStyle name="CurrencyTot 5 2 2 6" xfId="22102" xr:uid="{00000000-0005-0000-0000-000050560000}"/>
    <cellStyle name="CurrencyTot 5 2 3" xfId="22103" xr:uid="{00000000-0005-0000-0000-000051560000}"/>
    <cellStyle name="CurrencyTot 5 2 4" xfId="22104" xr:uid="{00000000-0005-0000-0000-000052560000}"/>
    <cellStyle name="CurrencyTot 5 2 5" xfId="22105" xr:uid="{00000000-0005-0000-0000-000053560000}"/>
    <cellStyle name="CurrencyTot 5 2 6" xfId="22106" xr:uid="{00000000-0005-0000-0000-000054560000}"/>
    <cellStyle name="CurrencyTot 5 3" xfId="22107" xr:uid="{00000000-0005-0000-0000-000055560000}"/>
    <cellStyle name="CurrencyTot 5 3 2" xfId="22108" xr:uid="{00000000-0005-0000-0000-000056560000}"/>
    <cellStyle name="CurrencyTot 5 3 2 2" xfId="22109" xr:uid="{00000000-0005-0000-0000-000057560000}"/>
    <cellStyle name="CurrencyTot 5 3 2 3" xfId="22110" xr:uid="{00000000-0005-0000-0000-000058560000}"/>
    <cellStyle name="CurrencyTot 5 3 2 4" xfId="22111" xr:uid="{00000000-0005-0000-0000-000059560000}"/>
    <cellStyle name="CurrencyTot 5 3 2 5" xfId="22112" xr:uid="{00000000-0005-0000-0000-00005A560000}"/>
    <cellStyle name="CurrencyTot 5 3 2 6" xfId="22113" xr:uid="{00000000-0005-0000-0000-00005B560000}"/>
    <cellStyle name="CurrencyTot 5 3 3" xfId="22114" xr:uid="{00000000-0005-0000-0000-00005C560000}"/>
    <cellStyle name="CurrencyTot 5 3 4" xfId="22115" xr:uid="{00000000-0005-0000-0000-00005D560000}"/>
    <cellStyle name="CurrencyTot 5 3 5" xfId="22116" xr:uid="{00000000-0005-0000-0000-00005E560000}"/>
    <cellStyle name="CurrencyTot 5 3 6" xfId="22117" xr:uid="{00000000-0005-0000-0000-00005F560000}"/>
    <cellStyle name="CurrencyTot 5 4" xfId="22118" xr:uid="{00000000-0005-0000-0000-000060560000}"/>
    <cellStyle name="CurrencyTot 5 4 2" xfId="22119" xr:uid="{00000000-0005-0000-0000-000061560000}"/>
    <cellStyle name="CurrencyTot 5 4 3" xfId="22120" xr:uid="{00000000-0005-0000-0000-000062560000}"/>
    <cellStyle name="CurrencyTot 5 4 4" xfId="22121" xr:uid="{00000000-0005-0000-0000-000063560000}"/>
    <cellStyle name="CurrencyTot 5 4 5" xfId="22122" xr:uid="{00000000-0005-0000-0000-000064560000}"/>
    <cellStyle name="CurrencyTot 5 4 6" xfId="22123" xr:uid="{00000000-0005-0000-0000-000065560000}"/>
    <cellStyle name="CurrencyTot 5 5" xfId="22124" xr:uid="{00000000-0005-0000-0000-000066560000}"/>
    <cellStyle name="CurrencyTot 5 6" xfId="22125" xr:uid="{00000000-0005-0000-0000-000067560000}"/>
    <cellStyle name="CurrencyTot 5 7" xfId="22126" xr:uid="{00000000-0005-0000-0000-000068560000}"/>
    <cellStyle name="CurrencyTot 5 8" xfId="22127" xr:uid="{00000000-0005-0000-0000-000069560000}"/>
    <cellStyle name="CurrencyTot 6" xfId="22128" xr:uid="{00000000-0005-0000-0000-00006A560000}"/>
    <cellStyle name="CurrencyTot 6 2" xfId="22129" xr:uid="{00000000-0005-0000-0000-00006B560000}"/>
    <cellStyle name="CurrencyTot 6 2 2" xfId="22130" xr:uid="{00000000-0005-0000-0000-00006C560000}"/>
    <cellStyle name="CurrencyTot 6 2 2 2" xfId="22131" xr:uid="{00000000-0005-0000-0000-00006D560000}"/>
    <cellStyle name="CurrencyTot 6 2 2 3" xfId="22132" xr:uid="{00000000-0005-0000-0000-00006E560000}"/>
    <cellStyle name="CurrencyTot 6 2 2 4" xfId="22133" xr:uid="{00000000-0005-0000-0000-00006F560000}"/>
    <cellStyle name="CurrencyTot 6 2 2 5" xfId="22134" xr:uid="{00000000-0005-0000-0000-000070560000}"/>
    <cellStyle name="CurrencyTot 6 2 2 6" xfId="22135" xr:uid="{00000000-0005-0000-0000-000071560000}"/>
    <cellStyle name="CurrencyTot 6 2 3" xfId="22136" xr:uid="{00000000-0005-0000-0000-000072560000}"/>
    <cellStyle name="CurrencyTot 6 2 4" xfId="22137" xr:uid="{00000000-0005-0000-0000-000073560000}"/>
    <cellStyle name="CurrencyTot 6 2 5" xfId="22138" xr:uid="{00000000-0005-0000-0000-000074560000}"/>
    <cellStyle name="CurrencyTot 6 2 6" xfId="22139" xr:uid="{00000000-0005-0000-0000-000075560000}"/>
    <cellStyle name="CurrencyTot 6 3" xfId="22140" xr:uid="{00000000-0005-0000-0000-000076560000}"/>
    <cellStyle name="CurrencyTot 6 3 2" xfId="22141" xr:uid="{00000000-0005-0000-0000-000077560000}"/>
    <cellStyle name="CurrencyTot 6 3 2 2" xfId="22142" xr:uid="{00000000-0005-0000-0000-000078560000}"/>
    <cellStyle name="CurrencyTot 6 3 2 3" xfId="22143" xr:uid="{00000000-0005-0000-0000-000079560000}"/>
    <cellStyle name="CurrencyTot 6 3 2 4" xfId="22144" xr:uid="{00000000-0005-0000-0000-00007A560000}"/>
    <cellStyle name="CurrencyTot 6 3 2 5" xfId="22145" xr:uid="{00000000-0005-0000-0000-00007B560000}"/>
    <cellStyle name="CurrencyTot 6 3 2 6" xfId="22146" xr:uid="{00000000-0005-0000-0000-00007C560000}"/>
    <cellStyle name="CurrencyTot 6 3 3" xfId="22147" xr:uid="{00000000-0005-0000-0000-00007D560000}"/>
    <cellStyle name="CurrencyTot 6 3 4" xfId="22148" xr:uid="{00000000-0005-0000-0000-00007E560000}"/>
    <cellStyle name="CurrencyTot 6 3 5" xfId="22149" xr:uid="{00000000-0005-0000-0000-00007F560000}"/>
    <cellStyle name="CurrencyTot 6 3 6" xfId="22150" xr:uid="{00000000-0005-0000-0000-000080560000}"/>
    <cellStyle name="CurrencyTot 6 4" xfId="22151" xr:uid="{00000000-0005-0000-0000-000081560000}"/>
    <cellStyle name="CurrencyTot 6 4 2" xfId="22152" xr:uid="{00000000-0005-0000-0000-000082560000}"/>
    <cellStyle name="CurrencyTot 6 4 3" xfId="22153" xr:uid="{00000000-0005-0000-0000-000083560000}"/>
    <cellStyle name="CurrencyTot 6 4 4" xfId="22154" xr:uid="{00000000-0005-0000-0000-000084560000}"/>
    <cellStyle name="CurrencyTot 6 4 5" xfId="22155" xr:uid="{00000000-0005-0000-0000-000085560000}"/>
    <cellStyle name="CurrencyTot 6 4 6" xfId="22156" xr:uid="{00000000-0005-0000-0000-000086560000}"/>
    <cellStyle name="CurrencyTot 6 5" xfId="22157" xr:uid="{00000000-0005-0000-0000-000087560000}"/>
    <cellStyle name="CurrencyTot 6 6" xfId="22158" xr:uid="{00000000-0005-0000-0000-000088560000}"/>
    <cellStyle name="CurrencyTot 6 7" xfId="22159" xr:uid="{00000000-0005-0000-0000-000089560000}"/>
    <cellStyle name="CurrencyTot 6 8" xfId="22160" xr:uid="{00000000-0005-0000-0000-00008A560000}"/>
    <cellStyle name="CurrencyTot 7" xfId="22161" xr:uid="{00000000-0005-0000-0000-00008B560000}"/>
    <cellStyle name="CurrencyTot 7 2" xfId="22162" xr:uid="{00000000-0005-0000-0000-00008C560000}"/>
    <cellStyle name="CurrencyTot 7 2 2" xfId="22163" xr:uid="{00000000-0005-0000-0000-00008D560000}"/>
    <cellStyle name="CurrencyTot 7 2 2 2" xfId="22164" xr:uid="{00000000-0005-0000-0000-00008E560000}"/>
    <cellStyle name="CurrencyTot 7 2 2 3" xfId="22165" xr:uid="{00000000-0005-0000-0000-00008F560000}"/>
    <cellStyle name="CurrencyTot 7 2 2 4" xfId="22166" xr:uid="{00000000-0005-0000-0000-000090560000}"/>
    <cellStyle name="CurrencyTot 7 2 2 5" xfId="22167" xr:uid="{00000000-0005-0000-0000-000091560000}"/>
    <cellStyle name="CurrencyTot 7 2 2 6" xfId="22168" xr:uid="{00000000-0005-0000-0000-000092560000}"/>
    <cellStyle name="CurrencyTot 7 2 3" xfId="22169" xr:uid="{00000000-0005-0000-0000-000093560000}"/>
    <cellStyle name="CurrencyTot 7 2 4" xfId="22170" xr:uid="{00000000-0005-0000-0000-000094560000}"/>
    <cellStyle name="CurrencyTot 7 2 5" xfId="22171" xr:uid="{00000000-0005-0000-0000-000095560000}"/>
    <cellStyle name="CurrencyTot 7 2 6" xfId="22172" xr:uid="{00000000-0005-0000-0000-000096560000}"/>
    <cellStyle name="CurrencyTot 7 3" xfId="22173" xr:uid="{00000000-0005-0000-0000-000097560000}"/>
    <cellStyle name="CurrencyTot 7 3 2" xfId="22174" xr:uid="{00000000-0005-0000-0000-000098560000}"/>
    <cellStyle name="CurrencyTot 7 3 2 2" xfId="22175" xr:uid="{00000000-0005-0000-0000-000099560000}"/>
    <cellStyle name="CurrencyTot 7 3 2 3" xfId="22176" xr:uid="{00000000-0005-0000-0000-00009A560000}"/>
    <cellStyle name="CurrencyTot 7 3 2 4" xfId="22177" xr:uid="{00000000-0005-0000-0000-00009B560000}"/>
    <cellStyle name="CurrencyTot 7 3 2 5" xfId="22178" xr:uid="{00000000-0005-0000-0000-00009C560000}"/>
    <cellStyle name="CurrencyTot 7 3 2 6" xfId="22179" xr:uid="{00000000-0005-0000-0000-00009D560000}"/>
    <cellStyle name="CurrencyTot 7 3 3" xfId="22180" xr:uid="{00000000-0005-0000-0000-00009E560000}"/>
    <cellStyle name="CurrencyTot 7 3 4" xfId="22181" xr:uid="{00000000-0005-0000-0000-00009F560000}"/>
    <cellStyle name="CurrencyTot 7 3 5" xfId="22182" xr:uid="{00000000-0005-0000-0000-0000A0560000}"/>
    <cellStyle name="CurrencyTot 7 3 6" xfId="22183" xr:uid="{00000000-0005-0000-0000-0000A1560000}"/>
    <cellStyle name="CurrencyTot 7 4" xfId="22184" xr:uid="{00000000-0005-0000-0000-0000A2560000}"/>
    <cellStyle name="CurrencyTot 7 4 2" xfId="22185" xr:uid="{00000000-0005-0000-0000-0000A3560000}"/>
    <cellStyle name="CurrencyTot 7 4 3" xfId="22186" xr:uid="{00000000-0005-0000-0000-0000A4560000}"/>
    <cellStyle name="CurrencyTot 7 4 4" xfId="22187" xr:uid="{00000000-0005-0000-0000-0000A5560000}"/>
    <cellStyle name="CurrencyTot 7 4 5" xfId="22188" xr:uid="{00000000-0005-0000-0000-0000A6560000}"/>
    <cellStyle name="CurrencyTot 7 4 6" xfId="22189" xr:uid="{00000000-0005-0000-0000-0000A7560000}"/>
    <cellStyle name="CurrencyTot 7 5" xfId="22190" xr:uid="{00000000-0005-0000-0000-0000A8560000}"/>
    <cellStyle name="CurrencyTot 7 6" xfId="22191" xr:uid="{00000000-0005-0000-0000-0000A9560000}"/>
    <cellStyle name="CurrencyTot 7 7" xfId="22192" xr:uid="{00000000-0005-0000-0000-0000AA560000}"/>
    <cellStyle name="CurrencyTot 7 8" xfId="22193" xr:uid="{00000000-0005-0000-0000-0000AB560000}"/>
    <cellStyle name="CurrencyTot 8" xfId="22194" xr:uid="{00000000-0005-0000-0000-0000AC560000}"/>
    <cellStyle name="CurrencyTot 8 2" xfId="22195" xr:uid="{00000000-0005-0000-0000-0000AD560000}"/>
    <cellStyle name="CurrencyTot 8 2 2" xfId="22196" xr:uid="{00000000-0005-0000-0000-0000AE560000}"/>
    <cellStyle name="CurrencyTot 8 2 3" xfId="22197" xr:uid="{00000000-0005-0000-0000-0000AF560000}"/>
    <cellStyle name="CurrencyTot 8 2 4" xfId="22198" xr:uid="{00000000-0005-0000-0000-0000B0560000}"/>
    <cellStyle name="CurrencyTot 8 2 5" xfId="22199" xr:uid="{00000000-0005-0000-0000-0000B1560000}"/>
    <cellStyle name="CurrencyTot 8 2 6" xfId="22200" xr:uid="{00000000-0005-0000-0000-0000B2560000}"/>
    <cellStyle name="CurrencyTot 8 3" xfId="22201" xr:uid="{00000000-0005-0000-0000-0000B3560000}"/>
    <cellStyle name="CurrencyTot 8 4" xfId="22202" xr:uid="{00000000-0005-0000-0000-0000B4560000}"/>
    <cellStyle name="CurrencyTot 8 5" xfId="22203" xr:uid="{00000000-0005-0000-0000-0000B5560000}"/>
    <cellStyle name="CurrencyTot 8 6" xfId="22204" xr:uid="{00000000-0005-0000-0000-0000B6560000}"/>
    <cellStyle name="CurrencyTot 9" xfId="22205" xr:uid="{00000000-0005-0000-0000-0000B7560000}"/>
    <cellStyle name="CurrencyTot 9 2" xfId="22206" xr:uid="{00000000-0005-0000-0000-0000B8560000}"/>
    <cellStyle name="CurrencyTot 9 2 2" xfId="22207" xr:uid="{00000000-0005-0000-0000-0000B9560000}"/>
    <cellStyle name="CurrencyTot 9 2 3" xfId="22208" xr:uid="{00000000-0005-0000-0000-0000BA560000}"/>
    <cellStyle name="CurrencyTot 9 2 4" xfId="22209" xr:uid="{00000000-0005-0000-0000-0000BB560000}"/>
    <cellStyle name="CurrencyTot 9 2 5" xfId="22210" xr:uid="{00000000-0005-0000-0000-0000BC560000}"/>
    <cellStyle name="CurrencyTot 9 2 6" xfId="22211" xr:uid="{00000000-0005-0000-0000-0000BD560000}"/>
    <cellStyle name="CurrencyTot 9 3" xfId="22212" xr:uid="{00000000-0005-0000-0000-0000BE560000}"/>
    <cellStyle name="CurrencyTot 9 4" xfId="22213" xr:uid="{00000000-0005-0000-0000-0000BF560000}"/>
    <cellStyle name="CurrencyTot 9 5" xfId="22214" xr:uid="{00000000-0005-0000-0000-0000C0560000}"/>
    <cellStyle name="CurrencyTot 9 6" xfId="22215" xr:uid="{00000000-0005-0000-0000-0000C1560000}"/>
    <cellStyle name="Data" xfId="22216" xr:uid="{00000000-0005-0000-0000-0000C2560000}"/>
    <cellStyle name="Date" xfId="22217" xr:uid="{00000000-0005-0000-0000-0000C3560000}"/>
    <cellStyle name="Date 2" xfId="22218" xr:uid="{00000000-0005-0000-0000-0000C4560000}"/>
    <cellStyle name="Date 2 2" xfId="22219" xr:uid="{00000000-0005-0000-0000-0000C5560000}"/>
    <cellStyle name="date 2 3" xfId="22220" xr:uid="{00000000-0005-0000-0000-0000C6560000}"/>
    <cellStyle name="Date 3" xfId="22221" xr:uid="{00000000-0005-0000-0000-0000C7560000}"/>
    <cellStyle name="Date 4" xfId="22222" xr:uid="{00000000-0005-0000-0000-0000C8560000}"/>
    <cellStyle name="Date 5" xfId="22223" xr:uid="{00000000-0005-0000-0000-0000C9560000}"/>
    <cellStyle name="Date 6" xfId="22224" xr:uid="{00000000-0005-0000-0000-0000CA560000}"/>
    <cellStyle name="date 7" xfId="22225" xr:uid="{00000000-0005-0000-0000-0000CB560000}"/>
    <cellStyle name="Date 8" xfId="22226" xr:uid="{00000000-0005-0000-0000-0000CC560000}"/>
    <cellStyle name="Date Short" xfId="22227" xr:uid="{00000000-0005-0000-0000-0000CD560000}"/>
    <cellStyle name="Del" xfId="22228" xr:uid="{00000000-0005-0000-0000-0000CE560000}"/>
    <cellStyle name="Desc" xfId="22229" xr:uid="{00000000-0005-0000-0000-0000CF560000}"/>
    <cellStyle name="Dezimal [0]_Compiling Utility Macros" xfId="22230" xr:uid="{00000000-0005-0000-0000-0000D0560000}"/>
    <cellStyle name="Dezimal_Compiling Utility Macros" xfId="22231" xr:uid="{00000000-0005-0000-0000-0000D1560000}"/>
    <cellStyle name="Enter Currency (0)" xfId="22232" xr:uid="{00000000-0005-0000-0000-0000D2560000}"/>
    <cellStyle name="Enter Currency (2)" xfId="22233" xr:uid="{00000000-0005-0000-0000-0000D3560000}"/>
    <cellStyle name="Enter Units (0)" xfId="22234" xr:uid="{00000000-0005-0000-0000-0000D4560000}"/>
    <cellStyle name="Enter Units (1)" xfId="22235" xr:uid="{00000000-0005-0000-0000-0000D5560000}"/>
    <cellStyle name="Enter Units (2)" xfId="22236" xr:uid="{00000000-0005-0000-0000-0000D6560000}"/>
    <cellStyle name="Entered" xfId="22237" xr:uid="{00000000-0005-0000-0000-0000D7560000}"/>
    <cellStyle name="Euro" xfId="22238" xr:uid="{00000000-0005-0000-0000-0000D8560000}"/>
    <cellStyle name="Euro 10" xfId="22239" xr:uid="{00000000-0005-0000-0000-0000D9560000}"/>
    <cellStyle name="Euro 10 2" xfId="22240" xr:uid="{00000000-0005-0000-0000-0000DA560000}"/>
    <cellStyle name="Euro 2" xfId="22241" xr:uid="{00000000-0005-0000-0000-0000DB560000}"/>
    <cellStyle name="Euro 2 2" xfId="22242" xr:uid="{00000000-0005-0000-0000-0000DC560000}"/>
    <cellStyle name="Euro 2 2 2" xfId="22243" xr:uid="{00000000-0005-0000-0000-0000DD560000}"/>
    <cellStyle name="Euro 2 3" xfId="22244" xr:uid="{00000000-0005-0000-0000-0000DE560000}"/>
    <cellStyle name="Euro 2 4" xfId="22245" xr:uid="{00000000-0005-0000-0000-0000DF560000}"/>
    <cellStyle name="Euro 3" xfId="22246" xr:uid="{00000000-0005-0000-0000-0000E0560000}"/>
    <cellStyle name="Euro 3 2" xfId="22247" xr:uid="{00000000-0005-0000-0000-0000E1560000}"/>
    <cellStyle name="Euro 3 3" xfId="22248" xr:uid="{00000000-0005-0000-0000-0000E2560000}"/>
    <cellStyle name="Euro 3 4" xfId="22249" xr:uid="{00000000-0005-0000-0000-0000E3560000}"/>
    <cellStyle name="Euro 3 5" xfId="22250" xr:uid="{00000000-0005-0000-0000-0000E4560000}"/>
    <cellStyle name="Euro 4" xfId="22251" xr:uid="{00000000-0005-0000-0000-0000E5560000}"/>
    <cellStyle name="Euro 4 2" xfId="22252" xr:uid="{00000000-0005-0000-0000-0000E6560000}"/>
    <cellStyle name="Euro 4 2 2" xfId="22253" xr:uid="{00000000-0005-0000-0000-0000E7560000}"/>
    <cellStyle name="Euro 4 3" xfId="22254" xr:uid="{00000000-0005-0000-0000-0000E8560000}"/>
    <cellStyle name="Euro 4 4" xfId="22255" xr:uid="{00000000-0005-0000-0000-0000E9560000}"/>
    <cellStyle name="Euro 4 5" xfId="22256" xr:uid="{00000000-0005-0000-0000-0000EA560000}"/>
    <cellStyle name="Euro 5" xfId="22257" xr:uid="{00000000-0005-0000-0000-0000EB560000}"/>
    <cellStyle name="Euro 5 2" xfId="22258" xr:uid="{00000000-0005-0000-0000-0000EC560000}"/>
    <cellStyle name="Euro 6" xfId="22259" xr:uid="{00000000-0005-0000-0000-0000ED560000}"/>
    <cellStyle name="Euro 6 2" xfId="22260" xr:uid="{00000000-0005-0000-0000-0000EE560000}"/>
    <cellStyle name="Euro 7" xfId="22261" xr:uid="{00000000-0005-0000-0000-0000EF560000}"/>
    <cellStyle name="Euro 7 2" xfId="22262" xr:uid="{00000000-0005-0000-0000-0000F0560000}"/>
    <cellStyle name="Euro 8" xfId="22263" xr:uid="{00000000-0005-0000-0000-0000F1560000}"/>
    <cellStyle name="Euro 8 2" xfId="22264" xr:uid="{00000000-0005-0000-0000-0000F2560000}"/>
    <cellStyle name="Euro 9" xfId="22265" xr:uid="{00000000-0005-0000-0000-0000F3560000}"/>
    <cellStyle name="Euro 9 2" xfId="22266" xr:uid="{00000000-0005-0000-0000-0000F4560000}"/>
    <cellStyle name="Excel Built-in Normal" xfId="22267" xr:uid="{00000000-0005-0000-0000-0000F5560000}"/>
    <cellStyle name="Explanatory Text 2" xfId="22268" xr:uid="{00000000-0005-0000-0000-0000F6560000}"/>
    <cellStyle name="Explanatory Text 2 2" xfId="22269" xr:uid="{00000000-0005-0000-0000-0000F7560000}"/>
    <cellStyle name="Explanatory Text 3" xfId="22270" xr:uid="{00000000-0005-0000-0000-0000F8560000}"/>
    <cellStyle name="Explanatory Text 4" xfId="22271" xr:uid="{00000000-0005-0000-0000-0000F9560000}"/>
    <cellStyle name="F2" xfId="22272" xr:uid="{00000000-0005-0000-0000-0000FA560000}"/>
    <cellStyle name="F3" xfId="22273" xr:uid="{00000000-0005-0000-0000-0000FB560000}"/>
    <cellStyle name="F4" xfId="22274" xr:uid="{00000000-0005-0000-0000-0000FC560000}"/>
    <cellStyle name="F5" xfId="22275" xr:uid="{00000000-0005-0000-0000-0000FD560000}"/>
    <cellStyle name="F6" xfId="22276" xr:uid="{00000000-0005-0000-0000-0000FE560000}"/>
    <cellStyle name="F7" xfId="22277" xr:uid="{00000000-0005-0000-0000-0000FF560000}"/>
    <cellStyle name="F8" xfId="22278" xr:uid="{00000000-0005-0000-0000-000000570000}"/>
    <cellStyle name="Fixed" xfId="22279" xr:uid="{00000000-0005-0000-0000-000001570000}"/>
    <cellStyle name="Fixed 2" xfId="22280" xr:uid="{00000000-0005-0000-0000-000002570000}"/>
    <cellStyle name="Fixed 2 2" xfId="22281" xr:uid="{00000000-0005-0000-0000-000003570000}"/>
    <cellStyle name="Fixed 3" xfId="22282" xr:uid="{00000000-0005-0000-0000-000004570000}"/>
    <cellStyle name="Fixed 4" xfId="22283" xr:uid="{00000000-0005-0000-0000-000005570000}"/>
    <cellStyle name="Fixed 5" xfId="22284" xr:uid="{00000000-0005-0000-0000-000006570000}"/>
    <cellStyle name="Fixed 6" xfId="22285" xr:uid="{00000000-0005-0000-0000-000007570000}"/>
    <cellStyle name="Fixed 7" xfId="22286" xr:uid="{00000000-0005-0000-0000-000008570000}"/>
    <cellStyle name="Followed Hyperlink 10" xfId="22287" xr:uid="{00000000-0005-0000-0000-000009570000}"/>
    <cellStyle name="Followed Hyperlink 100" xfId="22288" xr:uid="{00000000-0005-0000-0000-00000A570000}"/>
    <cellStyle name="Followed Hyperlink 101" xfId="22289" xr:uid="{00000000-0005-0000-0000-00000B570000}"/>
    <cellStyle name="Followed Hyperlink 102" xfId="22290" xr:uid="{00000000-0005-0000-0000-00000C570000}"/>
    <cellStyle name="Followed Hyperlink 103" xfId="22291" xr:uid="{00000000-0005-0000-0000-00000D570000}"/>
    <cellStyle name="Followed Hyperlink 104" xfId="22292" xr:uid="{00000000-0005-0000-0000-00000E570000}"/>
    <cellStyle name="Followed Hyperlink 105" xfId="22293" xr:uid="{00000000-0005-0000-0000-00000F570000}"/>
    <cellStyle name="Followed Hyperlink 106" xfId="22294" xr:uid="{00000000-0005-0000-0000-000010570000}"/>
    <cellStyle name="Followed Hyperlink 107" xfId="22295" xr:uid="{00000000-0005-0000-0000-000011570000}"/>
    <cellStyle name="Followed Hyperlink 108" xfId="22296" xr:uid="{00000000-0005-0000-0000-000012570000}"/>
    <cellStyle name="Followed Hyperlink 109" xfId="22297" xr:uid="{00000000-0005-0000-0000-000013570000}"/>
    <cellStyle name="Followed Hyperlink 11" xfId="22298" xr:uid="{00000000-0005-0000-0000-000014570000}"/>
    <cellStyle name="Followed Hyperlink 110" xfId="22299" xr:uid="{00000000-0005-0000-0000-000015570000}"/>
    <cellStyle name="Followed Hyperlink 111" xfId="22300" xr:uid="{00000000-0005-0000-0000-000016570000}"/>
    <cellStyle name="Followed Hyperlink 112" xfId="22301" xr:uid="{00000000-0005-0000-0000-000017570000}"/>
    <cellStyle name="Followed Hyperlink 113" xfId="22302" xr:uid="{00000000-0005-0000-0000-000018570000}"/>
    <cellStyle name="Followed Hyperlink 114" xfId="22303" xr:uid="{00000000-0005-0000-0000-000019570000}"/>
    <cellStyle name="Followed Hyperlink 115" xfId="22304" xr:uid="{00000000-0005-0000-0000-00001A570000}"/>
    <cellStyle name="Followed Hyperlink 116" xfId="22305" xr:uid="{00000000-0005-0000-0000-00001B570000}"/>
    <cellStyle name="Followed Hyperlink 117" xfId="22306" xr:uid="{00000000-0005-0000-0000-00001C570000}"/>
    <cellStyle name="Followed Hyperlink 118" xfId="22307" xr:uid="{00000000-0005-0000-0000-00001D570000}"/>
    <cellStyle name="Followed Hyperlink 119" xfId="22308" xr:uid="{00000000-0005-0000-0000-00001E570000}"/>
    <cellStyle name="Followed Hyperlink 12" xfId="22309" xr:uid="{00000000-0005-0000-0000-00001F570000}"/>
    <cellStyle name="Followed Hyperlink 120" xfId="22310" xr:uid="{00000000-0005-0000-0000-000020570000}"/>
    <cellStyle name="Followed Hyperlink 121" xfId="22311" xr:uid="{00000000-0005-0000-0000-000021570000}"/>
    <cellStyle name="Followed Hyperlink 122" xfId="22312" xr:uid="{00000000-0005-0000-0000-000022570000}"/>
    <cellStyle name="Followed Hyperlink 123" xfId="22313" xr:uid="{00000000-0005-0000-0000-000023570000}"/>
    <cellStyle name="Followed Hyperlink 124" xfId="22314" xr:uid="{00000000-0005-0000-0000-000024570000}"/>
    <cellStyle name="Followed Hyperlink 125" xfId="22315" xr:uid="{00000000-0005-0000-0000-000025570000}"/>
    <cellStyle name="Followed Hyperlink 126" xfId="22316" xr:uid="{00000000-0005-0000-0000-000026570000}"/>
    <cellStyle name="Followed Hyperlink 127" xfId="22317" xr:uid="{00000000-0005-0000-0000-000027570000}"/>
    <cellStyle name="Followed Hyperlink 128" xfId="22318" xr:uid="{00000000-0005-0000-0000-000028570000}"/>
    <cellStyle name="Followed Hyperlink 129" xfId="22319" xr:uid="{00000000-0005-0000-0000-000029570000}"/>
    <cellStyle name="Followed Hyperlink 13" xfId="22320" xr:uid="{00000000-0005-0000-0000-00002A570000}"/>
    <cellStyle name="Followed Hyperlink 130" xfId="22321" xr:uid="{00000000-0005-0000-0000-00002B570000}"/>
    <cellStyle name="Followed Hyperlink 131" xfId="22322" xr:uid="{00000000-0005-0000-0000-00002C570000}"/>
    <cellStyle name="Followed Hyperlink 132" xfId="22323" xr:uid="{00000000-0005-0000-0000-00002D570000}"/>
    <cellStyle name="Followed Hyperlink 133" xfId="22324" xr:uid="{00000000-0005-0000-0000-00002E570000}"/>
    <cellStyle name="Followed Hyperlink 134" xfId="22325" xr:uid="{00000000-0005-0000-0000-00002F570000}"/>
    <cellStyle name="Followed Hyperlink 135" xfId="22326" xr:uid="{00000000-0005-0000-0000-000030570000}"/>
    <cellStyle name="Followed Hyperlink 136" xfId="22327" xr:uid="{00000000-0005-0000-0000-000031570000}"/>
    <cellStyle name="Followed Hyperlink 137" xfId="22328" xr:uid="{00000000-0005-0000-0000-000032570000}"/>
    <cellStyle name="Followed Hyperlink 138" xfId="22329" xr:uid="{00000000-0005-0000-0000-000033570000}"/>
    <cellStyle name="Followed Hyperlink 139" xfId="22330" xr:uid="{00000000-0005-0000-0000-000034570000}"/>
    <cellStyle name="Followed Hyperlink 14" xfId="22331" xr:uid="{00000000-0005-0000-0000-000035570000}"/>
    <cellStyle name="Followed Hyperlink 140" xfId="22332" xr:uid="{00000000-0005-0000-0000-000036570000}"/>
    <cellStyle name="Followed Hyperlink 141" xfId="22333" xr:uid="{00000000-0005-0000-0000-000037570000}"/>
    <cellStyle name="Followed Hyperlink 142" xfId="22334" xr:uid="{00000000-0005-0000-0000-000038570000}"/>
    <cellStyle name="Followed Hyperlink 143" xfId="22335" xr:uid="{00000000-0005-0000-0000-000039570000}"/>
    <cellStyle name="Followed Hyperlink 144" xfId="22336" xr:uid="{00000000-0005-0000-0000-00003A570000}"/>
    <cellStyle name="Followed Hyperlink 145" xfId="22337" xr:uid="{00000000-0005-0000-0000-00003B570000}"/>
    <cellStyle name="Followed Hyperlink 146" xfId="22338" xr:uid="{00000000-0005-0000-0000-00003C570000}"/>
    <cellStyle name="Followed Hyperlink 147" xfId="22339" xr:uid="{00000000-0005-0000-0000-00003D570000}"/>
    <cellStyle name="Followed Hyperlink 148" xfId="22340" xr:uid="{00000000-0005-0000-0000-00003E570000}"/>
    <cellStyle name="Followed Hyperlink 149" xfId="22341" xr:uid="{00000000-0005-0000-0000-00003F570000}"/>
    <cellStyle name="Followed Hyperlink 15" xfId="22342" xr:uid="{00000000-0005-0000-0000-000040570000}"/>
    <cellStyle name="Followed Hyperlink 150" xfId="22343" xr:uid="{00000000-0005-0000-0000-000041570000}"/>
    <cellStyle name="Followed Hyperlink 151" xfId="22344" xr:uid="{00000000-0005-0000-0000-000042570000}"/>
    <cellStyle name="Followed Hyperlink 152" xfId="22345" xr:uid="{00000000-0005-0000-0000-000043570000}"/>
    <cellStyle name="Followed Hyperlink 153" xfId="22346" xr:uid="{00000000-0005-0000-0000-000044570000}"/>
    <cellStyle name="Followed Hyperlink 154" xfId="22347" xr:uid="{00000000-0005-0000-0000-000045570000}"/>
    <cellStyle name="Followed Hyperlink 155" xfId="22348" xr:uid="{00000000-0005-0000-0000-000046570000}"/>
    <cellStyle name="Followed Hyperlink 156" xfId="22349" xr:uid="{00000000-0005-0000-0000-000047570000}"/>
    <cellStyle name="Followed Hyperlink 157" xfId="22350" xr:uid="{00000000-0005-0000-0000-000048570000}"/>
    <cellStyle name="Followed Hyperlink 158" xfId="22351" xr:uid="{00000000-0005-0000-0000-000049570000}"/>
    <cellStyle name="Followed Hyperlink 159" xfId="22352" xr:uid="{00000000-0005-0000-0000-00004A570000}"/>
    <cellStyle name="Followed Hyperlink 16" xfId="22353" xr:uid="{00000000-0005-0000-0000-00004B570000}"/>
    <cellStyle name="Followed Hyperlink 160" xfId="22354" xr:uid="{00000000-0005-0000-0000-00004C570000}"/>
    <cellStyle name="Followed Hyperlink 161" xfId="22355" xr:uid="{00000000-0005-0000-0000-00004D570000}"/>
    <cellStyle name="Followed Hyperlink 162" xfId="22356" xr:uid="{00000000-0005-0000-0000-00004E570000}"/>
    <cellStyle name="Followed Hyperlink 163" xfId="22357" xr:uid="{00000000-0005-0000-0000-00004F570000}"/>
    <cellStyle name="Followed Hyperlink 164" xfId="22358" xr:uid="{00000000-0005-0000-0000-000050570000}"/>
    <cellStyle name="Followed Hyperlink 165" xfId="22359" xr:uid="{00000000-0005-0000-0000-000051570000}"/>
    <cellStyle name="Followed Hyperlink 166" xfId="22360" xr:uid="{00000000-0005-0000-0000-000052570000}"/>
    <cellStyle name="Followed Hyperlink 167" xfId="22361" xr:uid="{00000000-0005-0000-0000-000053570000}"/>
    <cellStyle name="Followed Hyperlink 168" xfId="22362" xr:uid="{00000000-0005-0000-0000-000054570000}"/>
    <cellStyle name="Followed Hyperlink 169" xfId="22363" xr:uid="{00000000-0005-0000-0000-000055570000}"/>
    <cellStyle name="Followed Hyperlink 17" xfId="22364" xr:uid="{00000000-0005-0000-0000-000056570000}"/>
    <cellStyle name="Followed Hyperlink 170" xfId="22365" xr:uid="{00000000-0005-0000-0000-000057570000}"/>
    <cellStyle name="Followed Hyperlink 171" xfId="22366" xr:uid="{00000000-0005-0000-0000-000058570000}"/>
    <cellStyle name="Followed Hyperlink 172" xfId="22367" xr:uid="{00000000-0005-0000-0000-000059570000}"/>
    <cellStyle name="Followed Hyperlink 173" xfId="22368" xr:uid="{00000000-0005-0000-0000-00005A570000}"/>
    <cellStyle name="Followed Hyperlink 174" xfId="22369" xr:uid="{00000000-0005-0000-0000-00005B570000}"/>
    <cellStyle name="Followed Hyperlink 175" xfId="22370" xr:uid="{00000000-0005-0000-0000-00005C570000}"/>
    <cellStyle name="Followed Hyperlink 176" xfId="22371" xr:uid="{00000000-0005-0000-0000-00005D570000}"/>
    <cellStyle name="Followed Hyperlink 177" xfId="22372" xr:uid="{00000000-0005-0000-0000-00005E570000}"/>
    <cellStyle name="Followed Hyperlink 178" xfId="22373" xr:uid="{00000000-0005-0000-0000-00005F570000}"/>
    <cellStyle name="Followed Hyperlink 179" xfId="22374" xr:uid="{00000000-0005-0000-0000-000060570000}"/>
    <cellStyle name="Followed Hyperlink 18" xfId="22375" xr:uid="{00000000-0005-0000-0000-000061570000}"/>
    <cellStyle name="Followed Hyperlink 180" xfId="22376" xr:uid="{00000000-0005-0000-0000-000062570000}"/>
    <cellStyle name="Followed Hyperlink 181" xfId="22377" xr:uid="{00000000-0005-0000-0000-000063570000}"/>
    <cellStyle name="Followed Hyperlink 182" xfId="22378" xr:uid="{00000000-0005-0000-0000-000064570000}"/>
    <cellStyle name="Followed Hyperlink 183" xfId="22379" xr:uid="{00000000-0005-0000-0000-000065570000}"/>
    <cellStyle name="Followed Hyperlink 184" xfId="22380" xr:uid="{00000000-0005-0000-0000-000066570000}"/>
    <cellStyle name="Followed Hyperlink 185" xfId="22381" xr:uid="{00000000-0005-0000-0000-000067570000}"/>
    <cellStyle name="Followed Hyperlink 186" xfId="22382" xr:uid="{00000000-0005-0000-0000-000068570000}"/>
    <cellStyle name="Followed Hyperlink 187" xfId="22383" xr:uid="{00000000-0005-0000-0000-000069570000}"/>
    <cellStyle name="Followed Hyperlink 188" xfId="22384" xr:uid="{00000000-0005-0000-0000-00006A570000}"/>
    <cellStyle name="Followed Hyperlink 189" xfId="22385" xr:uid="{00000000-0005-0000-0000-00006B570000}"/>
    <cellStyle name="Followed Hyperlink 19" xfId="22386" xr:uid="{00000000-0005-0000-0000-00006C570000}"/>
    <cellStyle name="Followed Hyperlink 190" xfId="22387" xr:uid="{00000000-0005-0000-0000-00006D570000}"/>
    <cellStyle name="Followed Hyperlink 191" xfId="22388" xr:uid="{00000000-0005-0000-0000-00006E570000}"/>
    <cellStyle name="Followed Hyperlink 192" xfId="22389" xr:uid="{00000000-0005-0000-0000-00006F570000}"/>
    <cellStyle name="Followed Hyperlink 193" xfId="22390" xr:uid="{00000000-0005-0000-0000-000070570000}"/>
    <cellStyle name="Followed Hyperlink 194" xfId="22391" xr:uid="{00000000-0005-0000-0000-000071570000}"/>
    <cellStyle name="Followed Hyperlink 195" xfId="22392" xr:uid="{00000000-0005-0000-0000-000072570000}"/>
    <cellStyle name="Followed Hyperlink 196" xfId="22393" xr:uid="{00000000-0005-0000-0000-000073570000}"/>
    <cellStyle name="Followed Hyperlink 197" xfId="22394" xr:uid="{00000000-0005-0000-0000-000074570000}"/>
    <cellStyle name="Followed Hyperlink 198" xfId="22395" xr:uid="{00000000-0005-0000-0000-000075570000}"/>
    <cellStyle name="Followed Hyperlink 199" xfId="22396" xr:uid="{00000000-0005-0000-0000-000076570000}"/>
    <cellStyle name="Followed Hyperlink 2" xfId="22397" xr:uid="{00000000-0005-0000-0000-000077570000}"/>
    <cellStyle name="Followed Hyperlink 20" xfId="22398" xr:uid="{00000000-0005-0000-0000-000078570000}"/>
    <cellStyle name="Followed Hyperlink 200" xfId="22399" xr:uid="{00000000-0005-0000-0000-000079570000}"/>
    <cellStyle name="Followed Hyperlink 201" xfId="22400" xr:uid="{00000000-0005-0000-0000-00007A570000}"/>
    <cellStyle name="Followed Hyperlink 202" xfId="22401" xr:uid="{00000000-0005-0000-0000-00007B570000}"/>
    <cellStyle name="Followed Hyperlink 203" xfId="22402" xr:uid="{00000000-0005-0000-0000-00007C570000}"/>
    <cellStyle name="Followed Hyperlink 204" xfId="22403" xr:uid="{00000000-0005-0000-0000-00007D570000}"/>
    <cellStyle name="Followed Hyperlink 205" xfId="22404" xr:uid="{00000000-0005-0000-0000-00007E570000}"/>
    <cellStyle name="Followed Hyperlink 206" xfId="22405" xr:uid="{00000000-0005-0000-0000-00007F570000}"/>
    <cellStyle name="Followed Hyperlink 207" xfId="22406" xr:uid="{00000000-0005-0000-0000-000080570000}"/>
    <cellStyle name="Followed Hyperlink 208" xfId="22407" xr:uid="{00000000-0005-0000-0000-000081570000}"/>
    <cellStyle name="Followed Hyperlink 209" xfId="22408" xr:uid="{00000000-0005-0000-0000-000082570000}"/>
    <cellStyle name="Followed Hyperlink 21" xfId="22409" xr:uid="{00000000-0005-0000-0000-000083570000}"/>
    <cellStyle name="Followed Hyperlink 210" xfId="22410" xr:uid="{00000000-0005-0000-0000-000084570000}"/>
    <cellStyle name="Followed Hyperlink 211" xfId="22411" xr:uid="{00000000-0005-0000-0000-000085570000}"/>
    <cellStyle name="Followed Hyperlink 212" xfId="22412" xr:uid="{00000000-0005-0000-0000-000086570000}"/>
    <cellStyle name="Followed Hyperlink 213" xfId="22413" xr:uid="{00000000-0005-0000-0000-000087570000}"/>
    <cellStyle name="Followed Hyperlink 214" xfId="22414" xr:uid="{00000000-0005-0000-0000-000088570000}"/>
    <cellStyle name="Followed Hyperlink 215" xfId="22415" xr:uid="{00000000-0005-0000-0000-000089570000}"/>
    <cellStyle name="Followed Hyperlink 216" xfId="22416" xr:uid="{00000000-0005-0000-0000-00008A570000}"/>
    <cellStyle name="Followed Hyperlink 217" xfId="22417" xr:uid="{00000000-0005-0000-0000-00008B570000}"/>
    <cellStyle name="Followed Hyperlink 218" xfId="22418" xr:uid="{00000000-0005-0000-0000-00008C570000}"/>
    <cellStyle name="Followed Hyperlink 219" xfId="22419" xr:uid="{00000000-0005-0000-0000-00008D570000}"/>
    <cellStyle name="Followed Hyperlink 22" xfId="22420" xr:uid="{00000000-0005-0000-0000-00008E570000}"/>
    <cellStyle name="Followed Hyperlink 220" xfId="22421" xr:uid="{00000000-0005-0000-0000-00008F570000}"/>
    <cellStyle name="Followed Hyperlink 221" xfId="22422" xr:uid="{00000000-0005-0000-0000-000090570000}"/>
    <cellStyle name="Followed Hyperlink 222" xfId="22423" xr:uid="{00000000-0005-0000-0000-000091570000}"/>
    <cellStyle name="Followed Hyperlink 223" xfId="22424" xr:uid="{00000000-0005-0000-0000-000092570000}"/>
    <cellStyle name="Followed Hyperlink 224" xfId="22425" xr:uid="{00000000-0005-0000-0000-000093570000}"/>
    <cellStyle name="Followed Hyperlink 225" xfId="22426" xr:uid="{00000000-0005-0000-0000-000094570000}"/>
    <cellStyle name="Followed Hyperlink 226" xfId="22427" xr:uid="{00000000-0005-0000-0000-000095570000}"/>
    <cellStyle name="Followed Hyperlink 227" xfId="22428" xr:uid="{00000000-0005-0000-0000-000096570000}"/>
    <cellStyle name="Followed Hyperlink 228" xfId="22429" xr:uid="{00000000-0005-0000-0000-000097570000}"/>
    <cellStyle name="Followed Hyperlink 229" xfId="22430" xr:uid="{00000000-0005-0000-0000-000098570000}"/>
    <cellStyle name="Followed Hyperlink 23" xfId="22431" xr:uid="{00000000-0005-0000-0000-000099570000}"/>
    <cellStyle name="Followed Hyperlink 230" xfId="22432" xr:uid="{00000000-0005-0000-0000-00009A570000}"/>
    <cellStyle name="Followed Hyperlink 231" xfId="22433" xr:uid="{00000000-0005-0000-0000-00009B570000}"/>
    <cellStyle name="Followed Hyperlink 232" xfId="22434" xr:uid="{00000000-0005-0000-0000-00009C570000}"/>
    <cellStyle name="Followed Hyperlink 233" xfId="22435" xr:uid="{00000000-0005-0000-0000-00009D570000}"/>
    <cellStyle name="Followed Hyperlink 234" xfId="22436" xr:uid="{00000000-0005-0000-0000-00009E570000}"/>
    <cellStyle name="Followed Hyperlink 235" xfId="22437" xr:uid="{00000000-0005-0000-0000-00009F570000}"/>
    <cellStyle name="Followed Hyperlink 236" xfId="22438" xr:uid="{00000000-0005-0000-0000-0000A0570000}"/>
    <cellStyle name="Followed Hyperlink 237" xfId="22439" xr:uid="{00000000-0005-0000-0000-0000A1570000}"/>
    <cellStyle name="Followed Hyperlink 238" xfId="22440" xr:uid="{00000000-0005-0000-0000-0000A2570000}"/>
    <cellStyle name="Followed Hyperlink 239" xfId="22441" xr:uid="{00000000-0005-0000-0000-0000A3570000}"/>
    <cellStyle name="Followed Hyperlink 24" xfId="22442" xr:uid="{00000000-0005-0000-0000-0000A4570000}"/>
    <cellStyle name="Followed Hyperlink 240" xfId="22443" xr:uid="{00000000-0005-0000-0000-0000A5570000}"/>
    <cellStyle name="Followed Hyperlink 241" xfId="22444" xr:uid="{00000000-0005-0000-0000-0000A6570000}"/>
    <cellStyle name="Followed Hyperlink 242" xfId="22445" xr:uid="{00000000-0005-0000-0000-0000A7570000}"/>
    <cellStyle name="Followed Hyperlink 243" xfId="22446" xr:uid="{00000000-0005-0000-0000-0000A8570000}"/>
    <cellStyle name="Followed Hyperlink 244" xfId="22447" xr:uid="{00000000-0005-0000-0000-0000A9570000}"/>
    <cellStyle name="Followed Hyperlink 245" xfId="22448" xr:uid="{00000000-0005-0000-0000-0000AA570000}"/>
    <cellStyle name="Followed Hyperlink 246" xfId="22449" xr:uid="{00000000-0005-0000-0000-0000AB570000}"/>
    <cellStyle name="Followed Hyperlink 247" xfId="22450" xr:uid="{00000000-0005-0000-0000-0000AC570000}"/>
    <cellStyle name="Followed Hyperlink 248" xfId="22451" xr:uid="{00000000-0005-0000-0000-0000AD570000}"/>
    <cellStyle name="Followed Hyperlink 249" xfId="22452" xr:uid="{00000000-0005-0000-0000-0000AE570000}"/>
    <cellStyle name="Followed Hyperlink 25" xfId="22453" xr:uid="{00000000-0005-0000-0000-0000AF570000}"/>
    <cellStyle name="Followed Hyperlink 250" xfId="22454" xr:uid="{00000000-0005-0000-0000-0000B0570000}"/>
    <cellStyle name="Followed Hyperlink 251" xfId="22455" xr:uid="{00000000-0005-0000-0000-0000B1570000}"/>
    <cellStyle name="Followed Hyperlink 252" xfId="22456" xr:uid="{00000000-0005-0000-0000-0000B2570000}"/>
    <cellStyle name="Followed Hyperlink 253" xfId="22457" xr:uid="{00000000-0005-0000-0000-0000B3570000}"/>
    <cellStyle name="Followed Hyperlink 254" xfId="22458" xr:uid="{00000000-0005-0000-0000-0000B4570000}"/>
    <cellStyle name="Followed Hyperlink 255" xfId="22459" xr:uid="{00000000-0005-0000-0000-0000B5570000}"/>
    <cellStyle name="Followed Hyperlink 256" xfId="22460" xr:uid="{00000000-0005-0000-0000-0000B6570000}"/>
    <cellStyle name="Followed Hyperlink 257" xfId="22461" xr:uid="{00000000-0005-0000-0000-0000B7570000}"/>
    <cellStyle name="Followed Hyperlink 258" xfId="22462" xr:uid="{00000000-0005-0000-0000-0000B8570000}"/>
    <cellStyle name="Followed Hyperlink 259" xfId="22463" xr:uid="{00000000-0005-0000-0000-0000B9570000}"/>
    <cellStyle name="Followed Hyperlink 26" xfId="22464" xr:uid="{00000000-0005-0000-0000-0000BA570000}"/>
    <cellStyle name="Followed Hyperlink 260" xfId="22465" xr:uid="{00000000-0005-0000-0000-0000BB570000}"/>
    <cellStyle name="Followed Hyperlink 261" xfId="22466" xr:uid="{00000000-0005-0000-0000-0000BC570000}"/>
    <cellStyle name="Followed Hyperlink 262" xfId="22467" xr:uid="{00000000-0005-0000-0000-0000BD570000}"/>
    <cellStyle name="Followed Hyperlink 263" xfId="22468" xr:uid="{00000000-0005-0000-0000-0000BE570000}"/>
    <cellStyle name="Followed Hyperlink 264" xfId="22469" xr:uid="{00000000-0005-0000-0000-0000BF570000}"/>
    <cellStyle name="Followed Hyperlink 265" xfId="22470" xr:uid="{00000000-0005-0000-0000-0000C0570000}"/>
    <cellStyle name="Followed Hyperlink 266" xfId="22471" xr:uid="{00000000-0005-0000-0000-0000C1570000}"/>
    <cellStyle name="Followed Hyperlink 267" xfId="22472" xr:uid="{00000000-0005-0000-0000-0000C2570000}"/>
    <cellStyle name="Followed Hyperlink 268" xfId="22473" xr:uid="{00000000-0005-0000-0000-0000C3570000}"/>
    <cellStyle name="Followed Hyperlink 269" xfId="22474" xr:uid="{00000000-0005-0000-0000-0000C4570000}"/>
    <cellStyle name="Followed Hyperlink 27" xfId="22475" xr:uid="{00000000-0005-0000-0000-0000C5570000}"/>
    <cellStyle name="Followed Hyperlink 270" xfId="22476" xr:uid="{00000000-0005-0000-0000-0000C6570000}"/>
    <cellStyle name="Followed Hyperlink 271" xfId="22477" xr:uid="{00000000-0005-0000-0000-0000C7570000}"/>
    <cellStyle name="Followed Hyperlink 272" xfId="22478" xr:uid="{00000000-0005-0000-0000-0000C8570000}"/>
    <cellStyle name="Followed Hyperlink 273" xfId="22479" xr:uid="{00000000-0005-0000-0000-0000C9570000}"/>
    <cellStyle name="Followed Hyperlink 274" xfId="22480" xr:uid="{00000000-0005-0000-0000-0000CA570000}"/>
    <cellStyle name="Followed Hyperlink 275" xfId="22481" xr:uid="{00000000-0005-0000-0000-0000CB570000}"/>
    <cellStyle name="Followed Hyperlink 276" xfId="22482" xr:uid="{00000000-0005-0000-0000-0000CC570000}"/>
    <cellStyle name="Followed Hyperlink 277" xfId="22483" xr:uid="{00000000-0005-0000-0000-0000CD570000}"/>
    <cellStyle name="Followed Hyperlink 278" xfId="22484" xr:uid="{00000000-0005-0000-0000-0000CE570000}"/>
    <cellStyle name="Followed Hyperlink 279" xfId="22485" xr:uid="{00000000-0005-0000-0000-0000CF570000}"/>
    <cellStyle name="Followed Hyperlink 28" xfId="22486" xr:uid="{00000000-0005-0000-0000-0000D0570000}"/>
    <cellStyle name="Followed Hyperlink 280" xfId="22487" xr:uid="{00000000-0005-0000-0000-0000D1570000}"/>
    <cellStyle name="Followed Hyperlink 281" xfId="22488" xr:uid="{00000000-0005-0000-0000-0000D2570000}"/>
    <cellStyle name="Followed Hyperlink 282" xfId="22489" xr:uid="{00000000-0005-0000-0000-0000D3570000}"/>
    <cellStyle name="Followed Hyperlink 283" xfId="22490" xr:uid="{00000000-0005-0000-0000-0000D4570000}"/>
    <cellStyle name="Followed Hyperlink 284" xfId="22491" xr:uid="{00000000-0005-0000-0000-0000D5570000}"/>
    <cellStyle name="Followed Hyperlink 285" xfId="22492" xr:uid="{00000000-0005-0000-0000-0000D6570000}"/>
    <cellStyle name="Followed Hyperlink 286" xfId="22493" xr:uid="{00000000-0005-0000-0000-0000D7570000}"/>
    <cellStyle name="Followed Hyperlink 287" xfId="22494" xr:uid="{00000000-0005-0000-0000-0000D8570000}"/>
    <cellStyle name="Followed Hyperlink 288" xfId="22495" xr:uid="{00000000-0005-0000-0000-0000D9570000}"/>
    <cellStyle name="Followed Hyperlink 289" xfId="22496" xr:uid="{00000000-0005-0000-0000-0000DA570000}"/>
    <cellStyle name="Followed Hyperlink 29" xfId="22497" xr:uid="{00000000-0005-0000-0000-0000DB570000}"/>
    <cellStyle name="Followed Hyperlink 290" xfId="22498" xr:uid="{00000000-0005-0000-0000-0000DC570000}"/>
    <cellStyle name="Followed Hyperlink 291" xfId="22499" xr:uid="{00000000-0005-0000-0000-0000DD570000}"/>
    <cellStyle name="Followed Hyperlink 292" xfId="22500" xr:uid="{00000000-0005-0000-0000-0000DE570000}"/>
    <cellStyle name="Followed Hyperlink 293" xfId="22501" xr:uid="{00000000-0005-0000-0000-0000DF570000}"/>
    <cellStyle name="Followed Hyperlink 294" xfId="22502" xr:uid="{00000000-0005-0000-0000-0000E0570000}"/>
    <cellStyle name="Followed Hyperlink 295" xfId="22503" xr:uid="{00000000-0005-0000-0000-0000E1570000}"/>
    <cellStyle name="Followed Hyperlink 296" xfId="22504" xr:uid="{00000000-0005-0000-0000-0000E2570000}"/>
    <cellStyle name="Followed Hyperlink 297" xfId="22505" xr:uid="{00000000-0005-0000-0000-0000E3570000}"/>
    <cellStyle name="Followed Hyperlink 298" xfId="22506" xr:uid="{00000000-0005-0000-0000-0000E4570000}"/>
    <cellStyle name="Followed Hyperlink 299" xfId="22507" xr:uid="{00000000-0005-0000-0000-0000E5570000}"/>
    <cellStyle name="Followed Hyperlink 3" xfId="22508" xr:uid="{00000000-0005-0000-0000-0000E6570000}"/>
    <cellStyle name="Followed Hyperlink 30" xfId="22509" xr:uid="{00000000-0005-0000-0000-0000E7570000}"/>
    <cellStyle name="Followed Hyperlink 300" xfId="22510" xr:uid="{00000000-0005-0000-0000-0000E8570000}"/>
    <cellStyle name="Followed Hyperlink 301" xfId="22511" xr:uid="{00000000-0005-0000-0000-0000E9570000}"/>
    <cellStyle name="Followed Hyperlink 302" xfId="22512" xr:uid="{00000000-0005-0000-0000-0000EA570000}"/>
    <cellStyle name="Followed Hyperlink 303" xfId="22513" xr:uid="{00000000-0005-0000-0000-0000EB570000}"/>
    <cellStyle name="Followed Hyperlink 304" xfId="22514" xr:uid="{00000000-0005-0000-0000-0000EC570000}"/>
    <cellStyle name="Followed Hyperlink 305" xfId="22515" xr:uid="{00000000-0005-0000-0000-0000ED570000}"/>
    <cellStyle name="Followed Hyperlink 306" xfId="22516" xr:uid="{00000000-0005-0000-0000-0000EE570000}"/>
    <cellStyle name="Followed Hyperlink 307" xfId="22517" xr:uid="{00000000-0005-0000-0000-0000EF570000}"/>
    <cellStyle name="Followed Hyperlink 308" xfId="22518" xr:uid="{00000000-0005-0000-0000-0000F0570000}"/>
    <cellStyle name="Followed Hyperlink 309" xfId="22519" xr:uid="{00000000-0005-0000-0000-0000F1570000}"/>
    <cellStyle name="Followed Hyperlink 31" xfId="22520" xr:uid="{00000000-0005-0000-0000-0000F2570000}"/>
    <cellStyle name="Followed Hyperlink 310" xfId="22521" xr:uid="{00000000-0005-0000-0000-0000F3570000}"/>
    <cellStyle name="Followed Hyperlink 311" xfId="22522" xr:uid="{00000000-0005-0000-0000-0000F4570000}"/>
    <cellStyle name="Followed Hyperlink 312" xfId="22523" xr:uid="{00000000-0005-0000-0000-0000F5570000}"/>
    <cellStyle name="Followed Hyperlink 313" xfId="22524" xr:uid="{00000000-0005-0000-0000-0000F6570000}"/>
    <cellStyle name="Followed Hyperlink 314" xfId="22525" xr:uid="{00000000-0005-0000-0000-0000F7570000}"/>
    <cellStyle name="Followed Hyperlink 315" xfId="22526" xr:uid="{00000000-0005-0000-0000-0000F8570000}"/>
    <cellStyle name="Followed Hyperlink 316" xfId="22527" xr:uid="{00000000-0005-0000-0000-0000F9570000}"/>
    <cellStyle name="Followed Hyperlink 317" xfId="22528" xr:uid="{00000000-0005-0000-0000-0000FA570000}"/>
    <cellStyle name="Followed Hyperlink 318" xfId="22529" xr:uid="{00000000-0005-0000-0000-0000FB570000}"/>
    <cellStyle name="Followed Hyperlink 319" xfId="22530" xr:uid="{00000000-0005-0000-0000-0000FC570000}"/>
    <cellStyle name="Followed Hyperlink 32" xfId="22531" xr:uid="{00000000-0005-0000-0000-0000FD570000}"/>
    <cellStyle name="Followed Hyperlink 320" xfId="22532" xr:uid="{00000000-0005-0000-0000-0000FE570000}"/>
    <cellStyle name="Followed Hyperlink 321" xfId="22533" xr:uid="{00000000-0005-0000-0000-0000FF570000}"/>
    <cellStyle name="Followed Hyperlink 322" xfId="22534" xr:uid="{00000000-0005-0000-0000-000000580000}"/>
    <cellStyle name="Followed Hyperlink 323" xfId="22535" xr:uid="{00000000-0005-0000-0000-000001580000}"/>
    <cellStyle name="Followed Hyperlink 324" xfId="22536" xr:uid="{00000000-0005-0000-0000-000002580000}"/>
    <cellStyle name="Followed Hyperlink 325" xfId="22537" xr:uid="{00000000-0005-0000-0000-000003580000}"/>
    <cellStyle name="Followed Hyperlink 326" xfId="22538" xr:uid="{00000000-0005-0000-0000-000004580000}"/>
    <cellStyle name="Followed Hyperlink 327" xfId="22539" xr:uid="{00000000-0005-0000-0000-000005580000}"/>
    <cellStyle name="Followed Hyperlink 328" xfId="22540" xr:uid="{00000000-0005-0000-0000-000006580000}"/>
    <cellStyle name="Followed Hyperlink 329" xfId="22541" xr:uid="{00000000-0005-0000-0000-000007580000}"/>
    <cellStyle name="Followed Hyperlink 33" xfId="22542" xr:uid="{00000000-0005-0000-0000-000008580000}"/>
    <cellStyle name="Followed Hyperlink 330" xfId="22543" xr:uid="{00000000-0005-0000-0000-000009580000}"/>
    <cellStyle name="Followed Hyperlink 331" xfId="22544" xr:uid="{00000000-0005-0000-0000-00000A580000}"/>
    <cellStyle name="Followed Hyperlink 332" xfId="22545" xr:uid="{00000000-0005-0000-0000-00000B580000}"/>
    <cellStyle name="Followed Hyperlink 333" xfId="22546" xr:uid="{00000000-0005-0000-0000-00000C580000}"/>
    <cellStyle name="Followed Hyperlink 334" xfId="22547" xr:uid="{00000000-0005-0000-0000-00000D580000}"/>
    <cellStyle name="Followed Hyperlink 335" xfId="22548" xr:uid="{00000000-0005-0000-0000-00000E580000}"/>
    <cellStyle name="Followed Hyperlink 336" xfId="22549" xr:uid="{00000000-0005-0000-0000-00000F580000}"/>
    <cellStyle name="Followed Hyperlink 337" xfId="22550" xr:uid="{00000000-0005-0000-0000-000010580000}"/>
    <cellStyle name="Followed Hyperlink 338" xfId="22551" xr:uid="{00000000-0005-0000-0000-000011580000}"/>
    <cellStyle name="Followed Hyperlink 339" xfId="22552" xr:uid="{00000000-0005-0000-0000-000012580000}"/>
    <cellStyle name="Followed Hyperlink 34" xfId="22553" xr:uid="{00000000-0005-0000-0000-000013580000}"/>
    <cellStyle name="Followed Hyperlink 340" xfId="22554" xr:uid="{00000000-0005-0000-0000-000014580000}"/>
    <cellStyle name="Followed Hyperlink 341" xfId="22555" xr:uid="{00000000-0005-0000-0000-000015580000}"/>
    <cellStyle name="Followed Hyperlink 342" xfId="22556" xr:uid="{00000000-0005-0000-0000-000016580000}"/>
    <cellStyle name="Followed Hyperlink 343" xfId="22557" xr:uid="{00000000-0005-0000-0000-000017580000}"/>
    <cellStyle name="Followed Hyperlink 344" xfId="22558" xr:uid="{00000000-0005-0000-0000-000018580000}"/>
    <cellStyle name="Followed Hyperlink 345" xfId="22559" xr:uid="{00000000-0005-0000-0000-000019580000}"/>
    <cellStyle name="Followed Hyperlink 346" xfId="22560" xr:uid="{00000000-0005-0000-0000-00001A580000}"/>
    <cellStyle name="Followed Hyperlink 347" xfId="22561" xr:uid="{00000000-0005-0000-0000-00001B580000}"/>
    <cellStyle name="Followed Hyperlink 348" xfId="22562" xr:uid="{00000000-0005-0000-0000-00001C580000}"/>
    <cellStyle name="Followed Hyperlink 349" xfId="22563" xr:uid="{00000000-0005-0000-0000-00001D580000}"/>
    <cellStyle name="Followed Hyperlink 35" xfId="22564" xr:uid="{00000000-0005-0000-0000-00001E580000}"/>
    <cellStyle name="Followed Hyperlink 350" xfId="22565" xr:uid="{00000000-0005-0000-0000-00001F580000}"/>
    <cellStyle name="Followed Hyperlink 351" xfId="22566" xr:uid="{00000000-0005-0000-0000-000020580000}"/>
    <cellStyle name="Followed Hyperlink 352" xfId="22567" xr:uid="{00000000-0005-0000-0000-000021580000}"/>
    <cellStyle name="Followed Hyperlink 353" xfId="22568" xr:uid="{00000000-0005-0000-0000-000022580000}"/>
    <cellStyle name="Followed Hyperlink 354" xfId="22569" xr:uid="{00000000-0005-0000-0000-000023580000}"/>
    <cellStyle name="Followed Hyperlink 355" xfId="22570" xr:uid="{00000000-0005-0000-0000-000024580000}"/>
    <cellStyle name="Followed Hyperlink 356" xfId="22571" xr:uid="{00000000-0005-0000-0000-000025580000}"/>
    <cellStyle name="Followed Hyperlink 357" xfId="22572" xr:uid="{00000000-0005-0000-0000-000026580000}"/>
    <cellStyle name="Followed Hyperlink 358" xfId="22573" xr:uid="{00000000-0005-0000-0000-000027580000}"/>
    <cellStyle name="Followed Hyperlink 359" xfId="22574" xr:uid="{00000000-0005-0000-0000-000028580000}"/>
    <cellStyle name="Followed Hyperlink 36" xfId="22575" xr:uid="{00000000-0005-0000-0000-000029580000}"/>
    <cellStyle name="Followed Hyperlink 360" xfId="22576" xr:uid="{00000000-0005-0000-0000-00002A580000}"/>
    <cellStyle name="Followed Hyperlink 361" xfId="22577" xr:uid="{00000000-0005-0000-0000-00002B580000}"/>
    <cellStyle name="Followed Hyperlink 362" xfId="22578" xr:uid="{00000000-0005-0000-0000-00002C580000}"/>
    <cellStyle name="Followed Hyperlink 363" xfId="22579" xr:uid="{00000000-0005-0000-0000-00002D580000}"/>
    <cellStyle name="Followed Hyperlink 364" xfId="22580" xr:uid="{00000000-0005-0000-0000-00002E580000}"/>
    <cellStyle name="Followed Hyperlink 365" xfId="22581" xr:uid="{00000000-0005-0000-0000-00002F580000}"/>
    <cellStyle name="Followed Hyperlink 366" xfId="22582" xr:uid="{00000000-0005-0000-0000-000030580000}"/>
    <cellStyle name="Followed Hyperlink 367" xfId="22583" xr:uid="{00000000-0005-0000-0000-000031580000}"/>
    <cellStyle name="Followed Hyperlink 368" xfId="22584" xr:uid="{00000000-0005-0000-0000-000032580000}"/>
    <cellStyle name="Followed Hyperlink 369" xfId="22585" xr:uid="{00000000-0005-0000-0000-000033580000}"/>
    <cellStyle name="Followed Hyperlink 37" xfId="22586" xr:uid="{00000000-0005-0000-0000-000034580000}"/>
    <cellStyle name="Followed Hyperlink 370" xfId="22587" xr:uid="{00000000-0005-0000-0000-000035580000}"/>
    <cellStyle name="Followed Hyperlink 371" xfId="22588" xr:uid="{00000000-0005-0000-0000-000036580000}"/>
    <cellStyle name="Followed Hyperlink 372" xfId="22589" xr:uid="{00000000-0005-0000-0000-000037580000}"/>
    <cellStyle name="Followed Hyperlink 373" xfId="22590" xr:uid="{00000000-0005-0000-0000-000038580000}"/>
    <cellStyle name="Followed Hyperlink 374" xfId="22591" xr:uid="{00000000-0005-0000-0000-000039580000}"/>
    <cellStyle name="Followed Hyperlink 375" xfId="22592" xr:uid="{00000000-0005-0000-0000-00003A580000}"/>
    <cellStyle name="Followed Hyperlink 376" xfId="22593" xr:uid="{00000000-0005-0000-0000-00003B580000}"/>
    <cellStyle name="Followed Hyperlink 377" xfId="22594" xr:uid="{00000000-0005-0000-0000-00003C580000}"/>
    <cellStyle name="Followed Hyperlink 378" xfId="22595" xr:uid="{00000000-0005-0000-0000-00003D580000}"/>
    <cellStyle name="Followed Hyperlink 379" xfId="22596" xr:uid="{00000000-0005-0000-0000-00003E580000}"/>
    <cellStyle name="Followed Hyperlink 38" xfId="22597" xr:uid="{00000000-0005-0000-0000-00003F580000}"/>
    <cellStyle name="Followed Hyperlink 380" xfId="22598" xr:uid="{00000000-0005-0000-0000-000040580000}"/>
    <cellStyle name="Followed Hyperlink 381" xfId="22599" xr:uid="{00000000-0005-0000-0000-000041580000}"/>
    <cellStyle name="Followed Hyperlink 382" xfId="22600" xr:uid="{00000000-0005-0000-0000-000042580000}"/>
    <cellStyle name="Followed Hyperlink 383" xfId="22601" xr:uid="{00000000-0005-0000-0000-000043580000}"/>
    <cellStyle name="Followed Hyperlink 384" xfId="22602" xr:uid="{00000000-0005-0000-0000-000044580000}"/>
    <cellStyle name="Followed Hyperlink 385" xfId="22603" xr:uid="{00000000-0005-0000-0000-000045580000}"/>
    <cellStyle name="Followed Hyperlink 386" xfId="22604" xr:uid="{00000000-0005-0000-0000-000046580000}"/>
    <cellStyle name="Followed Hyperlink 387" xfId="22605" xr:uid="{00000000-0005-0000-0000-000047580000}"/>
    <cellStyle name="Followed Hyperlink 388" xfId="22606" xr:uid="{00000000-0005-0000-0000-000048580000}"/>
    <cellStyle name="Followed Hyperlink 389" xfId="22607" xr:uid="{00000000-0005-0000-0000-000049580000}"/>
    <cellStyle name="Followed Hyperlink 39" xfId="22608" xr:uid="{00000000-0005-0000-0000-00004A580000}"/>
    <cellStyle name="Followed Hyperlink 390" xfId="22609" xr:uid="{00000000-0005-0000-0000-00004B580000}"/>
    <cellStyle name="Followed Hyperlink 391" xfId="22610" xr:uid="{00000000-0005-0000-0000-00004C580000}"/>
    <cellStyle name="Followed Hyperlink 392" xfId="22611" xr:uid="{00000000-0005-0000-0000-00004D580000}"/>
    <cellStyle name="Followed Hyperlink 393" xfId="22612" xr:uid="{00000000-0005-0000-0000-00004E580000}"/>
    <cellStyle name="Followed Hyperlink 394" xfId="22613" xr:uid="{00000000-0005-0000-0000-00004F580000}"/>
    <cellStyle name="Followed Hyperlink 395" xfId="22614" xr:uid="{00000000-0005-0000-0000-000050580000}"/>
    <cellStyle name="Followed Hyperlink 396" xfId="22615" xr:uid="{00000000-0005-0000-0000-000051580000}"/>
    <cellStyle name="Followed Hyperlink 397" xfId="22616" xr:uid="{00000000-0005-0000-0000-000052580000}"/>
    <cellStyle name="Followed Hyperlink 398" xfId="22617" xr:uid="{00000000-0005-0000-0000-000053580000}"/>
    <cellStyle name="Followed Hyperlink 399" xfId="22618" xr:uid="{00000000-0005-0000-0000-000054580000}"/>
    <cellStyle name="Followed Hyperlink 4" xfId="22619" xr:uid="{00000000-0005-0000-0000-000055580000}"/>
    <cellStyle name="Followed Hyperlink 40" xfId="22620" xr:uid="{00000000-0005-0000-0000-000056580000}"/>
    <cellStyle name="Followed Hyperlink 400" xfId="22621" xr:uid="{00000000-0005-0000-0000-000057580000}"/>
    <cellStyle name="Followed Hyperlink 401" xfId="22622" xr:uid="{00000000-0005-0000-0000-000058580000}"/>
    <cellStyle name="Followed Hyperlink 402" xfId="22623" xr:uid="{00000000-0005-0000-0000-000059580000}"/>
    <cellStyle name="Followed Hyperlink 403" xfId="22624" xr:uid="{00000000-0005-0000-0000-00005A580000}"/>
    <cellStyle name="Followed Hyperlink 404" xfId="22625" xr:uid="{00000000-0005-0000-0000-00005B580000}"/>
    <cellStyle name="Followed Hyperlink 405" xfId="22626" xr:uid="{00000000-0005-0000-0000-00005C580000}"/>
    <cellStyle name="Followed Hyperlink 406" xfId="22627" xr:uid="{00000000-0005-0000-0000-00005D580000}"/>
    <cellStyle name="Followed Hyperlink 407" xfId="22628" xr:uid="{00000000-0005-0000-0000-00005E580000}"/>
    <cellStyle name="Followed Hyperlink 408" xfId="22629" xr:uid="{00000000-0005-0000-0000-00005F580000}"/>
    <cellStyle name="Followed Hyperlink 409" xfId="22630" xr:uid="{00000000-0005-0000-0000-000060580000}"/>
    <cellStyle name="Followed Hyperlink 41" xfId="22631" xr:uid="{00000000-0005-0000-0000-000061580000}"/>
    <cellStyle name="Followed Hyperlink 410" xfId="22632" xr:uid="{00000000-0005-0000-0000-000062580000}"/>
    <cellStyle name="Followed Hyperlink 411" xfId="22633" xr:uid="{00000000-0005-0000-0000-000063580000}"/>
    <cellStyle name="Followed Hyperlink 412" xfId="22634" xr:uid="{00000000-0005-0000-0000-000064580000}"/>
    <cellStyle name="Followed Hyperlink 413" xfId="22635" xr:uid="{00000000-0005-0000-0000-000065580000}"/>
    <cellStyle name="Followed Hyperlink 414" xfId="22636" xr:uid="{00000000-0005-0000-0000-000066580000}"/>
    <cellStyle name="Followed Hyperlink 415" xfId="22637" xr:uid="{00000000-0005-0000-0000-000067580000}"/>
    <cellStyle name="Followed Hyperlink 416" xfId="22638" xr:uid="{00000000-0005-0000-0000-000068580000}"/>
    <cellStyle name="Followed Hyperlink 417" xfId="22639" xr:uid="{00000000-0005-0000-0000-000069580000}"/>
    <cellStyle name="Followed Hyperlink 418" xfId="22640" xr:uid="{00000000-0005-0000-0000-00006A580000}"/>
    <cellStyle name="Followed Hyperlink 419" xfId="22641" xr:uid="{00000000-0005-0000-0000-00006B580000}"/>
    <cellStyle name="Followed Hyperlink 42" xfId="22642" xr:uid="{00000000-0005-0000-0000-00006C580000}"/>
    <cellStyle name="Followed Hyperlink 420" xfId="22643" xr:uid="{00000000-0005-0000-0000-00006D580000}"/>
    <cellStyle name="Followed Hyperlink 421" xfId="22644" xr:uid="{00000000-0005-0000-0000-00006E580000}"/>
    <cellStyle name="Followed Hyperlink 422" xfId="22645" xr:uid="{00000000-0005-0000-0000-00006F580000}"/>
    <cellStyle name="Followed Hyperlink 423" xfId="22646" xr:uid="{00000000-0005-0000-0000-000070580000}"/>
    <cellStyle name="Followed Hyperlink 424" xfId="22647" xr:uid="{00000000-0005-0000-0000-000071580000}"/>
    <cellStyle name="Followed Hyperlink 425" xfId="22648" xr:uid="{00000000-0005-0000-0000-000072580000}"/>
    <cellStyle name="Followed Hyperlink 426" xfId="22649" xr:uid="{00000000-0005-0000-0000-000073580000}"/>
    <cellStyle name="Followed Hyperlink 427" xfId="22650" xr:uid="{00000000-0005-0000-0000-000074580000}"/>
    <cellStyle name="Followed Hyperlink 428" xfId="22651" xr:uid="{00000000-0005-0000-0000-000075580000}"/>
    <cellStyle name="Followed Hyperlink 429" xfId="22652" xr:uid="{00000000-0005-0000-0000-000076580000}"/>
    <cellStyle name="Followed Hyperlink 43" xfId="22653" xr:uid="{00000000-0005-0000-0000-000077580000}"/>
    <cellStyle name="Followed Hyperlink 430" xfId="22654" xr:uid="{00000000-0005-0000-0000-000078580000}"/>
    <cellStyle name="Followed Hyperlink 431" xfId="22655" xr:uid="{00000000-0005-0000-0000-000079580000}"/>
    <cellStyle name="Followed Hyperlink 432" xfId="22656" xr:uid="{00000000-0005-0000-0000-00007A580000}"/>
    <cellStyle name="Followed Hyperlink 433" xfId="22657" xr:uid="{00000000-0005-0000-0000-00007B580000}"/>
    <cellStyle name="Followed Hyperlink 434" xfId="22658" xr:uid="{00000000-0005-0000-0000-00007C580000}"/>
    <cellStyle name="Followed Hyperlink 435" xfId="22659" xr:uid="{00000000-0005-0000-0000-00007D580000}"/>
    <cellStyle name="Followed Hyperlink 436" xfId="22660" xr:uid="{00000000-0005-0000-0000-00007E580000}"/>
    <cellStyle name="Followed Hyperlink 437" xfId="22661" xr:uid="{00000000-0005-0000-0000-00007F580000}"/>
    <cellStyle name="Followed Hyperlink 438" xfId="22662" xr:uid="{00000000-0005-0000-0000-000080580000}"/>
    <cellStyle name="Followed Hyperlink 439" xfId="22663" xr:uid="{00000000-0005-0000-0000-000081580000}"/>
    <cellStyle name="Followed Hyperlink 44" xfId="22664" xr:uid="{00000000-0005-0000-0000-000082580000}"/>
    <cellStyle name="Followed Hyperlink 440" xfId="22665" xr:uid="{00000000-0005-0000-0000-000083580000}"/>
    <cellStyle name="Followed Hyperlink 441" xfId="22666" xr:uid="{00000000-0005-0000-0000-000084580000}"/>
    <cellStyle name="Followed Hyperlink 442" xfId="22667" xr:uid="{00000000-0005-0000-0000-000085580000}"/>
    <cellStyle name="Followed Hyperlink 443" xfId="22668" xr:uid="{00000000-0005-0000-0000-000086580000}"/>
    <cellStyle name="Followed Hyperlink 444" xfId="22669" xr:uid="{00000000-0005-0000-0000-000087580000}"/>
    <cellStyle name="Followed Hyperlink 445" xfId="22670" xr:uid="{00000000-0005-0000-0000-000088580000}"/>
    <cellStyle name="Followed Hyperlink 446" xfId="22671" xr:uid="{00000000-0005-0000-0000-000089580000}"/>
    <cellStyle name="Followed Hyperlink 447" xfId="22672" xr:uid="{00000000-0005-0000-0000-00008A580000}"/>
    <cellStyle name="Followed Hyperlink 448" xfId="22673" xr:uid="{00000000-0005-0000-0000-00008B580000}"/>
    <cellStyle name="Followed Hyperlink 449" xfId="22674" xr:uid="{00000000-0005-0000-0000-00008C580000}"/>
    <cellStyle name="Followed Hyperlink 45" xfId="22675" xr:uid="{00000000-0005-0000-0000-00008D580000}"/>
    <cellStyle name="Followed Hyperlink 450" xfId="22676" xr:uid="{00000000-0005-0000-0000-00008E580000}"/>
    <cellStyle name="Followed Hyperlink 451" xfId="22677" xr:uid="{00000000-0005-0000-0000-00008F580000}"/>
    <cellStyle name="Followed Hyperlink 452" xfId="22678" xr:uid="{00000000-0005-0000-0000-000090580000}"/>
    <cellStyle name="Followed Hyperlink 453" xfId="22679" xr:uid="{00000000-0005-0000-0000-000091580000}"/>
    <cellStyle name="Followed Hyperlink 454" xfId="22680" xr:uid="{00000000-0005-0000-0000-000092580000}"/>
    <cellStyle name="Followed Hyperlink 455" xfId="22681" xr:uid="{00000000-0005-0000-0000-000093580000}"/>
    <cellStyle name="Followed Hyperlink 456" xfId="22682" xr:uid="{00000000-0005-0000-0000-000094580000}"/>
    <cellStyle name="Followed Hyperlink 457" xfId="22683" xr:uid="{00000000-0005-0000-0000-000095580000}"/>
    <cellStyle name="Followed Hyperlink 458" xfId="22684" xr:uid="{00000000-0005-0000-0000-000096580000}"/>
    <cellStyle name="Followed Hyperlink 459" xfId="22685" xr:uid="{00000000-0005-0000-0000-000097580000}"/>
    <cellStyle name="Followed Hyperlink 46" xfId="22686" xr:uid="{00000000-0005-0000-0000-000098580000}"/>
    <cellStyle name="Followed Hyperlink 460" xfId="22687" xr:uid="{00000000-0005-0000-0000-000099580000}"/>
    <cellStyle name="Followed Hyperlink 461" xfId="22688" xr:uid="{00000000-0005-0000-0000-00009A580000}"/>
    <cellStyle name="Followed Hyperlink 462" xfId="22689" xr:uid="{00000000-0005-0000-0000-00009B580000}"/>
    <cellStyle name="Followed Hyperlink 463" xfId="22690" xr:uid="{00000000-0005-0000-0000-00009C580000}"/>
    <cellStyle name="Followed Hyperlink 464" xfId="22691" xr:uid="{00000000-0005-0000-0000-00009D580000}"/>
    <cellStyle name="Followed Hyperlink 465" xfId="22692" xr:uid="{00000000-0005-0000-0000-00009E580000}"/>
    <cellStyle name="Followed Hyperlink 466" xfId="22693" xr:uid="{00000000-0005-0000-0000-00009F580000}"/>
    <cellStyle name="Followed Hyperlink 467" xfId="22694" xr:uid="{00000000-0005-0000-0000-0000A0580000}"/>
    <cellStyle name="Followed Hyperlink 468" xfId="22695" xr:uid="{00000000-0005-0000-0000-0000A1580000}"/>
    <cellStyle name="Followed Hyperlink 469" xfId="22696" xr:uid="{00000000-0005-0000-0000-0000A2580000}"/>
    <cellStyle name="Followed Hyperlink 47" xfId="22697" xr:uid="{00000000-0005-0000-0000-0000A3580000}"/>
    <cellStyle name="Followed Hyperlink 470" xfId="22698" xr:uid="{00000000-0005-0000-0000-0000A4580000}"/>
    <cellStyle name="Followed Hyperlink 471" xfId="22699" xr:uid="{00000000-0005-0000-0000-0000A5580000}"/>
    <cellStyle name="Followed Hyperlink 472" xfId="22700" xr:uid="{00000000-0005-0000-0000-0000A6580000}"/>
    <cellStyle name="Followed Hyperlink 473" xfId="22701" xr:uid="{00000000-0005-0000-0000-0000A7580000}"/>
    <cellStyle name="Followed Hyperlink 474" xfId="22702" xr:uid="{00000000-0005-0000-0000-0000A8580000}"/>
    <cellStyle name="Followed Hyperlink 475" xfId="22703" xr:uid="{00000000-0005-0000-0000-0000A9580000}"/>
    <cellStyle name="Followed Hyperlink 476" xfId="22704" xr:uid="{00000000-0005-0000-0000-0000AA580000}"/>
    <cellStyle name="Followed Hyperlink 477" xfId="22705" xr:uid="{00000000-0005-0000-0000-0000AB580000}"/>
    <cellStyle name="Followed Hyperlink 478" xfId="22706" xr:uid="{00000000-0005-0000-0000-0000AC580000}"/>
    <cellStyle name="Followed Hyperlink 479" xfId="22707" xr:uid="{00000000-0005-0000-0000-0000AD580000}"/>
    <cellStyle name="Followed Hyperlink 48" xfId="22708" xr:uid="{00000000-0005-0000-0000-0000AE580000}"/>
    <cellStyle name="Followed Hyperlink 480" xfId="22709" xr:uid="{00000000-0005-0000-0000-0000AF580000}"/>
    <cellStyle name="Followed Hyperlink 481" xfId="22710" xr:uid="{00000000-0005-0000-0000-0000B0580000}"/>
    <cellStyle name="Followed Hyperlink 482" xfId="22711" xr:uid="{00000000-0005-0000-0000-0000B1580000}"/>
    <cellStyle name="Followed Hyperlink 483" xfId="22712" xr:uid="{00000000-0005-0000-0000-0000B2580000}"/>
    <cellStyle name="Followed Hyperlink 484" xfId="22713" xr:uid="{00000000-0005-0000-0000-0000B3580000}"/>
    <cellStyle name="Followed Hyperlink 485" xfId="22714" xr:uid="{00000000-0005-0000-0000-0000B4580000}"/>
    <cellStyle name="Followed Hyperlink 486" xfId="22715" xr:uid="{00000000-0005-0000-0000-0000B5580000}"/>
    <cellStyle name="Followed Hyperlink 487" xfId="22716" xr:uid="{00000000-0005-0000-0000-0000B6580000}"/>
    <cellStyle name="Followed Hyperlink 488" xfId="22717" xr:uid="{00000000-0005-0000-0000-0000B7580000}"/>
    <cellStyle name="Followed Hyperlink 489" xfId="22718" xr:uid="{00000000-0005-0000-0000-0000B8580000}"/>
    <cellStyle name="Followed Hyperlink 49" xfId="22719" xr:uid="{00000000-0005-0000-0000-0000B9580000}"/>
    <cellStyle name="Followed Hyperlink 490" xfId="22720" xr:uid="{00000000-0005-0000-0000-0000BA580000}"/>
    <cellStyle name="Followed Hyperlink 491" xfId="22721" xr:uid="{00000000-0005-0000-0000-0000BB580000}"/>
    <cellStyle name="Followed Hyperlink 492" xfId="22722" xr:uid="{00000000-0005-0000-0000-0000BC580000}"/>
    <cellStyle name="Followed Hyperlink 493" xfId="22723" xr:uid="{00000000-0005-0000-0000-0000BD580000}"/>
    <cellStyle name="Followed Hyperlink 494" xfId="22724" xr:uid="{00000000-0005-0000-0000-0000BE580000}"/>
    <cellStyle name="Followed Hyperlink 495" xfId="22725" xr:uid="{00000000-0005-0000-0000-0000BF580000}"/>
    <cellStyle name="Followed Hyperlink 496" xfId="22726" xr:uid="{00000000-0005-0000-0000-0000C0580000}"/>
    <cellStyle name="Followed Hyperlink 497" xfId="22727" xr:uid="{00000000-0005-0000-0000-0000C1580000}"/>
    <cellStyle name="Followed Hyperlink 498" xfId="22728" xr:uid="{00000000-0005-0000-0000-0000C2580000}"/>
    <cellStyle name="Followed Hyperlink 499" xfId="22729" xr:uid="{00000000-0005-0000-0000-0000C3580000}"/>
    <cellStyle name="Followed Hyperlink 5" xfId="22730" xr:uid="{00000000-0005-0000-0000-0000C4580000}"/>
    <cellStyle name="Followed Hyperlink 50" xfId="22731" xr:uid="{00000000-0005-0000-0000-0000C5580000}"/>
    <cellStyle name="Followed Hyperlink 500" xfId="22732" xr:uid="{00000000-0005-0000-0000-0000C6580000}"/>
    <cellStyle name="Followed Hyperlink 501" xfId="22733" xr:uid="{00000000-0005-0000-0000-0000C7580000}"/>
    <cellStyle name="Followed Hyperlink 502" xfId="22734" xr:uid="{00000000-0005-0000-0000-0000C8580000}"/>
    <cellStyle name="Followed Hyperlink 503" xfId="22735" xr:uid="{00000000-0005-0000-0000-0000C9580000}"/>
    <cellStyle name="Followed Hyperlink 504" xfId="22736" xr:uid="{00000000-0005-0000-0000-0000CA580000}"/>
    <cellStyle name="Followed Hyperlink 505" xfId="22737" xr:uid="{00000000-0005-0000-0000-0000CB580000}"/>
    <cellStyle name="Followed Hyperlink 506" xfId="22738" xr:uid="{00000000-0005-0000-0000-0000CC580000}"/>
    <cellStyle name="Followed Hyperlink 507" xfId="22739" xr:uid="{00000000-0005-0000-0000-0000CD580000}"/>
    <cellStyle name="Followed Hyperlink 508" xfId="22740" xr:uid="{00000000-0005-0000-0000-0000CE580000}"/>
    <cellStyle name="Followed Hyperlink 509" xfId="22741" xr:uid="{00000000-0005-0000-0000-0000CF580000}"/>
    <cellStyle name="Followed Hyperlink 51" xfId="22742" xr:uid="{00000000-0005-0000-0000-0000D0580000}"/>
    <cellStyle name="Followed Hyperlink 510" xfId="22743" xr:uid="{00000000-0005-0000-0000-0000D1580000}"/>
    <cellStyle name="Followed Hyperlink 511" xfId="22744" xr:uid="{00000000-0005-0000-0000-0000D2580000}"/>
    <cellStyle name="Followed Hyperlink 512" xfId="22745" xr:uid="{00000000-0005-0000-0000-0000D3580000}"/>
    <cellStyle name="Followed Hyperlink 513" xfId="22746" xr:uid="{00000000-0005-0000-0000-0000D4580000}"/>
    <cellStyle name="Followed Hyperlink 514" xfId="22747" xr:uid="{00000000-0005-0000-0000-0000D5580000}"/>
    <cellStyle name="Followed Hyperlink 515" xfId="22748" xr:uid="{00000000-0005-0000-0000-0000D6580000}"/>
    <cellStyle name="Followed Hyperlink 516" xfId="22749" xr:uid="{00000000-0005-0000-0000-0000D7580000}"/>
    <cellStyle name="Followed Hyperlink 517" xfId="22750" xr:uid="{00000000-0005-0000-0000-0000D8580000}"/>
    <cellStyle name="Followed Hyperlink 518" xfId="22751" xr:uid="{00000000-0005-0000-0000-0000D9580000}"/>
    <cellStyle name="Followed Hyperlink 519" xfId="22752" xr:uid="{00000000-0005-0000-0000-0000DA580000}"/>
    <cellStyle name="Followed Hyperlink 52" xfId="22753" xr:uid="{00000000-0005-0000-0000-0000DB580000}"/>
    <cellStyle name="Followed Hyperlink 520" xfId="22754" xr:uid="{00000000-0005-0000-0000-0000DC580000}"/>
    <cellStyle name="Followed Hyperlink 521" xfId="22755" xr:uid="{00000000-0005-0000-0000-0000DD580000}"/>
    <cellStyle name="Followed Hyperlink 522" xfId="22756" xr:uid="{00000000-0005-0000-0000-0000DE580000}"/>
    <cellStyle name="Followed Hyperlink 523" xfId="22757" xr:uid="{00000000-0005-0000-0000-0000DF580000}"/>
    <cellStyle name="Followed Hyperlink 524" xfId="22758" xr:uid="{00000000-0005-0000-0000-0000E0580000}"/>
    <cellStyle name="Followed Hyperlink 525" xfId="22759" xr:uid="{00000000-0005-0000-0000-0000E1580000}"/>
    <cellStyle name="Followed Hyperlink 526" xfId="22760" xr:uid="{00000000-0005-0000-0000-0000E2580000}"/>
    <cellStyle name="Followed Hyperlink 527" xfId="22761" xr:uid="{00000000-0005-0000-0000-0000E3580000}"/>
    <cellStyle name="Followed Hyperlink 528" xfId="22762" xr:uid="{00000000-0005-0000-0000-0000E4580000}"/>
    <cellStyle name="Followed Hyperlink 529" xfId="22763" xr:uid="{00000000-0005-0000-0000-0000E5580000}"/>
    <cellStyle name="Followed Hyperlink 53" xfId="22764" xr:uid="{00000000-0005-0000-0000-0000E6580000}"/>
    <cellStyle name="Followed Hyperlink 530" xfId="22765" xr:uid="{00000000-0005-0000-0000-0000E7580000}"/>
    <cellStyle name="Followed Hyperlink 531" xfId="22766" xr:uid="{00000000-0005-0000-0000-0000E8580000}"/>
    <cellStyle name="Followed Hyperlink 532" xfId="22767" xr:uid="{00000000-0005-0000-0000-0000E9580000}"/>
    <cellStyle name="Followed Hyperlink 533" xfId="22768" xr:uid="{00000000-0005-0000-0000-0000EA580000}"/>
    <cellStyle name="Followed Hyperlink 534" xfId="22769" xr:uid="{00000000-0005-0000-0000-0000EB580000}"/>
    <cellStyle name="Followed Hyperlink 535" xfId="22770" xr:uid="{00000000-0005-0000-0000-0000EC580000}"/>
    <cellStyle name="Followed Hyperlink 536" xfId="22771" xr:uid="{00000000-0005-0000-0000-0000ED580000}"/>
    <cellStyle name="Followed Hyperlink 537" xfId="22772" xr:uid="{00000000-0005-0000-0000-0000EE580000}"/>
    <cellStyle name="Followed Hyperlink 538" xfId="22773" xr:uid="{00000000-0005-0000-0000-0000EF580000}"/>
    <cellStyle name="Followed Hyperlink 539" xfId="22774" xr:uid="{00000000-0005-0000-0000-0000F0580000}"/>
    <cellStyle name="Followed Hyperlink 54" xfId="22775" xr:uid="{00000000-0005-0000-0000-0000F1580000}"/>
    <cellStyle name="Followed Hyperlink 540" xfId="22776" xr:uid="{00000000-0005-0000-0000-0000F2580000}"/>
    <cellStyle name="Followed Hyperlink 541" xfId="22777" xr:uid="{00000000-0005-0000-0000-0000F3580000}"/>
    <cellStyle name="Followed Hyperlink 542" xfId="22778" xr:uid="{00000000-0005-0000-0000-0000F4580000}"/>
    <cellStyle name="Followed Hyperlink 543" xfId="22779" xr:uid="{00000000-0005-0000-0000-0000F5580000}"/>
    <cellStyle name="Followed Hyperlink 544" xfId="22780" xr:uid="{00000000-0005-0000-0000-0000F6580000}"/>
    <cellStyle name="Followed Hyperlink 545" xfId="22781" xr:uid="{00000000-0005-0000-0000-0000F7580000}"/>
    <cellStyle name="Followed Hyperlink 546" xfId="22782" xr:uid="{00000000-0005-0000-0000-0000F8580000}"/>
    <cellStyle name="Followed Hyperlink 547" xfId="22783" xr:uid="{00000000-0005-0000-0000-0000F9580000}"/>
    <cellStyle name="Followed Hyperlink 548" xfId="22784" xr:uid="{00000000-0005-0000-0000-0000FA580000}"/>
    <cellStyle name="Followed Hyperlink 549" xfId="22785" xr:uid="{00000000-0005-0000-0000-0000FB580000}"/>
    <cellStyle name="Followed Hyperlink 55" xfId="22786" xr:uid="{00000000-0005-0000-0000-0000FC580000}"/>
    <cellStyle name="Followed Hyperlink 550" xfId="22787" xr:uid="{00000000-0005-0000-0000-0000FD580000}"/>
    <cellStyle name="Followed Hyperlink 551" xfId="22788" xr:uid="{00000000-0005-0000-0000-0000FE580000}"/>
    <cellStyle name="Followed Hyperlink 552" xfId="22789" xr:uid="{00000000-0005-0000-0000-0000FF580000}"/>
    <cellStyle name="Followed Hyperlink 553" xfId="22790" xr:uid="{00000000-0005-0000-0000-000000590000}"/>
    <cellStyle name="Followed Hyperlink 554" xfId="22791" xr:uid="{00000000-0005-0000-0000-000001590000}"/>
    <cellStyle name="Followed Hyperlink 555" xfId="22792" xr:uid="{00000000-0005-0000-0000-000002590000}"/>
    <cellStyle name="Followed Hyperlink 556" xfId="22793" xr:uid="{00000000-0005-0000-0000-000003590000}"/>
    <cellStyle name="Followed Hyperlink 557" xfId="22794" xr:uid="{00000000-0005-0000-0000-000004590000}"/>
    <cellStyle name="Followed Hyperlink 558" xfId="22795" xr:uid="{00000000-0005-0000-0000-000005590000}"/>
    <cellStyle name="Followed Hyperlink 559" xfId="22796" xr:uid="{00000000-0005-0000-0000-000006590000}"/>
    <cellStyle name="Followed Hyperlink 56" xfId="22797" xr:uid="{00000000-0005-0000-0000-000007590000}"/>
    <cellStyle name="Followed Hyperlink 560" xfId="22798" xr:uid="{00000000-0005-0000-0000-000008590000}"/>
    <cellStyle name="Followed Hyperlink 561" xfId="22799" xr:uid="{00000000-0005-0000-0000-000009590000}"/>
    <cellStyle name="Followed Hyperlink 562" xfId="22800" xr:uid="{00000000-0005-0000-0000-00000A590000}"/>
    <cellStyle name="Followed Hyperlink 563" xfId="22801" xr:uid="{00000000-0005-0000-0000-00000B590000}"/>
    <cellStyle name="Followed Hyperlink 564" xfId="22802" xr:uid="{00000000-0005-0000-0000-00000C590000}"/>
    <cellStyle name="Followed Hyperlink 565" xfId="22803" xr:uid="{00000000-0005-0000-0000-00000D590000}"/>
    <cellStyle name="Followed Hyperlink 566" xfId="22804" xr:uid="{00000000-0005-0000-0000-00000E590000}"/>
    <cellStyle name="Followed Hyperlink 567" xfId="22805" xr:uid="{00000000-0005-0000-0000-00000F590000}"/>
    <cellStyle name="Followed Hyperlink 568" xfId="22806" xr:uid="{00000000-0005-0000-0000-000010590000}"/>
    <cellStyle name="Followed Hyperlink 569" xfId="22807" xr:uid="{00000000-0005-0000-0000-000011590000}"/>
    <cellStyle name="Followed Hyperlink 57" xfId="22808" xr:uid="{00000000-0005-0000-0000-000012590000}"/>
    <cellStyle name="Followed Hyperlink 570" xfId="22809" xr:uid="{00000000-0005-0000-0000-000013590000}"/>
    <cellStyle name="Followed Hyperlink 571" xfId="22810" xr:uid="{00000000-0005-0000-0000-000014590000}"/>
    <cellStyle name="Followed Hyperlink 572" xfId="22811" xr:uid="{00000000-0005-0000-0000-000015590000}"/>
    <cellStyle name="Followed Hyperlink 573" xfId="22812" xr:uid="{00000000-0005-0000-0000-000016590000}"/>
    <cellStyle name="Followed Hyperlink 574" xfId="22813" xr:uid="{00000000-0005-0000-0000-000017590000}"/>
    <cellStyle name="Followed Hyperlink 575" xfId="22814" xr:uid="{00000000-0005-0000-0000-000018590000}"/>
    <cellStyle name="Followed Hyperlink 576" xfId="22815" xr:uid="{00000000-0005-0000-0000-000019590000}"/>
    <cellStyle name="Followed Hyperlink 577" xfId="22816" xr:uid="{00000000-0005-0000-0000-00001A590000}"/>
    <cellStyle name="Followed Hyperlink 578" xfId="22817" xr:uid="{00000000-0005-0000-0000-00001B590000}"/>
    <cellStyle name="Followed Hyperlink 579" xfId="22818" xr:uid="{00000000-0005-0000-0000-00001C590000}"/>
    <cellStyle name="Followed Hyperlink 58" xfId="22819" xr:uid="{00000000-0005-0000-0000-00001D590000}"/>
    <cellStyle name="Followed Hyperlink 580" xfId="22820" xr:uid="{00000000-0005-0000-0000-00001E590000}"/>
    <cellStyle name="Followed Hyperlink 581" xfId="22821" xr:uid="{00000000-0005-0000-0000-00001F590000}"/>
    <cellStyle name="Followed Hyperlink 582" xfId="22822" xr:uid="{00000000-0005-0000-0000-000020590000}"/>
    <cellStyle name="Followed Hyperlink 583" xfId="22823" xr:uid="{00000000-0005-0000-0000-000021590000}"/>
    <cellStyle name="Followed Hyperlink 584" xfId="22824" xr:uid="{00000000-0005-0000-0000-000022590000}"/>
    <cellStyle name="Followed Hyperlink 585" xfId="22825" xr:uid="{00000000-0005-0000-0000-000023590000}"/>
    <cellStyle name="Followed Hyperlink 586" xfId="22826" xr:uid="{00000000-0005-0000-0000-000024590000}"/>
    <cellStyle name="Followed Hyperlink 587" xfId="22827" xr:uid="{00000000-0005-0000-0000-000025590000}"/>
    <cellStyle name="Followed Hyperlink 588" xfId="22828" xr:uid="{00000000-0005-0000-0000-000026590000}"/>
    <cellStyle name="Followed Hyperlink 589" xfId="22829" xr:uid="{00000000-0005-0000-0000-000027590000}"/>
    <cellStyle name="Followed Hyperlink 59" xfId="22830" xr:uid="{00000000-0005-0000-0000-000028590000}"/>
    <cellStyle name="Followed Hyperlink 590" xfId="22831" xr:uid="{00000000-0005-0000-0000-000029590000}"/>
    <cellStyle name="Followed Hyperlink 591" xfId="22832" xr:uid="{00000000-0005-0000-0000-00002A590000}"/>
    <cellStyle name="Followed Hyperlink 592" xfId="22833" xr:uid="{00000000-0005-0000-0000-00002B590000}"/>
    <cellStyle name="Followed Hyperlink 593" xfId="22834" xr:uid="{00000000-0005-0000-0000-00002C590000}"/>
    <cellStyle name="Followed Hyperlink 594" xfId="22835" xr:uid="{00000000-0005-0000-0000-00002D590000}"/>
    <cellStyle name="Followed Hyperlink 595" xfId="22836" xr:uid="{00000000-0005-0000-0000-00002E590000}"/>
    <cellStyle name="Followed Hyperlink 596" xfId="22837" xr:uid="{00000000-0005-0000-0000-00002F590000}"/>
    <cellStyle name="Followed Hyperlink 597" xfId="22838" xr:uid="{00000000-0005-0000-0000-000030590000}"/>
    <cellStyle name="Followed Hyperlink 598" xfId="22839" xr:uid="{00000000-0005-0000-0000-000031590000}"/>
    <cellStyle name="Followed Hyperlink 599" xfId="22840" xr:uid="{00000000-0005-0000-0000-000032590000}"/>
    <cellStyle name="Followed Hyperlink 6" xfId="22841" xr:uid="{00000000-0005-0000-0000-000033590000}"/>
    <cellStyle name="Followed Hyperlink 60" xfId="22842" xr:uid="{00000000-0005-0000-0000-000034590000}"/>
    <cellStyle name="Followed Hyperlink 600" xfId="22843" xr:uid="{00000000-0005-0000-0000-000035590000}"/>
    <cellStyle name="Followed Hyperlink 601" xfId="22844" xr:uid="{00000000-0005-0000-0000-000036590000}"/>
    <cellStyle name="Followed Hyperlink 602" xfId="22845" xr:uid="{00000000-0005-0000-0000-000037590000}"/>
    <cellStyle name="Followed Hyperlink 603" xfId="22846" xr:uid="{00000000-0005-0000-0000-000038590000}"/>
    <cellStyle name="Followed Hyperlink 604" xfId="22847" xr:uid="{00000000-0005-0000-0000-000039590000}"/>
    <cellStyle name="Followed Hyperlink 605" xfId="22848" xr:uid="{00000000-0005-0000-0000-00003A590000}"/>
    <cellStyle name="Followed Hyperlink 606" xfId="22849" xr:uid="{00000000-0005-0000-0000-00003B590000}"/>
    <cellStyle name="Followed Hyperlink 607" xfId="22850" xr:uid="{00000000-0005-0000-0000-00003C590000}"/>
    <cellStyle name="Followed Hyperlink 608" xfId="22851" xr:uid="{00000000-0005-0000-0000-00003D590000}"/>
    <cellStyle name="Followed Hyperlink 609" xfId="22852" xr:uid="{00000000-0005-0000-0000-00003E590000}"/>
    <cellStyle name="Followed Hyperlink 61" xfId="22853" xr:uid="{00000000-0005-0000-0000-00003F590000}"/>
    <cellStyle name="Followed Hyperlink 610" xfId="22854" xr:uid="{00000000-0005-0000-0000-000040590000}"/>
    <cellStyle name="Followed Hyperlink 611" xfId="22855" xr:uid="{00000000-0005-0000-0000-000041590000}"/>
    <cellStyle name="Followed Hyperlink 612" xfId="22856" xr:uid="{00000000-0005-0000-0000-000042590000}"/>
    <cellStyle name="Followed Hyperlink 613" xfId="22857" xr:uid="{00000000-0005-0000-0000-000043590000}"/>
    <cellStyle name="Followed Hyperlink 614" xfId="22858" xr:uid="{00000000-0005-0000-0000-000044590000}"/>
    <cellStyle name="Followed Hyperlink 615" xfId="22859" xr:uid="{00000000-0005-0000-0000-000045590000}"/>
    <cellStyle name="Followed Hyperlink 616" xfId="22860" xr:uid="{00000000-0005-0000-0000-000046590000}"/>
    <cellStyle name="Followed Hyperlink 617" xfId="22861" xr:uid="{00000000-0005-0000-0000-000047590000}"/>
    <cellStyle name="Followed Hyperlink 618" xfId="22862" xr:uid="{00000000-0005-0000-0000-000048590000}"/>
    <cellStyle name="Followed Hyperlink 619" xfId="22863" xr:uid="{00000000-0005-0000-0000-000049590000}"/>
    <cellStyle name="Followed Hyperlink 62" xfId="22864" xr:uid="{00000000-0005-0000-0000-00004A590000}"/>
    <cellStyle name="Followed Hyperlink 620" xfId="22865" xr:uid="{00000000-0005-0000-0000-00004B590000}"/>
    <cellStyle name="Followed Hyperlink 621" xfId="22866" xr:uid="{00000000-0005-0000-0000-00004C590000}"/>
    <cellStyle name="Followed Hyperlink 622" xfId="22867" xr:uid="{00000000-0005-0000-0000-00004D590000}"/>
    <cellStyle name="Followed Hyperlink 623" xfId="22868" xr:uid="{00000000-0005-0000-0000-00004E590000}"/>
    <cellStyle name="Followed Hyperlink 624" xfId="22869" xr:uid="{00000000-0005-0000-0000-00004F590000}"/>
    <cellStyle name="Followed Hyperlink 625" xfId="22870" xr:uid="{00000000-0005-0000-0000-000050590000}"/>
    <cellStyle name="Followed Hyperlink 626" xfId="22871" xr:uid="{00000000-0005-0000-0000-000051590000}"/>
    <cellStyle name="Followed Hyperlink 627" xfId="22872" xr:uid="{00000000-0005-0000-0000-000052590000}"/>
    <cellStyle name="Followed Hyperlink 628" xfId="22873" xr:uid="{00000000-0005-0000-0000-000053590000}"/>
    <cellStyle name="Followed Hyperlink 629" xfId="22874" xr:uid="{00000000-0005-0000-0000-000054590000}"/>
    <cellStyle name="Followed Hyperlink 63" xfId="22875" xr:uid="{00000000-0005-0000-0000-000055590000}"/>
    <cellStyle name="Followed Hyperlink 630" xfId="22876" xr:uid="{00000000-0005-0000-0000-000056590000}"/>
    <cellStyle name="Followed Hyperlink 631" xfId="22877" xr:uid="{00000000-0005-0000-0000-000057590000}"/>
    <cellStyle name="Followed Hyperlink 632" xfId="22878" xr:uid="{00000000-0005-0000-0000-000058590000}"/>
    <cellStyle name="Followed Hyperlink 633" xfId="22879" xr:uid="{00000000-0005-0000-0000-000059590000}"/>
    <cellStyle name="Followed Hyperlink 634" xfId="22880" xr:uid="{00000000-0005-0000-0000-00005A590000}"/>
    <cellStyle name="Followed Hyperlink 635" xfId="22881" xr:uid="{00000000-0005-0000-0000-00005B590000}"/>
    <cellStyle name="Followed Hyperlink 636" xfId="22882" xr:uid="{00000000-0005-0000-0000-00005C590000}"/>
    <cellStyle name="Followed Hyperlink 637" xfId="22883" xr:uid="{00000000-0005-0000-0000-00005D590000}"/>
    <cellStyle name="Followed Hyperlink 638" xfId="22884" xr:uid="{00000000-0005-0000-0000-00005E590000}"/>
    <cellStyle name="Followed Hyperlink 639" xfId="22885" xr:uid="{00000000-0005-0000-0000-00005F590000}"/>
    <cellStyle name="Followed Hyperlink 64" xfId="22886" xr:uid="{00000000-0005-0000-0000-000060590000}"/>
    <cellStyle name="Followed Hyperlink 640" xfId="22887" xr:uid="{00000000-0005-0000-0000-000061590000}"/>
    <cellStyle name="Followed Hyperlink 641" xfId="22888" xr:uid="{00000000-0005-0000-0000-000062590000}"/>
    <cellStyle name="Followed Hyperlink 642" xfId="22889" xr:uid="{00000000-0005-0000-0000-000063590000}"/>
    <cellStyle name="Followed Hyperlink 643" xfId="22890" xr:uid="{00000000-0005-0000-0000-000064590000}"/>
    <cellStyle name="Followed Hyperlink 644" xfId="22891" xr:uid="{00000000-0005-0000-0000-000065590000}"/>
    <cellStyle name="Followed Hyperlink 645" xfId="22892" xr:uid="{00000000-0005-0000-0000-000066590000}"/>
    <cellStyle name="Followed Hyperlink 646" xfId="22893" xr:uid="{00000000-0005-0000-0000-000067590000}"/>
    <cellStyle name="Followed Hyperlink 647" xfId="22894" xr:uid="{00000000-0005-0000-0000-000068590000}"/>
    <cellStyle name="Followed Hyperlink 648" xfId="22895" xr:uid="{00000000-0005-0000-0000-000069590000}"/>
    <cellStyle name="Followed Hyperlink 649" xfId="22896" xr:uid="{00000000-0005-0000-0000-00006A590000}"/>
    <cellStyle name="Followed Hyperlink 65" xfId="22897" xr:uid="{00000000-0005-0000-0000-00006B590000}"/>
    <cellStyle name="Followed Hyperlink 650" xfId="22898" xr:uid="{00000000-0005-0000-0000-00006C590000}"/>
    <cellStyle name="Followed Hyperlink 651" xfId="22899" xr:uid="{00000000-0005-0000-0000-00006D590000}"/>
    <cellStyle name="Followed Hyperlink 652" xfId="22900" xr:uid="{00000000-0005-0000-0000-00006E590000}"/>
    <cellStyle name="Followed Hyperlink 653" xfId="22901" xr:uid="{00000000-0005-0000-0000-00006F590000}"/>
    <cellStyle name="Followed Hyperlink 654" xfId="22902" xr:uid="{00000000-0005-0000-0000-000070590000}"/>
    <cellStyle name="Followed Hyperlink 655" xfId="22903" xr:uid="{00000000-0005-0000-0000-000071590000}"/>
    <cellStyle name="Followed Hyperlink 656" xfId="22904" xr:uid="{00000000-0005-0000-0000-000072590000}"/>
    <cellStyle name="Followed Hyperlink 657" xfId="22905" xr:uid="{00000000-0005-0000-0000-000073590000}"/>
    <cellStyle name="Followed Hyperlink 658" xfId="22906" xr:uid="{00000000-0005-0000-0000-000074590000}"/>
    <cellStyle name="Followed Hyperlink 659" xfId="22907" xr:uid="{00000000-0005-0000-0000-000075590000}"/>
    <cellStyle name="Followed Hyperlink 66" xfId="22908" xr:uid="{00000000-0005-0000-0000-000076590000}"/>
    <cellStyle name="Followed Hyperlink 660" xfId="22909" xr:uid="{00000000-0005-0000-0000-000077590000}"/>
    <cellStyle name="Followed Hyperlink 661" xfId="22910" xr:uid="{00000000-0005-0000-0000-000078590000}"/>
    <cellStyle name="Followed Hyperlink 662" xfId="22911" xr:uid="{00000000-0005-0000-0000-000079590000}"/>
    <cellStyle name="Followed Hyperlink 663" xfId="22912" xr:uid="{00000000-0005-0000-0000-00007A590000}"/>
    <cellStyle name="Followed Hyperlink 664" xfId="22913" xr:uid="{00000000-0005-0000-0000-00007B590000}"/>
    <cellStyle name="Followed Hyperlink 665" xfId="22914" xr:uid="{00000000-0005-0000-0000-00007C590000}"/>
    <cellStyle name="Followed Hyperlink 666" xfId="22915" xr:uid="{00000000-0005-0000-0000-00007D590000}"/>
    <cellStyle name="Followed Hyperlink 667" xfId="22916" xr:uid="{00000000-0005-0000-0000-00007E590000}"/>
    <cellStyle name="Followed Hyperlink 668" xfId="22917" xr:uid="{00000000-0005-0000-0000-00007F590000}"/>
    <cellStyle name="Followed Hyperlink 669" xfId="22918" xr:uid="{00000000-0005-0000-0000-000080590000}"/>
    <cellStyle name="Followed Hyperlink 67" xfId="22919" xr:uid="{00000000-0005-0000-0000-000081590000}"/>
    <cellStyle name="Followed Hyperlink 670" xfId="22920" xr:uid="{00000000-0005-0000-0000-000082590000}"/>
    <cellStyle name="Followed Hyperlink 671" xfId="22921" xr:uid="{00000000-0005-0000-0000-000083590000}"/>
    <cellStyle name="Followed Hyperlink 672" xfId="22922" xr:uid="{00000000-0005-0000-0000-000084590000}"/>
    <cellStyle name="Followed Hyperlink 673" xfId="22923" xr:uid="{00000000-0005-0000-0000-000085590000}"/>
    <cellStyle name="Followed Hyperlink 674" xfId="22924" xr:uid="{00000000-0005-0000-0000-000086590000}"/>
    <cellStyle name="Followed Hyperlink 675" xfId="22925" xr:uid="{00000000-0005-0000-0000-000087590000}"/>
    <cellStyle name="Followed Hyperlink 676" xfId="22926" xr:uid="{00000000-0005-0000-0000-000088590000}"/>
    <cellStyle name="Followed Hyperlink 677" xfId="22927" xr:uid="{00000000-0005-0000-0000-000089590000}"/>
    <cellStyle name="Followed Hyperlink 678" xfId="22928" xr:uid="{00000000-0005-0000-0000-00008A590000}"/>
    <cellStyle name="Followed Hyperlink 679" xfId="22929" xr:uid="{00000000-0005-0000-0000-00008B590000}"/>
    <cellStyle name="Followed Hyperlink 68" xfId="22930" xr:uid="{00000000-0005-0000-0000-00008C590000}"/>
    <cellStyle name="Followed Hyperlink 680" xfId="22931" xr:uid="{00000000-0005-0000-0000-00008D590000}"/>
    <cellStyle name="Followed Hyperlink 681" xfId="22932" xr:uid="{00000000-0005-0000-0000-00008E590000}"/>
    <cellStyle name="Followed Hyperlink 682" xfId="22933" xr:uid="{00000000-0005-0000-0000-00008F590000}"/>
    <cellStyle name="Followed Hyperlink 683" xfId="22934" xr:uid="{00000000-0005-0000-0000-000090590000}"/>
    <cellStyle name="Followed Hyperlink 684" xfId="22935" xr:uid="{00000000-0005-0000-0000-000091590000}"/>
    <cellStyle name="Followed Hyperlink 685" xfId="22936" xr:uid="{00000000-0005-0000-0000-000092590000}"/>
    <cellStyle name="Followed Hyperlink 686" xfId="22937" xr:uid="{00000000-0005-0000-0000-000093590000}"/>
    <cellStyle name="Followed Hyperlink 687" xfId="22938" xr:uid="{00000000-0005-0000-0000-000094590000}"/>
    <cellStyle name="Followed Hyperlink 688" xfId="22939" xr:uid="{00000000-0005-0000-0000-000095590000}"/>
    <cellStyle name="Followed Hyperlink 689" xfId="22940" xr:uid="{00000000-0005-0000-0000-000096590000}"/>
    <cellStyle name="Followed Hyperlink 69" xfId="22941" xr:uid="{00000000-0005-0000-0000-000097590000}"/>
    <cellStyle name="Followed Hyperlink 690" xfId="22942" xr:uid="{00000000-0005-0000-0000-000098590000}"/>
    <cellStyle name="Followed Hyperlink 691" xfId="22943" xr:uid="{00000000-0005-0000-0000-000099590000}"/>
    <cellStyle name="Followed Hyperlink 692" xfId="22944" xr:uid="{00000000-0005-0000-0000-00009A590000}"/>
    <cellStyle name="Followed Hyperlink 693" xfId="22945" xr:uid="{00000000-0005-0000-0000-00009B590000}"/>
    <cellStyle name="Followed Hyperlink 694" xfId="22946" xr:uid="{00000000-0005-0000-0000-00009C590000}"/>
    <cellStyle name="Followed Hyperlink 695" xfId="22947" xr:uid="{00000000-0005-0000-0000-00009D590000}"/>
    <cellStyle name="Followed Hyperlink 696" xfId="22948" xr:uid="{00000000-0005-0000-0000-00009E590000}"/>
    <cellStyle name="Followed Hyperlink 697" xfId="22949" xr:uid="{00000000-0005-0000-0000-00009F590000}"/>
    <cellStyle name="Followed Hyperlink 698" xfId="22950" xr:uid="{00000000-0005-0000-0000-0000A0590000}"/>
    <cellStyle name="Followed Hyperlink 699" xfId="22951" xr:uid="{00000000-0005-0000-0000-0000A1590000}"/>
    <cellStyle name="Followed Hyperlink 7" xfId="22952" xr:uid="{00000000-0005-0000-0000-0000A2590000}"/>
    <cellStyle name="Followed Hyperlink 70" xfId="22953" xr:uid="{00000000-0005-0000-0000-0000A3590000}"/>
    <cellStyle name="Followed Hyperlink 700" xfId="22954" xr:uid="{00000000-0005-0000-0000-0000A4590000}"/>
    <cellStyle name="Followed Hyperlink 701" xfId="22955" xr:uid="{00000000-0005-0000-0000-0000A5590000}"/>
    <cellStyle name="Followed Hyperlink 702" xfId="22956" xr:uid="{00000000-0005-0000-0000-0000A6590000}"/>
    <cellStyle name="Followed Hyperlink 703" xfId="22957" xr:uid="{00000000-0005-0000-0000-0000A7590000}"/>
    <cellStyle name="Followed Hyperlink 704" xfId="22958" xr:uid="{00000000-0005-0000-0000-0000A8590000}"/>
    <cellStyle name="Followed Hyperlink 705" xfId="22959" xr:uid="{00000000-0005-0000-0000-0000A9590000}"/>
    <cellStyle name="Followed Hyperlink 706" xfId="22960" xr:uid="{00000000-0005-0000-0000-0000AA590000}"/>
    <cellStyle name="Followed Hyperlink 707" xfId="22961" xr:uid="{00000000-0005-0000-0000-0000AB590000}"/>
    <cellStyle name="Followed Hyperlink 708" xfId="22962" xr:uid="{00000000-0005-0000-0000-0000AC590000}"/>
    <cellStyle name="Followed Hyperlink 709" xfId="22963" xr:uid="{00000000-0005-0000-0000-0000AD590000}"/>
    <cellStyle name="Followed Hyperlink 71" xfId="22964" xr:uid="{00000000-0005-0000-0000-0000AE590000}"/>
    <cellStyle name="Followed Hyperlink 710" xfId="22965" xr:uid="{00000000-0005-0000-0000-0000AF590000}"/>
    <cellStyle name="Followed Hyperlink 711" xfId="22966" xr:uid="{00000000-0005-0000-0000-0000B0590000}"/>
    <cellStyle name="Followed Hyperlink 712" xfId="22967" xr:uid="{00000000-0005-0000-0000-0000B1590000}"/>
    <cellStyle name="Followed Hyperlink 713" xfId="22968" xr:uid="{00000000-0005-0000-0000-0000B2590000}"/>
    <cellStyle name="Followed Hyperlink 714" xfId="22969" xr:uid="{00000000-0005-0000-0000-0000B3590000}"/>
    <cellStyle name="Followed Hyperlink 715" xfId="22970" xr:uid="{00000000-0005-0000-0000-0000B4590000}"/>
    <cellStyle name="Followed Hyperlink 716" xfId="22971" xr:uid="{00000000-0005-0000-0000-0000B5590000}"/>
    <cellStyle name="Followed Hyperlink 717" xfId="22972" xr:uid="{00000000-0005-0000-0000-0000B6590000}"/>
    <cellStyle name="Followed Hyperlink 718" xfId="22973" xr:uid="{00000000-0005-0000-0000-0000B7590000}"/>
    <cellStyle name="Followed Hyperlink 719" xfId="22974" xr:uid="{00000000-0005-0000-0000-0000B8590000}"/>
    <cellStyle name="Followed Hyperlink 72" xfId="22975" xr:uid="{00000000-0005-0000-0000-0000B9590000}"/>
    <cellStyle name="Followed Hyperlink 720" xfId="22976" xr:uid="{00000000-0005-0000-0000-0000BA590000}"/>
    <cellStyle name="Followed Hyperlink 721" xfId="22977" xr:uid="{00000000-0005-0000-0000-0000BB590000}"/>
    <cellStyle name="Followed Hyperlink 722" xfId="22978" xr:uid="{00000000-0005-0000-0000-0000BC590000}"/>
    <cellStyle name="Followed Hyperlink 723" xfId="22979" xr:uid="{00000000-0005-0000-0000-0000BD590000}"/>
    <cellStyle name="Followed Hyperlink 724" xfId="22980" xr:uid="{00000000-0005-0000-0000-0000BE590000}"/>
    <cellStyle name="Followed Hyperlink 725" xfId="22981" xr:uid="{00000000-0005-0000-0000-0000BF590000}"/>
    <cellStyle name="Followed Hyperlink 726" xfId="22982" xr:uid="{00000000-0005-0000-0000-0000C0590000}"/>
    <cellStyle name="Followed Hyperlink 727" xfId="22983" xr:uid="{00000000-0005-0000-0000-0000C1590000}"/>
    <cellStyle name="Followed Hyperlink 728" xfId="22984" xr:uid="{00000000-0005-0000-0000-0000C2590000}"/>
    <cellStyle name="Followed Hyperlink 729" xfId="22985" xr:uid="{00000000-0005-0000-0000-0000C3590000}"/>
    <cellStyle name="Followed Hyperlink 73" xfId="22986" xr:uid="{00000000-0005-0000-0000-0000C4590000}"/>
    <cellStyle name="Followed Hyperlink 730" xfId="22987" xr:uid="{00000000-0005-0000-0000-0000C5590000}"/>
    <cellStyle name="Followed Hyperlink 731" xfId="22988" xr:uid="{00000000-0005-0000-0000-0000C6590000}"/>
    <cellStyle name="Followed Hyperlink 732" xfId="22989" xr:uid="{00000000-0005-0000-0000-0000C7590000}"/>
    <cellStyle name="Followed Hyperlink 733" xfId="22990" xr:uid="{00000000-0005-0000-0000-0000C8590000}"/>
    <cellStyle name="Followed Hyperlink 734" xfId="22991" xr:uid="{00000000-0005-0000-0000-0000C9590000}"/>
    <cellStyle name="Followed Hyperlink 735" xfId="22992" xr:uid="{00000000-0005-0000-0000-0000CA590000}"/>
    <cellStyle name="Followed Hyperlink 736" xfId="22993" xr:uid="{00000000-0005-0000-0000-0000CB590000}"/>
    <cellStyle name="Followed Hyperlink 737" xfId="22994" xr:uid="{00000000-0005-0000-0000-0000CC590000}"/>
    <cellStyle name="Followed Hyperlink 738" xfId="22995" xr:uid="{00000000-0005-0000-0000-0000CD590000}"/>
    <cellStyle name="Followed Hyperlink 739" xfId="22996" xr:uid="{00000000-0005-0000-0000-0000CE590000}"/>
    <cellStyle name="Followed Hyperlink 74" xfId="22997" xr:uid="{00000000-0005-0000-0000-0000CF590000}"/>
    <cellStyle name="Followed Hyperlink 740" xfId="22998" xr:uid="{00000000-0005-0000-0000-0000D0590000}"/>
    <cellStyle name="Followed Hyperlink 741" xfId="22999" xr:uid="{00000000-0005-0000-0000-0000D1590000}"/>
    <cellStyle name="Followed Hyperlink 742" xfId="23000" xr:uid="{00000000-0005-0000-0000-0000D2590000}"/>
    <cellStyle name="Followed Hyperlink 743" xfId="23001" xr:uid="{00000000-0005-0000-0000-0000D3590000}"/>
    <cellStyle name="Followed Hyperlink 744" xfId="23002" xr:uid="{00000000-0005-0000-0000-0000D4590000}"/>
    <cellStyle name="Followed Hyperlink 745" xfId="23003" xr:uid="{00000000-0005-0000-0000-0000D5590000}"/>
    <cellStyle name="Followed Hyperlink 746" xfId="23004" xr:uid="{00000000-0005-0000-0000-0000D6590000}"/>
    <cellStyle name="Followed Hyperlink 747" xfId="23005" xr:uid="{00000000-0005-0000-0000-0000D7590000}"/>
    <cellStyle name="Followed Hyperlink 748" xfId="23006" xr:uid="{00000000-0005-0000-0000-0000D8590000}"/>
    <cellStyle name="Followed Hyperlink 749" xfId="23007" xr:uid="{00000000-0005-0000-0000-0000D9590000}"/>
    <cellStyle name="Followed Hyperlink 75" xfId="23008" xr:uid="{00000000-0005-0000-0000-0000DA590000}"/>
    <cellStyle name="Followed Hyperlink 750" xfId="23009" xr:uid="{00000000-0005-0000-0000-0000DB590000}"/>
    <cellStyle name="Followed Hyperlink 751" xfId="23010" xr:uid="{00000000-0005-0000-0000-0000DC590000}"/>
    <cellStyle name="Followed Hyperlink 752" xfId="23011" xr:uid="{00000000-0005-0000-0000-0000DD590000}"/>
    <cellStyle name="Followed Hyperlink 753" xfId="23012" xr:uid="{00000000-0005-0000-0000-0000DE590000}"/>
    <cellStyle name="Followed Hyperlink 754" xfId="23013" xr:uid="{00000000-0005-0000-0000-0000DF590000}"/>
    <cellStyle name="Followed Hyperlink 755" xfId="23014" xr:uid="{00000000-0005-0000-0000-0000E0590000}"/>
    <cellStyle name="Followed Hyperlink 756" xfId="23015" xr:uid="{00000000-0005-0000-0000-0000E1590000}"/>
    <cellStyle name="Followed Hyperlink 757" xfId="23016" xr:uid="{00000000-0005-0000-0000-0000E2590000}"/>
    <cellStyle name="Followed Hyperlink 758" xfId="23017" xr:uid="{00000000-0005-0000-0000-0000E3590000}"/>
    <cellStyle name="Followed Hyperlink 759" xfId="23018" xr:uid="{00000000-0005-0000-0000-0000E4590000}"/>
    <cellStyle name="Followed Hyperlink 76" xfId="23019" xr:uid="{00000000-0005-0000-0000-0000E5590000}"/>
    <cellStyle name="Followed Hyperlink 760" xfId="23020" xr:uid="{00000000-0005-0000-0000-0000E6590000}"/>
    <cellStyle name="Followed Hyperlink 761" xfId="23021" xr:uid="{00000000-0005-0000-0000-0000E7590000}"/>
    <cellStyle name="Followed Hyperlink 762" xfId="23022" xr:uid="{00000000-0005-0000-0000-0000E8590000}"/>
    <cellStyle name="Followed Hyperlink 763" xfId="23023" xr:uid="{00000000-0005-0000-0000-0000E9590000}"/>
    <cellStyle name="Followed Hyperlink 764" xfId="23024" xr:uid="{00000000-0005-0000-0000-0000EA590000}"/>
    <cellStyle name="Followed Hyperlink 765" xfId="23025" xr:uid="{00000000-0005-0000-0000-0000EB590000}"/>
    <cellStyle name="Followed Hyperlink 766" xfId="23026" xr:uid="{00000000-0005-0000-0000-0000EC590000}"/>
    <cellStyle name="Followed Hyperlink 767" xfId="23027" xr:uid="{00000000-0005-0000-0000-0000ED590000}"/>
    <cellStyle name="Followed Hyperlink 768" xfId="23028" xr:uid="{00000000-0005-0000-0000-0000EE590000}"/>
    <cellStyle name="Followed Hyperlink 769" xfId="23029" xr:uid="{00000000-0005-0000-0000-0000EF590000}"/>
    <cellStyle name="Followed Hyperlink 77" xfId="23030" xr:uid="{00000000-0005-0000-0000-0000F0590000}"/>
    <cellStyle name="Followed Hyperlink 770" xfId="23031" xr:uid="{00000000-0005-0000-0000-0000F1590000}"/>
    <cellStyle name="Followed Hyperlink 771" xfId="23032" xr:uid="{00000000-0005-0000-0000-0000F2590000}"/>
    <cellStyle name="Followed Hyperlink 772" xfId="23033" xr:uid="{00000000-0005-0000-0000-0000F3590000}"/>
    <cellStyle name="Followed Hyperlink 773" xfId="23034" xr:uid="{00000000-0005-0000-0000-0000F4590000}"/>
    <cellStyle name="Followed Hyperlink 774" xfId="23035" xr:uid="{00000000-0005-0000-0000-0000F5590000}"/>
    <cellStyle name="Followed Hyperlink 775" xfId="23036" xr:uid="{00000000-0005-0000-0000-0000F6590000}"/>
    <cellStyle name="Followed Hyperlink 776" xfId="23037" xr:uid="{00000000-0005-0000-0000-0000F7590000}"/>
    <cellStyle name="Followed Hyperlink 777" xfId="23038" xr:uid="{00000000-0005-0000-0000-0000F8590000}"/>
    <cellStyle name="Followed Hyperlink 778" xfId="23039" xr:uid="{00000000-0005-0000-0000-0000F9590000}"/>
    <cellStyle name="Followed Hyperlink 779" xfId="23040" xr:uid="{00000000-0005-0000-0000-0000FA590000}"/>
    <cellStyle name="Followed Hyperlink 78" xfId="23041" xr:uid="{00000000-0005-0000-0000-0000FB590000}"/>
    <cellStyle name="Followed Hyperlink 780" xfId="23042" xr:uid="{00000000-0005-0000-0000-0000FC590000}"/>
    <cellStyle name="Followed Hyperlink 781" xfId="23043" xr:uid="{00000000-0005-0000-0000-0000FD590000}"/>
    <cellStyle name="Followed Hyperlink 782" xfId="23044" xr:uid="{00000000-0005-0000-0000-0000FE590000}"/>
    <cellStyle name="Followed Hyperlink 783" xfId="23045" xr:uid="{00000000-0005-0000-0000-0000FF590000}"/>
    <cellStyle name="Followed Hyperlink 784" xfId="23046" xr:uid="{00000000-0005-0000-0000-0000005A0000}"/>
    <cellStyle name="Followed Hyperlink 785" xfId="23047" xr:uid="{00000000-0005-0000-0000-0000015A0000}"/>
    <cellStyle name="Followed Hyperlink 786" xfId="23048" xr:uid="{00000000-0005-0000-0000-0000025A0000}"/>
    <cellStyle name="Followed Hyperlink 787" xfId="23049" xr:uid="{00000000-0005-0000-0000-0000035A0000}"/>
    <cellStyle name="Followed Hyperlink 788" xfId="23050" xr:uid="{00000000-0005-0000-0000-0000045A0000}"/>
    <cellStyle name="Followed Hyperlink 789" xfId="23051" xr:uid="{00000000-0005-0000-0000-0000055A0000}"/>
    <cellStyle name="Followed Hyperlink 79" xfId="23052" xr:uid="{00000000-0005-0000-0000-0000065A0000}"/>
    <cellStyle name="Followed Hyperlink 790" xfId="23053" xr:uid="{00000000-0005-0000-0000-0000075A0000}"/>
    <cellStyle name="Followed Hyperlink 791" xfId="23054" xr:uid="{00000000-0005-0000-0000-0000085A0000}"/>
    <cellStyle name="Followed Hyperlink 792" xfId="23055" xr:uid="{00000000-0005-0000-0000-0000095A0000}"/>
    <cellStyle name="Followed Hyperlink 793" xfId="23056" xr:uid="{00000000-0005-0000-0000-00000A5A0000}"/>
    <cellStyle name="Followed Hyperlink 794" xfId="23057" xr:uid="{00000000-0005-0000-0000-00000B5A0000}"/>
    <cellStyle name="Followed Hyperlink 795" xfId="23058" xr:uid="{00000000-0005-0000-0000-00000C5A0000}"/>
    <cellStyle name="Followed Hyperlink 796" xfId="23059" xr:uid="{00000000-0005-0000-0000-00000D5A0000}"/>
    <cellStyle name="Followed Hyperlink 797" xfId="23060" xr:uid="{00000000-0005-0000-0000-00000E5A0000}"/>
    <cellStyle name="Followed Hyperlink 798" xfId="23061" xr:uid="{00000000-0005-0000-0000-00000F5A0000}"/>
    <cellStyle name="Followed Hyperlink 799" xfId="23062" xr:uid="{00000000-0005-0000-0000-0000105A0000}"/>
    <cellStyle name="Followed Hyperlink 8" xfId="23063" xr:uid="{00000000-0005-0000-0000-0000115A0000}"/>
    <cellStyle name="Followed Hyperlink 80" xfId="23064" xr:uid="{00000000-0005-0000-0000-0000125A0000}"/>
    <cellStyle name="Followed Hyperlink 800" xfId="23065" xr:uid="{00000000-0005-0000-0000-0000135A0000}"/>
    <cellStyle name="Followed Hyperlink 801" xfId="23066" xr:uid="{00000000-0005-0000-0000-0000145A0000}"/>
    <cellStyle name="Followed Hyperlink 802" xfId="23067" xr:uid="{00000000-0005-0000-0000-0000155A0000}"/>
    <cellStyle name="Followed Hyperlink 803" xfId="23068" xr:uid="{00000000-0005-0000-0000-0000165A0000}"/>
    <cellStyle name="Followed Hyperlink 804" xfId="23069" xr:uid="{00000000-0005-0000-0000-0000175A0000}"/>
    <cellStyle name="Followed Hyperlink 805" xfId="23070" xr:uid="{00000000-0005-0000-0000-0000185A0000}"/>
    <cellStyle name="Followed Hyperlink 806" xfId="23071" xr:uid="{00000000-0005-0000-0000-0000195A0000}"/>
    <cellStyle name="Followed Hyperlink 807" xfId="23072" xr:uid="{00000000-0005-0000-0000-00001A5A0000}"/>
    <cellStyle name="Followed Hyperlink 808" xfId="23073" xr:uid="{00000000-0005-0000-0000-00001B5A0000}"/>
    <cellStyle name="Followed Hyperlink 809" xfId="23074" xr:uid="{00000000-0005-0000-0000-00001C5A0000}"/>
    <cellStyle name="Followed Hyperlink 81" xfId="23075" xr:uid="{00000000-0005-0000-0000-00001D5A0000}"/>
    <cellStyle name="Followed Hyperlink 810" xfId="23076" xr:uid="{00000000-0005-0000-0000-00001E5A0000}"/>
    <cellStyle name="Followed Hyperlink 811" xfId="23077" xr:uid="{00000000-0005-0000-0000-00001F5A0000}"/>
    <cellStyle name="Followed Hyperlink 812" xfId="23078" xr:uid="{00000000-0005-0000-0000-0000205A0000}"/>
    <cellStyle name="Followed Hyperlink 813" xfId="23079" xr:uid="{00000000-0005-0000-0000-0000215A0000}"/>
    <cellStyle name="Followed Hyperlink 814" xfId="23080" xr:uid="{00000000-0005-0000-0000-0000225A0000}"/>
    <cellStyle name="Followed Hyperlink 815" xfId="23081" xr:uid="{00000000-0005-0000-0000-0000235A0000}"/>
    <cellStyle name="Followed Hyperlink 816" xfId="23082" xr:uid="{00000000-0005-0000-0000-0000245A0000}"/>
    <cellStyle name="Followed Hyperlink 817" xfId="23083" xr:uid="{00000000-0005-0000-0000-0000255A0000}"/>
    <cellStyle name="Followed Hyperlink 818" xfId="23084" xr:uid="{00000000-0005-0000-0000-0000265A0000}"/>
    <cellStyle name="Followed Hyperlink 819" xfId="23085" xr:uid="{00000000-0005-0000-0000-0000275A0000}"/>
    <cellStyle name="Followed Hyperlink 82" xfId="23086" xr:uid="{00000000-0005-0000-0000-0000285A0000}"/>
    <cellStyle name="Followed Hyperlink 820" xfId="23087" xr:uid="{00000000-0005-0000-0000-0000295A0000}"/>
    <cellStyle name="Followed Hyperlink 821" xfId="23088" xr:uid="{00000000-0005-0000-0000-00002A5A0000}"/>
    <cellStyle name="Followed Hyperlink 822" xfId="23089" xr:uid="{00000000-0005-0000-0000-00002B5A0000}"/>
    <cellStyle name="Followed Hyperlink 823" xfId="23090" xr:uid="{00000000-0005-0000-0000-00002C5A0000}"/>
    <cellStyle name="Followed Hyperlink 824" xfId="23091" xr:uid="{00000000-0005-0000-0000-00002D5A0000}"/>
    <cellStyle name="Followed Hyperlink 825" xfId="23092" xr:uid="{00000000-0005-0000-0000-00002E5A0000}"/>
    <cellStyle name="Followed Hyperlink 826" xfId="23093" xr:uid="{00000000-0005-0000-0000-00002F5A0000}"/>
    <cellStyle name="Followed Hyperlink 827" xfId="23094" xr:uid="{00000000-0005-0000-0000-0000305A0000}"/>
    <cellStyle name="Followed Hyperlink 828" xfId="23095" xr:uid="{00000000-0005-0000-0000-0000315A0000}"/>
    <cellStyle name="Followed Hyperlink 829" xfId="23096" xr:uid="{00000000-0005-0000-0000-0000325A0000}"/>
    <cellStyle name="Followed Hyperlink 83" xfId="23097" xr:uid="{00000000-0005-0000-0000-0000335A0000}"/>
    <cellStyle name="Followed Hyperlink 830" xfId="23098" xr:uid="{00000000-0005-0000-0000-0000345A0000}"/>
    <cellStyle name="Followed Hyperlink 831" xfId="23099" xr:uid="{00000000-0005-0000-0000-0000355A0000}"/>
    <cellStyle name="Followed Hyperlink 832" xfId="23100" xr:uid="{00000000-0005-0000-0000-0000365A0000}"/>
    <cellStyle name="Followed Hyperlink 833" xfId="23101" xr:uid="{00000000-0005-0000-0000-0000375A0000}"/>
    <cellStyle name="Followed Hyperlink 834" xfId="23102" xr:uid="{00000000-0005-0000-0000-0000385A0000}"/>
    <cellStyle name="Followed Hyperlink 835" xfId="23103" xr:uid="{00000000-0005-0000-0000-0000395A0000}"/>
    <cellStyle name="Followed Hyperlink 836" xfId="23104" xr:uid="{00000000-0005-0000-0000-00003A5A0000}"/>
    <cellStyle name="Followed Hyperlink 837" xfId="23105" xr:uid="{00000000-0005-0000-0000-00003B5A0000}"/>
    <cellStyle name="Followed Hyperlink 838" xfId="23106" xr:uid="{00000000-0005-0000-0000-00003C5A0000}"/>
    <cellStyle name="Followed Hyperlink 839" xfId="23107" xr:uid="{00000000-0005-0000-0000-00003D5A0000}"/>
    <cellStyle name="Followed Hyperlink 84" xfId="23108" xr:uid="{00000000-0005-0000-0000-00003E5A0000}"/>
    <cellStyle name="Followed Hyperlink 840" xfId="23109" xr:uid="{00000000-0005-0000-0000-00003F5A0000}"/>
    <cellStyle name="Followed Hyperlink 841" xfId="23110" xr:uid="{00000000-0005-0000-0000-0000405A0000}"/>
    <cellStyle name="Followed Hyperlink 842" xfId="23111" xr:uid="{00000000-0005-0000-0000-0000415A0000}"/>
    <cellStyle name="Followed Hyperlink 843" xfId="23112" xr:uid="{00000000-0005-0000-0000-0000425A0000}"/>
    <cellStyle name="Followed Hyperlink 844" xfId="23113" xr:uid="{00000000-0005-0000-0000-0000435A0000}"/>
    <cellStyle name="Followed Hyperlink 845" xfId="23114" xr:uid="{00000000-0005-0000-0000-0000445A0000}"/>
    <cellStyle name="Followed Hyperlink 846" xfId="23115" xr:uid="{00000000-0005-0000-0000-0000455A0000}"/>
    <cellStyle name="Followed Hyperlink 847" xfId="23116" xr:uid="{00000000-0005-0000-0000-0000465A0000}"/>
    <cellStyle name="Followed Hyperlink 848" xfId="23117" xr:uid="{00000000-0005-0000-0000-0000475A0000}"/>
    <cellStyle name="Followed Hyperlink 849" xfId="23118" xr:uid="{00000000-0005-0000-0000-0000485A0000}"/>
    <cellStyle name="Followed Hyperlink 85" xfId="23119" xr:uid="{00000000-0005-0000-0000-0000495A0000}"/>
    <cellStyle name="Followed Hyperlink 850" xfId="23120" xr:uid="{00000000-0005-0000-0000-00004A5A0000}"/>
    <cellStyle name="Followed Hyperlink 851" xfId="23121" xr:uid="{00000000-0005-0000-0000-00004B5A0000}"/>
    <cellStyle name="Followed Hyperlink 852" xfId="23122" xr:uid="{00000000-0005-0000-0000-00004C5A0000}"/>
    <cellStyle name="Followed Hyperlink 853" xfId="23123" xr:uid="{00000000-0005-0000-0000-00004D5A0000}"/>
    <cellStyle name="Followed Hyperlink 854" xfId="23124" xr:uid="{00000000-0005-0000-0000-00004E5A0000}"/>
    <cellStyle name="Followed Hyperlink 855" xfId="23125" xr:uid="{00000000-0005-0000-0000-00004F5A0000}"/>
    <cellStyle name="Followed Hyperlink 856" xfId="23126" xr:uid="{00000000-0005-0000-0000-0000505A0000}"/>
    <cellStyle name="Followed Hyperlink 857" xfId="23127" xr:uid="{00000000-0005-0000-0000-0000515A0000}"/>
    <cellStyle name="Followed Hyperlink 858" xfId="23128" xr:uid="{00000000-0005-0000-0000-0000525A0000}"/>
    <cellStyle name="Followed Hyperlink 859" xfId="23129" xr:uid="{00000000-0005-0000-0000-0000535A0000}"/>
    <cellStyle name="Followed Hyperlink 86" xfId="23130" xr:uid="{00000000-0005-0000-0000-0000545A0000}"/>
    <cellStyle name="Followed Hyperlink 860" xfId="23131" xr:uid="{00000000-0005-0000-0000-0000555A0000}"/>
    <cellStyle name="Followed Hyperlink 861" xfId="23132" xr:uid="{00000000-0005-0000-0000-0000565A0000}"/>
    <cellStyle name="Followed Hyperlink 862" xfId="23133" xr:uid="{00000000-0005-0000-0000-0000575A0000}"/>
    <cellStyle name="Followed Hyperlink 863" xfId="23134" xr:uid="{00000000-0005-0000-0000-0000585A0000}"/>
    <cellStyle name="Followed Hyperlink 864" xfId="23135" xr:uid="{00000000-0005-0000-0000-0000595A0000}"/>
    <cellStyle name="Followed Hyperlink 865" xfId="23136" xr:uid="{00000000-0005-0000-0000-00005A5A0000}"/>
    <cellStyle name="Followed Hyperlink 866" xfId="23137" xr:uid="{00000000-0005-0000-0000-00005B5A0000}"/>
    <cellStyle name="Followed Hyperlink 867" xfId="23138" xr:uid="{00000000-0005-0000-0000-00005C5A0000}"/>
    <cellStyle name="Followed Hyperlink 868" xfId="23139" xr:uid="{00000000-0005-0000-0000-00005D5A0000}"/>
    <cellStyle name="Followed Hyperlink 869" xfId="23140" xr:uid="{00000000-0005-0000-0000-00005E5A0000}"/>
    <cellStyle name="Followed Hyperlink 87" xfId="23141" xr:uid="{00000000-0005-0000-0000-00005F5A0000}"/>
    <cellStyle name="Followed Hyperlink 870" xfId="23142" xr:uid="{00000000-0005-0000-0000-0000605A0000}"/>
    <cellStyle name="Followed Hyperlink 871" xfId="23143" xr:uid="{00000000-0005-0000-0000-0000615A0000}"/>
    <cellStyle name="Followed Hyperlink 872" xfId="23144" xr:uid="{00000000-0005-0000-0000-0000625A0000}"/>
    <cellStyle name="Followed Hyperlink 873" xfId="23145" xr:uid="{00000000-0005-0000-0000-0000635A0000}"/>
    <cellStyle name="Followed Hyperlink 874" xfId="23146" xr:uid="{00000000-0005-0000-0000-0000645A0000}"/>
    <cellStyle name="Followed Hyperlink 875" xfId="23147" xr:uid="{00000000-0005-0000-0000-0000655A0000}"/>
    <cellStyle name="Followed Hyperlink 876" xfId="23148" xr:uid="{00000000-0005-0000-0000-0000665A0000}"/>
    <cellStyle name="Followed Hyperlink 877" xfId="23149" xr:uid="{00000000-0005-0000-0000-0000675A0000}"/>
    <cellStyle name="Followed Hyperlink 878" xfId="23150" xr:uid="{00000000-0005-0000-0000-0000685A0000}"/>
    <cellStyle name="Followed Hyperlink 879" xfId="23151" xr:uid="{00000000-0005-0000-0000-0000695A0000}"/>
    <cellStyle name="Followed Hyperlink 88" xfId="23152" xr:uid="{00000000-0005-0000-0000-00006A5A0000}"/>
    <cellStyle name="Followed Hyperlink 880" xfId="23153" xr:uid="{00000000-0005-0000-0000-00006B5A0000}"/>
    <cellStyle name="Followed Hyperlink 881" xfId="23154" xr:uid="{00000000-0005-0000-0000-00006C5A0000}"/>
    <cellStyle name="Followed Hyperlink 882" xfId="23155" xr:uid="{00000000-0005-0000-0000-00006D5A0000}"/>
    <cellStyle name="Followed Hyperlink 883" xfId="23156" xr:uid="{00000000-0005-0000-0000-00006E5A0000}"/>
    <cellStyle name="Followed Hyperlink 884" xfId="23157" xr:uid="{00000000-0005-0000-0000-00006F5A0000}"/>
    <cellStyle name="Followed Hyperlink 885" xfId="23158" xr:uid="{00000000-0005-0000-0000-0000705A0000}"/>
    <cellStyle name="Followed Hyperlink 886" xfId="23159" xr:uid="{00000000-0005-0000-0000-0000715A0000}"/>
    <cellStyle name="Followed Hyperlink 887" xfId="23160" xr:uid="{00000000-0005-0000-0000-0000725A0000}"/>
    <cellStyle name="Followed Hyperlink 888" xfId="23161" xr:uid="{00000000-0005-0000-0000-0000735A0000}"/>
    <cellStyle name="Followed Hyperlink 889" xfId="23162" xr:uid="{00000000-0005-0000-0000-0000745A0000}"/>
    <cellStyle name="Followed Hyperlink 89" xfId="23163" xr:uid="{00000000-0005-0000-0000-0000755A0000}"/>
    <cellStyle name="Followed Hyperlink 890" xfId="23164" xr:uid="{00000000-0005-0000-0000-0000765A0000}"/>
    <cellStyle name="Followed Hyperlink 891" xfId="23165" xr:uid="{00000000-0005-0000-0000-0000775A0000}"/>
    <cellStyle name="Followed Hyperlink 892" xfId="23166" xr:uid="{00000000-0005-0000-0000-0000785A0000}"/>
    <cellStyle name="Followed Hyperlink 893" xfId="23167" xr:uid="{00000000-0005-0000-0000-0000795A0000}"/>
    <cellStyle name="Followed Hyperlink 894" xfId="23168" xr:uid="{00000000-0005-0000-0000-00007A5A0000}"/>
    <cellStyle name="Followed Hyperlink 895" xfId="23169" xr:uid="{00000000-0005-0000-0000-00007B5A0000}"/>
    <cellStyle name="Followed Hyperlink 896" xfId="23170" xr:uid="{00000000-0005-0000-0000-00007C5A0000}"/>
    <cellStyle name="Followed Hyperlink 897" xfId="23171" xr:uid="{00000000-0005-0000-0000-00007D5A0000}"/>
    <cellStyle name="Followed Hyperlink 898" xfId="23172" xr:uid="{00000000-0005-0000-0000-00007E5A0000}"/>
    <cellStyle name="Followed Hyperlink 899" xfId="23173" xr:uid="{00000000-0005-0000-0000-00007F5A0000}"/>
    <cellStyle name="Followed Hyperlink 9" xfId="23174" xr:uid="{00000000-0005-0000-0000-0000805A0000}"/>
    <cellStyle name="Followed Hyperlink 90" xfId="23175" xr:uid="{00000000-0005-0000-0000-0000815A0000}"/>
    <cellStyle name="Followed Hyperlink 900" xfId="23176" xr:uid="{00000000-0005-0000-0000-0000825A0000}"/>
    <cellStyle name="Followed Hyperlink 901" xfId="23177" xr:uid="{00000000-0005-0000-0000-0000835A0000}"/>
    <cellStyle name="Followed Hyperlink 902" xfId="23178" xr:uid="{00000000-0005-0000-0000-0000845A0000}"/>
    <cellStyle name="Followed Hyperlink 903" xfId="23179" xr:uid="{00000000-0005-0000-0000-0000855A0000}"/>
    <cellStyle name="Followed Hyperlink 904" xfId="23180" xr:uid="{00000000-0005-0000-0000-0000865A0000}"/>
    <cellStyle name="Followed Hyperlink 905" xfId="23181" xr:uid="{00000000-0005-0000-0000-0000875A0000}"/>
    <cellStyle name="Followed Hyperlink 906" xfId="23182" xr:uid="{00000000-0005-0000-0000-0000885A0000}"/>
    <cellStyle name="Followed Hyperlink 907" xfId="23183" xr:uid="{00000000-0005-0000-0000-0000895A0000}"/>
    <cellStyle name="Followed Hyperlink 908" xfId="23184" xr:uid="{00000000-0005-0000-0000-00008A5A0000}"/>
    <cellStyle name="Followed Hyperlink 909" xfId="23185" xr:uid="{00000000-0005-0000-0000-00008B5A0000}"/>
    <cellStyle name="Followed Hyperlink 91" xfId="23186" xr:uid="{00000000-0005-0000-0000-00008C5A0000}"/>
    <cellStyle name="Followed Hyperlink 910" xfId="23187" xr:uid="{00000000-0005-0000-0000-00008D5A0000}"/>
    <cellStyle name="Followed Hyperlink 911" xfId="23188" xr:uid="{00000000-0005-0000-0000-00008E5A0000}"/>
    <cellStyle name="Followed Hyperlink 912" xfId="23189" xr:uid="{00000000-0005-0000-0000-00008F5A0000}"/>
    <cellStyle name="Followed Hyperlink 913" xfId="23190" xr:uid="{00000000-0005-0000-0000-0000905A0000}"/>
    <cellStyle name="Followed Hyperlink 914" xfId="23191" xr:uid="{00000000-0005-0000-0000-0000915A0000}"/>
    <cellStyle name="Followed Hyperlink 915" xfId="23192" xr:uid="{00000000-0005-0000-0000-0000925A0000}"/>
    <cellStyle name="Followed Hyperlink 916" xfId="23193" xr:uid="{00000000-0005-0000-0000-0000935A0000}"/>
    <cellStyle name="Followed Hyperlink 917" xfId="23194" xr:uid="{00000000-0005-0000-0000-0000945A0000}"/>
    <cellStyle name="Followed Hyperlink 918" xfId="23195" xr:uid="{00000000-0005-0000-0000-0000955A0000}"/>
    <cellStyle name="Followed Hyperlink 919" xfId="23196" xr:uid="{00000000-0005-0000-0000-0000965A0000}"/>
    <cellStyle name="Followed Hyperlink 92" xfId="23197" xr:uid="{00000000-0005-0000-0000-0000975A0000}"/>
    <cellStyle name="Followed Hyperlink 920" xfId="23198" xr:uid="{00000000-0005-0000-0000-0000985A0000}"/>
    <cellStyle name="Followed Hyperlink 921" xfId="23199" xr:uid="{00000000-0005-0000-0000-0000995A0000}"/>
    <cellStyle name="Followed Hyperlink 922" xfId="23200" xr:uid="{00000000-0005-0000-0000-00009A5A0000}"/>
    <cellStyle name="Followed Hyperlink 923" xfId="23201" xr:uid="{00000000-0005-0000-0000-00009B5A0000}"/>
    <cellStyle name="Followed Hyperlink 924" xfId="23202" xr:uid="{00000000-0005-0000-0000-00009C5A0000}"/>
    <cellStyle name="Followed Hyperlink 925" xfId="23203" xr:uid="{00000000-0005-0000-0000-00009D5A0000}"/>
    <cellStyle name="Followed Hyperlink 926" xfId="23204" xr:uid="{00000000-0005-0000-0000-00009E5A0000}"/>
    <cellStyle name="Followed Hyperlink 927" xfId="23205" xr:uid="{00000000-0005-0000-0000-00009F5A0000}"/>
    <cellStyle name="Followed Hyperlink 928" xfId="23206" xr:uid="{00000000-0005-0000-0000-0000A05A0000}"/>
    <cellStyle name="Followed Hyperlink 929" xfId="23207" xr:uid="{00000000-0005-0000-0000-0000A15A0000}"/>
    <cellStyle name="Followed Hyperlink 93" xfId="23208" xr:uid="{00000000-0005-0000-0000-0000A25A0000}"/>
    <cellStyle name="Followed Hyperlink 930" xfId="23209" xr:uid="{00000000-0005-0000-0000-0000A35A0000}"/>
    <cellStyle name="Followed Hyperlink 931" xfId="23210" xr:uid="{00000000-0005-0000-0000-0000A45A0000}"/>
    <cellStyle name="Followed Hyperlink 932" xfId="23211" xr:uid="{00000000-0005-0000-0000-0000A55A0000}"/>
    <cellStyle name="Followed Hyperlink 933" xfId="23212" xr:uid="{00000000-0005-0000-0000-0000A65A0000}"/>
    <cellStyle name="Followed Hyperlink 934" xfId="23213" xr:uid="{00000000-0005-0000-0000-0000A75A0000}"/>
    <cellStyle name="Followed Hyperlink 935" xfId="23214" xr:uid="{00000000-0005-0000-0000-0000A85A0000}"/>
    <cellStyle name="Followed Hyperlink 936" xfId="23215" xr:uid="{00000000-0005-0000-0000-0000A95A0000}"/>
    <cellStyle name="Followed Hyperlink 937" xfId="23216" xr:uid="{00000000-0005-0000-0000-0000AA5A0000}"/>
    <cellStyle name="Followed Hyperlink 938" xfId="23217" xr:uid="{00000000-0005-0000-0000-0000AB5A0000}"/>
    <cellStyle name="Followed Hyperlink 939" xfId="23218" xr:uid="{00000000-0005-0000-0000-0000AC5A0000}"/>
    <cellStyle name="Followed Hyperlink 94" xfId="23219" xr:uid="{00000000-0005-0000-0000-0000AD5A0000}"/>
    <cellStyle name="Followed Hyperlink 940" xfId="23220" xr:uid="{00000000-0005-0000-0000-0000AE5A0000}"/>
    <cellStyle name="Followed Hyperlink 941" xfId="23221" xr:uid="{00000000-0005-0000-0000-0000AF5A0000}"/>
    <cellStyle name="Followed Hyperlink 942" xfId="23222" xr:uid="{00000000-0005-0000-0000-0000B05A0000}"/>
    <cellStyle name="Followed Hyperlink 943" xfId="23223" xr:uid="{00000000-0005-0000-0000-0000B15A0000}"/>
    <cellStyle name="Followed Hyperlink 944" xfId="23224" xr:uid="{00000000-0005-0000-0000-0000B25A0000}"/>
    <cellStyle name="Followed Hyperlink 945" xfId="23225" xr:uid="{00000000-0005-0000-0000-0000B35A0000}"/>
    <cellStyle name="Followed Hyperlink 946" xfId="23226" xr:uid="{00000000-0005-0000-0000-0000B45A0000}"/>
    <cellStyle name="Followed Hyperlink 947" xfId="23227" xr:uid="{00000000-0005-0000-0000-0000B55A0000}"/>
    <cellStyle name="Followed Hyperlink 948" xfId="23228" xr:uid="{00000000-0005-0000-0000-0000B65A0000}"/>
    <cellStyle name="Followed Hyperlink 949" xfId="23229" xr:uid="{00000000-0005-0000-0000-0000B75A0000}"/>
    <cellStyle name="Followed Hyperlink 95" xfId="23230" xr:uid="{00000000-0005-0000-0000-0000B85A0000}"/>
    <cellStyle name="Followed Hyperlink 950" xfId="23231" xr:uid="{00000000-0005-0000-0000-0000B95A0000}"/>
    <cellStyle name="Followed Hyperlink 951" xfId="23232" xr:uid="{00000000-0005-0000-0000-0000BA5A0000}"/>
    <cellStyle name="Followed Hyperlink 952" xfId="23233" xr:uid="{00000000-0005-0000-0000-0000BB5A0000}"/>
    <cellStyle name="Followed Hyperlink 953" xfId="23234" xr:uid="{00000000-0005-0000-0000-0000BC5A0000}"/>
    <cellStyle name="Followed Hyperlink 954" xfId="23235" xr:uid="{00000000-0005-0000-0000-0000BD5A0000}"/>
    <cellStyle name="Followed Hyperlink 955" xfId="23236" xr:uid="{00000000-0005-0000-0000-0000BE5A0000}"/>
    <cellStyle name="Followed Hyperlink 956" xfId="23237" xr:uid="{00000000-0005-0000-0000-0000BF5A0000}"/>
    <cellStyle name="Followed Hyperlink 957" xfId="23238" xr:uid="{00000000-0005-0000-0000-0000C05A0000}"/>
    <cellStyle name="Followed Hyperlink 958" xfId="23239" xr:uid="{00000000-0005-0000-0000-0000C15A0000}"/>
    <cellStyle name="Followed Hyperlink 959" xfId="23240" xr:uid="{00000000-0005-0000-0000-0000C25A0000}"/>
    <cellStyle name="Followed Hyperlink 96" xfId="23241" xr:uid="{00000000-0005-0000-0000-0000C35A0000}"/>
    <cellStyle name="Followed Hyperlink 960" xfId="23242" xr:uid="{00000000-0005-0000-0000-0000C45A0000}"/>
    <cellStyle name="Followed Hyperlink 961" xfId="23243" xr:uid="{00000000-0005-0000-0000-0000C55A0000}"/>
    <cellStyle name="Followed Hyperlink 962" xfId="23244" xr:uid="{00000000-0005-0000-0000-0000C65A0000}"/>
    <cellStyle name="Followed Hyperlink 963" xfId="23245" xr:uid="{00000000-0005-0000-0000-0000C75A0000}"/>
    <cellStyle name="Followed Hyperlink 964" xfId="23246" xr:uid="{00000000-0005-0000-0000-0000C85A0000}"/>
    <cellStyle name="Followed Hyperlink 965" xfId="23247" xr:uid="{00000000-0005-0000-0000-0000C95A0000}"/>
    <cellStyle name="Followed Hyperlink 966" xfId="23248" xr:uid="{00000000-0005-0000-0000-0000CA5A0000}"/>
    <cellStyle name="Followed Hyperlink 967" xfId="23249" xr:uid="{00000000-0005-0000-0000-0000CB5A0000}"/>
    <cellStyle name="Followed Hyperlink 968" xfId="23250" xr:uid="{00000000-0005-0000-0000-0000CC5A0000}"/>
    <cellStyle name="Followed Hyperlink 969" xfId="23251" xr:uid="{00000000-0005-0000-0000-0000CD5A0000}"/>
    <cellStyle name="Followed Hyperlink 97" xfId="23252" xr:uid="{00000000-0005-0000-0000-0000CE5A0000}"/>
    <cellStyle name="Followed Hyperlink 970" xfId="23253" xr:uid="{00000000-0005-0000-0000-0000CF5A0000}"/>
    <cellStyle name="Followed Hyperlink 971" xfId="23254" xr:uid="{00000000-0005-0000-0000-0000D05A0000}"/>
    <cellStyle name="Followed Hyperlink 972" xfId="23255" xr:uid="{00000000-0005-0000-0000-0000D15A0000}"/>
    <cellStyle name="Followed Hyperlink 973" xfId="23256" xr:uid="{00000000-0005-0000-0000-0000D25A0000}"/>
    <cellStyle name="Followed Hyperlink 974" xfId="23257" xr:uid="{00000000-0005-0000-0000-0000D35A0000}"/>
    <cellStyle name="Followed Hyperlink 975" xfId="23258" xr:uid="{00000000-0005-0000-0000-0000D45A0000}"/>
    <cellStyle name="Followed Hyperlink 976" xfId="23259" xr:uid="{00000000-0005-0000-0000-0000D55A0000}"/>
    <cellStyle name="Followed Hyperlink 977" xfId="23260" xr:uid="{00000000-0005-0000-0000-0000D65A0000}"/>
    <cellStyle name="Followed Hyperlink 978" xfId="23261" xr:uid="{00000000-0005-0000-0000-0000D75A0000}"/>
    <cellStyle name="Followed Hyperlink 979" xfId="23262" xr:uid="{00000000-0005-0000-0000-0000D85A0000}"/>
    <cellStyle name="Followed Hyperlink 98" xfId="23263" xr:uid="{00000000-0005-0000-0000-0000D95A0000}"/>
    <cellStyle name="Followed Hyperlink 980" xfId="23264" xr:uid="{00000000-0005-0000-0000-0000DA5A0000}"/>
    <cellStyle name="Followed Hyperlink 981" xfId="23265" xr:uid="{00000000-0005-0000-0000-0000DB5A0000}"/>
    <cellStyle name="Followed Hyperlink 982" xfId="23266" xr:uid="{00000000-0005-0000-0000-0000DC5A0000}"/>
    <cellStyle name="Followed Hyperlink 983" xfId="23267" xr:uid="{00000000-0005-0000-0000-0000DD5A0000}"/>
    <cellStyle name="Followed Hyperlink 984" xfId="23268" xr:uid="{00000000-0005-0000-0000-0000DE5A0000}"/>
    <cellStyle name="Followed Hyperlink 985" xfId="23269" xr:uid="{00000000-0005-0000-0000-0000DF5A0000}"/>
    <cellStyle name="Followed Hyperlink 986" xfId="23270" xr:uid="{00000000-0005-0000-0000-0000E05A0000}"/>
    <cellStyle name="Followed Hyperlink 987" xfId="23271" xr:uid="{00000000-0005-0000-0000-0000E15A0000}"/>
    <cellStyle name="Followed Hyperlink 988" xfId="23272" xr:uid="{00000000-0005-0000-0000-0000E25A0000}"/>
    <cellStyle name="Followed Hyperlink 989" xfId="23273" xr:uid="{00000000-0005-0000-0000-0000E35A0000}"/>
    <cellStyle name="Followed Hyperlink 99" xfId="23274" xr:uid="{00000000-0005-0000-0000-0000E45A0000}"/>
    <cellStyle name="Followed Hyperlink 990" xfId="23275" xr:uid="{00000000-0005-0000-0000-0000E55A0000}"/>
    <cellStyle name="Followed Hyperlink 991" xfId="23276" xr:uid="{00000000-0005-0000-0000-0000E65A0000}"/>
    <cellStyle name="Followed Hyperlink 992" xfId="23277" xr:uid="{00000000-0005-0000-0000-0000E75A0000}"/>
    <cellStyle name="Followed Hyperlink 993" xfId="23278" xr:uid="{00000000-0005-0000-0000-0000E85A0000}"/>
    <cellStyle name="Followed Hyperlink 994" xfId="23279" xr:uid="{00000000-0005-0000-0000-0000E95A0000}"/>
    <cellStyle name="Followed Hyperlink 995" xfId="23280" xr:uid="{00000000-0005-0000-0000-0000EA5A0000}"/>
    <cellStyle name="Followed Hyperlink 996" xfId="23281" xr:uid="{00000000-0005-0000-0000-0000EB5A0000}"/>
    <cellStyle name="Followed Hyperlink 997" xfId="23282" xr:uid="{00000000-0005-0000-0000-0000EC5A0000}"/>
    <cellStyle name="Followed Hyperlink 998" xfId="23283" xr:uid="{00000000-0005-0000-0000-0000ED5A0000}"/>
    <cellStyle name="Followed Hyperlink 999" xfId="23284" xr:uid="{00000000-0005-0000-0000-0000EE5A0000}"/>
    <cellStyle name="Forumulas" xfId="23285" xr:uid="{00000000-0005-0000-0000-0000EF5A0000}"/>
    <cellStyle name="Good 2" xfId="23286" xr:uid="{00000000-0005-0000-0000-0000F05A0000}"/>
    <cellStyle name="Good 2 2" xfId="23287" xr:uid="{00000000-0005-0000-0000-0000F15A0000}"/>
    <cellStyle name="Good 3" xfId="23288" xr:uid="{00000000-0005-0000-0000-0000F25A0000}"/>
    <cellStyle name="Good 4" xfId="23289" xr:uid="{00000000-0005-0000-0000-0000F35A0000}"/>
    <cellStyle name="Green cell" xfId="23290" xr:uid="{00000000-0005-0000-0000-0000F45A0000}"/>
    <cellStyle name="Grey" xfId="23291" xr:uid="{00000000-0005-0000-0000-0000F55A0000}"/>
    <cellStyle name="Grey 2" xfId="23292" xr:uid="{00000000-0005-0000-0000-0000F65A0000}"/>
    <cellStyle name="Grey 3" xfId="23293" xr:uid="{00000000-0005-0000-0000-0000F75A0000}"/>
    <cellStyle name="Header" xfId="23294" xr:uid="{00000000-0005-0000-0000-0000F85A0000}"/>
    <cellStyle name="Header1" xfId="23295" xr:uid="{00000000-0005-0000-0000-0000F95A0000}"/>
    <cellStyle name="Header2" xfId="23296" xr:uid="{00000000-0005-0000-0000-0000FA5A0000}"/>
    <cellStyle name="Header2 10" xfId="23297" xr:uid="{00000000-0005-0000-0000-0000FB5A0000}"/>
    <cellStyle name="Header2 10 2" xfId="23298" xr:uid="{00000000-0005-0000-0000-0000FC5A0000}"/>
    <cellStyle name="Header2 10 2 2" xfId="23299" xr:uid="{00000000-0005-0000-0000-0000FD5A0000}"/>
    <cellStyle name="Header2 10 2 3" xfId="23300" xr:uid="{00000000-0005-0000-0000-0000FE5A0000}"/>
    <cellStyle name="Header2 10 2 4" xfId="23301" xr:uid="{00000000-0005-0000-0000-0000FF5A0000}"/>
    <cellStyle name="Header2 10 2 5" xfId="23302" xr:uid="{00000000-0005-0000-0000-0000005B0000}"/>
    <cellStyle name="Header2 10 3" xfId="23303" xr:uid="{00000000-0005-0000-0000-0000015B0000}"/>
    <cellStyle name="Header2 10 4" xfId="23304" xr:uid="{00000000-0005-0000-0000-0000025B0000}"/>
    <cellStyle name="Header2 11" xfId="23305" xr:uid="{00000000-0005-0000-0000-0000035B0000}"/>
    <cellStyle name="Header2 11 2" xfId="23306" xr:uid="{00000000-0005-0000-0000-0000045B0000}"/>
    <cellStyle name="Header2 11 3" xfId="23307" xr:uid="{00000000-0005-0000-0000-0000055B0000}"/>
    <cellStyle name="Header2 11 4" xfId="23308" xr:uid="{00000000-0005-0000-0000-0000065B0000}"/>
    <cellStyle name="Header2 11 5" xfId="23309" xr:uid="{00000000-0005-0000-0000-0000075B0000}"/>
    <cellStyle name="Header2 12" xfId="23310" xr:uid="{00000000-0005-0000-0000-0000085B0000}"/>
    <cellStyle name="Header2 13" xfId="23311" xr:uid="{00000000-0005-0000-0000-0000095B0000}"/>
    <cellStyle name="Header2 2" xfId="23312" xr:uid="{00000000-0005-0000-0000-00000A5B0000}"/>
    <cellStyle name="Header2 2 10" xfId="23313" xr:uid="{00000000-0005-0000-0000-00000B5B0000}"/>
    <cellStyle name="Header2 2 10 2" xfId="23314" xr:uid="{00000000-0005-0000-0000-00000C5B0000}"/>
    <cellStyle name="Header2 2 10 3" xfId="23315" xr:uid="{00000000-0005-0000-0000-00000D5B0000}"/>
    <cellStyle name="Header2 2 10 4" xfId="23316" xr:uid="{00000000-0005-0000-0000-00000E5B0000}"/>
    <cellStyle name="Header2 2 10 5" xfId="23317" xr:uid="{00000000-0005-0000-0000-00000F5B0000}"/>
    <cellStyle name="Header2 2 11" xfId="23318" xr:uid="{00000000-0005-0000-0000-0000105B0000}"/>
    <cellStyle name="Header2 2 12" xfId="23319" xr:uid="{00000000-0005-0000-0000-0000115B0000}"/>
    <cellStyle name="Header2 2 2" xfId="23320" xr:uid="{00000000-0005-0000-0000-0000125B0000}"/>
    <cellStyle name="Header2 2 2 10" xfId="23321" xr:uid="{00000000-0005-0000-0000-0000135B0000}"/>
    <cellStyle name="Header2 2 2 10 2" xfId="23322" xr:uid="{00000000-0005-0000-0000-0000145B0000}"/>
    <cellStyle name="Header2 2 2 10 3" xfId="23323" xr:uid="{00000000-0005-0000-0000-0000155B0000}"/>
    <cellStyle name="Header2 2 2 10 4" xfId="23324" xr:uid="{00000000-0005-0000-0000-0000165B0000}"/>
    <cellStyle name="Header2 2 2 10 5" xfId="23325" xr:uid="{00000000-0005-0000-0000-0000175B0000}"/>
    <cellStyle name="Header2 2 2 11" xfId="23326" xr:uid="{00000000-0005-0000-0000-0000185B0000}"/>
    <cellStyle name="Header2 2 2 12" xfId="23327" xr:uid="{00000000-0005-0000-0000-0000195B0000}"/>
    <cellStyle name="Header2 2 2 2" xfId="23328" xr:uid="{00000000-0005-0000-0000-00001A5B0000}"/>
    <cellStyle name="Header2 2 2 2 10" xfId="23329" xr:uid="{00000000-0005-0000-0000-00001B5B0000}"/>
    <cellStyle name="Header2 2 2 2 11" xfId="23330" xr:uid="{00000000-0005-0000-0000-00001C5B0000}"/>
    <cellStyle name="Header2 2 2 2 2" xfId="23331" xr:uid="{00000000-0005-0000-0000-00001D5B0000}"/>
    <cellStyle name="Header2 2 2 2 2 2" xfId="23332" xr:uid="{00000000-0005-0000-0000-00001E5B0000}"/>
    <cellStyle name="Header2 2 2 2 2 2 2" xfId="23333" xr:uid="{00000000-0005-0000-0000-00001F5B0000}"/>
    <cellStyle name="Header2 2 2 2 2 2 2 2" xfId="23334" xr:uid="{00000000-0005-0000-0000-0000205B0000}"/>
    <cellStyle name="Header2 2 2 2 2 2 2 3" xfId="23335" xr:uid="{00000000-0005-0000-0000-0000215B0000}"/>
    <cellStyle name="Header2 2 2 2 2 2 2 4" xfId="23336" xr:uid="{00000000-0005-0000-0000-0000225B0000}"/>
    <cellStyle name="Header2 2 2 2 2 2 2 5" xfId="23337" xr:uid="{00000000-0005-0000-0000-0000235B0000}"/>
    <cellStyle name="Header2 2 2 2 2 2 3" xfId="23338" xr:uid="{00000000-0005-0000-0000-0000245B0000}"/>
    <cellStyle name="Header2 2 2 2 2 2 4" xfId="23339" xr:uid="{00000000-0005-0000-0000-0000255B0000}"/>
    <cellStyle name="Header2 2 2 2 2 3" xfId="23340" xr:uid="{00000000-0005-0000-0000-0000265B0000}"/>
    <cellStyle name="Header2 2 2 2 2 3 2" xfId="23341" xr:uid="{00000000-0005-0000-0000-0000275B0000}"/>
    <cellStyle name="Header2 2 2 2 2 3 2 2" xfId="23342" xr:uid="{00000000-0005-0000-0000-0000285B0000}"/>
    <cellStyle name="Header2 2 2 2 2 3 2 3" xfId="23343" xr:uid="{00000000-0005-0000-0000-0000295B0000}"/>
    <cellStyle name="Header2 2 2 2 2 3 2 4" xfId="23344" xr:uid="{00000000-0005-0000-0000-00002A5B0000}"/>
    <cellStyle name="Header2 2 2 2 2 3 2 5" xfId="23345" xr:uid="{00000000-0005-0000-0000-00002B5B0000}"/>
    <cellStyle name="Header2 2 2 2 2 3 3" xfId="23346" xr:uid="{00000000-0005-0000-0000-00002C5B0000}"/>
    <cellStyle name="Header2 2 2 2 2 3 4" xfId="23347" xr:uid="{00000000-0005-0000-0000-00002D5B0000}"/>
    <cellStyle name="Header2 2 2 2 2 4" xfId="23348" xr:uid="{00000000-0005-0000-0000-00002E5B0000}"/>
    <cellStyle name="Header2 2 2 2 2 4 2" xfId="23349" xr:uid="{00000000-0005-0000-0000-00002F5B0000}"/>
    <cellStyle name="Header2 2 2 2 2 4 3" xfId="23350" xr:uid="{00000000-0005-0000-0000-0000305B0000}"/>
    <cellStyle name="Header2 2 2 2 2 4 4" xfId="23351" xr:uid="{00000000-0005-0000-0000-0000315B0000}"/>
    <cellStyle name="Header2 2 2 2 2 4 5" xfId="23352" xr:uid="{00000000-0005-0000-0000-0000325B0000}"/>
    <cellStyle name="Header2 2 2 2 2 5" xfId="23353" xr:uid="{00000000-0005-0000-0000-0000335B0000}"/>
    <cellStyle name="Header2 2 2 2 2 6" xfId="23354" xr:uid="{00000000-0005-0000-0000-0000345B0000}"/>
    <cellStyle name="Header2 2 2 2 3" xfId="23355" xr:uid="{00000000-0005-0000-0000-0000355B0000}"/>
    <cellStyle name="Header2 2 2 2 3 2" xfId="23356" xr:uid="{00000000-0005-0000-0000-0000365B0000}"/>
    <cellStyle name="Header2 2 2 2 3 2 2" xfId="23357" xr:uid="{00000000-0005-0000-0000-0000375B0000}"/>
    <cellStyle name="Header2 2 2 2 3 2 2 2" xfId="23358" xr:uid="{00000000-0005-0000-0000-0000385B0000}"/>
    <cellStyle name="Header2 2 2 2 3 2 2 3" xfId="23359" xr:uid="{00000000-0005-0000-0000-0000395B0000}"/>
    <cellStyle name="Header2 2 2 2 3 2 2 4" xfId="23360" xr:uid="{00000000-0005-0000-0000-00003A5B0000}"/>
    <cellStyle name="Header2 2 2 2 3 2 2 5" xfId="23361" xr:uid="{00000000-0005-0000-0000-00003B5B0000}"/>
    <cellStyle name="Header2 2 2 2 3 2 3" xfId="23362" xr:uid="{00000000-0005-0000-0000-00003C5B0000}"/>
    <cellStyle name="Header2 2 2 2 3 2 4" xfId="23363" xr:uid="{00000000-0005-0000-0000-00003D5B0000}"/>
    <cellStyle name="Header2 2 2 2 3 3" xfId="23364" xr:uid="{00000000-0005-0000-0000-00003E5B0000}"/>
    <cellStyle name="Header2 2 2 2 3 3 2" xfId="23365" xr:uid="{00000000-0005-0000-0000-00003F5B0000}"/>
    <cellStyle name="Header2 2 2 2 3 3 2 2" xfId="23366" xr:uid="{00000000-0005-0000-0000-0000405B0000}"/>
    <cellStyle name="Header2 2 2 2 3 3 2 3" xfId="23367" xr:uid="{00000000-0005-0000-0000-0000415B0000}"/>
    <cellStyle name="Header2 2 2 2 3 3 2 4" xfId="23368" xr:uid="{00000000-0005-0000-0000-0000425B0000}"/>
    <cellStyle name="Header2 2 2 2 3 3 2 5" xfId="23369" xr:uid="{00000000-0005-0000-0000-0000435B0000}"/>
    <cellStyle name="Header2 2 2 2 3 3 3" xfId="23370" xr:uid="{00000000-0005-0000-0000-0000445B0000}"/>
    <cellStyle name="Header2 2 2 2 3 3 4" xfId="23371" xr:uid="{00000000-0005-0000-0000-0000455B0000}"/>
    <cellStyle name="Header2 2 2 2 3 4" xfId="23372" xr:uid="{00000000-0005-0000-0000-0000465B0000}"/>
    <cellStyle name="Header2 2 2 2 3 4 2" xfId="23373" xr:uid="{00000000-0005-0000-0000-0000475B0000}"/>
    <cellStyle name="Header2 2 2 2 3 4 3" xfId="23374" xr:uid="{00000000-0005-0000-0000-0000485B0000}"/>
    <cellStyle name="Header2 2 2 2 3 4 4" xfId="23375" xr:uid="{00000000-0005-0000-0000-0000495B0000}"/>
    <cellStyle name="Header2 2 2 2 3 4 5" xfId="23376" xr:uid="{00000000-0005-0000-0000-00004A5B0000}"/>
    <cellStyle name="Header2 2 2 2 3 5" xfId="23377" xr:uid="{00000000-0005-0000-0000-00004B5B0000}"/>
    <cellStyle name="Header2 2 2 2 3 6" xfId="23378" xr:uid="{00000000-0005-0000-0000-00004C5B0000}"/>
    <cellStyle name="Header2 2 2 2 4" xfId="23379" xr:uid="{00000000-0005-0000-0000-00004D5B0000}"/>
    <cellStyle name="Header2 2 2 2 4 2" xfId="23380" xr:uid="{00000000-0005-0000-0000-00004E5B0000}"/>
    <cellStyle name="Header2 2 2 2 4 2 2" xfId="23381" xr:uid="{00000000-0005-0000-0000-00004F5B0000}"/>
    <cellStyle name="Header2 2 2 2 4 2 2 2" xfId="23382" xr:uid="{00000000-0005-0000-0000-0000505B0000}"/>
    <cellStyle name="Header2 2 2 2 4 2 2 3" xfId="23383" xr:uid="{00000000-0005-0000-0000-0000515B0000}"/>
    <cellStyle name="Header2 2 2 2 4 2 2 4" xfId="23384" xr:uid="{00000000-0005-0000-0000-0000525B0000}"/>
    <cellStyle name="Header2 2 2 2 4 2 2 5" xfId="23385" xr:uid="{00000000-0005-0000-0000-0000535B0000}"/>
    <cellStyle name="Header2 2 2 2 4 2 3" xfId="23386" xr:uid="{00000000-0005-0000-0000-0000545B0000}"/>
    <cellStyle name="Header2 2 2 2 4 2 4" xfId="23387" xr:uid="{00000000-0005-0000-0000-0000555B0000}"/>
    <cellStyle name="Header2 2 2 2 4 3" xfId="23388" xr:uid="{00000000-0005-0000-0000-0000565B0000}"/>
    <cellStyle name="Header2 2 2 2 4 3 2" xfId="23389" xr:uid="{00000000-0005-0000-0000-0000575B0000}"/>
    <cellStyle name="Header2 2 2 2 4 3 2 2" xfId="23390" xr:uid="{00000000-0005-0000-0000-0000585B0000}"/>
    <cellStyle name="Header2 2 2 2 4 3 2 3" xfId="23391" xr:uid="{00000000-0005-0000-0000-0000595B0000}"/>
    <cellStyle name="Header2 2 2 2 4 3 2 4" xfId="23392" xr:uid="{00000000-0005-0000-0000-00005A5B0000}"/>
    <cellStyle name="Header2 2 2 2 4 3 2 5" xfId="23393" xr:uid="{00000000-0005-0000-0000-00005B5B0000}"/>
    <cellStyle name="Header2 2 2 2 4 3 3" xfId="23394" xr:uid="{00000000-0005-0000-0000-00005C5B0000}"/>
    <cellStyle name="Header2 2 2 2 4 3 4" xfId="23395" xr:uid="{00000000-0005-0000-0000-00005D5B0000}"/>
    <cellStyle name="Header2 2 2 2 4 4" xfId="23396" xr:uid="{00000000-0005-0000-0000-00005E5B0000}"/>
    <cellStyle name="Header2 2 2 2 4 4 2" xfId="23397" xr:uid="{00000000-0005-0000-0000-00005F5B0000}"/>
    <cellStyle name="Header2 2 2 2 4 4 3" xfId="23398" xr:uid="{00000000-0005-0000-0000-0000605B0000}"/>
    <cellStyle name="Header2 2 2 2 4 4 4" xfId="23399" xr:uid="{00000000-0005-0000-0000-0000615B0000}"/>
    <cellStyle name="Header2 2 2 2 4 4 5" xfId="23400" xr:uid="{00000000-0005-0000-0000-0000625B0000}"/>
    <cellStyle name="Header2 2 2 2 4 5" xfId="23401" xr:uid="{00000000-0005-0000-0000-0000635B0000}"/>
    <cellStyle name="Header2 2 2 2 4 6" xfId="23402" xr:uid="{00000000-0005-0000-0000-0000645B0000}"/>
    <cellStyle name="Header2 2 2 2 5" xfId="23403" xr:uid="{00000000-0005-0000-0000-0000655B0000}"/>
    <cellStyle name="Header2 2 2 2 5 2" xfId="23404" xr:uid="{00000000-0005-0000-0000-0000665B0000}"/>
    <cellStyle name="Header2 2 2 2 5 2 2" xfId="23405" xr:uid="{00000000-0005-0000-0000-0000675B0000}"/>
    <cellStyle name="Header2 2 2 2 5 2 2 2" xfId="23406" xr:uid="{00000000-0005-0000-0000-0000685B0000}"/>
    <cellStyle name="Header2 2 2 2 5 2 2 3" xfId="23407" xr:uid="{00000000-0005-0000-0000-0000695B0000}"/>
    <cellStyle name="Header2 2 2 2 5 2 2 4" xfId="23408" xr:uid="{00000000-0005-0000-0000-00006A5B0000}"/>
    <cellStyle name="Header2 2 2 2 5 2 2 5" xfId="23409" xr:uid="{00000000-0005-0000-0000-00006B5B0000}"/>
    <cellStyle name="Header2 2 2 2 5 2 3" xfId="23410" xr:uid="{00000000-0005-0000-0000-00006C5B0000}"/>
    <cellStyle name="Header2 2 2 2 5 2 4" xfId="23411" xr:uid="{00000000-0005-0000-0000-00006D5B0000}"/>
    <cellStyle name="Header2 2 2 2 5 3" xfId="23412" xr:uid="{00000000-0005-0000-0000-00006E5B0000}"/>
    <cellStyle name="Header2 2 2 2 5 3 2" xfId="23413" xr:uid="{00000000-0005-0000-0000-00006F5B0000}"/>
    <cellStyle name="Header2 2 2 2 5 3 2 2" xfId="23414" xr:uid="{00000000-0005-0000-0000-0000705B0000}"/>
    <cellStyle name="Header2 2 2 2 5 3 2 3" xfId="23415" xr:uid="{00000000-0005-0000-0000-0000715B0000}"/>
    <cellStyle name="Header2 2 2 2 5 3 2 4" xfId="23416" xr:uid="{00000000-0005-0000-0000-0000725B0000}"/>
    <cellStyle name="Header2 2 2 2 5 3 2 5" xfId="23417" xr:uid="{00000000-0005-0000-0000-0000735B0000}"/>
    <cellStyle name="Header2 2 2 2 5 3 3" xfId="23418" xr:uid="{00000000-0005-0000-0000-0000745B0000}"/>
    <cellStyle name="Header2 2 2 2 5 3 4" xfId="23419" xr:uid="{00000000-0005-0000-0000-0000755B0000}"/>
    <cellStyle name="Header2 2 2 2 5 4" xfId="23420" xr:uid="{00000000-0005-0000-0000-0000765B0000}"/>
    <cellStyle name="Header2 2 2 2 5 4 2" xfId="23421" xr:uid="{00000000-0005-0000-0000-0000775B0000}"/>
    <cellStyle name="Header2 2 2 2 5 4 3" xfId="23422" xr:uid="{00000000-0005-0000-0000-0000785B0000}"/>
    <cellStyle name="Header2 2 2 2 5 4 4" xfId="23423" xr:uid="{00000000-0005-0000-0000-0000795B0000}"/>
    <cellStyle name="Header2 2 2 2 5 4 5" xfId="23424" xr:uid="{00000000-0005-0000-0000-00007A5B0000}"/>
    <cellStyle name="Header2 2 2 2 5 5" xfId="23425" xr:uid="{00000000-0005-0000-0000-00007B5B0000}"/>
    <cellStyle name="Header2 2 2 2 5 6" xfId="23426" xr:uid="{00000000-0005-0000-0000-00007C5B0000}"/>
    <cellStyle name="Header2 2 2 2 6" xfId="23427" xr:uid="{00000000-0005-0000-0000-00007D5B0000}"/>
    <cellStyle name="Header2 2 2 2 6 2" xfId="23428" xr:uid="{00000000-0005-0000-0000-00007E5B0000}"/>
    <cellStyle name="Header2 2 2 2 6 2 2" xfId="23429" xr:uid="{00000000-0005-0000-0000-00007F5B0000}"/>
    <cellStyle name="Header2 2 2 2 6 2 2 2" xfId="23430" xr:uid="{00000000-0005-0000-0000-0000805B0000}"/>
    <cellStyle name="Header2 2 2 2 6 2 2 3" xfId="23431" xr:uid="{00000000-0005-0000-0000-0000815B0000}"/>
    <cellStyle name="Header2 2 2 2 6 2 2 4" xfId="23432" xr:uid="{00000000-0005-0000-0000-0000825B0000}"/>
    <cellStyle name="Header2 2 2 2 6 2 2 5" xfId="23433" xr:uid="{00000000-0005-0000-0000-0000835B0000}"/>
    <cellStyle name="Header2 2 2 2 6 2 3" xfId="23434" xr:uid="{00000000-0005-0000-0000-0000845B0000}"/>
    <cellStyle name="Header2 2 2 2 6 2 4" xfId="23435" xr:uid="{00000000-0005-0000-0000-0000855B0000}"/>
    <cellStyle name="Header2 2 2 2 6 3" xfId="23436" xr:uid="{00000000-0005-0000-0000-0000865B0000}"/>
    <cellStyle name="Header2 2 2 2 6 3 2" xfId="23437" xr:uid="{00000000-0005-0000-0000-0000875B0000}"/>
    <cellStyle name="Header2 2 2 2 6 3 2 2" xfId="23438" xr:uid="{00000000-0005-0000-0000-0000885B0000}"/>
    <cellStyle name="Header2 2 2 2 6 3 2 3" xfId="23439" xr:uid="{00000000-0005-0000-0000-0000895B0000}"/>
    <cellStyle name="Header2 2 2 2 6 3 2 4" xfId="23440" xr:uid="{00000000-0005-0000-0000-00008A5B0000}"/>
    <cellStyle name="Header2 2 2 2 6 3 2 5" xfId="23441" xr:uid="{00000000-0005-0000-0000-00008B5B0000}"/>
    <cellStyle name="Header2 2 2 2 6 3 3" xfId="23442" xr:uid="{00000000-0005-0000-0000-00008C5B0000}"/>
    <cellStyle name="Header2 2 2 2 6 3 4" xfId="23443" xr:uid="{00000000-0005-0000-0000-00008D5B0000}"/>
    <cellStyle name="Header2 2 2 2 6 4" xfId="23444" xr:uid="{00000000-0005-0000-0000-00008E5B0000}"/>
    <cellStyle name="Header2 2 2 2 6 4 2" xfId="23445" xr:uid="{00000000-0005-0000-0000-00008F5B0000}"/>
    <cellStyle name="Header2 2 2 2 6 4 3" xfId="23446" xr:uid="{00000000-0005-0000-0000-0000905B0000}"/>
    <cellStyle name="Header2 2 2 2 6 4 4" xfId="23447" xr:uid="{00000000-0005-0000-0000-0000915B0000}"/>
    <cellStyle name="Header2 2 2 2 6 4 5" xfId="23448" xr:uid="{00000000-0005-0000-0000-0000925B0000}"/>
    <cellStyle name="Header2 2 2 2 6 5" xfId="23449" xr:uid="{00000000-0005-0000-0000-0000935B0000}"/>
    <cellStyle name="Header2 2 2 2 6 6" xfId="23450" xr:uid="{00000000-0005-0000-0000-0000945B0000}"/>
    <cellStyle name="Header2 2 2 2 7" xfId="23451" xr:uid="{00000000-0005-0000-0000-0000955B0000}"/>
    <cellStyle name="Header2 2 2 2 7 2" xfId="23452" xr:uid="{00000000-0005-0000-0000-0000965B0000}"/>
    <cellStyle name="Header2 2 2 2 7 2 2" xfId="23453" xr:uid="{00000000-0005-0000-0000-0000975B0000}"/>
    <cellStyle name="Header2 2 2 2 7 2 3" xfId="23454" xr:uid="{00000000-0005-0000-0000-0000985B0000}"/>
    <cellStyle name="Header2 2 2 2 7 2 4" xfId="23455" xr:uid="{00000000-0005-0000-0000-0000995B0000}"/>
    <cellStyle name="Header2 2 2 2 7 2 5" xfId="23456" xr:uid="{00000000-0005-0000-0000-00009A5B0000}"/>
    <cellStyle name="Header2 2 2 2 7 3" xfId="23457" xr:uid="{00000000-0005-0000-0000-00009B5B0000}"/>
    <cellStyle name="Header2 2 2 2 7 4" xfId="23458" xr:uid="{00000000-0005-0000-0000-00009C5B0000}"/>
    <cellStyle name="Header2 2 2 2 8" xfId="23459" xr:uid="{00000000-0005-0000-0000-00009D5B0000}"/>
    <cellStyle name="Header2 2 2 2 8 2" xfId="23460" xr:uid="{00000000-0005-0000-0000-00009E5B0000}"/>
    <cellStyle name="Header2 2 2 2 8 2 2" xfId="23461" xr:uid="{00000000-0005-0000-0000-00009F5B0000}"/>
    <cellStyle name="Header2 2 2 2 8 2 3" xfId="23462" xr:uid="{00000000-0005-0000-0000-0000A05B0000}"/>
    <cellStyle name="Header2 2 2 2 8 2 4" xfId="23463" xr:uid="{00000000-0005-0000-0000-0000A15B0000}"/>
    <cellStyle name="Header2 2 2 2 8 2 5" xfId="23464" xr:uid="{00000000-0005-0000-0000-0000A25B0000}"/>
    <cellStyle name="Header2 2 2 2 8 3" xfId="23465" xr:uid="{00000000-0005-0000-0000-0000A35B0000}"/>
    <cellStyle name="Header2 2 2 2 8 4" xfId="23466" xr:uid="{00000000-0005-0000-0000-0000A45B0000}"/>
    <cellStyle name="Header2 2 2 2 9" xfId="23467" xr:uid="{00000000-0005-0000-0000-0000A55B0000}"/>
    <cellStyle name="Header2 2 2 2 9 2" xfId="23468" xr:uid="{00000000-0005-0000-0000-0000A65B0000}"/>
    <cellStyle name="Header2 2 2 2 9 3" xfId="23469" xr:uid="{00000000-0005-0000-0000-0000A75B0000}"/>
    <cellStyle name="Header2 2 2 2 9 4" xfId="23470" xr:uid="{00000000-0005-0000-0000-0000A85B0000}"/>
    <cellStyle name="Header2 2 2 2 9 5" xfId="23471" xr:uid="{00000000-0005-0000-0000-0000A95B0000}"/>
    <cellStyle name="Header2 2 2 3" xfId="23472" xr:uid="{00000000-0005-0000-0000-0000AA5B0000}"/>
    <cellStyle name="Header2 2 2 3 2" xfId="23473" xr:uid="{00000000-0005-0000-0000-0000AB5B0000}"/>
    <cellStyle name="Header2 2 2 3 2 2" xfId="23474" xr:uid="{00000000-0005-0000-0000-0000AC5B0000}"/>
    <cellStyle name="Header2 2 2 3 2 2 2" xfId="23475" xr:uid="{00000000-0005-0000-0000-0000AD5B0000}"/>
    <cellStyle name="Header2 2 2 3 2 2 3" xfId="23476" xr:uid="{00000000-0005-0000-0000-0000AE5B0000}"/>
    <cellStyle name="Header2 2 2 3 2 2 4" xfId="23477" xr:uid="{00000000-0005-0000-0000-0000AF5B0000}"/>
    <cellStyle name="Header2 2 2 3 2 2 5" xfId="23478" xr:uid="{00000000-0005-0000-0000-0000B05B0000}"/>
    <cellStyle name="Header2 2 2 3 2 3" xfId="23479" xr:uid="{00000000-0005-0000-0000-0000B15B0000}"/>
    <cellStyle name="Header2 2 2 3 2 4" xfId="23480" xr:uid="{00000000-0005-0000-0000-0000B25B0000}"/>
    <cellStyle name="Header2 2 2 3 3" xfId="23481" xr:uid="{00000000-0005-0000-0000-0000B35B0000}"/>
    <cellStyle name="Header2 2 2 3 3 2" xfId="23482" xr:uid="{00000000-0005-0000-0000-0000B45B0000}"/>
    <cellStyle name="Header2 2 2 3 3 2 2" xfId="23483" xr:uid="{00000000-0005-0000-0000-0000B55B0000}"/>
    <cellStyle name="Header2 2 2 3 3 2 3" xfId="23484" xr:uid="{00000000-0005-0000-0000-0000B65B0000}"/>
    <cellStyle name="Header2 2 2 3 3 2 4" xfId="23485" xr:uid="{00000000-0005-0000-0000-0000B75B0000}"/>
    <cellStyle name="Header2 2 2 3 3 2 5" xfId="23486" xr:uid="{00000000-0005-0000-0000-0000B85B0000}"/>
    <cellStyle name="Header2 2 2 3 3 3" xfId="23487" xr:uid="{00000000-0005-0000-0000-0000B95B0000}"/>
    <cellStyle name="Header2 2 2 3 3 4" xfId="23488" xr:uid="{00000000-0005-0000-0000-0000BA5B0000}"/>
    <cellStyle name="Header2 2 2 3 4" xfId="23489" xr:uid="{00000000-0005-0000-0000-0000BB5B0000}"/>
    <cellStyle name="Header2 2 2 3 4 2" xfId="23490" xr:uid="{00000000-0005-0000-0000-0000BC5B0000}"/>
    <cellStyle name="Header2 2 2 3 4 3" xfId="23491" xr:uid="{00000000-0005-0000-0000-0000BD5B0000}"/>
    <cellStyle name="Header2 2 2 3 4 4" xfId="23492" xr:uid="{00000000-0005-0000-0000-0000BE5B0000}"/>
    <cellStyle name="Header2 2 2 3 4 5" xfId="23493" xr:uid="{00000000-0005-0000-0000-0000BF5B0000}"/>
    <cellStyle name="Header2 2 2 3 5" xfId="23494" xr:uid="{00000000-0005-0000-0000-0000C05B0000}"/>
    <cellStyle name="Header2 2 2 3 6" xfId="23495" xr:uid="{00000000-0005-0000-0000-0000C15B0000}"/>
    <cellStyle name="Header2 2 2 4" xfId="23496" xr:uid="{00000000-0005-0000-0000-0000C25B0000}"/>
    <cellStyle name="Header2 2 2 4 2" xfId="23497" xr:uid="{00000000-0005-0000-0000-0000C35B0000}"/>
    <cellStyle name="Header2 2 2 4 2 2" xfId="23498" xr:uid="{00000000-0005-0000-0000-0000C45B0000}"/>
    <cellStyle name="Header2 2 2 4 2 2 2" xfId="23499" xr:uid="{00000000-0005-0000-0000-0000C55B0000}"/>
    <cellStyle name="Header2 2 2 4 2 2 3" xfId="23500" xr:uid="{00000000-0005-0000-0000-0000C65B0000}"/>
    <cellStyle name="Header2 2 2 4 2 2 4" xfId="23501" xr:uid="{00000000-0005-0000-0000-0000C75B0000}"/>
    <cellStyle name="Header2 2 2 4 2 2 5" xfId="23502" xr:uid="{00000000-0005-0000-0000-0000C85B0000}"/>
    <cellStyle name="Header2 2 2 4 2 3" xfId="23503" xr:uid="{00000000-0005-0000-0000-0000C95B0000}"/>
    <cellStyle name="Header2 2 2 4 2 4" xfId="23504" xr:uid="{00000000-0005-0000-0000-0000CA5B0000}"/>
    <cellStyle name="Header2 2 2 4 3" xfId="23505" xr:uid="{00000000-0005-0000-0000-0000CB5B0000}"/>
    <cellStyle name="Header2 2 2 4 3 2" xfId="23506" xr:uid="{00000000-0005-0000-0000-0000CC5B0000}"/>
    <cellStyle name="Header2 2 2 4 3 2 2" xfId="23507" xr:uid="{00000000-0005-0000-0000-0000CD5B0000}"/>
    <cellStyle name="Header2 2 2 4 3 2 3" xfId="23508" xr:uid="{00000000-0005-0000-0000-0000CE5B0000}"/>
    <cellStyle name="Header2 2 2 4 3 2 4" xfId="23509" xr:uid="{00000000-0005-0000-0000-0000CF5B0000}"/>
    <cellStyle name="Header2 2 2 4 3 2 5" xfId="23510" xr:uid="{00000000-0005-0000-0000-0000D05B0000}"/>
    <cellStyle name="Header2 2 2 4 3 3" xfId="23511" xr:uid="{00000000-0005-0000-0000-0000D15B0000}"/>
    <cellStyle name="Header2 2 2 4 3 4" xfId="23512" xr:uid="{00000000-0005-0000-0000-0000D25B0000}"/>
    <cellStyle name="Header2 2 2 4 4" xfId="23513" xr:uid="{00000000-0005-0000-0000-0000D35B0000}"/>
    <cellStyle name="Header2 2 2 4 4 2" xfId="23514" xr:uid="{00000000-0005-0000-0000-0000D45B0000}"/>
    <cellStyle name="Header2 2 2 4 4 3" xfId="23515" xr:uid="{00000000-0005-0000-0000-0000D55B0000}"/>
    <cellStyle name="Header2 2 2 4 4 4" xfId="23516" xr:uid="{00000000-0005-0000-0000-0000D65B0000}"/>
    <cellStyle name="Header2 2 2 4 4 5" xfId="23517" xr:uid="{00000000-0005-0000-0000-0000D75B0000}"/>
    <cellStyle name="Header2 2 2 4 5" xfId="23518" xr:uid="{00000000-0005-0000-0000-0000D85B0000}"/>
    <cellStyle name="Header2 2 2 4 6" xfId="23519" xr:uid="{00000000-0005-0000-0000-0000D95B0000}"/>
    <cellStyle name="Header2 2 2 5" xfId="23520" xr:uid="{00000000-0005-0000-0000-0000DA5B0000}"/>
    <cellStyle name="Header2 2 2 5 2" xfId="23521" xr:uid="{00000000-0005-0000-0000-0000DB5B0000}"/>
    <cellStyle name="Header2 2 2 5 2 2" xfId="23522" xr:uid="{00000000-0005-0000-0000-0000DC5B0000}"/>
    <cellStyle name="Header2 2 2 5 2 2 2" xfId="23523" xr:uid="{00000000-0005-0000-0000-0000DD5B0000}"/>
    <cellStyle name="Header2 2 2 5 2 2 3" xfId="23524" xr:uid="{00000000-0005-0000-0000-0000DE5B0000}"/>
    <cellStyle name="Header2 2 2 5 2 2 4" xfId="23525" xr:uid="{00000000-0005-0000-0000-0000DF5B0000}"/>
    <cellStyle name="Header2 2 2 5 2 2 5" xfId="23526" xr:uid="{00000000-0005-0000-0000-0000E05B0000}"/>
    <cellStyle name="Header2 2 2 5 2 3" xfId="23527" xr:uid="{00000000-0005-0000-0000-0000E15B0000}"/>
    <cellStyle name="Header2 2 2 5 2 4" xfId="23528" xr:uid="{00000000-0005-0000-0000-0000E25B0000}"/>
    <cellStyle name="Header2 2 2 5 3" xfId="23529" xr:uid="{00000000-0005-0000-0000-0000E35B0000}"/>
    <cellStyle name="Header2 2 2 5 3 2" xfId="23530" xr:uid="{00000000-0005-0000-0000-0000E45B0000}"/>
    <cellStyle name="Header2 2 2 5 3 2 2" xfId="23531" xr:uid="{00000000-0005-0000-0000-0000E55B0000}"/>
    <cellStyle name="Header2 2 2 5 3 2 3" xfId="23532" xr:uid="{00000000-0005-0000-0000-0000E65B0000}"/>
    <cellStyle name="Header2 2 2 5 3 2 4" xfId="23533" xr:uid="{00000000-0005-0000-0000-0000E75B0000}"/>
    <cellStyle name="Header2 2 2 5 3 2 5" xfId="23534" xr:uid="{00000000-0005-0000-0000-0000E85B0000}"/>
    <cellStyle name="Header2 2 2 5 3 3" xfId="23535" xr:uid="{00000000-0005-0000-0000-0000E95B0000}"/>
    <cellStyle name="Header2 2 2 5 3 4" xfId="23536" xr:uid="{00000000-0005-0000-0000-0000EA5B0000}"/>
    <cellStyle name="Header2 2 2 5 4" xfId="23537" xr:uid="{00000000-0005-0000-0000-0000EB5B0000}"/>
    <cellStyle name="Header2 2 2 5 4 2" xfId="23538" xr:uid="{00000000-0005-0000-0000-0000EC5B0000}"/>
    <cellStyle name="Header2 2 2 5 4 3" xfId="23539" xr:uid="{00000000-0005-0000-0000-0000ED5B0000}"/>
    <cellStyle name="Header2 2 2 5 4 4" xfId="23540" xr:uid="{00000000-0005-0000-0000-0000EE5B0000}"/>
    <cellStyle name="Header2 2 2 5 4 5" xfId="23541" xr:uid="{00000000-0005-0000-0000-0000EF5B0000}"/>
    <cellStyle name="Header2 2 2 5 5" xfId="23542" xr:uid="{00000000-0005-0000-0000-0000F05B0000}"/>
    <cellStyle name="Header2 2 2 5 6" xfId="23543" xr:uid="{00000000-0005-0000-0000-0000F15B0000}"/>
    <cellStyle name="Header2 2 2 6" xfId="23544" xr:uid="{00000000-0005-0000-0000-0000F25B0000}"/>
    <cellStyle name="Header2 2 2 6 2" xfId="23545" xr:uid="{00000000-0005-0000-0000-0000F35B0000}"/>
    <cellStyle name="Header2 2 2 6 2 2" xfId="23546" xr:uid="{00000000-0005-0000-0000-0000F45B0000}"/>
    <cellStyle name="Header2 2 2 6 2 2 2" xfId="23547" xr:uid="{00000000-0005-0000-0000-0000F55B0000}"/>
    <cellStyle name="Header2 2 2 6 2 2 3" xfId="23548" xr:uid="{00000000-0005-0000-0000-0000F65B0000}"/>
    <cellStyle name="Header2 2 2 6 2 2 4" xfId="23549" xr:uid="{00000000-0005-0000-0000-0000F75B0000}"/>
    <cellStyle name="Header2 2 2 6 2 2 5" xfId="23550" xr:uid="{00000000-0005-0000-0000-0000F85B0000}"/>
    <cellStyle name="Header2 2 2 6 2 3" xfId="23551" xr:uid="{00000000-0005-0000-0000-0000F95B0000}"/>
    <cellStyle name="Header2 2 2 6 2 4" xfId="23552" xr:uid="{00000000-0005-0000-0000-0000FA5B0000}"/>
    <cellStyle name="Header2 2 2 6 3" xfId="23553" xr:uid="{00000000-0005-0000-0000-0000FB5B0000}"/>
    <cellStyle name="Header2 2 2 6 3 2" xfId="23554" xr:uid="{00000000-0005-0000-0000-0000FC5B0000}"/>
    <cellStyle name="Header2 2 2 6 3 2 2" xfId="23555" xr:uid="{00000000-0005-0000-0000-0000FD5B0000}"/>
    <cellStyle name="Header2 2 2 6 3 2 3" xfId="23556" xr:uid="{00000000-0005-0000-0000-0000FE5B0000}"/>
    <cellStyle name="Header2 2 2 6 3 2 4" xfId="23557" xr:uid="{00000000-0005-0000-0000-0000FF5B0000}"/>
    <cellStyle name="Header2 2 2 6 3 2 5" xfId="23558" xr:uid="{00000000-0005-0000-0000-0000005C0000}"/>
    <cellStyle name="Header2 2 2 6 3 3" xfId="23559" xr:uid="{00000000-0005-0000-0000-0000015C0000}"/>
    <cellStyle name="Header2 2 2 6 3 4" xfId="23560" xr:uid="{00000000-0005-0000-0000-0000025C0000}"/>
    <cellStyle name="Header2 2 2 6 4" xfId="23561" xr:uid="{00000000-0005-0000-0000-0000035C0000}"/>
    <cellStyle name="Header2 2 2 6 4 2" xfId="23562" xr:uid="{00000000-0005-0000-0000-0000045C0000}"/>
    <cellStyle name="Header2 2 2 6 4 3" xfId="23563" xr:uid="{00000000-0005-0000-0000-0000055C0000}"/>
    <cellStyle name="Header2 2 2 6 4 4" xfId="23564" xr:uid="{00000000-0005-0000-0000-0000065C0000}"/>
    <cellStyle name="Header2 2 2 6 4 5" xfId="23565" xr:uid="{00000000-0005-0000-0000-0000075C0000}"/>
    <cellStyle name="Header2 2 2 6 5" xfId="23566" xr:uid="{00000000-0005-0000-0000-0000085C0000}"/>
    <cellStyle name="Header2 2 2 6 6" xfId="23567" xr:uid="{00000000-0005-0000-0000-0000095C0000}"/>
    <cellStyle name="Header2 2 2 7" xfId="23568" xr:uid="{00000000-0005-0000-0000-00000A5C0000}"/>
    <cellStyle name="Header2 2 2 7 2" xfId="23569" xr:uid="{00000000-0005-0000-0000-00000B5C0000}"/>
    <cellStyle name="Header2 2 2 7 2 2" xfId="23570" xr:uid="{00000000-0005-0000-0000-00000C5C0000}"/>
    <cellStyle name="Header2 2 2 7 2 2 2" xfId="23571" xr:uid="{00000000-0005-0000-0000-00000D5C0000}"/>
    <cellStyle name="Header2 2 2 7 2 2 3" xfId="23572" xr:uid="{00000000-0005-0000-0000-00000E5C0000}"/>
    <cellStyle name="Header2 2 2 7 2 2 4" xfId="23573" xr:uid="{00000000-0005-0000-0000-00000F5C0000}"/>
    <cellStyle name="Header2 2 2 7 2 2 5" xfId="23574" xr:uid="{00000000-0005-0000-0000-0000105C0000}"/>
    <cellStyle name="Header2 2 2 7 2 3" xfId="23575" xr:uid="{00000000-0005-0000-0000-0000115C0000}"/>
    <cellStyle name="Header2 2 2 7 2 4" xfId="23576" xr:uid="{00000000-0005-0000-0000-0000125C0000}"/>
    <cellStyle name="Header2 2 2 7 3" xfId="23577" xr:uid="{00000000-0005-0000-0000-0000135C0000}"/>
    <cellStyle name="Header2 2 2 7 3 2" xfId="23578" xr:uid="{00000000-0005-0000-0000-0000145C0000}"/>
    <cellStyle name="Header2 2 2 7 3 2 2" xfId="23579" xr:uid="{00000000-0005-0000-0000-0000155C0000}"/>
    <cellStyle name="Header2 2 2 7 3 2 3" xfId="23580" xr:uid="{00000000-0005-0000-0000-0000165C0000}"/>
    <cellStyle name="Header2 2 2 7 3 2 4" xfId="23581" xr:uid="{00000000-0005-0000-0000-0000175C0000}"/>
    <cellStyle name="Header2 2 2 7 3 2 5" xfId="23582" xr:uid="{00000000-0005-0000-0000-0000185C0000}"/>
    <cellStyle name="Header2 2 2 7 3 3" xfId="23583" xr:uid="{00000000-0005-0000-0000-0000195C0000}"/>
    <cellStyle name="Header2 2 2 7 3 4" xfId="23584" xr:uid="{00000000-0005-0000-0000-00001A5C0000}"/>
    <cellStyle name="Header2 2 2 7 4" xfId="23585" xr:uid="{00000000-0005-0000-0000-00001B5C0000}"/>
    <cellStyle name="Header2 2 2 7 4 2" xfId="23586" xr:uid="{00000000-0005-0000-0000-00001C5C0000}"/>
    <cellStyle name="Header2 2 2 7 4 3" xfId="23587" xr:uid="{00000000-0005-0000-0000-00001D5C0000}"/>
    <cellStyle name="Header2 2 2 7 4 4" xfId="23588" xr:uid="{00000000-0005-0000-0000-00001E5C0000}"/>
    <cellStyle name="Header2 2 2 7 4 5" xfId="23589" xr:uid="{00000000-0005-0000-0000-00001F5C0000}"/>
    <cellStyle name="Header2 2 2 7 5" xfId="23590" xr:uid="{00000000-0005-0000-0000-0000205C0000}"/>
    <cellStyle name="Header2 2 2 7 6" xfId="23591" xr:uid="{00000000-0005-0000-0000-0000215C0000}"/>
    <cellStyle name="Header2 2 2 8" xfId="23592" xr:uid="{00000000-0005-0000-0000-0000225C0000}"/>
    <cellStyle name="Header2 2 2 8 2" xfId="23593" xr:uid="{00000000-0005-0000-0000-0000235C0000}"/>
    <cellStyle name="Header2 2 2 8 2 2" xfId="23594" xr:uid="{00000000-0005-0000-0000-0000245C0000}"/>
    <cellStyle name="Header2 2 2 8 2 3" xfId="23595" xr:uid="{00000000-0005-0000-0000-0000255C0000}"/>
    <cellStyle name="Header2 2 2 8 2 4" xfId="23596" xr:uid="{00000000-0005-0000-0000-0000265C0000}"/>
    <cellStyle name="Header2 2 2 8 2 5" xfId="23597" xr:uid="{00000000-0005-0000-0000-0000275C0000}"/>
    <cellStyle name="Header2 2 2 8 3" xfId="23598" xr:uid="{00000000-0005-0000-0000-0000285C0000}"/>
    <cellStyle name="Header2 2 2 8 4" xfId="23599" xr:uid="{00000000-0005-0000-0000-0000295C0000}"/>
    <cellStyle name="Header2 2 2 9" xfId="23600" xr:uid="{00000000-0005-0000-0000-00002A5C0000}"/>
    <cellStyle name="Header2 2 2 9 2" xfId="23601" xr:uid="{00000000-0005-0000-0000-00002B5C0000}"/>
    <cellStyle name="Header2 2 2 9 2 2" xfId="23602" xr:uid="{00000000-0005-0000-0000-00002C5C0000}"/>
    <cellStyle name="Header2 2 2 9 2 3" xfId="23603" xr:uid="{00000000-0005-0000-0000-00002D5C0000}"/>
    <cellStyle name="Header2 2 2 9 2 4" xfId="23604" xr:uid="{00000000-0005-0000-0000-00002E5C0000}"/>
    <cellStyle name="Header2 2 2 9 2 5" xfId="23605" xr:uid="{00000000-0005-0000-0000-00002F5C0000}"/>
    <cellStyle name="Header2 2 2 9 3" xfId="23606" xr:uid="{00000000-0005-0000-0000-0000305C0000}"/>
    <cellStyle name="Header2 2 2 9 4" xfId="23607" xr:uid="{00000000-0005-0000-0000-0000315C0000}"/>
    <cellStyle name="Header2 2 3" xfId="23608" xr:uid="{00000000-0005-0000-0000-0000325C0000}"/>
    <cellStyle name="Header2 2 3 10" xfId="23609" xr:uid="{00000000-0005-0000-0000-0000335C0000}"/>
    <cellStyle name="Header2 2 3 11" xfId="23610" xr:uid="{00000000-0005-0000-0000-0000345C0000}"/>
    <cellStyle name="Header2 2 3 2" xfId="23611" xr:uid="{00000000-0005-0000-0000-0000355C0000}"/>
    <cellStyle name="Header2 2 3 2 2" xfId="23612" xr:uid="{00000000-0005-0000-0000-0000365C0000}"/>
    <cellStyle name="Header2 2 3 2 2 2" xfId="23613" xr:uid="{00000000-0005-0000-0000-0000375C0000}"/>
    <cellStyle name="Header2 2 3 2 2 2 2" xfId="23614" xr:uid="{00000000-0005-0000-0000-0000385C0000}"/>
    <cellStyle name="Header2 2 3 2 2 2 3" xfId="23615" xr:uid="{00000000-0005-0000-0000-0000395C0000}"/>
    <cellStyle name="Header2 2 3 2 2 2 4" xfId="23616" xr:uid="{00000000-0005-0000-0000-00003A5C0000}"/>
    <cellStyle name="Header2 2 3 2 2 2 5" xfId="23617" xr:uid="{00000000-0005-0000-0000-00003B5C0000}"/>
    <cellStyle name="Header2 2 3 2 2 3" xfId="23618" xr:uid="{00000000-0005-0000-0000-00003C5C0000}"/>
    <cellStyle name="Header2 2 3 2 2 4" xfId="23619" xr:uid="{00000000-0005-0000-0000-00003D5C0000}"/>
    <cellStyle name="Header2 2 3 2 3" xfId="23620" xr:uid="{00000000-0005-0000-0000-00003E5C0000}"/>
    <cellStyle name="Header2 2 3 2 3 2" xfId="23621" xr:uid="{00000000-0005-0000-0000-00003F5C0000}"/>
    <cellStyle name="Header2 2 3 2 3 2 2" xfId="23622" xr:uid="{00000000-0005-0000-0000-0000405C0000}"/>
    <cellStyle name="Header2 2 3 2 3 2 3" xfId="23623" xr:uid="{00000000-0005-0000-0000-0000415C0000}"/>
    <cellStyle name="Header2 2 3 2 3 2 4" xfId="23624" xr:uid="{00000000-0005-0000-0000-0000425C0000}"/>
    <cellStyle name="Header2 2 3 2 3 2 5" xfId="23625" xr:uid="{00000000-0005-0000-0000-0000435C0000}"/>
    <cellStyle name="Header2 2 3 2 3 3" xfId="23626" xr:uid="{00000000-0005-0000-0000-0000445C0000}"/>
    <cellStyle name="Header2 2 3 2 3 4" xfId="23627" xr:uid="{00000000-0005-0000-0000-0000455C0000}"/>
    <cellStyle name="Header2 2 3 2 4" xfId="23628" xr:uid="{00000000-0005-0000-0000-0000465C0000}"/>
    <cellStyle name="Header2 2 3 2 4 2" xfId="23629" xr:uid="{00000000-0005-0000-0000-0000475C0000}"/>
    <cellStyle name="Header2 2 3 2 4 3" xfId="23630" xr:uid="{00000000-0005-0000-0000-0000485C0000}"/>
    <cellStyle name="Header2 2 3 2 4 4" xfId="23631" xr:uid="{00000000-0005-0000-0000-0000495C0000}"/>
    <cellStyle name="Header2 2 3 2 4 5" xfId="23632" xr:uid="{00000000-0005-0000-0000-00004A5C0000}"/>
    <cellStyle name="Header2 2 3 2 5" xfId="23633" xr:uid="{00000000-0005-0000-0000-00004B5C0000}"/>
    <cellStyle name="Header2 2 3 2 6" xfId="23634" xr:uid="{00000000-0005-0000-0000-00004C5C0000}"/>
    <cellStyle name="Header2 2 3 3" xfId="23635" xr:uid="{00000000-0005-0000-0000-00004D5C0000}"/>
    <cellStyle name="Header2 2 3 3 2" xfId="23636" xr:uid="{00000000-0005-0000-0000-00004E5C0000}"/>
    <cellStyle name="Header2 2 3 3 2 2" xfId="23637" xr:uid="{00000000-0005-0000-0000-00004F5C0000}"/>
    <cellStyle name="Header2 2 3 3 2 2 2" xfId="23638" xr:uid="{00000000-0005-0000-0000-0000505C0000}"/>
    <cellStyle name="Header2 2 3 3 2 2 3" xfId="23639" xr:uid="{00000000-0005-0000-0000-0000515C0000}"/>
    <cellStyle name="Header2 2 3 3 2 2 4" xfId="23640" xr:uid="{00000000-0005-0000-0000-0000525C0000}"/>
    <cellStyle name="Header2 2 3 3 2 2 5" xfId="23641" xr:uid="{00000000-0005-0000-0000-0000535C0000}"/>
    <cellStyle name="Header2 2 3 3 2 3" xfId="23642" xr:uid="{00000000-0005-0000-0000-0000545C0000}"/>
    <cellStyle name="Header2 2 3 3 2 4" xfId="23643" xr:uid="{00000000-0005-0000-0000-0000555C0000}"/>
    <cellStyle name="Header2 2 3 3 3" xfId="23644" xr:uid="{00000000-0005-0000-0000-0000565C0000}"/>
    <cellStyle name="Header2 2 3 3 3 2" xfId="23645" xr:uid="{00000000-0005-0000-0000-0000575C0000}"/>
    <cellStyle name="Header2 2 3 3 3 2 2" xfId="23646" xr:uid="{00000000-0005-0000-0000-0000585C0000}"/>
    <cellStyle name="Header2 2 3 3 3 2 3" xfId="23647" xr:uid="{00000000-0005-0000-0000-0000595C0000}"/>
    <cellStyle name="Header2 2 3 3 3 2 4" xfId="23648" xr:uid="{00000000-0005-0000-0000-00005A5C0000}"/>
    <cellStyle name="Header2 2 3 3 3 2 5" xfId="23649" xr:uid="{00000000-0005-0000-0000-00005B5C0000}"/>
    <cellStyle name="Header2 2 3 3 3 3" xfId="23650" xr:uid="{00000000-0005-0000-0000-00005C5C0000}"/>
    <cellStyle name="Header2 2 3 3 3 4" xfId="23651" xr:uid="{00000000-0005-0000-0000-00005D5C0000}"/>
    <cellStyle name="Header2 2 3 3 4" xfId="23652" xr:uid="{00000000-0005-0000-0000-00005E5C0000}"/>
    <cellStyle name="Header2 2 3 3 4 2" xfId="23653" xr:uid="{00000000-0005-0000-0000-00005F5C0000}"/>
    <cellStyle name="Header2 2 3 3 4 3" xfId="23654" xr:uid="{00000000-0005-0000-0000-0000605C0000}"/>
    <cellStyle name="Header2 2 3 3 4 4" xfId="23655" xr:uid="{00000000-0005-0000-0000-0000615C0000}"/>
    <cellStyle name="Header2 2 3 3 4 5" xfId="23656" xr:uid="{00000000-0005-0000-0000-0000625C0000}"/>
    <cellStyle name="Header2 2 3 3 5" xfId="23657" xr:uid="{00000000-0005-0000-0000-0000635C0000}"/>
    <cellStyle name="Header2 2 3 3 6" xfId="23658" xr:uid="{00000000-0005-0000-0000-0000645C0000}"/>
    <cellStyle name="Header2 2 3 4" xfId="23659" xr:uid="{00000000-0005-0000-0000-0000655C0000}"/>
    <cellStyle name="Header2 2 3 4 2" xfId="23660" xr:uid="{00000000-0005-0000-0000-0000665C0000}"/>
    <cellStyle name="Header2 2 3 4 2 2" xfId="23661" xr:uid="{00000000-0005-0000-0000-0000675C0000}"/>
    <cellStyle name="Header2 2 3 4 2 2 2" xfId="23662" xr:uid="{00000000-0005-0000-0000-0000685C0000}"/>
    <cellStyle name="Header2 2 3 4 2 2 3" xfId="23663" xr:uid="{00000000-0005-0000-0000-0000695C0000}"/>
    <cellStyle name="Header2 2 3 4 2 2 4" xfId="23664" xr:uid="{00000000-0005-0000-0000-00006A5C0000}"/>
    <cellStyle name="Header2 2 3 4 2 2 5" xfId="23665" xr:uid="{00000000-0005-0000-0000-00006B5C0000}"/>
    <cellStyle name="Header2 2 3 4 2 3" xfId="23666" xr:uid="{00000000-0005-0000-0000-00006C5C0000}"/>
    <cellStyle name="Header2 2 3 4 2 4" xfId="23667" xr:uid="{00000000-0005-0000-0000-00006D5C0000}"/>
    <cellStyle name="Header2 2 3 4 3" xfId="23668" xr:uid="{00000000-0005-0000-0000-00006E5C0000}"/>
    <cellStyle name="Header2 2 3 4 3 2" xfId="23669" xr:uid="{00000000-0005-0000-0000-00006F5C0000}"/>
    <cellStyle name="Header2 2 3 4 3 2 2" xfId="23670" xr:uid="{00000000-0005-0000-0000-0000705C0000}"/>
    <cellStyle name="Header2 2 3 4 3 2 3" xfId="23671" xr:uid="{00000000-0005-0000-0000-0000715C0000}"/>
    <cellStyle name="Header2 2 3 4 3 2 4" xfId="23672" xr:uid="{00000000-0005-0000-0000-0000725C0000}"/>
    <cellStyle name="Header2 2 3 4 3 2 5" xfId="23673" xr:uid="{00000000-0005-0000-0000-0000735C0000}"/>
    <cellStyle name="Header2 2 3 4 3 3" xfId="23674" xr:uid="{00000000-0005-0000-0000-0000745C0000}"/>
    <cellStyle name="Header2 2 3 4 3 4" xfId="23675" xr:uid="{00000000-0005-0000-0000-0000755C0000}"/>
    <cellStyle name="Header2 2 3 4 4" xfId="23676" xr:uid="{00000000-0005-0000-0000-0000765C0000}"/>
    <cellStyle name="Header2 2 3 4 4 2" xfId="23677" xr:uid="{00000000-0005-0000-0000-0000775C0000}"/>
    <cellStyle name="Header2 2 3 4 4 3" xfId="23678" xr:uid="{00000000-0005-0000-0000-0000785C0000}"/>
    <cellStyle name="Header2 2 3 4 4 4" xfId="23679" xr:uid="{00000000-0005-0000-0000-0000795C0000}"/>
    <cellStyle name="Header2 2 3 4 4 5" xfId="23680" xr:uid="{00000000-0005-0000-0000-00007A5C0000}"/>
    <cellStyle name="Header2 2 3 4 5" xfId="23681" xr:uid="{00000000-0005-0000-0000-00007B5C0000}"/>
    <cellStyle name="Header2 2 3 4 6" xfId="23682" xr:uid="{00000000-0005-0000-0000-00007C5C0000}"/>
    <cellStyle name="Header2 2 3 5" xfId="23683" xr:uid="{00000000-0005-0000-0000-00007D5C0000}"/>
    <cellStyle name="Header2 2 3 5 2" xfId="23684" xr:uid="{00000000-0005-0000-0000-00007E5C0000}"/>
    <cellStyle name="Header2 2 3 5 2 2" xfId="23685" xr:uid="{00000000-0005-0000-0000-00007F5C0000}"/>
    <cellStyle name="Header2 2 3 5 2 2 2" xfId="23686" xr:uid="{00000000-0005-0000-0000-0000805C0000}"/>
    <cellStyle name="Header2 2 3 5 2 2 3" xfId="23687" xr:uid="{00000000-0005-0000-0000-0000815C0000}"/>
    <cellStyle name="Header2 2 3 5 2 2 4" xfId="23688" xr:uid="{00000000-0005-0000-0000-0000825C0000}"/>
    <cellStyle name="Header2 2 3 5 2 2 5" xfId="23689" xr:uid="{00000000-0005-0000-0000-0000835C0000}"/>
    <cellStyle name="Header2 2 3 5 2 3" xfId="23690" xr:uid="{00000000-0005-0000-0000-0000845C0000}"/>
    <cellStyle name="Header2 2 3 5 2 4" xfId="23691" xr:uid="{00000000-0005-0000-0000-0000855C0000}"/>
    <cellStyle name="Header2 2 3 5 3" xfId="23692" xr:uid="{00000000-0005-0000-0000-0000865C0000}"/>
    <cellStyle name="Header2 2 3 5 3 2" xfId="23693" xr:uid="{00000000-0005-0000-0000-0000875C0000}"/>
    <cellStyle name="Header2 2 3 5 3 2 2" xfId="23694" xr:uid="{00000000-0005-0000-0000-0000885C0000}"/>
    <cellStyle name="Header2 2 3 5 3 2 3" xfId="23695" xr:uid="{00000000-0005-0000-0000-0000895C0000}"/>
    <cellStyle name="Header2 2 3 5 3 2 4" xfId="23696" xr:uid="{00000000-0005-0000-0000-00008A5C0000}"/>
    <cellStyle name="Header2 2 3 5 3 2 5" xfId="23697" xr:uid="{00000000-0005-0000-0000-00008B5C0000}"/>
    <cellStyle name="Header2 2 3 5 3 3" xfId="23698" xr:uid="{00000000-0005-0000-0000-00008C5C0000}"/>
    <cellStyle name="Header2 2 3 5 3 4" xfId="23699" xr:uid="{00000000-0005-0000-0000-00008D5C0000}"/>
    <cellStyle name="Header2 2 3 5 4" xfId="23700" xr:uid="{00000000-0005-0000-0000-00008E5C0000}"/>
    <cellStyle name="Header2 2 3 5 4 2" xfId="23701" xr:uid="{00000000-0005-0000-0000-00008F5C0000}"/>
    <cellStyle name="Header2 2 3 5 4 3" xfId="23702" xr:uid="{00000000-0005-0000-0000-0000905C0000}"/>
    <cellStyle name="Header2 2 3 5 4 4" xfId="23703" xr:uid="{00000000-0005-0000-0000-0000915C0000}"/>
    <cellStyle name="Header2 2 3 5 4 5" xfId="23704" xr:uid="{00000000-0005-0000-0000-0000925C0000}"/>
    <cellStyle name="Header2 2 3 5 5" xfId="23705" xr:uid="{00000000-0005-0000-0000-0000935C0000}"/>
    <cellStyle name="Header2 2 3 5 6" xfId="23706" xr:uid="{00000000-0005-0000-0000-0000945C0000}"/>
    <cellStyle name="Header2 2 3 6" xfId="23707" xr:uid="{00000000-0005-0000-0000-0000955C0000}"/>
    <cellStyle name="Header2 2 3 6 2" xfId="23708" xr:uid="{00000000-0005-0000-0000-0000965C0000}"/>
    <cellStyle name="Header2 2 3 6 2 2" xfId="23709" xr:uid="{00000000-0005-0000-0000-0000975C0000}"/>
    <cellStyle name="Header2 2 3 6 2 2 2" xfId="23710" xr:uid="{00000000-0005-0000-0000-0000985C0000}"/>
    <cellStyle name="Header2 2 3 6 2 2 3" xfId="23711" xr:uid="{00000000-0005-0000-0000-0000995C0000}"/>
    <cellStyle name="Header2 2 3 6 2 2 4" xfId="23712" xr:uid="{00000000-0005-0000-0000-00009A5C0000}"/>
    <cellStyle name="Header2 2 3 6 2 2 5" xfId="23713" xr:uid="{00000000-0005-0000-0000-00009B5C0000}"/>
    <cellStyle name="Header2 2 3 6 2 3" xfId="23714" xr:uid="{00000000-0005-0000-0000-00009C5C0000}"/>
    <cellStyle name="Header2 2 3 6 2 4" xfId="23715" xr:uid="{00000000-0005-0000-0000-00009D5C0000}"/>
    <cellStyle name="Header2 2 3 6 3" xfId="23716" xr:uid="{00000000-0005-0000-0000-00009E5C0000}"/>
    <cellStyle name="Header2 2 3 6 3 2" xfId="23717" xr:uid="{00000000-0005-0000-0000-00009F5C0000}"/>
    <cellStyle name="Header2 2 3 6 3 2 2" xfId="23718" xr:uid="{00000000-0005-0000-0000-0000A05C0000}"/>
    <cellStyle name="Header2 2 3 6 3 2 3" xfId="23719" xr:uid="{00000000-0005-0000-0000-0000A15C0000}"/>
    <cellStyle name="Header2 2 3 6 3 2 4" xfId="23720" xr:uid="{00000000-0005-0000-0000-0000A25C0000}"/>
    <cellStyle name="Header2 2 3 6 3 2 5" xfId="23721" xr:uid="{00000000-0005-0000-0000-0000A35C0000}"/>
    <cellStyle name="Header2 2 3 6 3 3" xfId="23722" xr:uid="{00000000-0005-0000-0000-0000A45C0000}"/>
    <cellStyle name="Header2 2 3 6 3 4" xfId="23723" xr:uid="{00000000-0005-0000-0000-0000A55C0000}"/>
    <cellStyle name="Header2 2 3 6 4" xfId="23724" xr:uid="{00000000-0005-0000-0000-0000A65C0000}"/>
    <cellStyle name="Header2 2 3 6 4 2" xfId="23725" xr:uid="{00000000-0005-0000-0000-0000A75C0000}"/>
    <cellStyle name="Header2 2 3 6 4 3" xfId="23726" xr:uid="{00000000-0005-0000-0000-0000A85C0000}"/>
    <cellStyle name="Header2 2 3 6 4 4" xfId="23727" xr:uid="{00000000-0005-0000-0000-0000A95C0000}"/>
    <cellStyle name="Header2 2 3 6 4 5" xfId="23728" xr:uid="{00000000-0005-0000-0000-0000AA5C0000}"/>
    <cellStyle name="Header2 2 3 6 5" xfId="23729" xr:uid="{00000000-0005-0000-0000-0000AB5C0000}"/>
    <cellStyle name="Header2 2 3 6 6" xfId="23730" xr:uid="{00000000-0005-0000-0000-0000AC5C0000}"/>
    <cellStyle name="Header2 2 3 7" xfId="23731" xr:uid="{00000000-0005-0000-0000-0000AD5C0000}"/>
    <cellStyle name="Header2 2 3 7 2" xfId="23732" xr:uid="{00000000-0005-0000-0000-0000AE5C0000}"/>
    <cellStyle name="Header2 2 3 7 2 2" xfId="23733" xr:uid="{00000000-0005-0000-0000-0000AF5C0000}"/>
    <cellStyle name="Header2 2 3 7 2 3" xfId="23734" xr:uid="{00000000-0005-0000-0000-0000B05C0000}"/>
    <cellStyle name="Header2 2 3 7 2 4" xfId="23735" xr:uid="{00000000-0005-0000-0000-0000B15C0000}"/>
    <cellStyle name="Header2 2 3 7 2 5" xfId="23736" xr:uid="{00000000-0005-0000-0000-0000B25C0000}"/>
    <cellStyle name="Header2 2 3 7 3" xfId="23737" xr:uid="{00000000-0005-0000-0000-0000B35C0000}"/>
    <cellStyle name="Header2 2 3 7 4" xfId="23738" xr:uid="{00000000-0005-0000-0000-0000B45C0000}"/>
    <cellStyle name="Header2 2 3 8" xfId="23739" xr:uid="{00000000-0005-0000-0000-0000B55C0000}"/>
    <cellStyle name="Header2 2 3 8 2" xfId="23740" xr:uid="{00000000-0005-0000-0000-0000B65C0000}"/>
    <cellStyle name="Header2 2 3 8 2 2" xfId="23741" xr:uid="{00000000-0005-0000-0000-0000B75C0000}"/>
    <cellStyle name="Header2 2 3 8 2 3" xfId="23742" xr:uid="{00000000-0005-0000-0000-0000B85C0000}"/>
    <cellStyle name="Header2 2 3 8 2 4" xfId="23743" xr:uid="{00000000-0005-0000-0000-0000B95C0000}"/>
    <cellStyle name="Header2 2 3 8 2 5" xfId="23744" xr:uid="{00000000-0005-0000-0000-0000BA5C0000}"/>
    <cellStyle name="Header2 2 3 8 3" xfId="23745" xr:uid="{00000000-0005-0000-0000-0000BB5C0000}"/>
    <cellStyle name="Header2 2 3 8 4" xfId="23746" xr:uid="{00000000-0005-0000-0000-0000BC5C0000}"/>
    <cellStyle name="Header2 2 3 9" xfId="23747" xr:uid="{00000000-0005-0000-0000-0000BD5C0000}"/>
    <cellStyle name="Header2 2 3 9 2" xfId="23748" xr:uid="{00000000-0005-0000-0000-0000BE5C0000}"/>
    <cellStyle name="Header2 2 3 9 3" xfId="23749" xr:uid="{00000000-0005-0000-0000-0000BF5C0000}"/>
    <cellStyle name="Header2 2 3 9 4" xfId="23750" xr:uid="{00000000-0005-0000-0000-0000C05C0000}"/>
    <cellStyle name="Header2 2 3 9 5" xfId="23751" xr:uid="{00000000-0005-0000-0000-0000C15C0000}"/>
    <cellStyle name="Header2 2 4" xfId="23752" xr:uid="{00000000-0005-0000-0000-0000C25C0000}"/>
    <cellStyle name="Header2 2 4 10" xfId="23753" xr:uid="{00000000-0005-0000-0000-0000C35C0000}"/>
    <cellStyle name="Header2 2 4 11" xfId="23754" xr:uid="{00000000-0005-0000-0000-0000C45C0000}"/>
    <cellStyle name="Header2 2 4 2" xfId="23755" xr:uid="{00000000-0005-0000-0000-0000C55C0000}"/>
    <cellStyle name="Header2 2 4 2 2" xfId="23756" xr:uid="{00000000-0005-0000-0000-0000C65C0000}"/>
    <cellStyle name="Header2 2 4 2 2 2" xfId="23757" xr:uid="{00000000-0005-0000-0000-0000C75C0000}"/>
    <cellStyle name="Header2 2 4 2 2 2 2" xfId="23758" xr:uid="{00000000-0005-0000-0000-0000C85C0000}"/>
    <cellStyle name="Header2 2 4 2 2 2 3" xfId="23759" xr:uid="{00000000-0005-0000-0000-0000C95C0000}"/>
    <cellStyle name="Header2 2 4 2 2 2 4" xfId="23760" xr:uid="{00000000-0005-0000-0000-0000CA5C0000}"/>
    <cellStyle name="Header2 2 4 2 2 2 5" xfId="23761" xr:uid="{00000000-0005-0000-0000-0000CB5C0000}"/>
    <cellStyle name="Header2 2 4 2 2 3" xfId="23762" xr:uid="{00000000-0005-0000-0000-0000CC5C0000}"/>
    <cellStyle name="Header2 2 4 2 2 4" xfId="23763" xr:uid="{00000000-0005-0000-0000-0000CD5C0000}"/>
    <cellStyle name="Header2 2 4 2 3" xfId="23764" xr:uid="{00000000-0005-0000-0000-0000CE5C0000}"/>
    <cellStyle name="Header2 2 4 2 3 2" xfId="23765" xr:uid="{00000000-0005-0000-0000-0000CF5C0000}"/>
    <cellStyle name="Header2 2 4 2 3 2 2" xfId="23766" xr:uid="{00000000-0005-0000-0000-0000D05C0000}"/>
    <cellStyle name="Header2 2 4 2 3 2 3" xfId="23767" xr:uid="{00000000-0005-0000-0000-0000D15C0000}"/>
    <cellStyle name="Header2 2 4 2 3 2 4" xfId="23768" xr:uid="{00000000-0005-0000-0000-0000D25C0000}"/>
    <cellStyle name="Header2 2 4 2 3 2 5" xfId="23769" xr:uid="{00000000-0005-0000-0000-0000D35C0000}"/>
    <cellStyle name="Header2 2 4 2 3 3" xfId="23770" xr:uid="{00000000-0005-0000-0000-0000D45C0000}"/>
    <cellStyle name="Header2 2 4 2 3 4" xfId="23771" xr:uid="{00000000-0005-0000-0000-0000D55C0000}"/>
    <cellStyle name="Header2 2 4 2 4" xfId="23772" xr:uid="{00000000-0005-0000-0000-0000D65C0000}"/>
    <cellStyle name="Header2 2 4 2 4 2" xfId="23773" xr:uid="{00000000-0005-0000-0000-0000D75C0000}"/>
    <cellStyle name="Header2 2 4 2 4 3" xfId="23774" xr:uid="{00000000-0005-0000-0000-0000D85C0000}"/>
    <cellStyle name="Header2 2 4 2 4 4" xfId="23775" xr:uid="{00000000-0005-0000-0000-0000D95C0000}"/>
    <cellStyle name="Header2 2 4 2 4 5" xfId="23776" xr:uid="{00000000-0005-0000-0000-0000DA5C0000}"/>
    <cellStyle name="Header2 2 4 2 5" xfId="23777" xr:uid="{00000000-0005-0000-0000-0000DB5C0000}"/>
    <cellStyle name="Header2 2 4 2 6" xfId="23778" xr:uid="{00000000-0005-0000-0000-0000DC5C0000}"/>
    <cellStyle name="Header2 2 4 3" xfId="23779" xr:uid="{00000000-0005-0000-0000-0000DD5C0000}"/>
    <cellStyle name="Header2 2 4 3 2" xfId="23780" xr:uid="{00000000-0005-0000-0000-0000DE5C0000}"/>
    <cellStyle name="Header2 2 4 3 2 2" xfId="23781" xr:uid="{00000000-0005-0000-0000-0000DF5C0000}"/>
    <cellStyle name="Header2 2 4 3 2 2 2" xfId="23782" xr:uid="{00000000-0005-0000-0000-0000E05C0000}"/>
    <cellStyle name="Header2 2 4 3 2 2 3" xfId="23783" xr:uid="{00000000-0005-0000-0000-0000E15C0000}"/>
    <cellStyle name="Header2 2 4 3 2 2 4" xfId="23784" xr:uid="{00000000-0005-0000-0000-0000E25C0000}"/>
    <cellStyle name="Header2 2 4 3 2 2 5" xfId="23785" xr:uid="{00000000-0005-0000-0000-0000E35C0000}"/>
    <cellStyle name="Header2 2 4 3 2 3" xfId="23786" xr:uid="{00000000-0005-0000-0000-0000E45C0000}"/>
    <cellStyle name="Header2 2 4 3 2 4" xfId="23787" xr:uid="{00000000-0005-0000-0000-0000E55C0000}"/>
    <cellStyle name="Header2 2 4 3 3" xfId="23788" xr:uid="{00000000-0005-0000-0000-0000E65C0000}"/>
    <cellStyle name="Header2 2 4 3 3 2" xfId="23789" xr:uid="{00000000-0005-0000-0000-0000E75C0000}"/>
    <cellStyle name="Header2 2 4 3 3 2 2" xfId="23790" xr:uid="{00000000-0005-0000-0000-0000E85C0000}"/>
    <cellStyle name="Header2 2 4 3 3 2 3" xfId="23791" xr:uid="{00000000-0005-0000-0000-0000E95C0000}"/>
    <cellStyle name="Header2 2 4 3 3 2 4" xfId="23792" xr:uid="{00000000-0005-0000-0000-0000EA5C0000}"/>
    <cellStyle name="Header2 2 4 3 3 2 5" xfId="23793" xr:uid="{00000000-0005-0000-0000-0000EB5C0000}"/>
    <cellStyle name="Header2 2 4 3 3 3" xfId="23794" xr:uid="{00000000-0005-0000-0000-0000EC5C0000}"/>
    <cellStyle name="Header2 2 4 3 3 4" xfId="23795" xr:uid="{00000000-0005-0000-0000-0000ED5C0000}"/>
    <cellStyle name="Header2 2 4 3 4" xfId="23796" xr:uid="{00000000-0005-0000-0000-0000EE5C0000}"/>
    <cellStyle name="Header2 2 4 3 4 2" xfId="23797" xr:uid="{00000000-0005-0000-0000-0000EF5C0000}"/>
    <cellStyle name="Header2 2 4 3 4 3" xfId="23798" xr:uid="{00000000-0005-0000-0000-0000F05C0000}"/>
    <cellStyle name="Header2 2 4 3 4 4" xfId="23799" xr:uid="{00000000-0005-0000-0000-0000F15C0000}"/>
    <cellStyle name="Header2 2 4 3 4 5" xfId="23800" xr:uid="{00000000-0005-0000-0000-0000F25C0000}"/>
    <cellStyle name="Header2 2 4 3 5" xfId="23801" xr:uid="{00000000-0005-0000-0000-0000F35C0000}"/>
    <cellStyle name="Header2 2 4 3 6" xfId="23802" xr:uid="{00000000-0005-0000-0000-0000F45C0000}"/>
    <cellStyle name="Header2 2 4 4" xfId="23803" xr:uid="{00000000-0005-0000-0000-0000F55C0000}"/>
    <cellStyle name="Header2 2 4 4 2" xfId="23804" xr:uid="{00000000-0005-0000-0000-0000F65C0000}"/>
    <cellStyle name="Header2 2 4 4 2 2" xfId="23805" xr:uid="{00000000-0005-0000-0000-0000F75C0000}"/>
    <cellStyle name="Header2 2 4 4 2 2 2" xfId="23806" xr:uid="{00000000-0005-0000-0000-0000F85C0000}"/>
    <cellStyle name="Header2 2 4 4 2 2 3" xfId="23807" xr:uid="{00000000-0005-0000-0000-0000F95C0000}"/>
    <cellStyle name="Header2 2 4 4 2 2 4" xfId="23808" xr:uid="{00000000-0005-0000-0000-0000FA5C0000}"/>
    <cellStyle name="Header2 2 4 4 2 2 5" xfId="23809" xr:uid="{00000000-0005-0000-0000-0000FB5C0000}"/>
    <cellStyle name="Header2 2 4 4 2 3" xfId="23810" xr:uid="{00000000-0005-0000-0000-0000FC5C0000}"/>
    <cellStyle name="Header2 2 4 4 2 4" xfId="23811" xr:uid="{00000000-0005-0000-0000-0000FD5C0000}"/>
    <cellStyle name="Header2 2 4 4 3" xfId="23812" xr:uid="{00000000-0005-0000-0000-0000FE5C0000}"/>
    <cellStyle name="Header2 2 4 4 3 2" xfId="23813" xr:uid="{00000000-0005-0000-0000-0000FF5C0000}"/>
    <cellStyle name="Header2 2 4 4 3 2 2" xfId="23814" xr:uid="{00000000-0005-0000-0000-0000005D0000}"/>
    <cellStyle name="Header2 2 4 4 3 2 3" xfId="23815" xr:uid="{00000000-0005-0000-0000-0000015D0000}"/>
    <cellStyle name="Header2 2 4 4 3 2 4" xfId="23816" xr:uid="{00000000-0005-0000-0000-0000025D0000}"/>
    <cellStyle name="Header2 2 4 4 3 2 5" xfId="23817" xr:uid="{00000000-0005-0000-0000-0000035D0000}"/>
    <cellStyle name="Header2 2 4 4 3 3" xfId="23818" xr:uid="{00000000-0005-0000-0000-0000045D0000}"/>
    <cellStyle name="Header2 2 4 4 3 4" xfId="23819" xr:uid="{00000000-0005-0000-0000-0000055D0000}"/>
    <cellStyle name="Header2 2 4 4 4" xfId="23820" xr:uid="{00000000-0005-0000-0000-0000065D0000}"/>
    <cellStyle name="Header2 2 4 4 4 2" xfId="23821" xr:uid="{00000000-0005-0000-0000-0000075D0000}"/>
    <cellStyle name="Header2 2 4 4 4 3" xfId="23822" xr:uid="{00000000-0005-0000-0000-0000085D0000}"/>
    <cellStyle name="Header2 2 4 4 4 4" xfId="23823" xr:uid="{00000000-0005-0000-0000-0000095D0000}"/>
    <cellStyle name="Header2 2 4 4 4 5" xfId="23824" xr:uid="{00000000-0005-0000-0000-00000A5D0000}"/>
    <cellStyle name="Header2 2 4 4 5" xfId="23825" xr:uid="{00000000-0005-0000-0000-00000B5D0000}"/>
    <cellStyle name="Header2 2 4 4 6" xfId="23826" xr:uid="{00000000-0005-0000-0000-00000C5D0000}"/>
    <cellStyle name="Header2 2 4 5" xfId="23827" xr:uid="{00000000-0005-0000-0000-00000D5D0000}"/>
    <cellStyle name="Header2 2 4 5 2" xfId="23828" xr:uid="{00000000-0005-0000-0000-00000E5D0000}"/>
    <cellStyle name="Header2 2 4 5 2 2" xfId="23829" xr:uid="{00000000-0005-0000-0000-00000F5D0000}"/>
    <cellStyle name="Header2 2 4 5 2 2 2" xfId="23830" xr:uid="{00000000-0005-0000-0000-0000105D0000}"/>
    <cellStyle name="Header2 2 4 5 2 2 3" xfId="23831" xr:uid="{00000000-0005-0000-0000-0000115D0000}"/>
    <cellStyle name="Header2 2 4 5 2 2 4" xfId="23832" xr:uid="{00000000-0005-0000-0000-0000125D0000}"/>
    <cellStyle name="Header2 2 4 5 2 2 5" xfId="23833" xr:uid="{00000000-0005-0000-0000-0000135D0000}"/>
    <cellStyle name="Header2 2 4 5 2 3" xfId="23834" xr:uid="{00000000-0005-0000-0000-0000145D0000}"/>
    <cellStyle name="Header2 2 4 5 2 4" xfId="23835" xr:uid="{00000000-0005-0000-0000-0000155D0000}"/>
    <cellStyle name="Header2 2 4 5 3" xfId="23836" xr:uid="{00000000-0005-0000-0000-0000165D0000}"/>
    <cellStyle name="Header2 2 4 5 3 2" xfId="23837" xr:uid="{00000000-0005-0000-0000-0000175D0000}"/>
    <cellStyle name="Header2 2 4 5 3 2 2" xfId="23838" xr:uid="{00000000-0005-0000-0000-0000185D0000}"/>
    <cellStyle name="Header2 2 4 5 3 2 3" xfId="23839" xr:uid="{00000000-0005-0000-0000-0000195D0000}"/>
    <cellStyle name="Header2 2 4 5 3 2 4" xfId="23840" xr:uid="{00000000-0005-0000-0000-00001A5D0000}"/>
    <cellStyle name="Header2 2 4 5 3 2 5" xfId="23841" xr:uid="{00000000-0005-0000-0000-00001B5D0000}"/>
    <cellStyle name="Header2 2 4 5 3 3" xfId="23842" xr:uid="{00000000-0005-0000-0000-00001C5D0000}"/>
    <cellStyle name="Header2 2 4 5 3 4" xfId="23843" xr:uid="{00000000-0005-0000-0000-00001D5D0000}"/>
    <cellStyle name="Header2 2 4 5 4" xfId="23844" xr:uid="{00000000-0005-0000-0000-00001E5D0000}"/>
    <cellStyle name="Header2 2 4 5 4 2" xfId="23845" xr:uid="{00000000-0005-0000-0000-00001F5D0000}"/>
    <cellStyle name="Header2 2 4 5 4 3" xfId="23846" xr:uid="{00000000-0005-0000-0000-0000205D0000}"/>
    <cellStyle name="Header2 2 4 5 4 4" xfId="23847" xr:uid="{00000000-0005-0000-0000-0000215D0000}"/>
    <cellStyle name="Header2 2 4 5 4 5" xfId="23848" xr:uid="{00000000-0005-0000-0000-0000225D0000}"/>
    <cellStyle name="Header2 2 4 5 5" xfId="23849" xr:uid="{00000000-0005-0000-0000-0000235D0000}"/>
    <cellStyle name="Header2 2 4 5 6" xfId="23850" xr:uid="{00000000-0005-0000-0000-0000245D0000}"/>
    <cellStyle name="Header2 2 4 6" xfId="23851" xr:uid="{00000000-0005-0000-0000-0000255D0000}"/>
    <cellStyle name="Header2 2 4 6 2" xfId="23852" xr:uid="{00000000-0005-0000-0000-0000265D0000}"/>
    <cellStyle name="Header2 2 4 6 2 2" xfId="23853" xr:uid="{00000000-0005-0000-0000-0000275D0000}"/>
    <cellStyle name="Header2 2 4 6 2 2 2" xfId="23854" xr:uid="{00000000-0005-0000-0000-0000285D0000}"/>
    <cellStyle name="Header2 2 4 6 2 2 3" xfId="23855" xr:uid="{00000000-0005-0000-0000-0000295D0000}"/>
    <cellStyle name="Header2 2 4 6 2 2 4" xfId="23856" xr:uid="{00000000-0005-0000-0000-00002A5D0000}"/>
    <cellStyle name="Header2 2 4 6 2 2 5" xfId="23857" xr:uid="{00000000-0005-0000-0000-00002B5D0000}"/>
    <cellStyle name="Header2 2 4 6 2 3" xfId="23858" xr:uid="{00000000-0005-0000-0000-00002C5D0000}"/>
    <cellStyle name="Header2 2 4 6 2 4" xfId="23859" xr:uid="{00000000-0005-0000-0000-00002D5D0000}"/>
    <cellStyle name="Header2 2 4 6 3" xfId="23860" xr:uid="{00000000-0005-0000-0000-00002E5D0000}"/>
    <cellStyle name="Header2 2 4 6 3 2" xfId="23861" xr:uid="{00000000-0005-0000-0000-00002F5D0000}"/>
    <cellStyle name="Header2 2 4 6 3 2 2" xfId="23862" xr:uid="{00000000-0005-0000-0000-0000305D0000}"/>
    <cellStyle name="Header2 2 4 6 3 2 3" xfId="23863" xr:uid="{00000000-0005-0000-0000-0000315D0000}"/>
    <cellStyle name="Header2 2 4 6 3 2 4" xfId="23864" xr:uid="{00000000-0005-0000-0000-0000325D0000}"/>
    <cellStyle name="Header2 2 4 6 3 2 5" xfId="23865" xr:uid="{00000000-0005-0000-0000-0000335D0000}"/>
    <cellStyle name="Header2 2 4 6 3 3" xfId="23866" xr:uid="{00000000-0005-0000-0000-0000345D0000}"/>
    <cellStyle name="Header2 2 4 6 3 4" xfId="23867" xr:uid="{00000000-0005-0000-0000-0000355D0000}"/>
    <cellStyle name="Header2 2 4 6 4" xfId="23868" xr:uid="{00000000-0005-0000-0000-0000365D0000}"/>
    <cellStyle name="Header2 2 4 6 4 2" xfId="23869" xr:uid="{00000000-0005-0000-0000-0000375D0000}"/>
    <cellStyle name="Header2 2 4 6 4 3" xfId="23870" xr:uid="{00000000-0005-0000-0000-0000385D0000}"/>
    <cellStyle name="Header2 2 4 6 4 4" xfId="23871" xr:uid="{00000000-0005-0000-0000-0000395D0000}"/>
    <cellStyle name="Header2 2 4 6 4 5" xfId="23872" xr:uid="{00000000-0005-0000-0000-00003A5D0000}"/>
    <cellStyle name="Header2 2 4 6 5" xfId="23873" xr:uid="{00000000-0005-0000-0000-00003B5D0000}"/>
    <cellStyle name="Header2 2 4 6 6" xfId="23874" xr:uid="{00000000-0005-0000-0000-00003C5D0000}"/>
    <cellStyle name="Header2 2 4 7" xfId="23875" xr:uid="{00000000-0005-0000-0000-00003D5D0000}"/>
    <cellStyle name="Header2 2 4 7 2" xfId="23876" xr:uid="{00000000-0005-0000-0000-00003E5D0000}"/>
    <cellStyle name="Header2 2 4 7 2 2" xfId="23877" xr:uid="{00000000-0005-0000-0000-00003F5D0000}"/>
    <cellStyle name="Header2 2 4 7 2 3" xfId="23878" xr:uid="{00000000-0005-0000-0000-0000405D0000}"/>
    <cellStyle name="Header2 2 4 7 2 4" xfId="23879" xr:uid="{00000000-0005-0000-0000-0000415D0000}"/>
    <cellStyle name="Header2 2 4 7 2 5" xfId="23880" xr:uid="{00000000-0005-0000-0000-0000425D0000}"/>
    <cellStyle name="Header2 2 4 7 3" xfId="23881" xr:uid="{00000000-0005-0000-0000-0000435D0000}"/>
    <cellStyle name="Header2 2 4 7 4" xfId="23882" xr:uid="{00000000-0005-0000-0000-0000445D0000}"/>
    <cellStyle name="Header2 2 4 8" xfId="23883" xr:uid="{00000000-0005-0000-0000-0000455D0000}"/>
    <cellStyle name="Header2 2 4 8 2" xfId="23884" xr:uid="{00000000-0005-0000-0000-0000465D0000}"/>
    <cellStyle name="Header2 2 4 8 2 2" xfId="23885" xr:uid="{00000000-0005-0000-0000-0000475D0000}"/>
    <cellStyle name="Header2 2 4 8 2 3" xfId="23886" xr:uid="{00000000-0005-0000-0000-0000485D0000}"/>
    <cellStyle name="Header2 2 4 8 2 4" xfId="23887" xr:uid="{00000000-0005-0000-0000-0000495D0000}"/>
    <cellStyle name="Header2 2 4 8 2 5" xfId="23888" xr:uid="{00000000-0005-0000-0000-00004A5D0000}"/>
    <cellStyle name="Header2 2 4 8 3" xfId="23889" xr:uid="{00000000-0005-0000-0000-00004B5D0000}"/>
    <cellStyle name="Header2 2 4 8 4" xfId="23890" xr:uid="{00000000-0005-0000-0000-00004C5D0000}"/>
    <cellStyle name="Header2 2 4 9" xfId="23891" xr:uid="{00000000-0005-0000-0000-00004D5D0000}"/>
    <cellStyle name="Header2 2 4 9 2" xfId="23892" xr:uid="{00000000-0005-0000-0000-00004E5D0000}"/>
    <cellStyle name="Header2 2 4 9 3" xfId="23893" xr:uid="{00000000-0005-0000-0000-00004F5D0000}"/>
    <cellStyle name="Header2 2 4 9 4" xfId="23894" xr:uid="{00000000-0005-0000-0000-0000505D0000}"/>
    <cellStyle name="Header2 2 4 9 5" xfId="23895" xr:uid="{00000000-0005-0000-0000-0000515D0000}"/>
    <cellStyle name="Header2 2 5" xfId="23896" xr:uid="{00000000-0005-0000-0000-0000525D0000}"/>
    <cellStyle name="Header2 2 5 2" xfId="23897" xr:uid="{00000000-0005-0000-0000-0000535D0000}"/>
    <cellStyle name="Header2 2 5 2 2" xfId="23898" xr:uid="{00000000-0005-0000-0000-0000545D0000}"/>
    <cellStyle name="Header2 2 5 2 2 2" xfId="23899" xr:uid="{00000000-0005-0000-0000-0000555D0000}"/>
    <cellStyle name="Header2 2 5 2 2 3" xfId="23900" xr:uid="{00000000-0005-0000-0000-0000565D0000}"/>
    <cellStyle name="Header2 2 5 2 2 4" xfId="23901" xr:uid="{00000000-0005-0000-0000-0000575D0000}"/>
    <cellStyle name="Header2 2 5 2 2 5" xfId="23902" xr:uid="{00000000-0005-0000-0000-0000585D0000}"/>
    <cellStyle name="Header2 2 5 2 3" xfId="23903" xr:uid="{00000000-0005-0000-0000-0000595D0000}"/>
    <cellStyle name="Header2 2 5 2 4" xfId="23904" xr:uid="{00000000-0005-0000-0000-00005A5D0000}"/>
    <cellStyle name="Header2 2 5 3" xfId="23905" xr:uid="{00000000-0005-0000-0000-00005B5D0000}"/>
    <cellStyle name="Header2 2 5 3 2" xfId="23906" xr:uid="{00000000-0005-0000-0000-00005C5D0000}"/>
    <cellStyle name="Header2 2 5 3 2 2" xfId="23907" xr:uid="{00000000-0005-0000-0000-00005D5D0000}"/>
    <cellStyle name="Header2 2 5 3 2 3" xfId="23908" xr:uid="{00000000-0005-0000-0000-00005E5D0000}"/>
    <cellStyle name="Header2 2 5 3 2 4" xfId="23909" xr:uid="{00000000-0005-0000-0000-00005F5D0000}"/>
    <cellStyle name="Header2 2 5 3 2 5" xfId="23910" xr:uid="{00000000-0005-0000-0000-0000605D0000}"/>
    <cellStyle name="Header2 2 5 3 3" xfId="23911" xr:uid="{00000000-0005-0000-0000-0000615D0000}"/>
    <cellStyle name="Header2 2 5 3 4" xfId="23912" xr:uid="{00000000-0005-0000-0000-0000625D0000}"/>
    <cellStyle name="Header2 2 5 4" xfId="23913" xr:uid="{00000000-0005-0000-0000-0000635D0000}"/>
    <cellStyle name="Header2 2 5 4 2" xfId="23914" xr:uid="{00000000-0005-0000-0000-0000645D0000}"/>
    <cellStyle name="Header2 2 5 4 3" xfId="23915" xr:uid="{00000000-0005-0000-0000-0000655D0000}"/>
    <cellStyle name="Header2 2 5 4 4" xfId="23916" xr:uid="{00000000-0005-0000-0000-0000665D0000}"/>
    <cellStyle name="Header2 2 5 4 5" xfId="23917" xr:uid="{00000000-0005-0000-0000-0000675D0000}"/>
    <cellStyle name="Header2 2 5 5" xfId="23918" xr:uid="{00000000-0005-0000-0000-0000685D0000}"/>
    <cellStyle name="Header2 2 5 6" xfId="23919" xr:uid="{00000000-0005-0000-0000-0000695D0000}"/>
    <cellStyle name="Header2 2 6" xfId="23920" xr:uid="{00000000-0005-0000-0000-00006A5D0000}"/>
    <cellStyle name="Header2 2 6 2" xfId="23921" xr:uid="{00000000-0005-0000-0000-00006B5D0000}"/>
    <cellStyle name="Header2 2 6 2 2" xfId="23922" xr:uid="{00000000-0005-0000-0000-00006C5D0000}"/>
    <cellStyle name="Header2 2 6 2 2 2" xfId="23923" xr:uid="{00000000-0005-0000-0000-00006D5D0000}"/>
    <cellStyle name="Header2 2 6 2 2 3" xfId="23924" xr:uid="{00000000-0005-0000-0000-00006E5D0000}"/>
    <cellStyle name="Header2 2 6 2 2 4" xfId="23925" xr:uid="{00000000-0005-0000-0000-00006F5D0000}"/>
    <cellStyle name="Header2 2 6 2 2 5" xfId="23926" xr:uid="{00000000-0005-0000-0000-0000705D0000}"/>
    <cellStyle name="Header2 2 6 2 3" xfId="23927" xr:uid="{00000000-0005-0000-0000-0000715D0000}"/>
    <cellStyle name="Header2 2 6 2 4" xfId="23928" xr:uid="{00000000-0005-0000-0000-0000725D0000}"/>
    <cellStyle name="Header2 2 6 3" xfId="23929" xr:uid="{00000000-0005-0000-0000-0000735D0000}"/>
    <cellStyle name="Header2 2 6 3 2" xfId="23930" xr:uid="{00000000-0005-0000-0000-0000745D0000}"/>
    <cellStyle name="Header2 2 6 3 2 2" xfId="23931" xr:uid="{00000000-0005-0000-0000-0000755D0000}"/>
    <cellStyle name="Header2 2 6 3 2 3" xfId="23932" xr:uid="{00000000-0005-0000-0000-0000765D0000}"/>
    <cellStyle name="Header2 2 6 3 2 4" xfId="23933" xr:uid="{00000000-0005-0000-0000-0000775D0000}"/>
    <cellStyle name="Header2 2 6 3 2 5" xfId="23934" xr:uid="{00000000-0005-0000-0000-0000785D0000}"/>
    <cellStyle name="Header2 2 6 3 3" xfId="23935" xr:uid="{00000000-0005-0000-0000-0000795D0000}"/>
    <cellStyle name="Header2 2 6 3 4" xfId="23936" xr:uid="{00000000-0005-0000-0000-00007A5D0000}"/>
    <cellStyle name="Header2 2 6 4" xfId="23937" xr:uid="{00000000-0005-0000-0000-00007B5D0000}"/>
    <cellStyle name="Header2 2 6 4 2" xfId="23938" xr:uid="{00000000-0005-0000-0000-00007C5D0000}"/>
    <cellStyle name="Header2 2 6 4 3" xfId="23939" xr:uid="{00000000-0005-0000-0000-00007D5D0000}"/>
    <cellStyle name="Header2 2 6 4 4" xfId="23940" xr:uid="{00000000-0005-0000-0000-00007E5D0000}"/>
    <cellStyle name="Header2 2 6 4 5" xfId="23941" xr:uid="{00000000-0005-0000-0000-00007F5D0000}"/>
    <cellStyle name="Header2 2 6 5" xfId="23942" xr:uid="{00000000-0005-0000-0000-0000805D0000}"/>
    <cellStyle name="Header2 2 6 6" xfId="23943" xr:uid="{00000000-0005-0000-0000-0000815D0000}"/>
    <cellStyle name="Header2 2 7" xfId="23944" xr:uid="{00000000-0005-0000-0000-0000825D0000}"/>
    <cellStyle name="Header2 2 7 2" xfId="23945" xr:uid="{00000000-0005-0000-0000-0000835D0000}"/>
    <cellStyle name="Header2 2 7 2 2" xfId="23946" xr:uid="{00000000-0005-0000-0000-0000845D0000}"/>
    <cellStyle name="Header2 2 7 2 2 2" xfId="23947" xr:uid="{00000000-0005-0000-0000-0000855D0000}"/>
    <cellStyle name="Header2 2 7 2 2 3" xfId="23948" xr:uid="{00000000-0005-0000-0000-0000865D0000}"/>
    <cellStyle name="Header2 2 7 2 2 4" xfId="23949" xr:uid="{00000000-0005-0000-0000-0000875D0000}"/>
    <cellStyle name="Header2 2 7 2 2 5" xfId="23950" xr:uid="{00000000-0005-0000-0000-0000885D0000}"/>
    <cellStyle name="Header2 2 7 2 3" xfId="23951" xr:uid="{00000000-0005-0000-0000-0000895D0000}"/>
    <cellStyle name="Header2 2 7 2 4" xfId="23952" xr:uid="{00000000-0005-0000-0000-00008A5D0000}"/>
    <cellStyle name="Header2 2 7 3" xfId="23953" xr:uid="{00000000-0005-0000-0000-00008B5D0000}"/>
    <cellStyle name="Header2 2 7 3 2" xfId="23954" xr:uid="{00000000-0005-0000-0000-00008C5D0000}"/>
    <cellStyle name="Header2 2 7 3 2 2" xfId="23955" xr:uid="{00000000-0005-0000-0000-00008D5D0000}"/>
    <cellStyle name="Header2 2 7 3 2 3" xfId="23956" xr:uid="{00000000-0005-0000-0000-00008E5D0000}"/>
    <cellStyle name="Header2 2 7 3 2 4" xfId="23957" xr:uid="{00000000-0005-0000-0000-00008F5D0000}"/>
    <cellStyle name="Header2 2 7 3 2 5" xfId="23958" xr:uid="{00000000-0005-0000-0000-0000905D0000}"/>
    <cellStyle name="Header2 2 7 3 3" xfId="23959" xr:uid="{00000000-0005-0000-0000-0000915D0000}"/>
    <cellStyle name="Header2 2 7 3 4" xfId="23960" xr:uid="{00000000-0005-0000-0000-0000925D0000}"/>
    <cellStyle name="Header2 2 7 4" xfId="23961" xr:uid="{00000000-0005-0000-0000-0000935D0000}"/>
    <cellStyle name="Header2 2 7 4 2" xfId="23962" xr:uid="{00000000-0005-0000-0000-0000945D0000}"/>
    <cellStyle name="Header2 2 7 4 3" xfId="23963" xr:uid="{00000000-0005-0000-0000-0000955D0000}"/>
    <cellStyle name="Header2 2 7 4 4" xfId="23964" xr:uid="{00000000-0005-0000-0000-0000965D0000}"/>
    <cellStyle name="Header2 2 7 4 5" xfId="23965" xr:uid="{00000000-0005-0000-0000-0000975D0000}"/>
    <cellStyle name="Header2 2 7 5" xfId="23966" xr:uid="{00000000-0005-0000-0000-0000985D0000}"/>
    <cellStyle name="Header2 2 7 6" xfId="23967" xr:uid="{00000000-0005-0000-0000-0000995D0000}"/>
    <cellStyle name="Header2 2 8" xfId="23968" xr:uid="{00000000-0005-0000-0000-00009A5D0000}"/>
    <cellStyle name="Header2 2 8 2" xfId="23969" xr:uid="{00000000-0005-0000-0000-00009B5D0000}"/>
    <cellStyle name="Header2 2 8 2 2" xfId="23970" xr:uid="{00000000-0005-0000-0000-00009C5D0000}"/>
    <cellStyle name="Header2 2 8 2 3" xfId="23971" xr:uid="{00000000-0005-0000-0000-00009D5D0000}"/>
    <cellStyle name="Header2 2 8 2 4" xfId="23972" xr:uid="{00000000-0005-0000-0000-00009E5D0000}"/>
    <cellStyle name="Header2 2 8 2 5" xfId="23973" xr:uid="{00000000-0005-0000-0000-00009F5D0000}"/>
    <cellStyle name="Header2 2 8 3" xfId="23974" xr:uid="{00000000-0005-0000-0000-0000A05D0000}"/>
    <cellStyle name="Header2 2 8 4" xfId="23975" xr:uid="{00000000-0005-0000-0000-0000A15D0000}"/>
    <cellStyle name="Header2 2 9" xfId="23976" xr:uid="{00000000-0005-0000-0000-0000A25D0000}"/>
    <cellStyle name="Header2 2 9 2" xfId="23977" xr:uid="{00000000-0005-0000-0000-0000A35D0000}"/>
    <cellStyle name="Header2 2 9 2 2" xfId="23978" xr:uid="{00000000-0005-0000-0000-0000A45D0000}"/>
    <cellStyle name="Header2 2 9 2 3" xfId="23979" xr:uid="{00000000-0005-0000-0000-0000A55D0000}"/>
    <cellStyle name="Header2 2 9 2 4" xfId="23980" xr:uid="{00000000-0005-0000-0000-0000A65D0000}"/>
    <cellStyle name="Header2 2 9 2 5" xfId="23981" xr:uid="{00000000-0005-0000-0000-0000A75D0000}"/>
    <cellStyle name="Header2 2 9 3" xfId="23982" xr:uid="{00000000-0005-0000-0000-0000A85D0000}"/>
    <cellStyle name="Header2 2 9 4" xfId="23983" xr:uid="{00000000-0005-0000-0000-0000A95D0000}"/>
    <cellStyle name="Header2 3" xfId="23984" xr:uid="{00000000-0005-0000-0000-0000AA5D0000}"/>
    <cellStyle name="Header2 3 10" xfId="23985" xr:uid="{00000000-0005-0000-0000-0000AB5D0000}"/>
    <cellStyle name="Header2 3 10 2" xfId="23986" xr:uid="{00000000-0005-0000-0000-0000AC5D0000}"/>
    <cellStyle name="Header2 3 10 3" xfId="23987" xr:uid="{00000000-0005-0000-0000-0000AD5D0000}"/>
    <cellStyle name="Header2 3 10 4" xfId="23988" xr:uid="{00000000-0005-0000-0000-0000AE5D0000}"/>
    <cellStyle name="Header2 3 10 5" xfId="23989" xr:uid="{00000000-0005-0000-0000-0000AF5D0000}"/>
    <cellStyle name="Header2 3 11" xfId="23990" xr:uid="{00000000-0005-0000-0000-0000B05D0000}"/>
    <cellStyle name="Header2 3 12" xfId="23991" xr:uid="{00000000-0005-0000-0000-0000B15D0000}"/>
    <cellStyle name="Header2 3 2" xfId="23992" xr:uid="{00000000-0005-0000-0000-0000B25D0000}"/>
    <cellStyle name="Header2 3 2 10" xfId="23993" xr:uid="{00000000-0005-0000-0000-0000B35D0000}"/>
    <cellStyle name="Header2 3 2 11" xfId="23994" xr:uid="{00000000-0005-0000-0000-0000B45D0000}"/>
    <cellStyle name="Header2 3 2 2" xfId="23995" xr:uid="{00000000-0005-0000-0000-0000B55D0000}"/>
    <cellStyle name="Header2 3 2 2 2" xfId="23996" xr:uid="{00000000-0005-0000-0000-0000B65D0000}"/>
    <cellStyle name="Header2 3 2 2 2 2" xfId="23997" xr:uid="{00000000-0005-0000-0000-0000B75D0000}"/>
    <cellStyle name="Header2 3 2 2 2 2 2" xfId="23998" xr:uid="{00000000-0005-0000-0000-0000B85D0000}"/>
    <cellStyle name="Header2 3 2 2 2 2 3" xfId="23999" xr:uid="{00000000-0005-0000-0000-0000B95D0000}"/>
    <cellStyle name="Header2 3 2 2 2 2 4" xfId="24000" xr:uid="{00000000-0005-0000-0000-0000BA5D0000}"/>
    <cellStyle name="Header2 3 2 2 2 2 5" xfId="24001" xr:uid="{00000000-0005-0000-0000-0000BB5D0000}"/>
    <cellStyle name="Header2 3 2 2 2 3" xfId="24002" xr:uid="{00000000-0005-0000-0000-0000BC5D0000}"/>
    <cellStyle name="Header2 3 2 2 2 4" xfId="24003" xr:uid="{00000000-0005-0000-0000-0000BD5D0000}"/>
    <cellStyle name="Header2 3 2 2 3" xfId="24004" xr:uid="{00000000-0005-0000-0000-0000BE5D0000}"/>
    <cellStyle name="Header2 3 2 2 3 2" xfId="24005" xr:uid="{00000000-0005-0000-0000-0000BF5D0000}"/>
    <cellStyle name="Header2 3 2 2 3 2 2" xfId="24006" xr:uid="{00000000-0005-0000-0000-0000C05D0000}"/>
    <cellStyle name="Header2 3 2 2 3 2 3" xfId="24007" xr:uid="{00000000-0005-0000-0000-0000C15D0000}"/>
    <cellStyle name="Header2 3 2 2 3 2 4" xfId="24008" xr:uid="{00000000-0005-0000-0000-0000C25D0000}"/>
    <cellStyle name="Header2 3 2 2 3 2 5" xfId="24009" xr:uid="{00000000-0005-0000-0000-0000C35D0000}"/>
    <cellStyle name="Header2 3 2 2 3 3" xfId="24010" xr:uid="{00000000-0005-0000-0000-0000C45D0000}"/>
    <cellStyle name="Header2 3 2 2 3 4" xfId="24011" xr:uid="{00000000-0005-0000-0000-0000C55D0000}"/>
    <cellStyle name="Header2 3 2 2 4" xfId="24012" xr:uid="{00000000-0005-0000-0000-0000C65D0000}"/>
    <cellStyle name="Header2 3 2 2 4 2" xfId="24013" xr:uid="{00000000-0005-0000-0000-0000C75D0000}"/>
    <cellStyle name="Header2 3 2 2 4 3" xfId="24014" xr:uid="{00000000-0005-0000-0000-0000C85D0000}"/>
    <cellStyle name="Header2 3 2 2 4 4" xfId="24015" xr:uid="{00000000-0005-0000-0000-0000C95D0000}"/>
    <cellStyle name="Header2 3 2 2 4 5" xfId="24016" xr:uid="{00000000-0005-0000-0000-0000CA5D0000}"/>
    <cellStyle name="Header2 3 2 2 5" xfId="24017" xr:uid="{00000000-0005-0000-0000-0000CB5D0000}"/>
    <cellStyle name="Header2 3 2 2 6" xfId="24018" xr:uid="{00000000-0005-0000-0000-0000CC5D0000}"/>
    <cellStyle name="Header2 3 2 3" xfId="24019" xr:uid="{00000000-0005-0000-0000-0000CD5D0000}"/>
    <cellStyle name="Header2 3 2 3 2" xfId="24020" xr:uid="{00000000-0005-0000-0000-0000CE5D0000}"/>
    <cellStyle name="Header2 3 2 3 2 2" xfId="24021" xr:uid="{00000000-0005-0000-0000-0000CF5D0000}"/>
    <cellStyle name="Header2 3 2 3 2 2 2" xfId="24022" xr:uid="{00000000-0005-0000-0000-0000D05D0000}"/>
    <cellStyle name="Header2 3 2 3 2 2 3" xfId="24023" xr:uid="{00000000-0005-0000-0000-0000D15D0000}"/>
    <cellStyle name="Header2 3 2 3 2 2 4" xfId="24024" xr:uid="{00000000-0005-0000-0000-0000D25D0000}"/>
    <cellStyle name="Header2 3 2 3 2 2 5" xfId="24025" xr:uid="{00000000-0005-0000-0000-0000D35D0000}"/>
    <cellStyle name="Header2 3 2 3 2 3" xfId="24026" xr:uid="{00000000-0005-0000-0000-0000D45D0000}"/>
    <cellStyle name="Header2 3 2 3 2 4" xfId="24027" xr:uid="{00000000-0005-0000-0000-0000D55D0000}"/>
    <cellStyle name="Header2 3 2 3 3" xfId="24028" xr:uid="{00000000-0005-0000-0000-0000D65D0000}"/>
    <cellStyle name="Header2 3 2 3 3 2" xfId="24029" xr:uid="{00000000-0005-0000-0000-0000D75D0000}"/>
    <cellStyle name="Header2 3 2 3 3 2 2" xfId="24030" xr:uid="{00000000-0005-0000-0000-0000D85D0000}"/>
    <cellStyle name="Header2 3 2 3 3 2 3" xfId="24031" xr:uid="{00000000-0005-0000-0000-0000D95D0000}"/>
    <cellStyle name="Header2 3 2 3 3 2 4" xfId="24032" xr:uid="{00000000-0005-0000-0000-0000DA5D0000}"/>
    <cellStyle name="Header2 3 2 3 3 2 5" xfId="24033" xr:uid="{00000000-0005-0000-0000-0000DB5D0000}"/>
    <cellStyle name="Header2 3 2 3 3 3" xfId="24034" xr:uid="{00000000-0005-0000-0000-0000DC5D0000}"/>
    <cellStyle name="Header2 3 2 3 3 4" xfId="24035" xr:uid="{00000000-0005-0000-0000-0000DD5D0000}"/>
    <cellStyle name="Header2 3 2 3 4" xfId="24036" xr:uid="{00000000-0005-0000-0000-0000DE5D0000}"/>
    <cellStyle name="Header2 3 2 3 4 2" xfId="24037" xr:uid="{00000000-0005-0000-0000-0000DF5D0000}"/>
    <cellStyle name="Header2 3 2 3 4 3" xfId="24038" xr:uid="{00000000-0005-0000-0000-0000E05D0000}"/>
    <cellStyle name="Header2 3 2 3 4 4" xfId="24039" xr:uid="{00000000-0005-0000-0000-0000E15D0000}"/>
    <cellStyle name="Header2 3 2 3 4 5" xfId="24040" xr:uid="{00000000-0005-0000-0000-0000E25D0000}"/>
    <cellStyle name="Header2 3 2 3 5" xfId="24041" xr:uid="{00000000-0005-0000-0000-0000E35D0000}"/>
    <cellStyle name="Header2 3 2 3 6" xfId="24042" xr:uid="{00000000-0005-0000-0000-0000E45D0000}"/>
    <cellStyle name="Header2 3 2 4" xfId="24043" xr:uid="{00000000-0005-0000-0000-0000E55D0000}"/>
    <cellStyle name="Header2 3 2 4 2" xfId="24044" xr:uid="{00000000-0005-0000-0000-0000E65D0000}"/>
    <cellStyle name="Header2 3 2 4 2 2" xfId="24045" xr:uid="{00000000-0005-0000-0000-0000E75D0000}"/>
    <cellStyle name="Header2 3 2 4 2 2 2" xfId="24046" xr:uid="{00000000-0005-0000-0000-0000E85D0000}"/>
    <cellStyle name="Header2 3 2 4 2 2 3" xfId="24047" xr:uid="{00000000-0005-0000-0000-0000E95D0000}"/>
    <cellStyle name="Header2 3 2 4 2 2 4" xfId="24048" xr:uid="{00000000-0005-0000-0000-0000EA5D0000}"/>
    <cellStyle name="Header2 3 2 4 2 2 5" xfId="24049" xr:uid="{00000000-0005-0000-0000-0000EB5D0000}"/>
    <cellStyle name="Header2 3 2 4 2 3" xfId="24050" xr:uid="{00000000-0005-0000-0000-0000EC5D0000}"/>
    <cellStyle name="Header2 3 2 4 2 4" xfId="24051" xr:uid="{00000000-0005-0000-0000-0000ED5D0000}"/>
    <cellStyle name="Header2 3 2 4 3" xfId="24052" xr:uid="{00000000-0005-0000-0000-0000EE5D0000}"/>
    <cellStyle name="Header2 3 2 4 3 2" xfId="24053" xr:uid="{00000000-0005-0000-0000-0000EF5D0000}"/>
    <cellStyle name="Header2 3 2 4 3 2 2" xfId="24054" xr:uid="{00000000-0005-0000-0000-0000F05D0000}"/>
    <cellStyle name="Header2 3 2 4 3 2 3" xfId="24055" xr:uid="{00000000-0005-0000-0000-0000F15D0000}"/>
    <cellStyle name="Header2 3 2 4 3 2 4" xfId="24056" xr:uid="{00000000-0005-0000-0000-0000F25D0000}"/>
    <cellStyle name="Header2 3 2 4 3 2 5" xfId="24057" xr:uid="{00000000-0005-0000-0000-0000F35D0000}"/>
    <cellStyle name="Header2 3 2 4 3 3" xfId="24058" xr:uid="{00000000-0005-0000-0000-0000F45D0000}"/>
    <cellStyle name="Header2 3 2 4 3 4" xfId="24059" xr:uid="{00000000-0005-0000-0000-0000F55D0000}"/>
    <cellStyle name="Header2 3 2 4 4" xfId="24060" xr:uid="{00000000-0005-0000-0000-0000F65D0000}"/>
    <cellStyle name="Header2 3 2 4 4 2" xfId="24061" xr:uid="{00000000-0005-0000-0000-0000F75D0000}"/>
    <cellStyle name="Header2 3 2 4 4 3" xfId="24062" xr:uid="{00000000-0005-0000-0000-0000F85D0000}"/>
    <cellStyle name="Header2 3 2 4 4 4" xfId="24063" xr:uid="{00000000-0005-0000-0000-0000F95D0000}"/>
    <cellStyle name="Header2 3 2 4 4 5" xfId="24064" xr:uid="{00000000-0005-0000-0000-0000FA5D0000}"/>
    <cellStyle name="Header2 3 2 4 5" xfId="24065" xr:uid="{00000000-0005-0000-0000-0000FB5D0000}"/>
    <cellStyle name="Header2 3 2 4 6" xfId="24066" xr:uid="{00000000-0005-0000-0000-0000FC5D0000}"/>
    <cellStyle name="Header2 3 2 5" xfId="24067" xr:uid="{00000000-0005-0000-0000-0000FD5D0000}"/>
    <cellStyle name="Header2 3 2 5 2" xfId="24068" xr:uid="{00000000-0005-0000-0000-0000FE5D0000}"/>
    <cellStyle name="Header2 3 2 5 2 2" xfId="24069" xr:uid="{00000000-0005-0000-0000-0000FF5D0000}"/>
    <cellStyle name="Header2 3 2 5 2 2 2" xfId="24070" xr:uid="{00000000-0005-0000-0000-0000005E0000}"/>
    <cellStyle name="Header2 3 2 5 2 2 3" xfId="24071" xr:uid="{00000000-0005-0000-0000-0000015E0000}"/>
    <cellStyle name="Header2 3 2 5 2 2 4" xfId="24072" xr:uid="{00000000-0005-0000-0000-0000025E0000}"/>
    <cellStyle name="Header2 3 2 5 2 2 5" xfId="24073" xr:uid="{00000000-0005-0000-0000-0000035E0000}"/>
    <cellStyle name="Header2 3 2 5 2 3" xfId="24074" xr:uid="{00000000-0005-0000-0000-0000045E0000}"/>
    <cellStyle name="Header2 3 2 5 2 4" xfId="24075" xr:uid="{00000000-0005-0000-0000-0000055E0000}"/>
    <cellStyle name="Header2 3 2 5 3" xfId="24076" xr:uid="{00000000-0005-0000-0000-0000065E0000}"/>
    <cellStyle name="Header2 3 2 5 3 2" xfId="24077" xr:uid="{00000000-0005-0000-0000-0000075E0000}"/>
    <cellStyle name="Header2 3 2 5 3 2 2" xfId="24078" xr:uid="{00000000-0005-0000-0000-0000085E0000}"/>
    <cellStyle name="Header2 3 2 5 3 2 3" xfId="24079" xr:uid="{00000000-0005-0000-0000-0000095E0000}"/>
    <cellStyle name="Header2 3 2 5 3 2 4" xfId="24080" xr:uid="{00000000-0005-0000-0000-00000A5E0000}"/>
    <cellStyle name="Header2 3 2 5 3 2 5" xfId="24081" xr:uid="{00000000-0005-0000-0000-00000B5E0000}"/>
    <cellStyle name="Header2 3 2 5 3 3" xfId="24082" xr:uid="{00000000-0005-0000-0000-00000C5E0000}"/>
    <cellStyle name="Header2 3 2 5 3 4" xfId="24083" xr:uid="{00000000-0005-0000-0000-00000D5E0000}"/>
    <cellStyle name="Header2 3 2 5 4" xfId="24084" xr:uid="{00000000-0005-0000-0000-00000E5E0000}"/>
    <cellStyle name="Header2 3 2 5 4 2" xfId="24085" xr:uid="{00000000-0005-0000-0000-00000F5E0000}"/>
    <cellStyle name="Header2 3 2 5 4 3" xfId="24086" xr:uid="{00000000-0005-0000-0000-0000105E0000}"/>
    <cellStyle name="Header2 3 2 5 4 4" xfId="24087" xr:uid="{00000000-0005-0000-0000-0000115E0000}"/>
    <cellStyle name="Header2 3 2 5 4 5" xfId="24088" xr:uid="{00000000-0005-0000-0000-0000125E0000}"/>
    <cellStyle name="Header2 3 2 5 5" xfId="24089" xr:uid="{00000000-0005-0000-0000-0000135E0000}"/>
    <cellStyle name="Header2 3 2 5 6" xfId="24090" xr:uid="{00000000-0005-0000-0000-0000145E0000}"/>
    <cellStyle name="Header2 3 2 6" xfId="24091" xr:uid="{00000000-0005-0000-0000-0000155E0000}"/>
    <cellStyle name="Header2 3 2 6 2" xfId="24092" xr:uid="{00000000-0005-0000-0000-0000165E0000}"/>
    <cellStyle name="Header2 3 2 6 2 2" xfId="24093" xr:uid="{00000000-0005-0000-0000-0000175E0000}"/>
    <cellStyle name="Header2 3 2 6 2 2 2" xfId="24094" xr:uid="{00000000-0005-0000-0000-0000185E0000}"/>
    <cellStyle name="Header2 3 2 6 2 2 3" xfId="24095" xr:uid="{00000000-0005-0000-0000-0000195E0000}"/>
    <cellStyle name="Header2 3 2 6 2 2 4" xfId="24096" xr:uid="{00000000-0005-0000-0000-00001A5E0000}"/>
    <cellStyle name="Header2 3 2 6 2 2 5" xfId="24097" xr:uid="{00000000-0005-0000-0000-00001B5E0000}"/>
    <cellStyle name="Header2 3 2 6 2 3" xfId="24098" xr:uid="{00000000-0005-0000-0000-00001C5E0000}"/>
    <cellStyle name="Header2 3 2 6 2 4" xfId="24099" xr:uid="{00000000-0005-0000-0000-00001D5E0000}"/>
    <cellStyle name="Header2 3 2 6 3" xfId="24100" xr:uid="{00000000-0005-0000-0000-00001E5E0000}"/>
    <cellStyle name="Header2 3 2 6 3 2" xfId="24101" xr:uid="{00000000-0005-0000-0000-00001F5E0000}"/>
    <cellStyle name="Header2 3 2 6 3 2 2" xfId="24102" xr:uid="{00000000-0005-0000-0000-0000205E0000}"/>
    <cellStyle name="Header2 3 2 6 3 2 3" xfId="24103" xr:uid="{00000000-0005-0000-0000-0000215E0000}"/>
    <cellStyle name="Header2 3 2 6 3 2 4" xfId="24104" xr:uid="{00000000-0005-0000-0000-0000225E0000}"/>
    <cellStyle name="Header2 3 2 6 3 2 5" xfId="24105" xr:uid="{00000000-0005-0000-0000-0000235E0000}"/>
    <cellStyle name="Header2 3 2 6 3 3" xfId="24106" xr:uid="{00000000-0005-0000-0000-0000245E0000}"/>
    <cellStyle name="Header2 3 2 6 3 4" xfId="24107" xr:uid="{00000000-0005-0000-0000-0000255E0000}"/>
    <cellStyle name="Header2 3 2 6 4" xfId="24108" xr:uid="{00000000-0005-0000-0000-0000265E0000}"/>
    <cellStyle name="Header2 3 2 6 4 2" xfId="24109" xr:uid="{00000000-0005-0000-0000-0000275E0000}"/>
    <cellStyle name="Header2 3 2 6 4 3" xfId="24110" xr:uid="{00000000-0005-0000-0000-0000285E0000}"/>
    <cellStyle name="Header2 3 2 6 4 4" xfId="24111" xr:uid="{00000000-0005-0000-0000-0000295E0000}"/>
    <cellStyle name="Header2 3 2 6 4 5" xfId="24112" xr:uid="{00000000-0005-0000-0000-00002A5E0000}"/>
    <cellStyle name="Header2 3 2 6 5" xfId="24113" xr:uid="{00000000-0005-0000-0000-00002B5E0000}"/>
    <cellStyle name="Header2 3 2 6 6" xfId="24114" xr:uid="{00000000-0005-0000-0000-00002C5E0000}"/>
    <cellStyle name="Header2 3 2 7" xfId="24115" xr:uid="{00000000-0005-0000-0000-00002D5E0000}"/>
    <cellStyle name="Header2 3 2 7 2" xfId="24116" xr:uid="{00000000-0005-0000-0000-00002E5E0000}"/>
    <cellStyle name="Header2 3 2 7 2 2" xfId="24117" xr:uid="{00000000-0005-0000-0000-00002F5E0000}"/>
    <cellStyle name="Header2 3 2 7 2 3" xfId="24118" xr:uid="{00000000-0005-0000-0000-0000305E0000}"/>
    <cellStyle name="Header2 3 2 7 2 4" xfId="24119" xr:uid="{00000000-0005-0000-0000-0000315E0000}"/>
    <cellStyle name="Header2 3 2 7 2 5" xfId="24120" xr:uid="{00000000-0005-0000-0000-0000325E0000}"/>
    <cellStyle name="Header2 3 2 7 3" xfId="24121" xr:uid="{00000000-0005-0000-0000-0000335E0000}"/>
    <cellStyle name="Header2 3 2 7 4" xfId="24122" xr:uid="{00000000-0005-0000-0000-0000345E0000}"/>
    <cellStyle name="Header2 3 2 8" xfId="24123" xr:uid="{00000000-0005-0000-0000-0000355E0000}"/>
    <cellStyle name="Header2 3 2 8 2" xfId="24124" xr:uid="{00000000-0005-0000-0000-0000365E0000}"/>
    <cellStyle name="Header2 3 2 8 2 2" xfId="24125" xr:uid="{00000000-0005-0000-0000-0000375E0000}"/>
    <cellStyle name="Header2 3 2 8 2 3" xfId="24126" xr:uid="{00000000-0005-0000-0000-0000385E0000}"/>
    <cellStyle name="Header2 3 2 8 2 4" xfId="24127" xr:uid="{00000000-0005-0000-0000-0000395E0000}"/>
    <cellStyle name="Header2 3 2 8 2 5" xfId="24128" xr:uid="{00000000-0005-0000-0000-00003A5E0000}"/>
    <cellStyle name="Header2 3 2 8 3" xfId="24129" xr:uid="{00000000-0005-0000-0000-00003B5E0000}"/>
    <cellStyle name="Header2 3 2 8 4" xfId="24130" xr:uid="{00000000-0005-0000-0000-00003C5E0000}"/>
    <cellStyle name="Header2 3 2 9" xfId="24131" xr:uid="{00000000-0005-0000-0000-00003D5E0000}"/>
    <cellStyle name="Header2 3 2 9 2" xfId="24132" xr:uid="{00000000-0005-0000-0000-00003E5E0000}"/>
    <cellStyle name="Header2 3 2 9 3" xfId="24133" xr:uid="{00000000-0005-0000-0000-00003F5E0000}"/>
    <cellStyle name="Header2 3 2 9 4" xfId="24134" xr:uid="{00000000-0005-0000-0000-0000405E0000}"/>
    <cellStyle name="Header2 3 2 9 5" xfId="24135" xr:uid="{00000000-0005-0000-0000-0000415E0000}"/>
    <cellStyle name="Header2 3 3" xfId="24136" xr:uid="{00000000-0005-0000-0000-0000425E0000}"/>
    <cellStyle name="Header2 3 3 2" xfId="24137" xr:uid="{00000000-0005-0000-0000-0000435E0000}"/>
    <cellStyle name="Header2 3 3 2 2" xfId="24138" xr:uid="{00000000-0005-0000-0000-0000445E0000}"/>
    <cellStyle name="Header2 3 3 2 2 2" xfId="24139" xr:uid="{00000000-0005-0000-0000-0000455E0000}"/>
    <cellStyle name="Header2 3 3 2 2 3" xfId="24140" xr:uid="{00000000-0005-0000-0000-0000465E0000}"/>
    <cellStyle name="Header2 3 3 2 2 4" xfId="24141" xr:uid="{00000000-0005-0000-0000-0000475E0000}"/>
    <cellStyle name="Header2 3 3 2 2 5" xfId="24142" xr:uid="{00000000-0005-0000-0000-0000485E0000}"/>
    <cellStyle name="Header2 3 3 2 3" xfId="24143" xr:uid="{00000000-0005-0000-0000-0000495E0000}"/>
    <cellStyle name="Header2 3 3 2 4" xfId="24144" xr:uid="{00000000-0005-0000-0000-00004A5E0000}"/>
    <cellStyle name="Header2 3 3 3" xfId="24145" xr:uid="{00000000-0005-0000-0000-00004B5E0000}"/>
    <cellStyle name="Header2 3 3 3 2" xfId="24146" xr:uid="{00000000-0005-0000-0000-00004C5E0000}"/>
    <cellStyle name="Header2 3 3 3 2 2" xfId="24147" xr:uid="{00000000-0005-0000-0000-00004D5E0000}"/>
    <cellStyle name="Header2 3 3 3 2 3" xfId="24148" xr:uid="{00000000-0005-0000-0000-00004E5E0000}"/>
    <cellStyle name="Header2 3 3 3 2 4" xfId="24149" xr:uid="{00000000-0005-0000-0000-00004F5E0000}"/>
    <cellStyle name="Header2 3 3 3 2 5" xfId="24150" xr:uid="{00000000-0005-0000-0000-0000505E0000}"/>
    <cellStyle name="Header2 3 3 3 3" xfId="24151" xr:uid="{00000000-0005-0000-0000-0000515E0000}"/>
    <cellStyle name="Header2 3 3 3 4" xfId="24152" xr:uid="{00000000-0005-0000-0000-0000525E0000}"/>
    <cellStyle name="Header2 3 3 4" xfId="24153" xr:uid="{00000000-0005-0000-0000-0000535E0000}"/>
    <cellStyle name="Header2 3 3 4 2" xfId="24154" xr:uid="{00000000-0005-0000-0000-0000545E0000}"/>
    <cellStyle name="Header2 3 3 4 3" xfId="24155" xr:uid="{00000000-0005-0000-0000-0000555E0000}"/>
    <cellStyle name="Header2 3 3 4 4" xfId="24156" xr:uid="{00000000-0005-0000-0000-0000565E0000}"/>
    <cellStyle name="Header2 3 3 4 5" xfId="24157" xr:uid="{00000000-0005-0000-0000-0000575E0000}"/>
    <cellStyle name="Header2 3 3 5" xfId="24158" xr:uid="{00000000-0005-0000-0000-0000585E0000}"/>
    <cellStyle name="Header2 3 3 6" xfId="24159" xr:uid="{00000000-0005-0000-0000-0000595E0000}"/>
    <cellStyle name="Header2 3 4" xfId="24160" xr:uid="{00000000-0005-0000-0000-00005A5E0000}"/>
    <cellStyle name="Header2 3 4 2" xfId="24161" xr:uid="{00000000-0005-0000-0000-00005B5E0000}"/>
    <cellStyle name="Header2 3 4 2 2" xfId="24162" xr:uid="{00000000-0005-0000-0000-00005C5E0000}"/>
    <cellStyle name="Header2 3 4 2 2 2" xfId="24163" xr:uid="{00000000-0005-0000-0000-00005D5E0000}"/>
    <cellStyle name="Header2 3 4 2 2 3" xfId="24164" xr:uid="{00000000-0005-0000-0000-00005E5E0000}"/>
    <cellStyle name="Header2 3 4 2 2 4" xfId="24165" xr:uid="{00000000-0005-0000-0000-00005F5E0000}"/>
    <cellStyle name="Header2 3 4 2 2 5" xfId="24166" xr:uid="{00000000-0005-0000-0000-0000605E0000}"/>
    <cellStyle name="Header2 3 4 2 3" xfId="24167" xr:uid="{00000000-0005-0000-0000-0000615E0000}"/>
    <cellStyle name="Header2 3 4 2 4" xfId="24168" xr:uid="{00000000-0005-0000-0000-0000625E0000}"/>
    <cellStyle name="Header2 3 4 3" xfId="24169" xr:uid="{00000000-0005-0000-0000-0000635E0000}"/>
    <cellStyle name="Header2 3 4 3 2" xfId="24170" xr:uid="{00000000-0005-0000-0000-0000645E0000}"/>
    <cellStyle name="Header2 3 4 3 2 2" xfId="24171" xr:uid="{00000000-0005-0000-0000-0000655E0000}"/>
    <cellStyle name="Header2 3 4 3 2 3" xfId="24172" xr:uid="{00000000-0005-0000-0000-0000665E0000}"/>
    <cellStyle name="Header2 3 4 3 2 4" xfId="24173" xr:uid="{00000000-0005-0000-0000-0000675E0000}"/>
    <cellStyle name="Header2 3 4 3 2 5" xfId="24174" xr:uid="{00000000-0005-0000-0000-0000685E0000}"/>
    <cellStyle name="Header2 3 4 3 3" xfId="24175" xr:uid="{00000000-0005-0000-0000-0000695E0000}"/>
    <cellStyle name="Header2 3 4 3 4" xfId="24176" xr:uid="{00000000-0005-0000-0000-00006A5E0000}"/>
    <cellStyle name="Header2 3 4 4" xfId="24177" xr:uid="{00000000-0005-0000-0000-00006B5E0000}"/>
    <cellStyle name="Header2 3 4 4 2" xfId="24178" xr:uid="{00000000-0005-0000-0000-00006C5E0000}"/>
    <cellStyle name="Header2 3 4 4 3" xfId="24179" xr:uid="{00000000-0005-0000-0000-00006D5E0000}"/>
    <cellStyle name="Header2 3 4 4 4" xfId="24180" xr:uid="{00000000-0005-0000-0000-00006E5E0000}"/>
    <cellStyle name="Header2 3 4 4 5" xfId="24181" xr:uid="{00000000-0005-0000-0000-00006F5E0000}"/>
    <cellStyle name="Header2 3 4 5" xfId="24182" xr:uid="{00000000-0005-0000-0000-0000705E0000}"/>
    <cellStyle name="Header2 3 4 6" xfId="24183" xr:uid="{00000000-0005-0000-0000-0000715E0000}"/>
    <cellStyle name="Header2 3 5" xfId="24184" xr:uid="{00000000-0005-0000-0000-0000725E0000}"/>
    <cellStyle name="Header2 3 5 2" xfId="24185" xr:uid="{00000000-0005-0000-0000-0000735E0000}"/>
    <cellStyle name="Header2 3 5 2 2" xfId="24186" xr:uid="{00000000-0005-0000-0000-0000745E0000}"/>
    <cellStyle name="Header2 3 5 2 2 2" xfId="24187" xr:uid="{00000000-0005-0000-0000-0000755E0000}"/>
    <cellStyle name="Header2 3 5 2 2 3" xfId="24188" xr:uid="{00000000-0005-0000-0000-0000765E0000}"/>
    <cellStyle name="Header2 3 5 2 2 4" xfId="24189" xr:uid="{00000000-0005-0000-0000-0000775E0000}"/>
    <cellStyle name="Header2 3 5 2 2 5" xfId="24190" xr:uid="{00000000-0005-0000-0000-0000785E0000}"/>
    <cellStyle name="Header2 3 5 2 3" xfId="24191" xr:uid="{00000000-0005-0000-0000-0000795E0000}"/>
    <cellStyle name="Header2 3 5 2 4" xfId="24192" xr:uid="{00000000-0005-0000-0000-00007A5E0000}"/>
    <cellStyle name="Header2 3 5 3" xfId="24193" xr:uid="{00000000-0005-0000-0000-00007B5E0000}"/>
    <cellStyle name="Header2 3 5 3 2" xfId="24194" xr:uid="{00000000-0005-0000-0000-00007C5E0000}"/>
    <cellStyle name="Header2 3 5 3 2 2" xfId="24195" xr:uid="{00000000-0005-0000-0000-00007D5E0000}"/>
    <cellStyle name="Header2 3 5 3 2 3" xfId="24196" xr:uid="{00000000-0005-0000-0000-00007E5E0000}"/>
    <cellStyle name="Header2 3 5 3 2 4" xfId="24197" xr:uid="{00000000-0005-0000-0000-00007F5E0000}"/>
    <cellStyle name="Header2 3 5 3 2 5" xfId="24198" xr:uid="{00000000-0005-0000-0000-0000805E0000}"/>
    <cellStyle name="Header2 3 5 3 3" xfId="24199" xr:uid="{00000000-0005-0000-0000-0000815E0000}"/>
    <cellStyle name="Header2 3 5 3 4" xfId="24200" xr:uid="{00000000-0005-0000-0000-0000825E0000}"/>
    <cellStyle name="Header2 3 5 4" xfId="24201" xr:uid="{00000000-0005-0000-0000-0000835E0000}"/>
    <cellStyle name="Header2 3 5 4 2" xfId="24202" xr:uid="{00000000-0005-0000-0000-0000845E0000}"/>
    <cellStyle name="Header2 3 5 4 3" xfId="24203" xr:uid="{00000000-0005-0000-0000-0000855E0000}"/>
    <cellStyle name="Header2 3 5 4 4" xfId="24204" xr:uid="{00000000-0005-0000-0000-0000865E0000}"/>
    <cellStyle name="Header2 3 5 4 5" xfId="24205" xr:uid="{00000000-0005-0000-0000-0000875E0000}"/>
    <cellStyle name="Header2 3 5 5" xfId="24206" xr:uid="{00000000-0005-0000-0000-0000885E0000}"/>
    <cellStyle name="Header2 3 5 6" xfId="24207" xr:uid="{00000000-0005-0000-0000-0000895E0000}"/>
    <cellStyle name="Header2 3 6" xfId="24208" xr:uid="{00000000-0005-0000-0000-00008A5E0000}"/>
    <cellStyle name="Header2 3 6 2" xfId="24209" xr:uid="{00000000-0005-0000-0000-00008B5E0000}"/>
    <cellStyle name="Header2 3 6 2 2" xfId="24210" xr:uid="{00000000-0005-0000-0000-00008C5E0000}"/>
    <cellStyle name="Header2 3 6 2 2 2" xfId="24211" xr:uid="{00000000-0005-0000-0000-00008D5E0000}"/>
    <cellStyle name="Header2 3 6 2 2 3" xfId="24212" xr:uid="{00000000-0005-0000-0000-00008E5E0000}"/>
    <cellStyle name="Header2 3 6 2 2 4" xfId="24213" xr:uid="{00000000-0005-0000-0000-00008F5E0000}"/>
    <cellStyle name="Header2 3 6 2 2 5" xfId="24214" xr:uid="{00000000-0005-0000-0000-0000905E0000}"/>
    <cellStyle name="Header2 3 6 2 3" xfId="24215" xr:uid="{00000000-0005-0000-0000-0000915E0000}"/>
    <cellStyle name="Header2 3 6 2 4" xfId="24216" xr:uid="{00000000-0005-0000-0000-0000925E0000}"/>
    <cellStyle name="Header2 3 6 3" xfId="24217" xr:uid="{00000000-0005-0000-0000-0000935E0000}"/>
    <cellStyle name="Header2 3 6 3 2" xfId="24218" xr:uid="{00000000-0005-0000-0000-0000945E0000}"/>
    <cellStyle name="Header2 3 6 3 2 2" xfId="24219" xr:uid="{00000000-0005-0000-0000-0000955E0000}"/>
    <cellStyle name="Header2 3 6 3 2 3" xfId="24220" xr:uid="{00000000-0005-0000-0000-0000965E0000}"/>
    <cellStyle name="Header2 3 6 3 2 4" xfId="24221" xr:uid="{00000000-0005-0000-0000-0000975E0000}"/>
    <cellStyle name="Header2 3 6 3 2 5" xfId="24222" xr:uid="{00000000-0005-0000-0000-0000985E0000}"/>
    <cellStyle name="Header2 3 6 3 3" xfId="24223" xr:uid="{00000000-0005-0000-0000-0000995E0000}"/>
    <cellStyle name="Header2 3 6 3 4" xfId="24224" xr:uid="{00000000-0005-0000-0000-00009A5E0000}"/>
    <cellStyle name="Header2 3 6 4" xfId="24225" xr:uid="{00000000-0005-0000-0000-00009B5E0000}"/>
    <cellStyle name="Header2 3 6 4 2" xfId="24226" xr:uid="{00000000-0005-0000-0000-00009C5E0000}"/>
    <cellStyle name="Header2 3 6 4 3" xfId="24227" xr:uid="{00000000-0005-0000-0000-00009D5E0000}"/>
    <cellStyle name="Header2 3 6 4 4" xfId="24228" xr:uid="{00000000-0005-0000-0000-00009E5E0000}"/>
    <cellStyle name="Header2 3 6 4 5" xfId="24229" xr:uid="{00000000-0005-0000-0000-00009F5E0000}"/>
    <cellStyle name="Header2 3 6 5" xfId="24230" xr:uid="{00000000-0005-0000-0000-0000A05E0000}"/>
    <cellStyle name="Header2 3 6 6" xfId="24231" xr:uid="{00000000-0005-0000-0000-0000A15E0000}"/>
    <cellStyle name="Header2 3 7" xfId="24232" xr:uid="{00000000-0005-0000-0000-0000A25E0000}"/>
    <cellStyle name="Header2 3 7 2" xfId="24233" xr:uid="{00000000-0005-0000-0000-0000A35E0000}"/>
    <cellStyle name="Header2 3 7 2 2" xfId="24234" xr:uid="{00000000-0005-0000-0000-0000A45E0000}"/>
    <cellStyle name="Header2 3 7 2 2 2" xfId="24235" xr:uid="{00000000-0005-0000-0000-0000A55E0000}"/>
    <cellStyle name="Header2 3 7 2 2 3" xfId="24236" xr:uid="{00000000-0005-0000-0000-0000A65E0000}"/>
    <cellStyle name="Header2 3 7 2 2 4" xfId="24237" xr:uid="{00000000-0005-0000-0000-0000A75E0000}"/>
    <cellStyle name="Header2 3 7 2 2 5" xfId="24238" xr:uid="{00000000-0005-0000-0000-0000A85E0000}"/>
    <cellStyle name="Header2 3 7 2 3" xfId="24239" xr:uid="{00000000-0005-0000-0000-0000A95E0000}"/>
    <cellStyle name="Header2 3 7 2 4" xfId="24240" xr:uid="{00000000-0005-0000-0000-0000AA5E0000}"/>
    <cellStyle name="Header2 3 7 3" xfId="24241" xr:uid="{00000000-0005-0000-0000-0000AB5E0000}"/>
    <cellStyle name="Header2 3 7 3 2" xfId="24242" xr:uid="{00000000-0005-0000-0000-0000AC5E0000}"/>
    <cellStyle name="Header2 3 7 3 2 2" xfId="24243" xr:uid="{00000000-0005-0000-0000-0000AD5E0000}"/>
    <cellStyle name="Header2 3 7 3 2 3" xfId="24244" xr:uid="{00000000-0005-0000-0000-0000AE5E0000}"/>
    <cellStyle name="Header2 3 7 3 2 4" xfId="24245" xr:uid="{00000000-0005-0000-0000-0000AF5E0000}"/>
    <cellStyle name="Header2 3 7 3 2 5" xfId="24246" xr:uid="{00000000-0005-0000-0000-0000B05E0000}"/>
    <cellStyle name="Header2 3 7 3 3" xfId="24247" xr:uid="{00000000-0005-0000-0000-0000B15E0000}"/>
    <cellStyle name="Header2 3 7 3 4" xfId="24248" xr:uid="{00000000-0005-0000-0000-0000B25E0000}"/>
    <cellStyle name="Header2 3 7 4" xfId="24249" xr:uid="{00000000-0005-0000-0000-0000B35E0000}"/>
    <cellStyle name="Header2 3 7 4 2" xfId="24250" xr:uid="{00000000-0005-0000-0000-0000B45E0000}"/>
    <cellStyle name="Header2 3 7 4 3" xfId="24251" xr:uid="{00000000-0005-0000-0000-0000B55E0000}"/>
    <cellStyle name="Header2 3 7 4 4" xfId="24252" xr:uid="{00000000-0005-0000-0000-0000B65E0000}"/>
    <cellStyle name="Header2 3 7 4 5" xfId="24253" xr:uid="{00000000-0005-0000-0000-0000B75E0000}"/>
    <cellStyle name="Header2 3 7 5" xfId="24254" xr:uid="{00000000-0005-0000-0000-0000B85E0000}"/>
    <cellStyle name="Header2 3 7 6" xfId="24255" xr:uid="{00000000-0005-0000-0000-0000B95E0000}"/>
    <cellStyle name="Header2 3 8" xfId="24256" xr:uid="{00000000-0005-0000-0000-0000BA5E0000}"/>
    <cellStyle name="Header2 3 8 2" xfId="24257" xr:uid="{00000000-0005-0000-0000-0000BB5E0000}"/>
    <cellStyle name="Header2 3 8 2 2" xfId="24258" xr:uid="{00000000-0005-0000-0000-0000BC5E0000}"/>
    <cellStyle name="Header2 3 8 2 3" xfId="24259" xr:uid="{00000000-0005-0000-0000-0000BD5E0000}"/>
    <cellStyle name="Header2 3 8 2 4" xfId="24260" xr:uid="{00000000-0005-0000-0000-0000BE5E0000}"/>
    <cellStyle name="Header2 3 8 2 5" xfId="24261" xr:uid="{00000000-0005-0000-0000-0000BF5E0000}"/>
    <cellStyle name="Header2 3 8 3" xfId="24262" xr:uid="{00000000-0005-0000-0000-0000C05E0000}"/>
    <cellStyle name="Header2 3 8 4" xfId="24263" xr:uid="{00000000-0005-0000-0000-0000C15E0000}"/>
    <cellStyle name="Header2 3 9" xfId="24264" xr:uid="{00000000-0005-0000-0000-0000C25E0000}"/>
    <cellStyle name="Header2 3 9 2" xfId="24265" xr:uid="{00000000-0005-0000-0000-0000C35E0000}"/>
    <cellStyle name="Header2 3 9 2 2" xfId="24266" xr:uid="{00000000-0005-0000-0000-0000C45E0000}"/>
    <cellStyle name="Header2 3 9 2 3" xfId="24267" xr:uid="{00000000-0005-0000-0000-0000C55E0000}"/>
    <cellStyle name="Header2 3 9 2 4" xfId="24268" xr:uid="{00000000-0005-0000-0000-0000C65E0000}"/>
    <cellStyle name="Header2 3 9 2 5" xfId="24269" xr:uid="{00000000-0005-0000-0000-0000C75E0000}"/>
    <cellStyle name="Header2 3 9 3" xfId="24270" xr:uid="{00000000-0005-0000-0000-0000C85E0000}"/>
    <cellStyle name="Header2 3 9 4" xfId="24271" xr:uid="{00000000-0005-0000-0000-0000C95E0000}"/>
    <cellStyle name="Header2 4" xfId="24272" xr:uid="{00000000-0005-0000-0000-0000CA5E0000}"/>
    <cellStyle name="Header2 4 10" xfId="24273" xr:uid="{00000000-0005-0000-0000-0000CB5E0000}"/>
    <cellStyle name="Header2 4 11" xfId="24274" xr:uid="{00000000-0005-0000-0000-0000CC5E0000}"/>
    <cellStyle name="Header2 4 2" xfId="24275" xr:uid="{00000000-0005-0000-0000-0000CD5E0000}"/>
    <cellStyle name="Header2 4 2 2" xfId="24276" xr:uid="{00000000-0005-0000-0000-0000CE5E0000}"/>
    <cellStyle name="Header2 4 2 2 2" xfId="24277" xr:uid="{00000000-0005-0000-0000-0000CF5E0000}"/>
    <cellStyle name="Header2 4 2 2 2 2" xfId="24278" xr:uid="{00000000-0005-0000-0000-0000D05E0000}"/>
    <cellStyle name="Header2 4 2 2 2 3" xfId="24279" xr:uid="{00000000-0005-0000-0000-0000D15E0000}"/>
    <cellStyle name="Header2 4 2 2 2 4" xfId="24280" xr:uid="{00000000-0005-0000-0000-0000D25E0000}"/>
    <cellStyle name="Header2 4 2 2 2 5" xfId="24281" xr:uid="{00000000-0005-0000-0000-0000D35E0000}"/>
    <cellStyle name="Header2 4 2 2 3" xfId="24282" xr:uid="{00000000-0005-0000-0000-0000D45E0000}"/>
    <cellStyle name="Header2 4 2 2 4" xfId="24283" xr:uid="{00000000-0005-0000-0000-0000D55E0000}"/>
    <cellStyle name="Header2 4 2 3" xfId="24284" xr:uid="{00000000-0005-0000-0000-0000D65E0000}"/>
    <cellStyle name="Header2 4 2 3 2" xfId="24285" xr:uid="{00000000-0005-0000-0000-0000D75E0000}"/>
    <cellStyle name="Header2 4 2 3 2 2" xfId="24286" xr:uid="{00000000-0005-0000-0000-0000D85E0000}"/>
    <cellStyle name="Header2 4 2 3 2 3" xfId="24287" xr:uid="{00000000-0005-0000-0000-0000D95E0000}"/>
    <cellStyle name="Header2 4 2 3 2 4" xfId="24288" xr:uid="{00000000-0005-0000-0000-0000DA5E0000}"/>
    <cellStyle name="Header2 4 2 3 2 5" xfId="24289" xr:uid="{00000000-0005-0000-0000-0000DB5E0000}"/>
    <cellStyle name="Header2 4 2 3 3" xfId="24290" xr:uid="{00000000-0005-0000-0000-0000DC5E0000}"/>
    <cellStyle name="Header2 4 2 3 4" xfId="24291" xr:uid="{00000000-0005-0000-0000-0000DD5E0000}"/>
    <cellStyle name="Header2 4 2 4" xfId="24292" xr:uid="{00000000-0005-0000-0000-0000DE5E0000}"/>
    <cellStyle name="Header2 4 2 4 2" xfId="24293" xr:uid="{00000000-0005-0000-0000-0000DF5E0000}"/>
    <cellStyle name="Header2 4 2 4 3" xfId="24294" xr:uid="{00000000-0005-0000-0000-0000E05E0000}"/>
    <cellStyle name="Header2 4 2 4 4" xfId="24295" xr:uid="{00000000-0005-0000-0000-0000E15E0000}"/>
    <cellStyle name="Header2 4 2 4 5" xfId="24296" xr:uid="{00000000-0005-0000-0000-0000E25E0000}"/>
    <cellStyle name="Header2 4 2 5" xfId="24297" xr:uid="{00000000-0005-0000-0000-0000E35E0000}"/>
    <cellStyle name="Header2 4 2 6" xfId="24298" xr:uid="{00000000-0005-0000-0000-0000E45E0000}"/>
    <cellStyle name="Header2 4 3" xfId="24299" xr:uid="{00000000-0005-0000-0000-0000E55E0000}"/>
    <cellStyle name="Header2 4 3 2" xfId="24300" xr:uid="{00000000-0005-0000-0000-0000E65E0000}"/>
    <cellStyle name="Header2 4 3 2 2" xfId="24301" xr:uid="{00000000-0005-0000-0000-0000E75E0000}"/>
    <cellStyle name="Header2 4 3 2 2 2" xfId="24302" xr:uid="{00000000-0005-0000-0000-0000E85E0000}"/>
    <cellStyle name="Header2 4 3 2 2 3" xfId="24303" xr:uid="{00000000-0005-0000-0000-0000E95E0000}"/>
    <cellStyle name="Header2 4 3 2 2 4" xfId="24304" xr:uid="{00000000-0005-0000-0000-0000EA5E0000}"/>
    <cellStyle name="Header2 4 3 2 2 5" xfId="24305" xr:uid="{00000000-0005-0000-0000-0000EB5E0000}"/>
    <cellStyle name="Header2 4 3 2 3" xfId="24306" xr:uid="{00000000-0005-0000-0000-0000EC5E0000}"/>
    <cellStyle name="Header2 4 3 2 4" xfId="24307" xr:uid="{00000000-0005-0000-0000-0000ED5E0000}"/>
    <cellStyle name="Header2 4 3 3" xfId="24308" xr:uid="{00000000-0005-0000-0000-0000EE5E0000}"/>
    <cellStyle name="Header2 4 3 3 2" xfId="24309" xr:uid="{00000000-0005-0000-0000-0000EF5E0000}"/>
    <cellStyle name="Header2 4 3 3 2 2" xfId="24310" xr:uid="{00000000-0005-0000-0000-0000F05E0000}"/>
    <cellStyle name="Header2 4 3 3 2 3" xfId="24311" xr:uid="{00000000-0005-0000-0000-0000F15E0000}"/>
    <cellStyle name="Header2 4 3 3 2 4" xfId="24312" xr:uid="{00000000-0005-0000-0000-0000F25E0000}"/>
    <cellStyle name="Header2 4 3 3 2 5" xfId="24313" xr:uid="{00000000-0005-0000-0000-0000F35E0000}"/>
    <cellStyle name="Header2 4 3 3 3" xfId="24314" xr:uid="{00000000-0005-0000-0000-0000F45E0000}"/>
    <cellStyle name="Header2 4 3 3 4" xfId="24315" xr:uid="{00000000-0005-0000-0000-0000F55E0000}"/>
    <cellStyle name="Header2 4 3 4" xfId="24316" xr:uid="{00000000-0005-0000-0000-0000F65E0000}"/>
    <cellStyle name="Header2 4 3 4 2" xfId="24317" xr:uid="{00000000-0005-0000-0000-0000F75E0000}"/>
    <cellStyle name="Header2 4 3 4 3" xfId="24318" xr:uid="{00000000-0005-0000-0000-0000F85E0000}"/>
    <cellStyle name="Header2 4 3 4 4" xfId="24319" xr:uid="{00000000-0005-0000-0000-0000F95E0000}"/>
    <cellStyle name="Header2 4 3 4 5" xfId="24320" xr:uid="{00000000-0005-0000-0000-0000FA5E0000}"/>
    <cellStyle name="Header2 4 3 5" xfId="24321" xr:uid="{00000000-0005-0000-0000-0000FB5E0000}"/>
    <cellStyle name="Header2 4 3 6" xfId="24322" xr:uid="{00000000-0005-0000-0000-0000FC5E0000}"/>
    <cellStyle name="Header2 4 4" xfId="24323" xr:uid="{00000000-0005-0000-0000-0000FD5E0000}"/>
    <cellStyle name="Header2 4 4 2" xfId="24324" xr:uid="{00000000-0005-0000-0000-0000FE5E0000}"/>
    <cellStyle name="Header2 4 4 2 2" xfId="24325" xr:uid="{00000000-0005-0000-0000-0000FF5E0000}"/>
    <cellStyle name="Header2 4 4 2 2 2" xfId="24326" xr:uid="{00000000-0005-0000-0000-0000005F0000}"/>
    <cellStyle name="Header2 4 4 2 2 3" xfId="24327" xr:uid="{00000000-0005-0000-0000-0000015F0000}"/>
    <cellStyle name="Header2 4 4 2 2 4" xfId="24328" xr:uid="{00000000-0005-0000-0000-0000025F0000}"/>
    <cellStyle name="Header2 4 4 2 2 5" xfId="24329" xr:uid="{00000000-0005-0000-0000-0000035F0000}"/>
    <cellStyle name="Header2 4 4 2 3" xfId="24330" xr:uid="{00000000-0005-0000-0000-0000045F0000}"/>
    <cellStyle name="Header2 4 4 2 4" xfId="24331" xr:uid="{00000000-0005-0000-0000-0000055F0000}"/>
    <cellStyle name="Header2 4 4 3" xfId="24332" xr:uid="{00000000-0005-0000-0000-0000065F0000}"/>
    <cellStyle name="Header2 4 4 3 2" xfId="24333" xr:uid="{00000000-0005-0000-0000-0000075F0000}"/>
    <cellStyle name="Header2 4 4 3 2 2" xfId="24334" xr:uid="{00000000-0005-0000-0000-0000085F0000}"/>
    <cellStyle name="Header2 4 4 3 2 3" xfId="24335" xr:uid="{00000000-0005-0000-0000-0000095F0000}"/>
    <cellStyle name="Header2 4 4 3 2 4" xfId="24336" xr:uid="{00000000-0005-0000-0000-00000A5F0000}"/>
    <cellStyle name="Header2 4 4 3 2 5" xfId="24337" xr:uid="{00000000-0005-0000-0000-00000B5F0000}"/>
    <cellStyle name="Header2 4 4 3 3" xfId="24338" xr:uid="{00000000-0005-0000-0000-00000C5F0000}"/>
    <cellStyle name="Header2 4 4 3 4" xfId="24339" xr:uid="{00000000-0005-0000-0000-00000D5F0000}"/>
    <cellStyle name="Header2 4 4 4" xfId="24340" xr:uid="{00000000-0005-0000-0000-00000E5F0000}"/>
    <cellStyle name="Header2 4 4 4 2" xfId="24341" xr:uid="{00000000-0005-0000-0000-00000F5F0000}"/>
    <cellStyle name="Header2 4 4 4 3" xfId="24342" xr:uid="{00000000-0005-0000-0000-0000105F0000}"/>
    <cellStyle name="Header2 4 4 4 4" xfId="24343" xr:uid="{00000000-0005-0000-0000-0000115F0000}"/>
    <cellStyle name="Header2 4 4 4 5" xfId="24344" xr:uid="{00000000-0005-0000-0000-0000125F0000}"/>
    <cellStyle name="Header2 4 4 5" xfId="24345" xr:uid="{00000000-0005-0000-0000-0000135F0000}"/>
    <cellStyle name="Header2 4 4 6" xfId="24346" xr:uid="{00000000-0005-0000-0000-0000145F0000}"/>
    <cellStyle name="Header2 4 5" xfId="24347" xr:uid="{00000000-0005-0000-0000-0000155F0000}"/>
    <cellStyle name="Header2 4 5 2" xfId="24348" xr:uid="{00000000-0005-0000-0000-0000165F0000}"/>
    <cellStyle name="Header2 4 5 2 2" xfId="24349" xr:uid="{00000000-0005-0000-0000-0000175F0000}"/>
    <cellStyle name="Header2 4 5 2 2 2" xfId="24350" xr:uid="{00000000-0005-0000-0000-0000185F0000}"/>
    <cellStyle name="Header2 4 5 2 2 3" xfId="24351" xr:uid="{00000000-0005-0000-0000-0000195F0000}"/>
    <cellStyle name="Header2 4 5 2 2 4" xfId="24352" xr:uid="{00000000-0005-0000-0000-00001A5F0000}"/>
    <cellStyle name="Header2 4 5 2 2 5" xfId="24353" xr:uid="{00000000-0005-0000-0000-00001B5F0000}"/>
    <cellStyle name="Header2 4 5 2 3" xfId="24354" xr:uid="{00000000-0005-0000-0000-00001C5F0000}"/>
    <cellStyle name="Header2 4 5 2 4" xfId="24355" xr:uid="{00000000-0005-0000-0000-00001D5F0000}"/>
    <cellStyle name="Header2 4 5 3" xfId="24356" xr:uid="{00000000-0005-0000-0000-00001E5F0000}"/>
    <cellStyle name="Header2 4 5 3 2" xfId="24357" xr:uid="{00000000-0005-0000-0000-00001F5F0000}"/>
    <cellStyle name="Header2 4 5 3 2 2" xfId="24358" xr:uid="{00000000-0005-0000-0000-0000205F0000}"/>
    <cellStyle name="Header2 4 5 3 2 3" xfId="24359" xr:uid="{00000000-0005-0000-0000-0000215F0000}"/>
    <cellStyle name="Header2 4 5 3 2 4" xfId="24360" xr:uid="{00000000-0005-0000-0000-0000225F0000}"/>
    <cellStyle name="Header2 4 5 3 2 5" xfId="24361" xr:uid="{00000000-0005-0000-0000-0000235F0000}"/>
    <cellStyle name="Header2 4 5 3 3" xfId="24362" xr:uid="{00000000-0005-0000-0000-0000245F0000}"/>
    <cellStyle name="Header2 4 5 3 4" xfId="24363" xr:uid="{00000000-0005-0000-0000-0000255F0000}"/>
    <cellStyle name="Header2 4 5 4" xfId="24364" xr:uid="{00000000-0005-0000-0000-0000265F0000}"/>
    <cellStyle name="Header2 4 5 4 2" xfId="24365" xr:uid="{00000000-0005-0000-0000-0000275F0000}"/>
    <cellStyle name="Header2 4 5 4 3" xfId="24366" xr:uid="{00000000-0005-0000-0000-0000285F0000}"/>
    <cellStyle name="Header2 4 5 4 4" xfId="24367" xr:uid="{00000000-0005-0000-0000-0000295F0000}"/>
    <cellStyle name="Header2 4 5 4 5" xfId="24368" xr:uid="{00000000-0005-0000-0000-00002A5F0000}"/>
    <cellStyle name="Header2 4 5 5" xfId="24369" xr:uid="{00000000-0005-0000-0000-00002B5F0000}"/>
    <cellStyle name="Header2 4 5 6" xfId="24370" xr:uid="{00000000-0005-0000-0000-00002C5F0000}"/>
    <cellStyle name="Header2 4 6" xfId="24371" xr:uid="{00000000-0005-0000-0000-00002D5F0000}"/>
    <cellStyle name="Header2 4 6 2" xfId="24372" xr:uid="{00000000-0005-0000-0000-00002E5F0000}"/>
    <cellStyle name="Header2 4 6 2 2" xfId="24373" xr:uid="{00000000-0005-0000-0000-00002F5F0000}"/>
    <cellStyle name="Header2 4 6 2 2 2" xfId="24374" xr:uid="{00000000-0005-0000-0000-0000305F0000}"/>
    <cellStyle name="Header2 4 6 2 2 3" xfId="24375" xr:uid="{00000000-0005-0000-0000-0000315F0000}"/>
    <cellStyle name="Header2 4 6 2 2 4" xfId="24376" xr:uid="{00000000-0005-0000-0000-0000325F0000}"/>
    <cellStyle name="Header2 4 6 2 2 5" xfId="24377" xr:uid="{00000000-0005-0000-0000-0000335F0000}"/>
    <cellStyle name="Header2 4 6 2 3" xfId="24378" xr:uid="{00000000-0005-0000-0000-0000345F0000}"/>
    <cellStyle name="Header2 4 6 2 4" xfId="24379" xr:uid="{00000000-0005-0000-0000-0000355F0000}"/>
    <cellStyle name="Header2 4 6 3" xfId="24380" xr:uid="{00000000-0005-0000-0000-0000365F0000}"/>
    <cellStyle name="Header2 4 6 3 2" xfId="24381" xr:uid="{00000000-0005-0000-0000-0000375F0000}"/>
    <cellStyle name="Header2 4 6 3 2 2" xfId="24382" xr:uid="{00000000-0005-0000-0000-0000385F0000}"/>
    <cellStyle name="Header2 4 6 3 2 3" xfId="24383" xr:uid="{00000000-0005-0000-0000-0000395F0000}"/>
    <cellStyle name="Header2 4 6 3 2 4" xfId="24384" xr:uid="{00000000-0005-0000-0000-00003A5F0000}"/>
    <cellStyle name="Header2 4 6 3 2 5" xfId="24385" xr:uid="{00000000-0005-0000-0000-00003B5F0000}"/>
    <cellStyle name="Header2 4 6 3 3" xfId="24386" xr:uid="{00000000-0005-0000-0000-00003C5F0000}"/>
    <cellStyle name="Header2 4 6 3 4" xfId="24387" xr:uid="{00000000-0005-0000-0000-00003D5F0000}"/>
    <cellStyle name="Header2 4 6 4" xfId="24388" xr:uid="{00000000-0005-0000-0000-00003E5F0000}"/>
    <cellStyle name="Header2 4 6 4 2" xfId="24389" xr:uid="{00000000-0005-0000-0000-00003F5F0000}"/>
    <cellStyle name="Header2 4 6 4 3" xfId="24390" xr:uid="{00000000-0005-0000-0000-0000405F0000}"/>
    <cellStyle name="Header2 4 6 4 4" xfId="24391" xr:uid="{00000000-0005-0000-0000-0000415F0000}"/>
    <cellStyle name="Header2 4 6 4 5" xfId="24392" xr:uid="{00000000-0005-0000-0000-0000425F0000}"/>
    <cellStyle name="Header2 4 6 5" xfId="24393" xr:uid="{00000000-0005-0000-0000-0000435F0000}"/>
    <cellStyle name="Header2 4 6 6" xfId="24394" xr:uid="{00000000-0005-0000-0000-0000445F0000}"/>
    <cellStyle name="Header2 4 7" xfId="24395" xr:uid="{00000000-0005-0000-0000-0000455F0000}"/>
    <cellStyle name="Header2 4 7 2" xfId="24396" xr:uid="{00000000-0005-0000-0000-0000465F0000}"/>
    <cellStyle name="Header2 4 7 2 2" xfId="24397" xr:uid="{00000000-0005-0000-0000-0000475F0000}"/>
    <cellStyle name="Header2 4 7 2 3" xfId="24398" xr:uid="{00000000-0005-0000-0000-0000485F0000}"/>
    <cellStyle name="Header2 4 7 2 4" xfId="24399" xr:uid="{00000000-0005-0000-0000-0000495F0000}"/>
    <cellStyle name="Header2 4 7 2 5" xfId="24400" xr:uid="{00000000-0005-0000-0000-00004A5F0000}"/>
    <cellStyle name="Header2 4 7 3" xfId="24401" xr:uid="{00000000-0005-0000-0000-00004B5F0000}"/>
    <cellStyle name="Header2 4 7 4" xfId="24402" xr:uid="{00000000-0005-0000-0000-00004C5F0000}"/>
    <cellStyle name="Header2 4 8" xfId="24403" xr:uid="{00000000-0005-0000-0000-00004D5F0000}"/>
    <cellStyle name="Header2 4 8 2" xfId="24404" xr:uid="{00000000-0005-0000-0000-00004E5F0000}"/>
    <cellStyle name="Header2 4 8 2 2" xfId="24405" xr:uid="{00000000-0005-0000-0000-00004F5F0000}"/>
    <cellStyle name="Header2 4 8 2 3" xfId="24406" xr:uid="{00000000-0005-0000-0000-0000505F0000}"/>
    <cellStyle name="Header2 4 8 2 4" xfId="24407" xr:uid="{00000000-0005-0000-0000-0000515F0000}"/>
    <cellStyle name="Header2 4 8 2 5" xfId="24408" xr:uid="{00000000-0005-0000-0000-0000525F0000}"/>
    <cellStyle name="Header2 4 8 3" xfId="24409" xr:uid="{00000000-0005-0000-0000-0000535F0000}"/>
    <cellStyle name="Header2 4 8 4" xfId="24410" xr:uid="{00000000-0005-0000-0000-0000545F0000}"/>
    <cellStyle name="Header2 4 9" xfId="24411" xr:uid="{00000000-0005-0000-0000-0000555F0000}"/>
    <cellStyle name="Header2 4 9 2" xfId="24412" xr:uid="{00000000-0005-0000-0000-0000565F0000}"/>
    <cellStyle name="Header2 4 9 3" xfId="24413" xr:uid="{00000000-0005-0000-0000-0000575F0000}"/>
    <cellStyle name="Header2 4 9 4" xfId="24414" xr:uid="{00000000-0005-0000-0000-0000585F0000}"/>
    <cellStyle name="Header2 4 9 5" xfId="24415" xr:uid="{00000000-0005-0000-0000-0000595F0000}"/>
    <cellStyle name="Header2 5" xfId="24416" xr:uid="{00000000-0005-0000-0000-00005A5F0000}"/>
    <cellStyle name="Header2 5 10" xfId="24417" xr:uid="{00000000-0005-0000-0000-00005B5F0000}"/>
    <cellStyle name="Header2 5 11" xfId="24418" xr:uid="{00000000-0005-0000-0000-00005C5F0000}"/>
    <cellStyle name="Header2 5 2" xfId="24419" xr:uid="{00000000-0005-0000-0000-00005D5F0000}"/>
    <cellStyle name="Header2 5 2 2" xfId="24420" xr:uid="{00000000-0005-0000-0000-00005E5F0000}"/>
    <cellStyle name="Header2 5 2 2 2" xfId="24421" xr:uid="{00000000-0005-0000-0000-00005F5F0000}"/>
    <cellStyle name="Header2 5 2 2 2 2" xfId="24422" xr:uid="{00000000-0005-0000-0000-0000605F0000}"/>
    <cellStyle name="Header2 5 2 2 2 3" xfId="24423" xr:uid="{00000000-0005-0000-0000-0000615F0000}"/>
    <cellStyle name="Header2 5 2 2 2 4" xfId="24424" xr:uid="{00000000-0005-0000-0000-0000625F0000}"/>
    <cellStyle name="Header2 5 2 2 2 5" xfId="24425" xr:uid="{00000000-0005-0000-0000-0000635F0000}"/>
    <cellStyle name="Header2 5 2 2 3" xfId="24426" xr:uid="{00000000-0005-0000-0000-0000645F0000}"/>
    <cellStyle name="Header2 5 2 2 4" xfId="24427" xr:uid="{00000000-0005-0000-0000-0000655F0000}"/>
    <cellStyle name="Header2 5 2 3" xfId="24428" xr:uid="{00000000-0005-0000-0000-0000665F0000}"/>
    <cellStyle name="Header2 5 2 3 2" xfId="24429" xr:uid="{00000000-0005-0000-0000-0000675F0000}"/>
    <cellStyle name="Header2 5 2 3 2 2" xfId="24430" xr:uid="{00000000-0005-0000-0000-0000685F0000}"/>
    <cellStyle name="Header2 5 2 3 2 3" xfId="24431" xr:uid="{00000000-0005-0000-0000-0000695F0000}"/>
    <cellStyle name="Header2 5 2 3 2 4" xfId="24432" xr:uid="{00000000-0005-0000-0000-00006A5F0000}"/>
    <cellStyle name="Header2 5 2 3 2 5" xfId="24433" xr:uid="{00000000-0005-0000-0000-00006B5F0000}"/>
    <cellStyle name="Header2 5 2 3 3" xfId="24434" xr:uid="{00000000-0005-0000-0000-00006C5F0000}"/>
    <cellStyle name="Header2 5 2 3 4" xfId="24435" xr:uid="{00000000-0005-0000-0000-00006D5F0000}"/>
    <cellStyle name="Header2 5 2 4" xfId="24436" xr:uid="{00000000-0005-0000-0000-00006E5F0000}"/>
    <cellStyle name="Header2 5 2 4 2" xfId="24437" xr:uid="{00000000-0005-0000-0000-00006F5F0000}"/>
    <cellStyle name="Header2 5 2 4 3" xfId="24438" xr:uid="{00000000-0005-0000-0000-0000705F0000}"/>
    <cellStyle name="Header2 5 2 4 4" xfId="24439" xr:uid="{00000000-0005-0000-0000-0000715F0000}"/>
    <cellStyle name="Header2 5 2 4 5" xfId="24440" xr:uid="{00000000-0005-0000-0000-0000725F0000}"/>
    <cellStyle name="Header2 5 2 5" xfId="24441" xr:uid="{00000000-0005-0000-0000-0000735F0000}"/>
    <cellStyle name="Header2 5 2 6" xfId="24442" xr:uid="{00000000-0005-0000-0000-0000745F0000}"/>
    <cellStyle name="Header2 5 3" xfId="24443" xr:uid="{00000000-0005-0000-0000-0000755F0000}"/>
    <cellStyle name="Header2 5 3 2" xfId="24444" xr:uid="{00000000-0005-0000-0000-0000765F0000}"/>
    <cellStyle name="Header2 5 3 2 2" xfId="24445" xr:uid="{00000000-0005-0000-0000-0000775F0000}"/>
    <cellStyle name="Header2 5 3 2 2 2" xfId="24446" xr:uid="{00000000-0005-0000-0000-0000785F0000}"/>
    <cellStyle name="Header2 5 3 2 2 3" xfId="24447" xr:uid="{00000000-0005-0000-0000-0000795F0000}"/>
    <cellStyle name="Header2 5 3 2 2 4" xfId="24448" xr:uid="{00000000-0005-0000-0000-00007A5F0000}"/>
    <cellStyle name="Header2 5 3 2 2 5" xfId="24449" xr:uid="{00000000-0005-0000-0000-00007B5F0000}"/>
    <cellStyle name="Header2 5 3 2 3" xfId="24450" xr:uid="{00000000-0005-0000-0000-00007C5F0000}"/>
    <cellStyle name="Header2 5 3 2 4" xfId="24451" xr:uid="{00000000-0005-0000-0000-00007D5F0000}"/>
    <cellStyle name="Header2 5 3 3" xfId="24452" xr:uid="{00000000-0005-0000-0000-00007E5F0000}"/>
    <cellStyle name="Header2 5 3 3 2" xfId="24453" xr:uid="{00000000-0005-0000-0000-00007F5F0000}"/>
    <cellStyle name="Header2 5 3 3 2 2" xfId="24454" xr:uid="{00000000-0005-0000-0000-0000805F0000}"/>
    <cellStyle name="Header2 5 3 3 2 3" xfId="24455" xr:uid="{00000000-0005-0000-0000-0000815F0000}"/>
    <cellStyle name="Header2 5 3 3 2 4" xfId="24456" xr:uid="{00000000-0005-0000-0000-0000825F0000}"/>
    <cellStyle name="Header2 5 3 3 2 5" xfId="24457" xr:uid="{00000000-0005-0000-0000-0000835F0000}"/>
    <cellStyle name="Header2 5 3 3 3" xfId="24458" xr:uid="{00000000-0005-0000-0000-0000845F0000}"/>
    <cellStyle name="Header2 5 3 3 4" xfId="24459" xr:uid="{00000000-0005-0000-0000-0000855F0000}"/>
    <cellStyle name="Header2 5 3 4" xfId="24460" xr:uid="{00000000-0005-0000-0000-0000865F0000}"/>
    <cellStyle name="Header2 5 3 4 2" xfId="24461" xr:uid="{00000000-0005-0000-0000-0000875F0000}"/>
    <cellStyle name="Header2 5 3 4 3" xfId="24462" xr:uid="{00000000-0005-0000-0000-0000885F0000}"/>
    <cellStyle name="Header2 5 3 4 4" xfId="24463" xr:uid="{00000000-0005-0000-0000-0000895F0000}"/>
    <cellStyle name="Header2 5 3 4 5" xfId="24464" xr:uid="{00000000-0005-0000-0000-00008A5F0000}"/>
    <cellStyle name="Header2 5 3 5" xfId="24465" xr:uid="{00000000-0005-0000-0000-00008B5F0000}"/>
    <cellStyle name="Header2 5 3 6" xfId="24466" xr:uid="{00000000-0005-0000-0000-00008C5F0000}"/>
    <cellStyle name="Header2 5 4" xfId="24467" xr:uid="{00000000-0005-0000-0000-00008D5F0000}"/>
    <cellStyle name="Header2 5 4 2" xfId="24468" xr:uid="{00000000-0005-0000-0000-00008E5F0000}"/>
    <cellStyle name="Header2 5 4 2 2" xfId="24469" xr:uid="{00000000-0005-0000-0000-00008F5F0000}"/>
    <cellStyle name="Header2 5 4 2 2 2" xfId="24470" xr:uid="{00000000-0005-0000-0000-0000905F0000}"/>
    <cellStyle name="Header2 5 4 2 2 3" xfId="24471" xr:uid="{00000000-0005-0000-0000-0000915F0000}"/>
    <cellStyle name="Header2 5 4 2 2 4" xfId="24472" xr:uid="{00000000-0005-0000-0000-0000925F0000}"/>
    <cellStyle name="Header2 5 4 2 2 5" xfId="24473" xr:uid="{00000000-0005-0000-0000-0000935F0000}"/>
    <cellStyle name="Header2 5 4 2 3" xfId="24474" xr:uid="{00000000-0005-0000-0000-0000945F0000}"/>
    <cellStyle name="Header2 5 4 2 4" xfId="24475" xr:uid="{00000000-0005-0000-0000-0000955F0000}"/>
    <cellStyle name="Header2 5 4 3" xfId="24476" xr:uid="{00000000-0005-0000-0000-0000965F0000}"/>
    <cellStyle name="Header2 5 4 3 2" xfId="24477" xr:uid="{00000000-0005-0000-0000-0000975F0000}"/>
    <cellStyle name="Header2 5 4 3 2 2" xfId="24478" xr:uid="{00000000-0005-0000-0000-0000985F0000}"/>
    <cellStyle name="Header2 5 4 3 2 3" xfId="24479" xr:uid="{00000000-0005-0000-0000-0000995F0000}"/>
    <cellStyle name="Header2 5 4 3 2 4" xfId="24480" xr:uid="{00000000-0005-0000-0000-00009A5F0000}"/>
    <cellStyle name="Header2 5 4 3 2 5" xfId="24481" xr:uid="{00000000-0005-0000-0000-00009B5F0000}"/>
    <cellStyle name="Header2 5 4 3 3" xfId="24482" xr:uid="{00000000-0005-0000-0000-00009C5F0000}"/>
    <cellStyle name="Header2 5 4 3 4" xfId="24483" xr:uid="{00000000-0005-0000-0000-00009D5F0000}"/>
    <cellStyle name="Header2 5 4 4" xfId="24484" xr:uid="{00000000-0005-0000-0000-00009E5F0000}"/>
    <cellStyle name="Header2 5 4 4 2" xfId="24485" xr:uid="{00000000-0005-0000-0000-00009F5F0000}"/>
    <cellStyle name="Header2 5 4 4 3" xfId="24486" xr:uid="{00000000-0005-0000-0000-0000A05F0000}"/>
    <cellStyle name="Header2 5 4 4 4" xfId="24487" xr:uid="{00000000-0005-0000-0000-0000A15F0000}"/>
    <cellStyle name="Header2 5 4 4 5" xfId="24488" xr:uid="{00000000-0005-0000-0000-0000A25F0000}"/>
    <cellStyle name="Header2 5 4 5" xfId="24489" xr:uid="{00000000-0005-0000-0000-0000A35F0000}"/>
    <cellStyle name="Header2 5 4 6" xfId="24490" xr:uid="{00000000-0005-0000-0000-0000A45F0000}"/>
    <cellStyle name="Header2 5 5" xfId="24491" xr:uid="{00000000-0005-0000-0000-0000A55F0000}"/>
    <cellStyle name="Header2 5 5 2" xfId="24492" xr:uid="{00000000-0005-0000-0000-0000A65F0000}"/>
    <cellStyle name="Header2 5 5 2 2" xfId="24493" xr:uid="{00000000-0005-0000-0000-0000A75F0000}"/>
    <cellStyle name="Header2 5 5 2 2 2" xfId="24494" xr:uid="{00000000-0005-0000-0000-0000A85F0000}"/>
    <cellStyle name="Header2 5 5 2 2 3" xfId="24495" xr:uid="{00000000-0005-0000-0000-0000A95F0000}"/>
    <cellStyle name="Header2 5 5 2 2 4" xfId="24496" xr:uid="{00000000-0005-0000-0000-0000AA5F0000}"/>
    <cellStyle name="Header2 5 5 2 2 5" xfId="24497" xr:uid="{00000000-0005-0000-0000-0000AB5F0000}"/>
    <cellStyle name="Header2 5 5 2 3" xfId="24498" xr:uid="{00000000-0005-0000-0000-0000AC5F0000}"/>
    <cellStyle name="Header2 5 5 2 4" xfId="24499" xr:uid="{00000000-0005-0000-0000-0000AD5F0000}"/>
    <cellStyle name="Header2 5 5 3" xfId="24500" xr:uid="{00000000-0005-0000-0000-0000AE5F0000}"/>
    <cellStyle name="Header2 5 5 3 2" xfId="24501" xr:uid="{00000000-0005-0000-0000-0000AF5F0000}"/>
    <cellStyle name="Header2 5 5 3 2 2" xfId="24502" xr:uid="{00000000-0005-0000-0000-0000B05F0000}"/>
    <cellStyle name="Header2 5 5 3 2 3" xfId="24503" xr:uid="{00000000-0005-0000-0000-0000B15F0000}"/>
    <cellStyle name="Header2 5 5 3 2 4" xfId="24504" xr:uid="{00000000-0005-0000-0000-0000B25F0000}"/>
    <cellStyle name="Header2 5 5 3 2 5" xfId="24505" xr:uid="{00000000-0005-0000-0000-0000B35F0000}"/>
    <cellStyle name="Header2 5 5 3 3" xfId="24506" xr:uid="{00000000-0005-0000-0000-0000B45F0000}"/>
    <cellStyle name="Header2 5 5 3 4" xfId="24507" xr:uid="{00000000-0005-0000-0000-0000B55F0000}"/>
    <cellStyle name="Header2 5 5 4" xfId="24508" xr:uid="{00000000-0005-0000-0000-0000B65F0000}"/>
    <cellStyle name="Header2 5 5 4 2" xfId="24509" xr:uid="{00000000-0005-0000-0000-0000B75F0000}"/>
    <cellStyle name="Header2 5 5 4 3" xfId="24510" xr:uid="{00000000-0005-0000-0000-0000B85F0000}"/>
    <cellStyle name="Header2 5 5 4 4" xfId="24511" xr:uid="{00000000-0005-0000-0000-0000B95F0000}"/>
    <cellStyle name="Header2 5 5 4 5" xfId="24512" xr:uid="{00000000-0005-0000-0000-0000BA5F0000}"/>
    <cellStyle name="Header2 5 5 5" xfId="24513" xr:uid="{00000000-0005-0000-0000-0000BB5F0000}"/>
    <cellStyle name="Header2 5 5 6" xfId="24514" xr:uid="{00000000-0005-0000-0000-0000BC5F0000}"/>
    <cellStyle name="Header2 5 6" xfId="24515" xr:uid="{00000000-0005-0000-0000-0000BD5F0000}"/>
    <cellStyle name="Header2 5 6 2" xfId="24516" xr:uid="{00000000-0005-0000-0000-0000BE5F0000}"/>
    <cellStyle name="Header2 5 6 2 2" xfId="24517" xr:uid="{00000000-0005-0000-0000-0000BF5F0000}"/>
    <cellStyle name="Header2 5 6 2 2 2" xfId="24518" xr:uid="{00000000-0005-0000-0000-0000C05F0000}"/>
    <cellStyle name="Header2 5 6 2 2 3" xfId="24519" xr:uid="{00000000-0005-0000-0000-0000C15F0000}"/>
    <cellStyle name="Header2 5 6 2 2 4" xfId="24520" xr:uid="{00000000-0005-0000-0000-0000C25F0000}"/>
    <cellStyle name="Header2 5 6 2 2 5" xfId="24521" xr:uid="{00000000-0005-0000-0000-0000C35F0000}"/>
    <cellStyle name="Header2 5 6 2 3" xfId="24522" xr:uid="{00000000-0005-0000-0000-0000C45F0000}"/>
    <cellStyle name="Header2 5 6 2 4" xfId="24523" xr:uid="{00000000-0005-0000-0000-0000C55F0000}"/>
    <cellStyle name="Header2 5 6 3" xfId="24524" xr:uid="{00000000-0005-0000-0000-0000C65F0000}"/>
    <cellStyle name="Header2 5 6 3 2" xfId="24525" xr:uid="{00000000-0005-0000-0000-0000C75F0000}"/>
    <cellStyle name="Header2 5 6 3 2 2" xfId="24526" xr:uid="{00000000-0005-0000-0000-0000C85F0000}"/>
    <cellStyle name="Header2 5 6 3 2 3" xfId="24527" xr:uid="{00000000-0005-0000-0000-0000C95F0000}"/>
    <cellStyle name="Header2 5 6 3 2 4" xfId="24528" xr:uid="{00000000-0005-0000-0000-0000CA5F0000}"/>
    <cellStyle name="Header2 5 6 3 2 5" xfId="24529" xr:uid="{00000000-0005-0000-0000-0000CB5F0000}"/>
    <cellStyle name="Header2 5 6 3 3" xfId="24530" xr:uid="{00000000-0005-0000-0000-0000CC5F0000}"/>
    <cellStyle name="Header2 5 6 3 4" xfId="24531" xr:uid="{00000000-0005-0000-0000-0000CD5F0000}"/>
    <cellStyle name="Header2 5 6 4" xfId="24532" xr:uid="{00000000-0005-0000-0000-0000CE5F0000}"/>
    <cellStyle name="Header2 5 6 4 2" xfId="24533" xr:uid="{00000000-0005-0000-0000-0000CF5F0000}"/>
    <cellStyle name="Header2 5 6 4 3" xfId="24534" xr:uid="{00000000-0005-0000-0000-0000D05F0000}"/>
    <cellStyle name="Header2 5 6 4 4" xfId="24535" xr:uid="{00000000-0005-0000-0000-0000D15F0000}"/>
    <cellStyle name="Header2 5 6 4 5" xfId="24536" xr:uid="{00000000-0005-0000-0000-0000D25F0000}"/>
    <cellStyle name="Header2 5 6 5" xfId="24537" xr:uid="{00000000-0005-0000-0000-0000D35F0000}"/>
    <cellStyle name="Header2 5 6 6" xfId="24538" xr:uid="{00000000-0005-0000-0000-0000D45F0000}"/>
    <cellStyle name="Header2 5 7" xfId="24539" xr:uid="{00000000-0005-0000-0000-0000D55F0000}"/>
    <cellStyle name="Header2 5 7 2" xfId="24540" xr:uid="{00000000-0005-0000-0000-0000D65F0000}"/>
    <cellStyle name="Header2 5 7 2 2" xfId="24541" xr:uid="{00000000-0005-0000-0000-0000D75F0000}"/>
    <cellStyle name="Header2 5 7 2 3" xfId="24542" xr:uid="{00000000-0005-0000-0000-0000D85F0000}"/>
    <cellStyle name="Header2 5 7 2 4" xfId="24543" xr:uid="{00000000-0005-0000-0000-0000D95F0000}"/>
    <cellStyle name="Header2 5 7 2 5" xfId="24544" xr:uid="{00000000-0005-0000-0000-0000DA5F0000}"/>
    <cellStyle name="Header2 5 7 3" xfId="24545" xr:uid="{00000000-0005-0000-0000-0000DB5F0000}"/>
    <cellStyle name="Header2 5 7 4" xfId="24546" xr:uid="{00000000-0005-0000-0000-0000DC5F0000}"/>
    <cellStyle name="Header2 5 8" xfId="24547" xr:uid="{00000000-0005-0000-0000-0000DD5F0000}"/>
    <cellStyle name="Header2 5 8 2" xfId="24548" xr:uid="{00000000-0005-0000-0000-0000DE5F0000}"/>
    <cellStyle name="Header2 5 8 2 2" xfId="24549" xr:uid="{00000000-0005-0000-0000-0000DF5F0000}"/>
    <cellStyle name="Header2 5 8 2 3" xfId="24550" xr:uid="{00000000-0005-0000-0000-0000E05F0000}"/>
    <cellStyle name="Header2 5 8 2 4" xfId="24551" xr:uid="{00000000-0005-0000-0000-0000E15F0000}"/>
    <cellStyle name="Header2 5 8 2 5" xfId="24552" xr:uid="{00000000-0005-0000-0000-0000E25F0000}"/>
    <cellStyle name="Header2 5 8 3" xfId="24553" xr:uid="{00000000-0005-0000-0000-0000E35F0000}"/>
    <cellStyle name="Header2 5 8 4" xfId="24554" xr:uid="{00000000-0005-0000-0000-0000E45F0000}"/>
    <cellStyle name="Header2 5 9" xfId="24555" xr:uid="{00000000-0005-0000-0000-0000E55F0000}"/>
    <cellStyle name="Header2 5 9 2" xfId="24556" xr:uid="{00000000-0005-0000-0000-0000E65F0000}"/>
    <cellStyle name="Header2 5 9 3" xfId="24557" xr:uid="{00000000-0005-0000-0000-0000E75F0000}"/>
    <cellStyle name="Header2 5 9 4" xfId="24558" xr:uid="{00000000-0005-0000-0000-0000E85F0000}"/>
    <cellStyle name="Header2 5 9 5" xfId="24559" xr:uid="{00000000-0005-0000-0000-0000E95F0000}"/>
    <cellStyle name="Header2 6" xfId="24560" xr:uid="{00000000-0005-0000-0000-0000EA5F0000}"/>
    <cellStyle name="Header2 6 2" xfId="24561" xr:uid="{00000000-0005-0000-0000-0000EB5F0000}"/>
    <cellStyle name="Header2 6 2 2" xfId="24562" xr:uid="{00000000-0005-0000-0000-0000EC5F0000}"/>
    <cellStyle name="Header2 6 2 2 2" xfId="24563" xr:uid="{00000000-0005-0000-0000-0000ED5F0000}"/>
    <cellStyle name="Header2 6 2 2 3" xfId="24564" xr:uid="{00000000-0005-0000-0000-0000EE5F0000}"/>
    <cellStyle name="Header2 6 2 2 4" xfId="24565" xr:uid="{00000000-0005-0000-0000-0000EF5F0000}"/>
    <cellStyle name="Header2 6 2 2 5" xfId="24566" xr:uid="{00000000-0005-0000-0000-0000F05F0000}"/>
    <cellStyle name="Header2 6 2 3" xfId="24567" xr:uid="{00000000-0005-0000-0000-0000F15F0000}"/>
    <cellStyle name="Header2 6 2 4" xfId="24568" xr:uid="{00000000-0005-0000-0000-0000F25F0000}"/>
    <cellStyle name="Header2 6 3" xfId="24569" xr:uid="{00000000-0005-0000-0000-0000F35F0000}"/>
    <cellStyle name="Header2 6 3 2" xfId="24570" xr:uid="{00000000-0005-0000-0000-0000F45F0000}"/>
    <cellStyle name="Header2 6 3 2 2" xfId="24571" xr:uid="{00000000-0005-0000-0000-0000F55F0000}"/>
    <cellStyle name="Header2 6 3 2 3" xfId="24572" xr:uid="{00000000-0005-0000-0000-0000F65F0000}"/>
    <cellStyle name="Header2 6 3 2 4" xfId="24573" xr:uid="{00000000-0005-0000-0000-0000F75F0000}"/>
    <cellStyle name="Header2 6 3 2 5" xfId="24574" xr:uid="{00000000-0005-0000-0000-0000F85F0000}"/>
    <cellStyle name="Header2 6 3 3" xfId="24575" xr:uid="{00000000-0005-0000-0000-0000F95F0000}"/>
    <cellStyle name="Header2 6 3 4" xfId="24576" xr:uid="{00000000-0005-0000-0000-0000FA5F0000}"/>
    <cellStyle name="Header2 6 4" xfId="24577" xr:uid="{00000000-0005-0000-0000-0000FB5F0000}"/>
    <cellStyle name="Header2 6 4 2" xfId="24578" xr:uid="{00000000-0005-0000-0000-0000FC5F0000}"/>
    <cellStyle name="Header2 6 4 3" xfId="24579" xr:uid="{00000000-0005-0000-0000-0000FD5F0000}"/>
    <cellStyle name="Header2 6 4 4" xfId="24580" xr:uid="{00000000-0005-0000-0000-0000FE5F0000}"/>
    <cellStyle name="Header2 6 4 5" xfId="24581" xr:uid="{00000000-0005-0000-0000-0000FF5F0000}"/>
    <cellStyle name="Header2 6 5" xfId="24582" xr:uid="{00000000-0005-0000-0000-000000600000}"/>
    <cellStyle name="Header2 6 6" xfId="24583" xr:uid="{00000000-0005-0000-0000-000001600000}"/>
    <cellStyle name="Header2 7" xfId="24584" xr:uid="{00000000-0005-0000-0000-000002600000}"/>
    <cellStyle name="Header2 7 2" xfId="24585" xr:uid="{00000000-0005-0000-0000-000003600000}"/>
    <cellStyle name="Header2 7 2 2" xfId="24586" xr:uid="{00000000-0005-0000-0000-000004600000}"/>
    <cellStyle name="Header2 7 2 2 2" xfId="24587" xr:uid="{00000000-0005-0000-0000-000005600000}"/>
    <cellStyle name="Header2 7 2 2 3" xfId="24588" xr:uid="{00000000-0005-0000-0000-000006600000}"/>
    <cellStyle name="Header2 7 2 2 4" xfId="24589" xr:uid="{00000000-0005-0000-0000-000007600000}"/>
    <cellStyle name="Header2 7 2 2 5" xfId="24590" xr:uid="{00000000-0005-0000-0000-000008600000}"/>
    <cellStyle name="Header2 7 2 3" xfId="24591" xr:uid="{00000000-0005-0000-0000-000009600000}"/>
    <cellStyle name="Header2 7 2 4" xfId="24592" xr:uid="{00000000-0005-0000-0000-00000A600000}"/>
    <cellStyle name="Header2 7 3" xfId="24593" xr:uid="{00000000-0005-0000-0000-00000B600000}"/>
    <cellStyle name="Header2 7 3 2" xfId="24594" xr:uid="{00000000-0005-0000-0000-00000C600000}"/>
    <cellStyle name="Header2 7 3 2 2" xfId="24595" xr:uid="{00000000-0005-0000-0000-00000D600000}"/>
    <cellStyle name="Header2 7 3 2 3" xfId="24596" xr:uid="{00000000-0005-0000-0000-00000E600000}"/>
    <cellStyle name="Header2 7 3 2 4" xfId="24597" xr:uid="{00000000-0005-0000-0000-00000F600000}"/>
    <cellStyle name="Header2 7 3 2 5" xfId="24598" xr:uid="{00000000-0005-0000-0000-000010600000}"/>
    <cellStyle name="Header2 7 3 3" xfId="24599" xr:uid="{00000000-0005-0000-0000-000011600000}"/>
    <cellStyle name="Header2 7 3 4" xfId="24600" xr:uid="{00000000-0005-0000-0000-000012600000}"/>
    <cellStyle name="Header2 7 4" xfId="24601" xr:uid="{00000000-0005-0000-0000-000013600000}"/>
    <cellStyle name="Header2 7 4 2" xfId="24602" xr:uid="{00000000-0005-0000-0000-000014600000}"/>
    <cellStyle name="Header2 7 4 3" xfId="24603" xr:uid="{00000000-0005-0000-0000-000015600000}"/>
    <cellStyle name="Header2 7 4 4" xfId="24604" xr:uid="{00000000-0005-0000-0000-000016600000}"/>
    <cellStyle name="Header2 7 4 5" xfId="24605" xr:uid="{00000000-0005-0000-0000-000017600000}"/>
    <cellStyle name="Header2 7 5" xfId="24606" xr:uid="{00000000-0005-0000-0000-000018600000}"/>
    <cellStyle name="Header2 7 6" xfId="24607" xr:uid="{00000000-0005-0000-0000-000019600000}"/>
    <cellStyle name="Header2 8" xfId="24608" xr:uid="{00000000-0005-0000-0000-00001A600000}"/>
    <cellStyle name="Header2 8 2" xfId="24609" xr:uid="{00000000-0005-0000-0000-00001B600000}"/>
    <cellStyle name="Header2 8 2 2" xfId="24610" xr:uid="{00000000-0005-0000-0000-00001C600000}"/>
    <cellStyle name="Header2 8 2 2 2" xfId="24611" xr:uid="{00000000-0005-0000-0000-00001D600000}"/>
    <cellStyle name="Header2 8 2 2 3" xfId="24612" xr:uid="{00000000-0005-0000-0000-00001E600000}"/>
    <cellStyle name="Header2 8 2 2 4" xfId="24613" xr:uid="{00000000-0005-0000-0000-00001F600000}"/>
    <cellStyle name="Header2 8 2 2 5" xfId="24614" xr:uid="{00000000-0005-0000-0000-000020600000}"/>
    <cellStyle name="Header2 8 2 3" xfId="24615" xr:uid="{00000000-0005-0000-0000-000021600000}"/>
    <cellStyle name="Header2 8 2 4" xfId="24616" xr:uid="{00000000-0005-0000-0000-000022600000}"/>
    <cellStyle name="Header2 8 3" xfId="24617" xr:uid="{00000000-0005-0000-0000-000023600000}"/>
    <cellStyle name="Header2 8 3 2" xfId="24618" xr:uid="{00000000-0005-0000-0000-000024600000}"/>
    <cellStyle name="Header2 8 3 2 2" xfId="24619" xr:uid="{00000000-0005-0000-0000-000025600000}"/>
    <cellStyle name="Header2 8 3 2 3" xfId="24620" xr:uid="{00000000-0005-0000-0000-000026600000}"/>
    <cellStyle name="Header2 8 3 2 4" xfId="24621" xr:uid="{00000000-0005-0000-0000-000027600000}"/>
    <cellStyle name="Header2 8 3 2 5" xfId="24622" xr:uid="{00000000-0005-0000-0000-000028600000}"/>
    <cellStyle name="Header2 8 3 3" xfId="24623" xr:uid="{00000000-0005-0000-0000-000029600000}"/>
    <cellStyle name="Header2 8 3 4" xfId="24624" xr:uid="{00000000-0005-0000-0000-00002A600000}"/>
    <cellStyle name="Header2 8 4" xfId="24625" xr:uid="{00000000-0005-0000-0000-00002B600000}"/>
    <cellStyle name="Header2 8 4 2" xfId="24626" xr:uid="{00000000-0005-0000-0000-00002C600000}"/>
    <cellStyle name="Header2 8 4 3" xfId="24627" xr:uid="{00000000-0005-0000-0000-00002D600000}"/>
    <cellStyle name="Header2 8 4 4" xfId="24628" xr:uid="{00000000-0005-0000-0000-00002E600000}"/>
    <cellStyle name="Header2 8 4 5" xfId="24629" xr:uid="{00000000-0005-0000-0000-00002F600000}"/>
    <cellStyle name="Header2 8 5" xfId="24630" xr:uid="{00000000-0005-0000-0000-000030600000}"/>
    <cellStyle name="Header2 8 6" xfId="24631" xr:uid="{00000000-0005-0000-0000-000031600000}"/>
    <cellStyle name="Header2 9" xfId="24632" xr:uid="{00000000-0005-0000-0000-000032600000}"/>
    <cellStyle name="Header2 9 2" xfId="24633" xr:uid="{00000000-0005-0000-0000-000033600000}"/>
    <cellStyle name="Header2 9 2 2" xfId="24634" xr:uid="{00000000-0005-0000-0000-000034600000}"/>
    <cellStyle name="Header2 9 2 3" xfId="24635" xr:uid="{00000000-0005-0000-0000-000035600000}"/>
    <cellStyle name="Header2 9 2 4" xfId="24636" xr:uid="{00000000-0005-0000-0000-000036600000}"/>
    <cellStyle name="Header2 9 2 5" xfId="24637" xr:uid="{00000000-0005-0000-0000-000037600000}"/>
    <cellStyle name="Header2 9 3" xfId="24638" xr:uid="{00000000-0005-0000-0000-000038600000}"/>
    <cellStyle name="Header2 9 4" xfId="24639" xr:uid="{00000000-0005-0000-0000-000039600000}"/>
    <cellStyle name="Headers" xfId="24640" xr:uid="{00000000-0005-0000-0000-00003A600000}"/>
    <cellStyle name="Heading" xfId="24641" xr:uid="{00000000-0005-0000-0000-00003B600000}"/>
    <cellStyle name="Heading 1 2" xfId="24642" xr:uid="{00000000-0005-0000-0000-00003C600000}"/>
    <cellStyle name="Heading 1 2 10" xfId="24643" xr:uid="{00000000-0005-0000-0000-00003D600000}"/>
    <cellStyle name="Heading 1 2 11" xfId="24644" xr:uid="{00000000-0005-0000-0000-00003E600000}"/>
    <cellStyle name="Heading 1 2 12" xfId="24645" xr:uid="{00000000-0005-0000-0000-00003F600000}"/>
    <cellStyle name="Heading 1 2 13" xfId="24646" xr:uid="{00000000-0005-0000-0000-000040600000}"/>
    <cellStyle name="Heading 1 2 14" xfId="24647" xr:uid="{00000000-0005-0000-0000-000041600000}"/>
    <cellStyle name="Heading 1 2 15" xfId="24648" xr:uid="{00000000-0005-0000-0000-000042600000}"/>
    <cellStyle name="Heading 1 2 2" xfId="24649" xr:uid="{00000000-0005-0000-0000-000043600000}"/>
    <cellStyle name="Heading 1 2 2 2" xfId="24650" xr:uid="{00000000-0005-0000-0000-000044600000}"/>
    <cellStyle name="Heading 1 2 3" xfId="24651" xr:uid="{00000000-0005-0000-0000-000045600000}"/>
    <cellStyle name="Heading 1 2 3 2" xfId="24652" xr:uid="{00000000-0005-0000-0000-000046600000}"/>
    <cellStyle name="Heading 1 2 4" xfId="24653" xr:uid="{00000000-0005-0000-0000-000047600000}"/>
    <cellStyle name="Heading 1 2 5" xfId="24654" xr:uid="{00000000-0005-0000-0000-000048600000}"/>
    <cellStyle name="Heading 1 2 6" xfId="24655" xr:uid="{00000000-0005-0000-0000-000049600000}"/>
    <cellStyle name="Heading 1 2 7" xfId="24656" xr:uid="{00000000-0005-0000-0000-00004A600000}"/>
    <cellStyle name="Heading 1 2 8" xfId="24657" xr:uid="{00000000-0005-0000-0000-00004B600000}"/>
    <cellStyle name="Heading 1 2 9" xfId="24658" xr:uid="{00000000-0005-0000-0000-00004C600000}"/>
    <cellStyle name="Heading 1 3" xfId="24659" xr:uid="{00000000-0005-0000-0000-00004D600000}"/>
    <cellStyle name="Heading 1 3 2" xfId="24660" xr:uid="{00000000-0005-0000-0000-00004E600000}"/>
    <cellStyle name="Heading 1 3 3" xfId="24661" xr:uid="{00000000-0005-0000-0000-00004F600000}"/>
    <cellStyle name="Heading 1 3 4" xfId="24662" xr:uid="{00000000-0005-0000-0000-000050600000}"/>
    <cellStyle name="Heading 1 4" xfId="24663" xr:uid="{00000000-0005-0000-0000-000051600000}"/>
    <cellStyle name="Heading 1 5" xfId="24664" xr:uid="{00000000-0005-0000-0000-000052600000}"/>
    <cellStyle name="Heading 1 6" xfId="24665" xr:uid="{00000000-0005-0000-0000-000053600000}"/>
    <cellStyle name="Heading 1 7" xfId="24666" xr:uid="{00000000-0005-0000-0000-000054600000}"/>
    <cellStyle name="Heading 2 2" xfId="24667" xr:uid="{00000000-0005-0000-0000-000055600000}"/>
    <cellStyle name="Heading 2 2 2" xfId="24668" xr:uid="{00000000-0005-0000-0000-000056600000}"/>
    <cellStyle name="Heading 2 2 2 2" xfId="24669" xr:uid="{00000000-0005-0000-0000-000057600000}"/>
    <cellStyle name="Heading 2 2 3" xfId="24670" xr:uid="{00000000-0005-0000-0000-000058600000}"/>
    <cellStyle name="Heading 2 3" xfId="24671" xr:uid="{00000000-0005-0000-0000-000059600000}"/>
    <cellStyle name="Heading 2 3 2" xfId="24672" xr:uid="{00000000-0005-0000-0000-00005A600000}"/>
    <cellStyle name="Heading 2 3 3" xfId="24673" xr:uid="{00000000-0005-0000-0000-00005B600000}"/>
    <cellStyle name="Heading 2 3 4" xfId="24674" xr:uid="{00000000-0005-0000-0000-00005C600000}"/>
    <cellStyle name="Heading 2 4" xfId="24675" xr:uid="{00000000-0005-0000-0000-00005D600000}"/>
    <cellStyle name="Heading 2 4 2" xfId="24676" xr:uid="{00000000-0005-0000-0000-00005E600000}"/>
    <cellStyle name="Heading 2 5" xfId="24677" xr:uid="{00000000-0005-0000-0000-00005F600000}"/>
    <cellStyle name="Heading 2 5 2" xfId="24678" xr:uid="{00000000-0005-0000-0000-000060600000}"/>
    <cellStyle name="Heading 2 6" xfId="24679" xr:uid="{00000000-0005-0000-0000-000061600000}"/>
    <cellStyle name="Heading 2 7" xfId="24680" xr:uid="{00000000-0005-0000-0000-000062600000}"/>
    <cellStyle name="Heading 3 2" xfId="24681" xr:uid="{00000000-0005-0000-0000-000063600000}"/>
    <cellStyle name="Heading 3 2 2" xfId="24682" xr:uid="{00000000-0005-0000-0000-000064600000}"/>
    <cellStyle name="Heading 3 2 2 2" xfId="24683" xr:uid="{00000000-0005-0000-0000-000065600000}"/>
    <cellStyle name="Heading 3 2 3" xfId="24684" xr:uid="{00000000-0005-0000-0000-000066600000}"/>
    <cellStyle name="Heading 3 3" xfId="24685" xr:uid="{00000000-0005-0000-0000-000067600000}"/>
    <cellStyle name="Heading 3 3 2" xfId="24686" xr:uid="{00000000-0005-0000-0000-000068600000}"/>
    <cellStyle name="Heading 3 4" xfId="24687" xr:uid="{00000000-0005-0000-0000-000069600000}"/>
    <cellStyle name="Heading 4 2" xfId="24688" xr:uid="{00000000-0005-0000-0000-00006A600000}"/>
    <cellStyle name="Heading 4 2 2" xfId="24689" xr:uid="{00000000-0005-0000-0000-00006B600000}"/>
    <cellStyle name="Heading 4 2 2 2" xfId="24690" xr:uid="{00000000-0005-0000-0000-00006C600000}"/>
    <cellStyle name="Heading 4 2 3" xfId="24691" xr:uid="{00000000-0005-0000-0000-00006D600000}"/>
    <cellStyle name="Heading 4 3" xfId="24692" xr:uid="{00000000-0005-0000-0000-00006E600000}"/>
    <cellStyle name="Heading 4 3 2" xfId="24693" xr:uid="{00000000-0005-0000-0000-00006F600000}"/>
    <cellStyle name="Heading 4 4" xfId="24694" xr:uid="{00000000-0005-0000-0000-000070600000}"/>
    <cellStyle name="Heading 5" xfId="24695" xr:uid="{00000000-0005-0000-0000-000071600000}"/>
    <cellStyle name="Heading1" xfId="24696" xr:uid="{00000000-0005-0000-0000-000072600000}"/>
    <cellStyle name="Heading1 2" xfId="24697" xr:uid="{00000000-0005-0000-0000-000073600000}"/>
    <cellStyle name="Heading2" xfId="24698" xr:uid="{00000000-0005-0000-0000-000074600000}"/>
    <cellStyle name="HEADINGS" xfId="24699" xr:uid="{00000000-0005-0000-0000-000075600000}"/>
    <cellStyle name="HEADINGSTOP" xfId="24700" xr:uid="{00000000-0005-0000-0000-000076600000}"/>
    <cellStyle name="Headline1" xfId="24701" xr:uid="{00000000-0005-0000-0000-000077600000}"/>
    <cellStyle name="Headline3" xfId="24702" xr:uid="{00000000-0005-0000-0000-000078600000}"/>
    <cellStyle name="Helv 9 ctr wrap" xfId="24703" xr:uid="{00000000-0005-0000-0000-000079600000}"/>
    <cellStyle name="Helv 9 lft wrap" xfId="24704" xr:uid="{00000000-0005-0000-0000-00007A600000}"/>
    <cellStyle name="Hidden" xfId="24705" xr:uid="{00000000-0005-0000-0000-00007B600000}"/>
    <cellStyle name="Hyperlink" xfId="4" builtinId="8"/>
    <cellStyle name="Hyperlink 10" xfId="24706" xr:uid="{00000000-0005-0000-0000-00007D600000}"/>
    <cellStyle name="Hyperlink 100" xfId="24707" xr:uid="{00000000-0005-0000-0000-00007E600000}"/>
    <cellStyle name="Hyperlink 101" xfId="24708" xr:uid="{00000000-0005-0000-0000-00007F600000}"/>
    <cellStyle name="Hyperlink 102" xfId="24709" xr:uid="{00000000-0005-0000-0000-000080600000}"/>
    <cellStyle name="Hyperlink 103" xfId="24710" xr:uid="{00000000-0005-0000-0000-000081600000}"/>
    <cellStyle name="Hyperlink 104" xfId="24711" xr:uid="{00000000-0005-0000-0000-000082600000}"/>
    <cellStyle name="Hyperlink 105" xfId="24712" xr:uid="{00000000-0005-0000-0000-000083600000}"/>
    <cellStyle name="Hyperlink 106" xfId="24713" xr:uid="{00000000-0005-0000-0000-000084600000}"/>
    <cellStyle name="Hyperlink 107" xfId="24714" xr:uid="{00000000-0005-0000-0000-000085600000}"/>
    <cellStyle name="Hyperlink 108" xfId="24715" xr:uid="{00000000-0005-0000-0000-000086600000}"/>
    <cellStyle name="Hyperlink 109" xfId="24716" xr:uid="{00000000-0005-0000-0000-000087600000}"/>
    <cellStyle name="Hyperlink 11" xfId="24717" xr:uid="{00000000-0005-0000-0000-000088600000}"/>
    <cellStyle name="Hyperlink 110" xfId="24718" xr:uid="{00000000-0005-0000-0000-000089600000}"/>
    <cellStyle name="Hyperlink 111" xfId="24719" xr:uid="{00000000-0005-0000-0000-00008A600000}"/>
    <cellStyle name="Hyperlink 112" xfId="24720" xr:uid="{00000000-0005-0000-0000-00008B600000}"/>
    <cellStyle name="Hyperlink 113" xfId="24721" xr:uid="{00000000-0005-0000-0000-00008C600000}"/>
    <cellStyle name="Hyperlink 114" xfId="24722" xr:uid="{00000000-0005-0000-0000-00008D600000}"/>
    <cellStyle name="Hyperlink 115" xfId="24723" xr:uid="{00000000-0005-0000-0000-00008E600000}"/>
    <cellStyle name="Hyperlink 116" xfId="24724" xr:uid="{00000000-0005-0000-0000-00008F600000}"/>
    <cellStyle name="Hyperlink 117" xfId="24725" xr:uid="{00000000-0005-0000-0000-000090600000}"/>
    <cellStyle name="Hyperlink 118" xfId="24726" xr:uid="{00000000-0005-0000-0000-000091600000}"/>
    <cellStyle name="Hyperlink 119" xfId="24727" xr:uid="{00000000-0005-0000-0000-000092600000}"/>
    <cellStyle name="Hyperlink 12" xfId="24728" xr:uid="{00000000-0005-0000-0000-000093600000}"/>
    <cellStyle name="Hyperlink 120" xfId="24729" xr:uid="{00000000-0005-0000-0000-000094600000}"/>
    <cellStyle name="Hyperlink 121" xfId="24730" xr:uid="{00000000-0005-0000-0000-000095600000}"/>
    <cellStyle name="Hyperlink 122" xfId="24731" xr:uid="{00000000-0005-0000-0000-000096600000}"/>
    <cellStyle name="Hyperlink 123" xfId="24732" xr:uid="{00000000-0005-0000-0000-000097600000}"/>
    <cellStyle name="Hyperlink 124" xfId="24733" xr:uid="{00000000-0005-0000-0000-000098600000}"/>
    <cellStyle name="Hyperlink 125" xfId="24734" xr:uid="{00000000-0005-0000-0000-000099600000}"/>
    <cellStyle name="Hyperlink 126" xfId="24735" xr:uid="{00000000-0005-0000-0000-00009A600000}"/>
    <cellStyle name="Hyperlink 127" xfId="24736" xr:uid="{00000000-0005-0000-0000-00009B600000}"/>
    <cellStyle name="Hyperlink 128" xfId="24737" xr:uid="{00000000-0005-0000-0000-00009C600000}"/>
    <cellStyle name="Hyperlink 129" xfId="24738" xr:uid="{00000000-0005-0000-0000-00009D600000}"/>
    <cellStyle name="Hyperlink 13" xfId="24739" xr:uid="{00000000-0005-0000-0000-00009E600000}"/>
    <cellStyle name="Hyperlink 130" xfId="24740" xr:uid="{00000000-0005-0000-0000-00009F600000}"/>
    <cellStyle name="Hyperlink 131" xfId="24741" xr:uid="{00000000-0005-0000-0000-0000A0600000}"/>
    <cellStyle name="Hyperlink 132" xfId="24742" xr:uid="{00000000-0005-0000-0000-0000A1600000}"/>
    <cellStyle name="Hyperlink 133" xfId="24743" xr:uid="{00000000-0005-0000-0000-0000A2600000}"/>
    <cellStyle name="Hyperlink 134" xfId="24744" xr:uid="{00000000-0005-0000-0000-0000A3600000}"/>
    <cellStyle name="Hyperlink 135" xfId="24745" xr:uid="{00000000-0005-0000-0000-0000A4600000}"/>
    <cellStyle name="Hyperlink 136" xfId="24746" xr:uid="{00000000-0005-0000-0000-0000A5600000}"/>
    <cellStyle name="Hyperlink 137" xfId="24747" xr:uid="{00000000-0005-0000-0000-0000A6600000}"/>
    <cellStyle name="Hyperlink 138" xfId="24748" xr:uid="{00000000-0005-0000-0000-0000A7600000}"/>
    <cellStyle name="Hyperlink 139" xfId="24749" xr:uid="{00000000-0005-0000-0000-0000A8600000}"/>
    <cellStyle name="Hyperlink 14" xfId="24750" xr:uid="{00000000-0005-0000-0000-0000A9600000}"/>
    <cellStyle name="Hyperlink 140" xfId="24751" xr:uid="{00000000-0005-0000-0000-0000AA600000}"/>
    <cellStyle name="Hyperlink 141" xfId="24752" xr:uid="{00000000-0005-0000-0000-0000AB600000}"/>
    <cellStyle name="Hyperlink 142" xfId="24753" xr:uid="{00000000-0005-0000-0000-0000AC600000}"/>
    <cellStyle name="Hyperlink 143" xfId="24754" xr:uid="{00000000-0005-0000-0000-0000AD600000}"/>
    <cellStyle name="Hyperlink 144" xfId="24755" xr:uid="{00000000-0005-0000-0000-0000AE600000}"/>
    <cellStyle name="Hyperlink 145" xfId="24756" xr:uid="{00000000-0005-0000-0000-0000AF600000}"/>
    <cellStyle name="Hyperlink 146" xfId="24757" xr:uid="{00000000-0005-0000-0000-0000B0600000}"/>
    <cellStyle name="Hyperlink 147" xfId="24758" xr:uid="{00000000-0005-0000-0000-0000B1600000}"/>
    <cellStyle name="Hyperlink 148" xfId="24759" xr:uid="{00000000-0005-0000-0000-0000B2600000}"/>
    <cellStyle name="Hyperlink 149" xfId="24760" xr:uid="{00000000-0005-0000-0000-0000B3600000}"/>
    <cellStyle name="Hyperlink 15" xfId="24761" xr:uid="{00000000-0005-0000-0000-0000B4600000}"/>
    <cellStyle name="Hyperlink 150" xfId="24762" xr:uid="{00000000-0005-0000-0000-0000B5600000}"/>
    <cellStyle name="Hyperlink 151" xfId="24763" xr:uid="{00000000-0005-0000-0000-0000B6600000}"/>
    <cellStyle name="Hyperlink 152" xfId="24764" xr:uid="{00000000-0005-0000-0000-0000B7600000}"/>
    <cellStyle name="Hyperlink 153" xfId="24765" xr:uid="{00000000-0005-0000-0000-0000B8600000}"/>
    <cellStyle name="Hyperlink 154" xfId="24766" xr:uid="{00000000-0005-0000-0000-0000B9600000}"/>
    <cellStyle name="Hyperlink 155" xfId="24767" xr:uid="{00000000-0005-0000-0000-0000BA600000}"/>
    <cellStyle name="Hyperlink 156" xfId="24768" xr:uid="{00000000-0005-0000-0000-0000BB600000}"/>
    <cellStyle name="Hyperlink 157" xfId="24769" xr:uid="{00000000-0005-0000-0000-0000BC600000}"/>
    <cellStyle name="Hyperlink 158" xfId="24770" xr:uid="{00000000-0005-0000-0000-0000BD600000}"/>
    <cellStyle name="Hyperlink 159" xfId="24771" xr:uid="{00000000-0005-0000-0000-0000BE600000}"/>
    <cellStyle name="Hyperlink 16" xfId="24772" xr:uid="{00000000-0005-0000-0000-0000BF600000}"/>
    <cellStyle name="Hyperlink 160" xfId="24773" xr:uid="{00000000-0005-0000-0000-0000C0600000}"/>
    <cellStyle name="Hyperlink 161" xfId="24774" xr:uid="{00000000-0005-0000-0000-0000C1600000}"/>
    <cellStyle name="Hyperlink 162" xfId="24775" xr:uid="{00000000-0005-0000-0000-0000C2600000}"/>
    <cellStyle name="Hyperlink 163" xfId="24776" xr:uid="{00000000-0005-0000-0000-0000C3600000}"/>
    <cellStyle name="Hyperlink 164" xfId="24777" xr:uid="{00000000-0005-0000-0000-0000C4600000}"/>
    <cellStyle name="Hyperlink 165" xfId="24778" xr:uid="{00000000-0005-0000-0000-0000C5600000}"/>
    <cellStyle name="Hyperlink 166" xfId="24779" xr:uid="{00000000-0005-0000-0000-0000C6600000}"/>
    <cellStyle name="Hyperlink 167" xfId="24780" xr:uid="{00000000-0005-0000-0000-0000C7600000}"/>
    <cellStyle name="Hyperlink 168" xfId="24781" xr:uid="{00000000-0005-0000-0000-0000C8600000}"/>
    <cellStyle name="Hyperlink 169" xfId="24782" xr:uid="{00000000-0005-0000-0000-0000C9600000}"/>
    <cellStyle name="Hyperlink 17" xfId="24783" xr:uid="{00000000-0005-0000-0000-0000CA600000}"/>
    <cellStyle name="Hyperlink 170" xfId="24784" xr:uid="{00000000-0005-0000-0000-0000CB600000}"/>
    <cellStyle name="Hyperlink 171" xfId="24785" xr:uid="{00000000-0005-0000-0000-0000CC600000}"/>
    <cellStyle name="Hyperlink 172" xfId="24786" xr:uid="{00000000-0005-0000-0000-0000CD600000}"/>
    <cellStyle name="Hyperlink 173" xfId="24787" xr:uid="{00000000-0005-0000-0000-0000CE600000}"/>
    <cellStyle name="Hyperlink 174" xfId="24788" xr:uid="{00000000-0005-0000-0000-0000CF600000}"/>
    <cellStyle name="Hyperlink 175" xfId="24789" xr:uid="{00000000-0005-0000-0000-0000D0600000}"/>
    <cellStyle name="Hyperlink 176" xfId="24790" xr:uid="{00000000-0005-0000-0000-0000D1600000}"/>
    <cellStyle name="Hyperlink 177" xfId="24791" xr:uid="{00000000-0005-0000-0000-0000D2600000}"/>
    <cellStyle name="Hyperlink 178" xfId="24792" xr:uid="{00000000-0005-0000-0000-0000D3600000}"/>
    <cellStyle name="Hyperlink 179" xfId="24793" xr:uid="{00000000-0005-0000-0000-0000D4600000}"/>
    <cellStyle name="Hyperlink 18" xfId="24794" xr:uid="{00000000-0005-0000-0000-0000D5600000}"/>
    <cellStyle name="Hyperlink 180" xfId="24795" xr:uid="{00000000-0005-0000-0000-0000D6600000}"/>
    <cellStyle name="Hyperlink 19" xfId="24796" xr:uid="{00000000-0005-0000-0000-0000D7600000}"/>
    <cellStyle name="Hyperlink 2" xfId="24797" xr:uid="{00000000-0005-0000-0000-0000D8600000}"/>
    <cellStyle name="Hyperlink 2 2" xfId="24798" xr:uid="{00000000-0005-0000-0000-0000D9600000}"/>
    <cellStyle name="Hyperlink 2 3" xfId="24799" xr:uid="{00000000-0005-0000-0000-0000DA600000}"/>
    <cellStyle name="Hyperlink 2 4" xfId="24800" xr:uid="{00000000-0005-0000-0000-0000DB600000}"/>
    <cellStyle name="Hyperlink 20" xfId="24801" xr:uid="{00000000-0005-0000-0000-0000DC600000}"/>
    <cellStyle name="Hyperlink 21" xfId="24802" xr:uid="{00000000-0005-0000-0000-0000DD600000}"/>
    <cellStyle name="Hyperlink 22" xfId="24803" xr:uid="{00000000-0005-0000-0000-0000DE600000}"/>
    <cellStyle name="Hyperlink 23" xfId="24804" xr:uid="{00000000-0005-0000-0000-0000DF600000}"/>
    <cellStyle name="Hyperlink 24" xfId="24805" xr:uid="{00000000-0005-0000-0000-0000E0600000}"/>
    <cellStyle name="Hyperlink 25" xfId="24806" xr:uid="{00000000-0005-0000-0000-0000E1600000}"/>
    <cellStyle name="Hyperlink 26" xfId="24807" xr:uid="{00000000-0005-0000-0000-0000E2600000}"/>
    <cellStyle name="Hyperlink 260" xfId="24808" xr:uid="{00000000-0005-0000-0000-0000E3600000}"/>
    <cellStyle name="Hyperlink 261" xfId="24809" xr:uid="{00000000-0005-0000-0000-0000E4600000}"/>
    <cellStyle name="Hyperlink 262" xfId="24810" xr:uid="{00000000-0005-0000-0000-0000E5600000}"/>
    <cellStyle name="Hyperlink 263" xfId="24811" xr:uid="{00000000-0005-0000-0000-0000E6600000}"/>
    <cellStyle name="Hyperlink 264" xfId="24812" xr:uid="{00000000-0005-0000-0000-0000E7600000}"/>
    <cellStyle name="Hyperlink 265" xfId="24813" xr:uid="{00000000-0005-0000-0000-0000E8600000}"/>
    <cellStyle name="Hyperlink 266" xfId="24814" xr:uid="{00000000-0005-0000-0000-0000E9600000}"/>
    <cellStyle name="Hyperlink 267" xfId="24815" xr:uid="{00000000-0005-0000-0000-0000EA600000}"/>
    <cellStyle name="Hyperlink 268" xfId="24816" xr:uid="{00000000-0005-0000-0000-0000EB600000}"/>
    <cellStyle name="Hyperlink 269" xfId="24817" xr:uid="{00000000-0005-0000-0000-0000EC600000}"/>
    <cellStyle name="Hyperlink 27" xfId="24818" xr:uid="{00000000-0005-0000-0000-0000ED600000}"/>
    <cellStyle name="Hyperlink 270" xfId="24819" xr:uid="{00000000-0005-0000-0000-0000EE600000}"/>
    <cellStyle name="Hyperlink 271" xfId="24820" xr:uid="{00000000-0005-0000-0000-0000EF600000}"/>
    <cellStyle name="Hyperlink 272" xfId="24821" xr:uid="{00000000-0005-0000-0000-0000F0600000}"/>
    <cellStyle name="Hyperlink 273" xfId="24822" xr:uid="{00000000-0005-0000-0000-0000F1600000}"/>
    <cellStyle name="Hyperlink 274" xfId="24823" xr:uid="{00000000-0005-0000-0000-0000F2600000}"/>
    <cellStyle name="Hyperlink 275" xfId="24824" xr:uid="{00000000-0005-0000-0000-0000F3600000}"/>
    <cellStyle name="Hyperlink 276" xfId="24825" xr:uid="{00000000-0005-0000-0000-0000F4600000}"/>
    <cellStyle name="Hyperlink 277" xfId="24826" xr:uid="{00000000-0005-0000-0000-0000F5600000}"/>
    <cellStyle name="Hyperlink 278" xfId="24827" xr:uid="{00000000-0005-0000-0000-0000F6600000}"/>
    <cellStyle name="Hyperlink 279" xfId="24828" xr:uid="{00000000-0005-0000-0000-0000F7600000}"/>
    <cellStyle name="Hyperlink 28" xfId="24829" xr:uid="{00000000-0005-0000-0000-0000F8600000}"/>
    <cellStyle name="Hyperlink 280" xfId="24830" xr:uid="{00000000-0005-0000-0000-0000F9600000}"/>
    <cellStyle name="Hyperlink 281" xfId="24831" xr:uid="{00000000-0005-0000-0000-0000FA600000}"/>
    <cellStyle name="Hyperlink 282" xfId="24832" xr:uid="{00000000-0005-0000-0000-0000FB600000}"/>
    <cellStyle name="Hyperlink 283" xfId="24833" xr:uid="{00000000-0005-0000-0000-0000FC600000}"/>
    <cellStyle name="Hyperlink 284" xfId="24834" xr:uid="{00000000-0005-0000-0000-0000FD600000}"/>
    <cellStyle name="Hyperlink 285" xfId="24835" xr:uid="{00000000-0005-0000-0000-0000FE600000}"/>
    <cellStyle name="Hyperlink 286" xfId="24836" xr:uid="{00000000-0005-0000-0000-0000FF600000}"/>
    <cellStyle name="Hyperlink 287" xfId="24837" xr:uid="{00000000-0005-0000-0000-000000610000}"/>
    <cellStyle name="Hyperlink 288" xfId="24838" xr:uid="{00000000-0005-0000-0000-000001610000}"/>
    <cellStyle name="Hyperlink 289" xfId="24839" xr:uid="{00000000-0005-0000-0000-000002610000}"/>
    <cellStyle name="Hyperlink 29" xfId="24840" xr:uid="{00000000-0005-0000-0000-000003610000}"/>
    <cellStyle name="Hyperlink 290" xfId="24841" xr:uid="{00000000-0005-0000-0000-000004610000}"/>
    <cellStyle name="Hyperlink 291" xfId="24842" xr:uid="{00000000-0005-0000-0000-000005610000}"/>
    <cellStyle name="Hyperlink 292" xfId="24843" xr:uid="{00000000-0005-0000-0000-000006610000}"/>
    <cellStyle name="Hyperlink 293" xfId="24844" xr:uid="{00000000-0005-0000-0000-000007610000}"/>
    <cellStyle name="Hyperlink 294" xfId="24845" xr:uid="{00000000-0005-0000-0000-000008610000}"/>
    <cellStyle name="Hyperlink 295" xfId="24846" xr:uid="{00000000-0005-0000-0000-000009610000}"/>
    <cellStyle name="Hyperlink 296" xfId="24847" xr:uid="{00000000-0005-0000-0000-00000A610000}"/>
    <cellStyle name="Hyperlink 297" xfId="24848" xr:uid="{00000000-0005-0000-0000-00000B610000}"/>
    <cellStyle name="Hyperlink 298" xfId="24849" xr:uid="{00000000-0005-0000-0000-00000C610000}"/>
    <cellStyle name="Hyperlink 299" xfId="24850" xr:uid="{00000000-0005-0000-0000-00000D610000}"/>
    <cellStyle name="Hyperlink 3" xfId="24851" xr:uid="{00000000-0005-0000-0000-00000E610000}"/>
    <cellStyle name="Hyperlink 3 2" xfId="24852" xr:uid="{00000000-0005-0000-0000-00000F610000}"/>
    <cellStyle name="Hyperlink 30" xfId="24853" xr:uid="{00000000-0005-0000-0000-000010610000}"/>
    <cellStyle name="Hyperlink 300" xfId="24854" xr:uid="{00000000-0005-0000-0000-000011610000}"/>
    <cellStyle name="Hyperlink 301" xfId="24855" xr:uid="{00000000-0005-0000-0000-000012610000}"/>
    <cellStyle name="Hyperlink 302" xfId="24856" xr:uid="{00000000-0005-0000-0000-000013610000}"/>
    <cellStyle name="Hyperlink 303" xfId="24857" xr:uid="{00000000-0005-0000-0000-000014610000}"/>
    <cellStyle name="Hyperlink 304" xfId="24858" xr:uid="{00000000-0005-0000-0000-000015610000}"/>
    <cellStyle name="Hyperlink 305" xfId="24859" xr:uid="{00000000-0005-0000-0000-000016610000}"/>
    <cellStyle name="Hyperlink 306" xfId="24860" xr:uid="{00000000-0005-0000-0000-000017610000}"/>
    <cellStyle name="Hyperlink 307" xfId="24861" xr:uid="{00000000-0005-0000-0000-000018610000}"/>
    <cellStyle name="Hyperlink 308" xfId="24862" xr:uid="{00000000-0005-0000-0000-000019610000}"/>
    <cellStyle name="Hyperlink 309" xfId="24863" xr:uid="{00000000-0005-0000-0000-00001A610000}"/>
    <cellStyle name="Hyperlink 31" xfId="24864" xr:uid="{00000000-0005-0000-0000-00001B610000}"/>
    <cellStyle name="Hyperlink 310" xfId="24865" xr:uid="{00000000-0005-0000-0000-00001C610000}"/>
    <cellStyle name="Hyperlink 311" xfId="24866" xr:uid="{00000000-0005-0000-0000-00001D610000}"/>
    <cellStyle name="Hyperlink 312" xfId="24867" xr:uid="{00000000-0005-0000-0000-00001E610000}"/>
    <cellStyle name="Hyperlink 313" xfId="24868" xr:uid="{00000000-0005-0000-0000-00001F610000}"/>
    <cellStyle name="Hyperlink 314" xfId="24869" xr:uid="{00000000-0005-0000-0000-000020610000}"/>
    <cellStyle name="Hyperlink 315" xfId="24870" xr:uid="{00000000-0005-0000-0000-000021610000}"/>
    <cellStyle name="Hyperlink 316" xfId="24871" xr:uid="{00000000-0005-0000-0000-000022610000}"/>
    <cellStyle name="Hyperlink 317" xfId="24872" xr:uid="{00000000-0005-0000-0000-000023610000}"/>
    <cellStyle name="Hyperlink 318" xfId="24873" xr:uid="{00000000-0005-0000-0000-000024610000}"/>
    <cellStyle name="Hyperlink 319" xfId="24874" xr:uid="{00000000-0005-0000-0000-000025610000}"/>
    <cellStyle name="Hyperlink 32" xfId="24875" xr:uid="{00000000-0005-0000-0000-000026610000}"/>
    <cellStyle name="Hyperlink 320" xfId="24876" xr:uid="{00000000-0005-0000-0000-000027610000}"/>
    <cellStyle name="Hyperlink 321" xfId="24877" xr:uid="{00000000-0005-0000-0000-000028610000}"/>
    <cellStyle name="Hyperlink 322" xfId="24878" xr:uid="{00000000-0005-0000-0000-000029610000}"/>
    <cellStyle name="Hyperlink 323" xfId="24879" xr:uid="{00000000-0005-0000-0000-00002A610000}"/>
    <cellStyle name="Hyperlink 324" xfId="24880" xr:uid="{00000000-0005-0000-0000-00002B610000}"/>
    <cellStyle name="Hyperlink 325" xfId="24881" xr:uid="{00000000-0005-0000-0000-00002C610000}"/>
    <cellStyle name="Hyperlink 326" xfId="24882" xr:uid="{00000000-0005-0000-0000-00002D610000}"/>
    <cellStyle name="Hyperlink 327" xfId="24883" xr:uid="{00000000-0005-0000-0000-00002E610000}"/>
    <cellStyle name="Hyperlink 328" xfId="24884" xr:uid="{00000000-0005-0000-0000-00002F610000}"/>
    <cellStyle name="Hyperlink 329" xfId="24885" xr:uid="{00000000-0005-0000-0000-000030610000}"/>
    <cellStyle name="Hyperlink 33" xfId="24886" xr:uid="{00000000-0005-0000-0000-000031610000}"/>
    <cellStyle name="Hyperlink 330" xfId="24887" xr:uid="{00000000-0005-0000-0000-000032610000}"/>
    <cellStyle name="Hyperlink 331" xfId="24888" xr:uid="{00000000-0005-0000-0000-000033610000}"/>
    <cellStyle name="Hyperlink 332" xfId="24889" xr:uid="{00000000-0005-0000-0000-000034610000}"/>
    <cellStyle name="Hyperlink 333" xfId="24890" xr:uid="{00000000-0005-0000-0000-000035610000}"/>
    <cellStyle name="Hyperlink 334" xfId="24891" xr:uid="{00000000-0005-0000-0000-000036610000}"/>
    <cellStyle name="Hyperlink 335" xfId="24892" xr:uid="{00000000-0005-0000-0000-000037610000}"/>
    <cellStyle name="Hyperlink 336" xfId="24893" xr:uid="{00000000-0005-0000-0000-000038610000}"/>
    <cellStyle name="Hyperlink 337" xfId="24894" xr:uid="{00000000-0005-0000-0000-000039610000}"/>
    <cellStyle name="Hyperlink 338" xfId="24895" xr:uid="{00000000-0005-0000-0000-00003A610000}"/>
    <cellStyle name="Hyperlink 339" xfId="24896" xr:uid="{00000000-0005-0000-0000-00003B610000}"/>
    <cellStyle name="Hyperlink 34" xfId="24897" xr:uid="{00000000-0005-0000-0000-00003C610000}"/>
    <cellStyle name="Hyperlink 340" xfId="24898" xr:uid="{00000000-0005-0000-0000-00003D610000}"/>
    <cellStyle name="Hyperlink 341" xfId="24899" xr:uid="{00000000-0005-0000-0000-00003E610000}"/>
    <cellStyle name="Hyperlink 342" xfId="24900" xr:uid="{00000000-0005-0000-0000-00003F610000}"/>
    <cellStyle name="Hyperlink 343" xfId="24901" xr:uid="{00000000-0005-0000-0000-000040610000}"/>
    <cellStyle name="Hyperlink 344" xfId="24902" xr:uid="{00000000-0005-0000-0000-000041610000}"/>
    <cellStyle name="Hyperlink 345" xfId="24903" xr:uid="{00000000-0005-0000-0000-000042610000}"/>
    <cellStyle name="Hyperlink 346" xfId="24904" xr:uid="{00000000-0005-0000-0000-000043610000}"/>
    <cellStyle name="Hyperlink 347" xfId="24905" xr:uid="{00000000-0005-0000-0000-000044610000}"/>
    <cellStyle name="Hyperlink 348" xfId="24906" xr:uid="{00000000-0005-0000-0000-000045610000}"/>
    <cellStyle name="Hyperlink 349" xfId="24907" xr:uid="{00000000-0005-0000-0000-000046610000}"/>
    <cellStyle name="Hyperlink 35" xfId="24908" xr:uid="{00000000-0005-0000-0000-000047610000}"/>
    <cellStyle name="Hyperlink 350" xfId="24909" xr:uid="{00000000-0005-0000-0000-000048610000}"/>
    <cellStyle name="Hyperlink 351" xfId="24910" xr:uid="{00000000-0005-0000-0000-000049610000}"/>
    <cellStyle name="Hyperlink 352" xfId="24911" xr:uid="{00000000-0005-0000-0000-00004A610000}"/>
    <cellStyle name="Hyperlink 353" xfId="24912" xr:uid="{00000000-0005-0000-0000-00004B610000}"/>
    <cellStyle name="Hyperlink 354" xfId="24913" xr:uid="{00000000-0005-0000-0000-00004C610000}"/>
    <cellStyle name="Hyperlink 355" xfId="24914" xr:uid="{00000000-0005-0000-0000-00004D610000}"/>
    <cellStyle name="Hyperlink 356" xfId="24915" xr:uid="{00000000-0005-0000-0000-00004E610000}"/>
    <cellStyle name="Hyperlink 36" xfId="24916" xr:uid="{00000000-0005-0000-0000-00004F610000}"/>
    <cellStyle name="Hyperlink 37" xfId="24917" xr:uid="{00000000-0005-0000-0000-000050610000}"/>
    <cellStyle name="Hyperlink 38" xfId="24918" xr:uid="{00000000-0005-0000-0000-000051610000}"/>
    <cellStyle name="Hyperlink 39" xfId="24919" xr:uid="{00000000-0005-0000-0000-000052610000}"/>
    <cellStyle name="Hyperlink 4" xfId="24920" xr:uid="{00000000-0005-0000-0000-000053610000}"/>
    <cellStyle name="Hyperlink 4 2" xfId="24921" xr:uid="{00000000-0005-0000-0000-000054610000}"/>
    <cellStyle name="Hyperlink 40" xfId="24922" xr:uid="{00000000-0005-0000-0000-000055610000}"/>
    <cellStyle name="Hyperlink 41" xfId="24923" xr:uid="{00000000-0005-0000-0000-000056610000}"/>
    <cellStyle name="Hyperlink 42" xfId="24924" xr:uid="{00000000-0005-0000-0000-000057610000}"/>
    <cellStyle name="Hyperlink 43" xfId="24925" xr:uid="{00000000-0005-0000-0000-000058610000}"/>
    <cellStyle name="Hyperlink 44" xfId="24926" xr:uid="{00000000-0005-0000-0000-000059610000}"/>
    <cellStyle name="Hyperlink 45" xfId="24927" xr:uid="{00000000-0005-0000-0000-00005A610000}"/>
    <cellStyle name="Hyperlink 46" xfId="24928" xr:uid="{00000000-0005-0000-0000-00005B610000}"/>
    <cellStyle name="Hyperlink 47" xfId="24929" xr:uid="{00000000-0005-0000-0000-00005C610000}"/>
    <cellStyle name="Hyperlink 48" xfId="24930" xr:uid="{00000000-0005-0000-0000-00005D610000}"/>
    <cellStyle name="Hyperlink 49" xfId="24931" xr:uid="{00000000-0005-0000-0000-00005E610000}"/>
    <cellStyle name="Hyperlink 5" xfId="24932" xr:uid="{00000000-0005-0000-0000-00005F610000}"/>
    <cellStyle name="Hyperlink 50" xfId="24933" xr:uid="{00000000-0005-0000-0000-000060610000}"/>
    <cellStyle name="Hyperlink 51" xfId="24934" xr:uid="{00000000-0005-0000-0000-000061610000}"/>
    <cellStyle name="Hyperlink 52" xfId="24935" xr:uid="{00000000-0005-0000-0000-000062610000}"/>
    <cellStyle name="Hyperlink 53" xfId="24936" xr:uid="{00000000-0005-0000-0000-000063610000}"/>
    <cellStyle name="Hyperlink 54" xfId="24937" xr:uid="{00000000-0005-0000-0000-000064610000}"/>
    <cellStyle name="Hyperlink 55" xfId="24938" xr:uid="{00000000-0005-0000-0000-000065610000}"/>
    <cellStyle name="Hyperlink 56" xfId="24939" xr:uid="{00000000-0005-0000-0000-000066610000}"/>
    <cellStyle name="Hyperlink 57" xfId="24940" xr:uid="{00000000-0005-0000-0000-000067610000}"/>
    <cellStyle name="Hyperlink 58" xfId="24941" xr:uid="{00000000-0005-0000-0000-000068610000}"/>
    <cellStyle name="Hyperlink 59" xfId="24942" xr:uid="{00000000-0005-0000-0000-000069610000}"/>
    <cellStyle name="Hyperlink 6" xfId="24943" xr:uid="{00000000-0005-0000-0000-00006A610000}"/>
    <cellStyle name="Hyperlink 60" xfId="24944" xr:uid="{00000000-0005-0000-0000-00006B610000}"/>
    <cellStyle name="Hyperlink 61" xfId="24945" xr:uid="{00000000-0005-0000-0000-00006C610000}"/>
    <cellStyle name="Hyperlink 62" xfId="24946" xr:uid="{00000000-0005-0000-0000-00006D610000}"/>
    <cellStyle name="Hyperlink 63" xfId="24947" xr:uid="{00000000-0005-0000-0000-00006E610000}"/>
    <cellStyle name="Hyperlink 64" xfId="24948" xr:uid="{00000000-0005-0000-0000-00006F610000}"/>
    <cellStyle name="Hyperlink 65" xfId="24949" xr:uid="{00000000-0005-0000-0000-000070610000}"/>
    <cellStyle name="Hyperlink 66" xfId="24950" xr:uid="{00000000-0005-0000-0000-000071610000}"/>
    <cellStyle name="Hyperlink 67" xfId="24951" xr:uid="{00000000-0005-0000-0000-000072610000}"/>
    <cellStyle name="Hyperlink 68" xfId="24952" xr:uid="{00000000-0005-0000-0000-000073610000}"/>
    <cellStyle name="Hyperlink 69" xfId="24953" xr:uid="{00000000-0005-0000-0000-000074610000}"/>
    <cellStyle name="Hyperlink 7" xfId="24954" xr:uid="{00000000-0005-0000-0000-000075610000}"/>
    <cellStyle name="Hyperlink 70" xfId="24955" xr:uid="{00000000-0005-0000-0000-000076610000}"/>
    <cellStyle name="Hyperlink 71" xfId="24956" xr:uid="{00000000-0005-0000-0000-000077610000}"/>
    <cellStyle name="Hyperlink 72" xfId="24957" xr:uid="{00000000-0005-0000-0000-000078610000}"/>
    <cellStyle name="Hyperlink 73" xfId="24958" xr:uid="{00000000-0005-0000-0000-000079610000}"/>
    <cellStyle name="Hyperlink 74" xfId="24959" xr:uid="{00000000-0005-0000-0000-00007A610000}"/>
    <cellStyle name="Hyperlink 75" xfId="24960" xr:uid="{00000000-0005-0000-0000-00007B610000}"/>
    <cellStyle name="Hyperlink 76" xfId="24961" xr:uid="{00000000-0005-0000-0000-00007C610000}"/>
    <cellStyle name="Hyperlink 77" xfId="24962" xr:uid="{00000000-0005-0000-0000-00007D610000}"/>
    <cellStyle name="Hyperlink 78" xfId="24963" xr:uid="{00000000-0005-0000-0000-00007E610000}"/>
    <cellStyle name="Hyperlink 79" xfId="24964" xr:uid="{00000000-0005-0000-0000-00007F610000}"/>
    <cellStyle name="Hyperlink 8" xfId="24965" xr:uid="{00000000-0005-0000-0000-000080610000}"/>
    <cellStyle name="Hyperlink 80" xfId="24966" xr:uid="{00000000-0005-0000-0000-000081610000}"/>
    <cellStyle name="Hyperlink 81" xfId="24967" xr:uid="{00000000-0005-0000-0000-000082610000}"/>
    <cellStyle name="Hyperlink 82" xfId="24968" xr:uid="{00000000-0005-0000-0000-000083610000}"/>
    <cellStyle name="Hyperlink 83" xfId="24969" xr:uid="{00000000-0005-0000-0000-000084610000}"/>
    <cellStyle name="Hyperlink 84" xfId="24970" xr:uid="{00000000-0005-0000-0000-000085610000}"/>
    <cellStyle name="Hyperlink 85" xfId="24971" xr:uid="{00000000-0005-0000-0000-000086610000}"/>
    <cellStyle name="Hyperlink 86" xfId="24972" xr:uid="{00000000-0005-0000-0000-000087610000}"/>
    <cellStyle name="Hyperlink 87" xfId="24973" xr:uid="{00000000-0005-0000-0000-000088610000}"/>
    <cellStyle name="Hyperlink 88" xfId="24974" xr:uid="{00000000-0005-0000-0000-000089610000}"/>
    <cellStyle name="Hyperlink 89" xfId="24975" xr:uid="{00000000-0005-0000-0000-00008A610000}"/>
    <cellStyle name="Hyperlink 9" xfId="24976" xr:uid="{00000000-0005-0000-0000-00008B610000}"/>
    <cellStyle name="Hyperlink 90" xfId="24977" xr:uid="{00000000-0005-0000-0000-00008C610000}"/>
    <cellStyle name="Hyperlink 91" xfId="24978" xr:uid="{00000000-0005-0000-0000-00008D610000}"/>
    <cellStyle name="Hyperlink 92" xfId="24979" xr:uid="{00000000-0005-0000-0000-00008E610000}"/>
    <cellStyle name="Hyperlink 93" xfId="24980" xr:uid="{00000000-0005-0000-0000-00008F610000}"/>
    <cellStyle name="Hyperlink 94" xfId="24981" xr:uid="{00000000-0005-0000-0000-000090610000}"/>
    <cellStyle name="Hyperlink 95" xfId="24982" xr:uid="{00000000-0005-0000-0000-000091610000}"/>
    <cellStyle name="Hyperlink 96" xfId="24983" xr:uid="{00000000-0005-0000-0000-000092610000}"/>
    <cellStyle name="Hyperlink 97" xfId="24984" xr:uid="{00000000-0005-0000-0000-000093610000}"/>
    <cellStyle name="Hyperlink 98" xfId="24985" xr:uid="{00000000-0005-0000-0000-000094610000}"/>
    <cellStyle name="Hyperlink 99" xfId="24986" xr:uid="{00000000-0005-0000-0000-000095610000}"/>
    <cellStyle name="Input [yellow]" xfId="24987" xr:uid="{00000000-0005-0000-0000-000096610000}"/>
    <cellStyle name="Input [yellow] 2" xfId="24988" xr:uid="{00000000-0005-0000-0000-000097610000}"/>
    <cellStyle name="Input [yellow] 3" xfId="24989" xr:uid="{00000000-0005-0000-0000-000098610000}"/>
    <cellStyle name="Input 10" xfId="24990" xr:uid="{00000000-0005-0000-0000-000099610000}"/>
    <cellStyle name="Input 10 10" xfId="24991" xr:uid="{00000000-0005-0000-0000-00009A610000}"/>
    <cellStyle name="Input 10 11" xfId="24992" xr:uid="{00000000-0005-0000-0000-00009B610000}"/>
    <cellStyle name="Input 10 12" xfId="24993" xr:uid="{00000000-0005-0000-0000-00009C610000}"/>
    <cellStyle name="Input 10 13" xfId="24994" xr:uid="{00000000-0005-0000-0000-00009D610000}"/>
    <cellStyle name="Input 10 2" xfId="24995" xr:uid="{00000000-0005-0000-0000-00009E610000}"/>
    <cellStyle name="Input 10 2 10" xfId="24996" xr:uid="{00000000-0005-0000-0000-00009F610000}"/>
    <cellStyle name="Input 10 2 10 2" xfId="24997" xr:uid="{00000000-0005-0000-0000-0000A0610000}"/>
    <cellStyle name="Input 10 2 10 3" xfId="24998" xr:uid="{00000000-0005-0000-0000-0000A1610000}"/>
    <cellStyle name="Input 10 2 10 4" xfId="24999" xr:uid="{00000000-0005-0000-0000-0000A2610000}"/>
    <cellStyle name="Input 10 2 10 5" xfId="25000" xr:uid="{00000000-0005-0000-0000-0000A3610000}"/>
    <cellStyle name="Input 10 2 10 6" xfId="25001" xr:uid="{00000000-0005-0000-0000-0000A4610000}"/>
    <cellStyle name="Input 10 2 11" xfId="25002" xr:uid="{00000000-0005-0000-0000-0000A5610000}"/>
    <cellStyle name="Input 10 2 12" xfId="25003" xr:uid="{00000000-0005-0000-0000-0000A6610000}"/>
    <cellStyle name="Input 10 2 13" xfId="25004" xr:uid="{00000000-0005-0000-0000-0000A7610000}"/>
    <cellStyle name="Input 10 2 14" xfId="25005" xr:uid="{00000000-0005-0000-0000-0000A8610000}"/>
    <cellStyle name="Input 10 2 2" xfId="25006" xr:uid="{00000000-0005-0000-0000-0000A9610000}"/>
    <cellStyle name="Input 10 2 2 10" xfId="25007" xr:uid="{00000000-0005-0000-0000-0000AA610000}"/>
    <cellStyle name="Input 10 2 2 11" xfId="25008" xr:uid="{00000000-0005-0000-0000-0000AB610000}"/>
    <cellStyle name="Input 10 2 2 12" xfId="25009" xr:uid="{00000000-0005-0000-0000-0000AC610000}"/>
    <cellStyle name="Input 10 2 2 13" xfId="25010" xr:uid="{00000000-0005-0000-0000-0000AD610000}"/>
    <cellStyle name="Input 10 2 2 2" xfId="25011" xr:uid="{00000000-0005-0000-0000-0000AE610000}"/>
    <cellStyle name="Input 10 2 2 2 2" xfId="25012" xr:uid="{00000000-0005-0000-0000-0000AF610000}"/>
    <cellStyle name="Input 10 2 2 2 2 2" xfId="25013" xr:uid="{00000000-0005-0000-0000-0000B0610000}"/>
    <cellStyle name="Input 10 2 2 2 2 2 2" xfId="25014" xr:uid="{00000000-0005-0000-0000-0000B1610000}"/>
    <cellStyle name="Input 10 2 2 2 2 2 3" xfId="25015" xr:uid="{00000000-0005-0000-0000-0000B2610000}"/>
    <cellStyle name="Input 10 2 2 2 2 2 4" xfId="25016" xr:uid="{00000000-0005-0000-0000-0000B3610000}"/>
    <cellStyle name="Input 10 2 2 2 2 2 5" xfId="25017" xr:uid="{00000000-0005-0000-0000-0000B4610000}"/>
    <cellStyle name="Input 10 2 2 2 2 2 6" xfId="25018" xr:uid="{00000000-0005-0000-0000-0000B5610000}"/>
    <cellStyle name="Input 10 2 2 2 2 3" xfId="25019" xr:uid="{00000000-0005-0000-0000-0000B6610000}"/>
    <cellStyle name="Input 10 2 2 2 2 4" xfId="25020" xr:uid="{00000000-0005-0000-0000-0000B7610000}"/>
    <cellStyle name="Input 10 2 2 2 2 5" xfId="25021" xr:uid="{00000000-0005-0000-0000-0000B8610000}"/>
    <cellStyle name="Input 10 2 2 2 2 6" xfId="25022" xr:uid="{00000000-0005-0000-0000-0000B9610000}"/>
    <cellStyle name="Input 10 2 2 2 3" xfId="25023" xr:uid="{00000000-0005-0000-0000-0000BA610000}"/>
    <cellStyle name="Input 10 2 2 2 3 2" xfId="25024" xr:uid="{00000000-0005-0000-0000-0000BB610000}"/>
    <cellStyle name="Input 10 2 2 2 3 2 2" xfId="25025" xr:uid="{00000000-0005-0000-0000-0000BC610000}"/>
    <cellStyle name="Input 10 2 2 2 3 2 3" xfId="25026" xr:uid="{00000000-0005-0000-0000-0000BD610000}"/>
    <cellStyle name="Input 10 2 2 2 3 2 4" xfId="25027" xr:uid="{00000000-0005-0000-0000-0000BE610000}"/>
    <cellStyle name="Input 10 2 2 2 3 2 5" xfId="25028" xr:uid="{00000000-0005-0000-0000-0000BF610000}"/>
    <cellStyle name="Input 10 2 2 2 3 2 6" xfId="25029" xr:uid="{00000000-0005-0000-0000-0000C0610000}"/>
    <cellStyle name="Input 10 2 2 2 3 3" xfId="25030" xr:uid="{00000000-0005-0000-0000-0000C1610000}"/>
    <cellStyle name="Input 10 2 2 2 3 4" xfId="25031" xr:uid="{00000000-0005-0000-0000-0000C2610000}"/>
    <cellStyle name="Input 10 2 2 2 3 5" xfId="25032" xr:uid="{00000000-0005-0000-0000-0000C3610000}"/>
    <cellStyle name="Input 10 2 2 2 3 6" xfId="25033" xr:uid="{00000000-0005-0000-0000-0000C4610000}"/>
    <cellStyle name="Input 10 2 2 2 4" xfId="25034" xr:uid="{00000000-0005-0000-0000-0000C5610000}"/>
    <cellStyle name="Input 10 2 2 2 4 2" xfId="25035" xr:uid="{00000000-0005-0000-0000-0000C6610000}"/>
    <cellStyle name="Input 10 2 2 2 4 3" xfId="25036" xr:uid="{00000000-0005-0000-0000-0000C7610000}"/>
    <cellStyle name="Input 10 2 2 2 4 4" xfId="25037" xr:uid="{00000000-0005-0000-0000-0000C8610000}"/>
    <cellStyle name="Input 10 2 2 2 4 5" xfId="25038" xr:uid="{00000000-0005-0000-0000-0000C9610000}"/>
    <cellStyle name="Input 10 2 2 2 4 6" xfId="25039" xr:uid="{00000000-0005-0000-0000-0000CA610000}"/>
    <cellStyle name="Input 10 2 2 2 5" xfId="25040" xr:uid="{00000000-0005-0000-0000-0000CB610000}"/>
    <cellStyle name="Input 10 2 2 2 6" xfId="25041" xr:uid="{00000000-0005-0000-0000-0000CC610000}"/>
    <cellStyle name="Input 10 2 2 2 7" xfId="25042" xr:uid="{00000000-0005-0000-0000-0000CD610000}"/>
    <cellStyle name="Input 10 2 2 2 8" xfId="25043" xr:uid="{00000000-0005-0000-0000-0000CE610000}"/>
    <cellStyle name="Input 10 2 2 3" xfId="25044" xr:uid="{00000000-0005-0000-0000-0000CF610000}"/>
    <cellStyle name="Input 10 2 2 3 2" xfId="25045" xr:uid="{00000000-0005-0000-0000-0000D0610000}"/>
    <cellStyle name="Input 10 2 2 3 2 2" xfId="25046" xr:uid="{00000000-0005-0000-0000-0000D1610000}"/>
    <cellStyle name="Input 10 2 2 3 2 2 2" xfId="25047" xr:uid="{00000000-0005-0000-0000-0000D2610000}"/>
    <cellStyle name="Input 10 2 2 3 2 2 3" xfId="25048" xr:uid="{00000000-0005-0000-0000-0000D3610000}"/>
    <cellStyle name="Input 10 2 2 3 2 2 4" xfId="25049" xr:uid="{00000000-0005-0000-0000-0000D4610000}"/>
    <cellStyle name="Input 10 2 2 3 2 2 5" xfId="25050" xr:uid="{00000000-0005-0000-0000-0000D5610000}"/>
    <cellStyle name="Input 10 2 2 3 2 2 6" xfId="25051" xr:uid="{00000000-0005-0000-0000-0000D6610000}"/>
    <cellStyle name="Input 10 2 2 3 2 3" xfId="25052" xr:uid="{00000000-0005-0000-0000-0000D7610000}"/>
    <cellStyle name="Input 10 2 2 3 2 4" xfId="25053" xr:uid="{00000000-0005-0000-0000-0000D8610000}"/>
    <cellStyle name="Input 10 2 2 3 2 5" xfId="25054" xr:uid="{00000000-0005-0000-0000-0000D9610000}"/>
    <cellStyle name="Input 10 2 2 3 2 6" xfId="25055" xr:uid="{00000000-0005-0000-0000-0000DA610000}"/>
    <cellStyle name="Input 10 2 2 3 3" xfId="25056" xr:uid="{00000000-0005-0000-0000-0000DB610000}"/>
    <cellStyle name="Input 10 2 2 3 3 2" xfId="25057" xr:uid="{00000000-0005-0000-0000-0000DC610000}"/>
    <cellStyle name="Input 10 2 2 3 3 2 2" xfId="25058" xr:uid="{00000000-0005-0000-0000-0000DD610000}"/>
    <cellStyle name="Input 10 2 2 3 3 2 3" xfId="25059" xr:uid="{00000000-0005-0000-0000-0000DE610000}"/>
    <cellStyle name="Input 10 2 2 3 3 2 4" xfId="25060" xr:uid="{00000000-0005-0000-0000-0000DF610000}"/>
    <cellStyle name="Input 10 2 2 3 3 2 5" xfId="25061" xr:uid="{00000000-0005-0000-0000-0000E0610000}"/>
    <cellStyle name="Input 10 2 2 3 3 2 6" xfId="25062" xr:uid="{00000000-0005-0000-0000-0000E1610000}"/>
    <cellStyle name="Input 10 2 2 3 3 3" xfId="25063" xr:uid="{00000000-0005-0000-0000-0000E2610000}"/>
    <cellStyle name="Input 10 2 2 3 3 4" xfId="25064" xr:uid="{00000000-0005-0000-0000-0000E3610000}"/>
    <cellStyle name="Input 10 2 2 3 3 5" xfId="25065" xr:uid="{00000000-0005-0000-0000-0000E4610000}"/>
    <cellStyle name="Input 10 2 2 3 3 6" xfId="25066" xr:uid="{00000000-0005-0000-0000-0000E5610000}"/>
    <cellStyle name="Input 10 2 2 3 4" xfId="25067" xr:uid="{00000000-0005-0000-0000-0000E6610000}"/>
    <cellStyle name="Input 10 2 2 3 4 2" xfId="25068" xr:uid="{00000000-0005-0000-0000-0000E7610000}"/>
    <cellStyle name="Input 10 2 2 3 4 3" xfId="25069" xr:uid="{00000000-0005-0000-0000-0000E8610000}"/>
    <cellStyle name="Input 10 2 2 3 4 4" xfId="25070" xr:uid="{00000000-0005-0000-0000-0000E9610000}"/>
    <cellStyle name="Input 10 2 2 3 4 5" xfId="25071" xr:uid="{00000000-0005-0000-0000-0000EA610000}"/>
    <cellStyle name="Input 10 2 2 3 4 6" xfId="25072" xr:uid="{00000000-0005-0000-0000-0000EB610000}"/>
    <cellStyle name="Input 10 2 2 3 5" xfId="25073" xr:uid="{00000000-0005-0000-0000-0000EC610000}"/>
    <cellStyle name="Input 10 2 2 3 6" xfId="25074" xr:uid="{00000000-0005-0000-0000-0000ED610000}"/>
    <cellStyle name="Input 10 2 2 3 7" xfId="25075" xr:uid="{00000000-0005-0000-0000-0000EE610000}"/>
    <cellStyle name="Input 10 2 2 3 8" xfId="25076" xr:uid="{00000000-0005-0000-0000-0000EF610000}"/>
    <cellStyle name="Input 10 2 2 4" xfId="25077" xr:uid="{00000000-0005-0000-0000-0000F0610000}"/>
    <cellStyle name="Input 10 2 2 4 2" xfId="25078" xr:uid="{00000000-0005-0000-0000-0000F1610000}"/>
    <cellStyle name="Input 10 2 2 4 2 2" xfId="25079" xr:uid="{00000000-0005-0000-0000-0000F2610000}"/>
    <cellStyle name="Input 10 2 2 4 2 2 2" xfId="25080" xr:uid="{00000000-0005-0000-0000-0000F3610000}"/>
    <cellStyle name="Input 10 2 2 4 2 2 3" xfId="25081" xr:uid="{00000000-0005-0000-0000-0000F4610000}"/>
    <cellStyle name="Input 10 2 2 4 2 2 4" xfId="25082" xr:uid="{00000000-0005-0000-0000-0000F5610000}"/>
    <cellStyle name="Input 10 2 2 4 2 2 5" xfId="25083" xr:uid="{00000000-0005-0000-0000-0000F6610000}"/>
    <cellStyle name="Input 10 2 2 4 2 2 6" xfId="25084" xr:uid="{00000000-0005-0000-0000-0000F7610000}"/>
    <cellStyle name="Input 10 2 2 4 2 3" xfId="25085" xr:uid="{00000000-0005-0000-0000-0000F8610000}"/>
    <cellStyle name="Input 10 2 2 4 2 4" xfId="25086" xr:uid="{00000000-0005-0000-0000-0000F9610000}"/>
    <cellStyle name="Input 10 2 2 4 2 5" xfId="25087" xr:uid="{00000000-0005-0000-0000-0000FA610000}"/>
    <cellStyle name="Input 10 2 2 4 2 6" xfId="25088" xr:uid="{00000000-0005-0000-0000-0000FB610000}"/>
    <cellStyle name="Input 10 2 2 4 3" xfId="25089" xr:uid="{00000000-0005-0000-0000-0000FC610000}"/>
    <cellStyle name="Input 10 2 2 4 3 2" xfId="25090" xr:uid="{00000000-0005-0000-0000-0000FD610000}"/>
    <cellStyle name="Input 10 2 2 4 3 2 2" xfId="25091" xr:uid="{00000000-0005-0000-0000-0000FE610000}"/>
    <cellStyle name="Input 10 2 2 4 3 2 3" xfId="25092" xr:uid="{00000000-0005-0000-0000-0000FF610000}"/>
    <cellStyle name="Input 10 2 2 4 3 2 4" xfId="25093" xr:uid="{00000000-0005-0000-0000-000000620000}"/>
    <cellStyle name="Input 10 2 2 4 3 2 5" xfId="25094" xr:uid="{00000000-0005-0000-0000-000001620000}"/>
    <cellStyle name="Input 10 2 2 4 3 2 6" xfId="25095" xr:uid="{00000000-0005-0000-0000-000002620000}"/>
    <cellStyle name="Input 10 2 2 4 3 3" xfId="25096" xr:uid="{00000000-0005-0000-0000-000003620000}"/>
    <cellStyle name="Input 10 2 2 4 3 4" xfId="25097" xr:uid="{00000000-0005-0000-0000-000004620000}"/>
    <cellStyle name="Input 10 2 2 4 3 5" xfId="25098" xr:uid="{00000000-0005-0000-0000-000005620000}"/>
    <cellStyle name="Input 10 2 2 4 3 6" xfId="25099" xr:uid="{00000000-0005-0000-0000-000006620000}"/>
    <cellStyle name="Input 10 2 2 4 4" xfId="25100" xr:uid="{00000000-0005-0000-0000-000007620000}"/>
    <cellStyle name="Input 10 2 2 4 4 2" xfId="25101" xr:uid="{00000000-0005-0000-0000-000008620000}"/>
    <cellStyle name="Input 10 2 2 4 4 3" xfId="25102" xr:uid="{00000000-0005-0000-0000-000009620000}"/>
    <cellStyle name="Input 10 2 2 4 4 4" xfId="25103" xr:uid="{00000000-0005-0000-0000-00000A620000}"/>
    <cellStyle name="Input 10 2 2 4 4 5" xfId="25104" xr:uid="{00000000-0005-0000-0000-00000B620000}"/>
    <cellStyle name="Input 10 2 2 4 4 6" xfId="25105" xr:uid="{00000000-0005-0000-0000-00000C620000}"/>
    <cellStyle name="Input 10 2 2 4 5" xfId="25106" xr:uid="{00000000-0005-0000-0000-00000D620000}"/>
    <cellStyle name="Input 10 2 2 4 6" xfId="25107" xr:uid="{00000000-0005-0000-0000-00000E620000}"/>
    <cellStyle name="Input 10 2 2 4 7" xfId="25108" xr:uid="{00000000-0005-0000-0000-00000F620000}"/>
    <cellStyle name="Input 10 2 2 4 8" xfId="25109" xr:uid="{00000000-0005-0000-0000-000010620000}"/>
    <cellStyle name="Input 10 2 2 5" xfId="25110" xr:uid="{00000000-0005-0000-0000-000011620000}"/>
    <cellStyle name="Input 10 2 2 5 2" xfId="25111" xr:uid="{00000000-0005-0000-0000-000012620000}"/>
    <cellStyle name="Input 10 2 2 5 2 2" xfId="25112" xr:uid="{00000000-0005-0000-0000-000013620000}"/>
    <cellStyle name="Input 10 2 2 5 2 2 2" xfId="25113" xr:uid="{00000000-0005-0000-0000-000014620000}"/>
    <cellStyle name="Input 10 2 2 5 2 2 3" xfId="25114" xr:uid="{00000000-0005-0000-0000-000015620000}"/>
    <cellStyle name="Input 10 2 2 5 2 2 4" xfId="25115" xr:uid="{00000000-0005-0000-0000-000016620000}"/>
    <cellStyle name="Input 10 2 2 5 2 2 5" xfId="25116" xr:uid="{00000000-0005-0000-0000-000017620000}"/>
    <cellStyle name="Input 10 2 2 5 2 2 6" xfId="25117" xr:uid="{00000000-0005-0000-0000-000018620000}"/>
    <cellStyle name="Input 10 2 2 5 2 3" xfId="25118" xr:uid="{00000000-0005-0000-0000-000019620000}"/>
    <cellStyle name="Input 10 2 2 5 2 4" xfId="25119" xr:uid="{00000000-0005-0000-0000-00001A620000}"/>
    <cellStyle name="Input 10 2 2 5 2 5" xfId="25120" xr:uid="{00000000-0005-0000-0000-00001B620000}"/>
    <cellStyle name="Input 10 2 2 5 2 6" xfId="25121" xr:uid="{00000000-0005-0000-0000-00001C620000}"/>
    <cellStyle name="Input 10 2 2 5 3" xfId="25122" xr:uid="{00000000-0005-0000-0000-00001D620000}"/>
    <cellStyle name="Input 10 2 2 5 3 2" xfId="25123" xr:uid="{00000000-0005-0000-0000-00001E620000}"/>
    <cellStyle name="Input 10 2 2 5 3 2 2" xfId="25124" xr:uid="{00000000-0005-0000-0000-00001F620000}"/>
    <cellStyle name="Input 10 2 2 5 3 2 3" xfId="25125" xr:uid="{00000000-0005-0000-0000-000020620000}"/>
    <cellStyle name="Input 10 2 2 5 3 2 4" xfId="25126" xr:uid="{00000000-0005-0000-0000-000021620000}"/>
    <cellStyle name="Input 10 2 2 5 3 2 5" xfId="25127" xr:uid="{00000000-0005-0000-0000-000022620000}"/>
    <cellStyle name="Input 10 2 2 5 3 2 6" xfId="25128" xr:uid="{00000000-0005-0000-0000-000023620000}"/>
    <cellStyle name="Input 10 2 2 5 3 3" xfId="25129" xr:uid="{00000000-0005-0000-0000-000024620000}"/>
    <cellStyle name="Input 10 2 2 5 3 4" xfId="25130" xr:uid="{00000000-0005-0000-0000-000025620000}"/>
    <cellStyle name="Input 10 2 2 5 3 5" xfId="25131" xr:uid="{00000000-0005-0000-0000-000026620000}"/>
    <cellStyle name="Input 10 2 2 5 3 6" xfId="25132" xr:uid="{00000000-0005-0000-0000-000027620000}"/>
    <cellStyle name="Input 10 2 2 5 4" xfId="25133" xr:uid="{00000000-0005-0000-0000-000028620000}"/>
    <cellStyle name="Input 10 2 2 5 4 2" xfId="25134" xr:uid="{00000000-0005-0000-0000-000029620000}"/>
    <cellStyle name="Input 10 2 2 5 4 3" xfId="25135" xr:uid="{00000000-0005-0000-0000-00002A620000}"/>
    <cellStyle name="Input 10 2 2 5 4 4" xfId="25136" xr:uid="{00000000-0005-0000-0000-00002B620000}"/>
    <cellStyle name="Input 10 2 2 5 4 5" xfId="25137" xr:uid="{00000000-0005-0000-0000-00002C620000}"/>
    <cellStyle name="Input 10 2 2 5 4 6" xfId="25138" xr:uid="{00000000-0005-0000-0000-00002D620000}"/>
    <cellStyle name="Input 10 2 2 5 5" xfId="25139" xr:uid="{00000000-0005-0000-0000-00002E620000}"/>
    <cellStyle name="Input 10 2 2 5 6" xfId="25140" xr:uid="{00000000-0005-0000-0000-00002F620000}"/>
    <cellStyle name="Input 10 2 2 5 7" xfId="25141" xr:uid="{00000000-0005-0000-0000-000030620000}"/>
    <cellStyle name="Input 10 2 2 5 8" xfId="25142" xr:uid="{00000000-0005-0000-0000-000031620000}"/>
    <cellStyle name="Input 10 2 2 6" xfId="25143" xr:uid="{00000000-0005-0000-0000-000032620000}"/>
    <cellStyle name="Input 10 2 2 6 2" xfId="25144" xr:uid="{00000000-0005-0000-0000-000033620000}"/>
    <cellStyle name="Input 10 2 2 6 2 2" xfId="25145" xr:uid="{00000000-0005-0000-0000-000034620000}"/>
    <cellStyle name="Input 10 2 2 6 2 2 2" xfId="25146" xr:uid="{00000000-0005-0000-0000-000035620000}"/>
    <cellStyle name="Input 10 2 2 6 2 2 3" xfId="25147" xr:uid="{00000000-0005-0000-0000-000036620000}"/>
    <cellStyle name="Input 10 2 2 6 2 2 4" xfId="25148" xr:uid="{00000000-0005-0000-0000-000037620000}"/>
    <cellStyle name="Input 10 2 2 6 2 2 5" xfId="25149" xr:uid="{00000000-0005-0000-0000-000038620000}"/>
    <cellStyle name="Input 10 2 2 6 2 2 6" xfId="25150" xr:uid="{00000000-0005-0000-0000-000039620000}"/>
    <cellStyle name="Input 10 2 2 6 2 3" xfId="25151" xr:uid="{00000000-0005-0000-0000-00003A620000}"/>
    <cellStyle name="Input 10 2 2 6 2 4" xfId="25152" xr:uid="{00000000-0005-0000-0000-00003B620000}"/>
    <cellStyle name="Input 10 2 2 6 2 5" xfId="25153" xr:uid="{00000000-0005-0000-0000-00003C620000}"/>
    <cellStyle name="Input 10 2 2 6 2 6" xfId="25154" xr:uid="{00000000-0005-0000-0000-00003D620000}"/>
    <cellStyle name="Input 10 2 2 6 3" xfId="25155" xr:uid="{00000000-0005-0000-0000-00003E620000}"/>
    <cellStyle name="Input 10 2 2 6 3 2" xfId="25156" xr:uid="{00000000-0005-0000-0000-00003F620000}"/>
    <cellStyle name="Input 10 2 2 6 3 2 2" xfId="25157" xr:uid="{00000000-0005-0000-0000-000040620000}"/>
    <cellStyle name="Input 10 2 2 6 3 2 3" xfId="25158" xr:uid="{00000000-0005-0000-0000-000041620000}"/>
    <cellStyle name="Input 10 2 2 6 3 2 4" xfId="25159" xr:uid="{00000000-0005-0000-0000-000042620000}"/>
    <cellStyle name="Input 10 2 2 6 3 2 5" xfId="25160" xr:uid="{00000000-0005-0000-0000-000043620000}"/>
    <cellStyle name="Input 10 2 2 6 3 2 6" xfId="25161" xr:uid="{00000000-0005-0000-0000-000044620000}"/>
    <cellStyle name="Input 10 2 2 6 3 3" xfId="25162" xr:uid="{00000000-0005-0000-0000-000045620000}"/>
    <cellStyle name="Input 10 2 2 6 3 4" xfId="25163" xr:uid="{00000000-0005-0000-0000-000046620000}"/>
    <cellStyle name="Input 10 2 2 6 3 5" xfId="25164" xr:uid="{00000000-0005-0000-0000-000047620000}"/>
    <cellStyle name="Input 10 2 2 6 3 6" xfId="25165" xr:uid="{00000000-0005-0000-0000-000048620000}"/>
    <cellStyle name="Input 10 2 2 6 4" xfId="25166" xr:uid="{00000000-0005-0000-0000-000049620000}"/>
    <cellStyle name="Input 10 2 2 6 4 2" xfId="25167" xr:uid="{00000000-0005-0000-0000-00004A620000}"/>
    <cellStyle name="Input 10 2 2 6 4 3" xfId="25168" xr:uid="{00000000-0005-0000-0000-00004B620000}"/>
    <cellStyle name="Input 10 2 2 6 4 4" xfId="25169" xr:uid="{00000000-0005-0000-0000-00004C620000}"/>
    <cellStyle name="Input 10 2 2 6 4 5" xfId="25170" xr:uid="{00000000-0005-0000-0000-00004D620000}"/>
    <cellStyle name="Input 10 2 2 6 4 6" xfId="25171" xr:uid="{00000000-0005-0000-0000-00004E620000}"/>
    <cellStyle name="Input 10 2 2 6 5" xfId="25172" xr:uid="{00000000-0005-0000-0000-00004F620000}"/>
    <cellStyle name="Input 10 2 2 6 6" xfId="25173" xr:uid="{00000000-0005-0000-0000-000050620000}"/>
    <cellStyle name="Input 10 2 2 6 7" xfId="25174" xr:uid="{00000000-0005-0000-0000-000051620000}"/>
    <cellStyle name="Input 10 2 2 6 8" xfId="25175" xr:uid="{00000000-0005-0000-0000-000052620000}"/>
    <cellStyle name="Input 10 2 2 7" xfId="25176" xr:uid="{00000000-0005-0000-0000-000053620000}"/>
    <cellStyle name="Input 10 2 2 7 2" xfId="25177" xr:uid="{00000000-0005-0000-0000-000054620000}"/>
    <cellStyle name="Input 10 2 2 7 2 2" xfId="25178" xr:uid="{00000000-0005-0000-0000-000055620000}"/>
    <cellStyle name="Input 10 2 2 7 2 3" xfId="25179" xr:uid="{00000000-0005-0000-0000-000056620000}"/>
    <cellStyle name="Input 10 2 2 7 2 4" xfId="25180" xr:uid="{00000000-0005-0000-0000-000057620000}"/>
    <cellStyle name="Input 10 2 2 7 2 5" xfId="25181" xr:uid="{00000000-0005-0000-0000-000058620000}"/>
    <cellStyle name="Input 10 2 2 7 2 6" xfId="25182" xr:uid="{00000000-0005-0000-0000-000059620000}"/>
    <cellStyle name="Input 10 2 2 7 3" xfId="25183" xr:uid="{00000000-0005-0000-0000-00005A620000}"/>
    <cellStyle name="Input 10 2 2 7 4" xfId="25184" xr:uid="{00000000-0005-0000-0000-00005B620000}"/>
    <cellStyle name="Input 10 2 2 7 5" xfId="25185" xr:uid="{00000000-0005-0000-0000-00005C620000}"/>
    <cellStyle name="Input 10 2 2 7 6" xfId="25186" xr:uid="{00000000-0005-0000-0000-00005D620000}"/>
    <cellStyle name="Input 10 2 2 8" xfId="25187" xr:uid="{00000000-0005-0000-0000-00005E620000}"/>
    <cellStyle name="Input 10 2 2 8 2" xfId="25188" xr:uid="{00000000-0005-0000-0000-00005F620000}"/>
    <cellStyle name="Input 10 2 2 8 2 2" xfId="25189" xr:uid="{00000000-0005-0000-0000-000060620000}"/>
    <cellStyle name="Input 10 2 2 8 2 3" xfId="25190" xr:uid="{00000000-0005-0000-0000-000061620000}"/>
    <cellStyle name="Input 10 2 2 8 2 4" xfId="25191" xr:uid="{00000000-0005-0000-0000-000062620000}"/>
    <cellStyle name="Input 10 2 2 8 2 5" xfId="25192" xr:uid="{00000000-0005-0000-0000-000063620000}"/>
    <cellStyle name="Input 10 2 2 8 2 6" xfId="25193" xr:uid="{00000000-0005-0000-0000-000064620000}"/>
    <cellStyle name="Input 10 2 2 8 3" xfId="25194" xr:uid="{00000000-0005-0000-0000-000065620000}"/>
    <cellStyle name="Input 10 2 2 8 4" xfId="25195" xr:uid="{00000000-0005-0000-0000-000066620000}"/>
    <cellStyle name="Input 10 2 2 8 5" xfId="25196" xr:uid="{00000000-0005-0000-0000-000067620000}"/>
    <cellStyle name="Input 10 2 2 8 6" xfId="25197" xr:uid="{00000000-0005-0000-0000-000068620000}"/>
    <cellStyle name="Input 10 2 2 9" xfId="25198" xr:uid="{00000000-0005-0000-0000-000069620000}"/>
    <cellStyle name="Input 10 2 2 9 2" xfId="25199" xr:uid="{00000000-0005-0000-0000-00006A620000}"/>
    <cellStyle name="Input 10 2 2 9 3" xfId="25200" xr:uid="{00000000-0005-0000-0000-00006B620000}"/>
    <cellStyle name="Input 10 2 2 9 4" xfId="25201" xr:uid="{00000000-0005-0000-0000-00006C620000}"/>
    <cellStyle name="Input 10 2 2 9 5" xfId="25202" xr:uid="{00000000-0005-0000-0000-00006D620000}"/>
    <cellStyle name="Input 10 2 2 9 6" xfId="25203" xr:uid="{00000000-0005-0000-0000-00006E620000}"/>
    <cellStyle name="Input 10 2 3" xfId="25204" xr:uid="{00000000-0005-0000-0000-00006F620000}"/>
    <cellStyle name="Input 10 2 3 2" xfId="25205" xr:uid="{00000000-0005-0000-0000-000070620000}"/>
    <cellStyle name="Input 10 2 3 2 2" xfId="25206" xr:uid="{00000000-0005-0000-0000-000071620000}"/>
    <cellStyle name="Input 10 2 3 2 2 2" xfId="25207" xr:uid="{00000000-0005-0000-0000-000072620000}"/>
    <cellStyle name="Input 10 2 3 2 2 3" xfId="25208" xr:uid="{00000000-0005-0000-0000-000073620000}"/>
    <cellStyle name="Input 10 2 3 2 2 4" xfId="25209" xr:uid="{00000000-0005-0000-0000-000074620000}"/>
    <cellStyle name="Input 10 2 3 2 2 5" xfId="25210" xr:uid="{00000000-0005-0000-0000-000075620000}"/>
    <cellStyle name="Input 10 2 3 2 2 6" xfId="25211" xr:uid="{00000000-0005-0000-0000-000076620000}"/>
    <cellStyle name="Input 10 2 3 2 3" xfId="25212" xr:uid="{00000000-0005-0000-0000-000077620000}"/>
    <cellStyle name="Input 10 2 3 2 4" xfId="25213" xr:uid="{00000000-0005-0000-0000-000078620000}"/>
    <cellStyle name="Input 10 2 3 2 5" xfId="25214" xr:uid="{00000000-0005-0000-0000-000079620000}"/>
    <cellStyle name="Input 10 2 3 2 6" xfId="25215" xr:uid="{00000000-0005-0000-0000-00007A620000}"/>
    <cellStyle name="Input 10 2 3 3" xfId="25216" xr:uid="{00000000-0005-0000-0000-00007B620000}"/>
    <cellStyle name="Input 10 2 3 3 2" xfId="25217" xr:uid="{00000000-0005-0000-0000-00007C620000}"/>
    <cellStyle name="Input 10 2 3 3 2 2" xfId="25218" xr:uid="{00000000-0005-0000-0000-00007D620000}"/>
    <cellStyle name="Input 10 2 3 3 2 3" xfId="25219" xr:uid="{00000000-0005-0000-0000-00007E620000}"/>
    <cellStyle name="Input 10 2 3 3 2 4" xfId="25220" xr:uid="{00000000-0005-0000-0000-00007F620000}"/>
    <cellStyle name="Input 10 2 3 3 2 5" xfId="25221" xr:uid="{00000000-0005-0000-0000-000080620000}"/>
    <cellStyle name="Input 10 2 3 3 2 6" xfId="25222" xr:uid="{00000000-0005-0000-0000-000081620000}"/>
    <cellStyle name="Input 10 2 3 3 3" xfId="25223" xr:uid="{00000000-0005-0000-0000-000082620000}"/>
    <cellStyle name="Input 10 2 3 3 4" xfId="25224" xr:uid="{00000000-0005-0000-0000-000083620000}"/>
    <cellStyle name="Input 10 2 3 3 5" xfId="25225" xr:uid="{00000000-0005-0000-0000-000084620000}"/>
    <cellStyle name="Input 10 2 3 3 6" xfId="25226" xr:uid="{00000000-0005-0000-0000-000085620000}"/>
    <cellStyle name="Input 10 2 3 4" xfId="25227" xr:uid="{00000000-0005-0000-0000-000086620000}"/>
    <cellStyle name="Input 10 2 3 4 2" xfId="25228" xr:uid="{00000000-0005-0000-0000-000087620000}"/>
    <cellStyle name="Input 10 2 3 4 3" xfId="25229" xr:uid="{00000000-0005-0000-0000-000088620000}"/>
    <cellStyle name="Input 10 2 3 4 4" xfId="25230" xr:uid="{00000000-0005-0000-0000-000089620000}"/>
    <cellStyle name="Input 10 2 3 4 5" xfId="25231" xr:uid="{00000000-0005-0000-0000-00008A620000}"/>
    <cellStyle name="Input 10 2 3 4 6" xfId="25232" xr:uid="{00000000-0005-0000-0000-00008B620000}"/>
    <cellStyle name="Input 10 2 3 5" xfId="25233" xr:uid="{00000000-0005-0000-0000-00008C620000}"/>
    <cellStyle name="Input 10 2 3 6" xfId="25234" xr:uid="{00000000-0005-0000-0000-00008D620000}"/>
    <cellStyle name="Input 10 2 3 7" xfId="25235" xr:uid="{00000000-0005-0000-0000-00008E620000}"/>
    <cellStyle name="Input 10 2 3 8" xfId="25236" xr:uid="{00000000-0005-0000-0000-00008F620000}"/>
    <cellStyle name="Input 10 2 4" xfId="25237" xr:uid="{00000000-0005-0000-0000-000090620000}"/>
    <cellStyle name="Input 10 2 4 2" xfId="25238" xr:uid="{00000000-0005-0000-0000-000091620000}"/>
    <cellStyle name="Input 10 2 4 2 2" xfId="25239" xr:uid="{00000000-0005-0000-0000-000092620000}"/>
    <cellStyle name="Input 10 2 4 2 2 2" xfId="25240" xr:uid="{00000000-0005-0000-0000-000093620000}"/>
    <cellStyle name="Input 10 2 4 2 2 3" xfId="25241" xr:uid="{00000000-0005-0000-0000-000094620000}"/>
    <cellStyle name="Input 10 2 4 2 2 4" xfId="25242" xr:uid="{00000000-0005-0000-0000-000095620000}"/>
    <cellStyle name="Input 10 2 4 2 2 5" xfId="25243" xr:uid="{00000000-0005-0000-0000-000096620000}"/>
    <cellStyle name="Input 10 2 4 2 2 6" xfId="25244" xr:uid="{00000000-0005-0000-0000-000097620000}"/>
    <cellStyle name="Input 10 2 4 2 3" xfId="25245" xr:uid="{00000000-0005-0000-0000-000098620000}"/>
    <cellStyle name="Input 10 2 4 2 4" xfId="25246" xr:uid="{00000000-0005-0000-0000-000099620000}"/>
    <cellStyle name="Input 10 2 4 2 5" xfId="25247" xr:uid="{00000000-0005-0000-0000-00009A620000}"/>
    <cellStyle name="Input 10 2 4 2 6" xfId="25248" xr:uid="{00000000-0005-0000-0000-00009B620000}"/>
    <cellStyle name="Input 10 2 4 3" xfId="25249" xr:uid="{00000000-0005-0000-0000-00009C620000}"/>
    <cellStyle name="Input 10 2 4 3 2" xfId="25250" xr:uid="{00000000-0005-0000-0000-00009D620000}"/>
    <cellStyle name="Input 10 2 4 3 2 2" xfId="25251" xr:uid="{00000000-0005-0000-0000-00009E620000}"/>
    <cellStyle name="Input 10 2 4 3 2 3" xfId="25252" xr:uid="{00000000-0005-0000-0000-00009F620000}"/>
    <cellStyle name="Input 10 2 4 3 2 4" xfId="25253" xr:uid="{00000000-0005-0000-0000-0000A0620000}"/>
    <cellStyle name="Input 10 2 4 3 2 5" xfId="25254" xr:uid="{00000000-0005-0000-0000-0000A1620000}"/>
    <cellStyle name="Input 10 2 4 3 2 6" xfId="25255" xr:uid="{00000000-0005-0000-0000-0000A2620000}"/>
    <cellStyle name="Input 10 2 4 3 3" xfId="25256" xr:uid="{00000000-0005-0000-0000-0000A3620000}"/>
    <cellStyle name="Input 10 2 4 3 4" xfId="25257" xr:uid="{00000000-0005-0000-0000-0000A4620000}"/>
    <cellStyle name="Input 10 2 4 3 5" xfId="25258" xr:uid="{00000000-0005-0000-0000-0000A5620000}"/>
    <cellStyle name="Input 10 2 4 3 6" xfId="25259" xr:uid="{00000000-0005-0000-0000-0000A6620000}"/>
    <cellStyle name="Input 10 2 4 4" xfId="25260" xr:uid="{00000000-0005-0000-0000-0000A7620000}"/>
    <cellStyle name="Input 10 2 4 4 2" xfId="25261" xr:uid="{00000000-0005-0000-0000-0000A8620000}"/>
    <cellStyle name="Input 10 2 4 4 3" xfId="25262" xr:uid="{00000000-0005-0000-0000-0000A9620000}"/>
    <cellStyle name="Input 10 2 4 4 4" xfId="25263" xr:uid="{00000000-0005-0000-0000-0000AA620000}"/>
    <cellStyle name="Input 10 2 4 4 5" xfId="25264" xr:uid="{00000000-0005-0000-0000-0000AB620000}"/>
    <cellStyle name="Input 10 2 4 4 6" xfId="25265" xr:uid="{00000000-0005-0000-0000-0000AC620000}"/>
    <cellStyle name="Input 10 2 4 5" xfId="25266" xr:uid="{00000000-0005-0000-0000-0000AD620000}"/>
    <cellStyle name="Input 10 2 4 6" xfId="25267" xr:uid="{00000000-0005-0000-0000-0000AE620000}"/>
    <cellStyle name="Input 10 2 4 7" xfId="25268" xr:uid="{00000000-0005-0000-0000-0000AF620000}"/>
    <cellStyle name="Input 10 2 4 8" xfId="25269" xr:uid="{00000000-0005-0000-0000-0000B0620000}"/>
    <cellStyle name="Input 10 2 5" xfId="25270" xr:uid="{00000000-0005-0000-0000-0000B1620000}"/>
    <cellStyle name="Input 10 2 5 2" xfId="25271" xr:uid="{00000000-0005-0000-0000-0000B2620000}"/>
    <cellStyle name="Input 10 2 5 2 2" xfId="25272" xr:uid="{00000000-0005-0000-0000-0000B3620000}"/>
    <cellStyle name="Input 10 2 5 2 2 2" xfId="25273" xr:uid="{00000000-0005-0000-0000-0000B4620000}"/>
    <cellStyle name="Input 10 2 5 2 2 3" xfId="25274" xr:uid="{00000000-0005-0000-0000-0000B5620000}"/>
    <cellStyle name="Input 10 2 5 2 2 4" xfId="25275" xr:uid="{00000000-0005-0000-0000-0000B6620000}"/>
    <cellStyle name="Input 10 2 5 2 2 5" xfId="25276" xr:uid="{00000000-0005-0000-0000-0000B7620000}"/>
    <cellStyle name="Input 10 2 5 2 2 6" xfId="25277" xr:uid="{00000000-0005-0000-0000-0000B8620000}"/>
    <cellStyle name="Input 10 2 5 2 3" xfId="25278" xr:uid="{00000000-0005-0000-0000-0000B9620000}"/>
    <cellStyle name="Input 10 2 5 2 4" xfId="25279" xr:uid="{00000000-0005-0000-0000-0000BA620000}"/>
    <cellStyle name="Input 10 2 5 2 5" xfId="25280" xr:uid="{00000000-0005-0000-0000-0000BB620000}"/>
    <cellStyle name="Input 10 2 5 2 6" xfId="25281" xr:uid="{00000000-0005-0000-0000-0000BC620000}"/>
    <cellStyle name="Input 10 2 5 3" xfId="25282" xr:uid="{00000000-0005-0000-0000-0000BD620000}"/>
    <cellStyle name="Input 10 2 5 3 2" xfId="25283" xr:uid="{00000000-0005-0000-0000-0000BE620000}"/>
    <cellStyle name="Input 10 2 5 3 2 2" xfId="25284" xr:uid="{00000000-0005-0000-0000-0000BF620000}"/>
    <cellStyle name="Input 10 2 5 3 2 3" xfId="25285" xr:uid="{00000000-0005-0000-0000-0000C0620000}"/>
    <cellStyle name="Input 10 2 5 3 2 4" xfId="25286" xr:uid="{00000000-0005-0000-0000-0000C1620000}"/>
    <cellStyle name="Input 10 2 5 3 2 5" xfId="25287" xr:uid="{00000000-0005-0000-0000-0000C2620000}"/>
    <cellStyle name="Input 10 2 5 3 2 6" xfId="25288" xr:uid="{00000000-0005-0000-0000-0000C3620000}"/>
    <cellStyle name="Input 10 2 5 3 3" xfId="25289" xr:uid="{00000000-0005-0000-0000-0000C4620000}"/>
    <cellStyle name="Input 10 2 5 3 4" xfId="25290" xr:uid="{00000000-0005-0000-0000-0000C5620000}"/>
    <cellStyle name="Input 10 2 5 3 5" xfId="25291" xr:uid="{00000000-0005-0000-0000-0000C6620000}"/>
    <cellStyle name="Input 10 2 5 3 6" xfId="25292" xr:uid="{00000000-0005-0000-0000-0000C7620000}"/>
    <cellStyle name="Input 10 2 5 4" xfId="25293" xr:uid="{00000000-0005-0000-0000-0000C8620000}"/>
    <cellStyle name="Input 10 2 5 4 2" xfId="25294" xr:uid="{00000000-0005-0000-0000-0000C9620000}"/>
    <cellStyle name="Input 10 2 5 4 3" xfId="25295" xr:uid="{00000000-0005-0000-0000-0000CA620000}"/>
    <cellStyle name="Input 10 2 5 4 4" xfId="25296" xr:uid="{00000000-0005-0000-0000-0000CB620000}"/>
    <cellStyle name="Input 10 2 5 4 5" xfId="25297" xr:uid="{00000000-0005-0000-0000-0000CC620000}"/>
    <cellStyle name="Input 10 2 5 4 6" xfId="25298" xr:uid="{00000000-0005-0000-0000-0000CD620000}"/>
    <cellStyle name="Input 10 2 5 5" xfId="25299" xr:uid="{00000000-0005-0000-0000-0000CE620000}"/>
    <cellStyle name="Input 10 2 5 6" xfId="25300" xr:uid="{00000000-0005-0000-0000-0000CF620000}"/>
    <cellStyle name="Input 10 2 5 7" xfId="25301" xr:uid="{00000000-0005-0000-0000-0000D0620000}"/>
    <cellStyle name="Input 10 2 5 8" xfId="25302" xr:uid="{00000000-0005-0000-0000-0000D1620000}"/>
    <cellStyle name="Input 10 2 6" xfId="25303" xr:uid="{00000000-0005-0000-0000-0000D2620000}"/>
    <cellStyle name="Input 10 2 6 2" xfId="25304" xr:uid="{00000000-0005-0000-0000-0000D3620000}"/>
    <cellStyle name="Input 10 2 6 2 2" xfId="25305" xr:uid="{00000000-0005-0000-0000-0000D4620000}"/>
    <cellStyle name="Input 10 2 6 2 2 2" xfId="25306" xr:uid="{00000000-0005-0000-0000-0000D5620000}"/>
    <cellStyle name="Input 10 2 6 2 2 3" xfId="25307" xr:uid="{00000000-0005-0000-0000-0000D6620000}"/>
    <cellStyle name="Input 10 2 6 2 2 4" xfId="25308" xr:uid="{00000000-0005-0000-0000-0000D7620000}"/>
    <cellStyle name="Input 10 2 6 2 2 5" xfId="25309" xr:uid="{00000000-0005-0000-0000-0000D8620000}"/>
    <cellStyle name="Input 10 2 6 2 2 6" xfId="25310" xr:uid="{00000000-0005-0000-0000-0000D9620000}"/>
    <cellStyle name="Input 10 2 6 2 3" xfId="25311" xr:uid="{00000000-0005-0000-0000-0000DA620000}"/>
    <cellStyle name="Input 10 2 6 2 4" xfId="25312" xr:uid="{00000000-0005-0000-0000-0000DB620000}"/>
    <cellStyle name="Input 10 2 6 2 5" xfId="25313" xr:uid="{00000000-0005-0000-0000-0000DC620000}"/>
    <cellStyle name="Input 10 2 6 2 6" xfId="25314" xr:uid="{00000000-0005-0000-0000-0000DD620000}"/>
    <cellStyle name="Input 10 2 6 3" xfId="25315" xr:uid="{00000000-0005-0000-0000-0000DE620000}"/>
    <cellStyle name="Input 10 2 6 3 2" xfId="25316" xr:uid="{00000000-0005-0000-0000-0000DF620000}"/>
    <cellStyle name="Input 10 2 6 3 2 2" xfId="25317" xr:uid="{00000000-0005-0000-0000-0000E0620000}"/>
    <cellStyle name="Input 10 2 6 3 2 3" xfId="25318" xr:uid="{00000000-0005-0000-0000-0000E1620000}"/>
    <cellStyle name="Input 10 2 6 3 2 4" xfId="25319" xr:uid="{00000000-0005-0000-0000-0000E2620000}"/>
    <cellStyle name="Input 10 2 6 3 2 5" xfId="25320" xr:uid="{00000000-0005-0000-0000-0000E3620000}"/>
    <cellStyle name="Input 10 2 6 3 2 6" xfId="25321" xr:uid="{00000000-0005-0000-0000-0000E4620000}"/>
    <cellStyle name="Input 10 2 6 3 3" xfId="25322" xr:uid="{00000000-0005-0000-0000-0000E5620000}"/>
    <cellStyle name="Input 10 2 6 3 4" xfId="25323" xr:uid="{00000000-0005-0000-0000-0000E6620000}"/>
    <cellStyle name="Input 10 2 6 3 5" xfId="25324" xr:uid="{00000000-0005-0000-0000-0000E7620000}"/>
    <cellStyle name="Input 10 2 6 3 6" xfId="25325" xr:uid="{00000000-0005-0000-0000-0000E8620000}"/>
    <cellStyle name="Input 10 2 6 4" xfId="25326" xr:uid="{00000000-0005-0000-0000-0000E9620000}"/>
    <cellStyle name="Input 10 2 6 4 2" xfId="25327" xr:uid="{00000000-0005-0000-0000-0000EA620000}"/>
    <cellStyle name="Input 10 2 6 4 3" xfId="25328" xr:uid="{00000000-0005-0000-0000-0000EB620000}"/>
    <cellStyle name="Input 10 2 6 4 4" xfId="25329" xr:uid="{00000000-0005-0000-0000-0000EC620000}"/>
    <cellStyle name="Input 10 2 6 4 5" xfId="25330" xr:uid="{00000000-0005-0000-0000-0000ED620000}"/>
    <cellStyle name="Input 10 2 6 4 6" xfId="25331" xr:uid="{00000000-0005-0000-0000-0000EE620000}"/>
    <cellStyle name="Input 10 2 6 5" xfId="25332" xr:uid="{00000000-0005-0000-0000-0000EF620000}"/>
    <cellStyle name="Input 10 2 6 6" xfId="25333" xr:uid="{00000000-0005-0000-0000-0000F0620000}"/>
    <cellStyle name="Input 10 2 6 7" xfId="25334" xr:uid="{00000000-0005-0000-0000-0000F1620000}"/>
    <cellStyle name="Input 10 2 6 8" xfId="25335" xr:uid="{00000000-0005-0000-0000-0000F2620000}"/>
    <cellStyle name="Input 10 2 7" xfId="25336" xr:uid="{00000000-0005-0000-0000-0000F3620000}"/>
    <cellStyle name="Input 10 2 7 2" xfId="25337" xr:uid="{00000000-0005-0000-0000-0000F4620000}"/>
    <cellStyle name="Input 10 2 7 2 2" xfId="25338" xr:uid="{00000000-0005-0000-0000-0000F5620000}"/>
    <cellStyle name="Input 10 2 7 2 2 2" xfId="25339" xr:uid="{00000000-0005-0000-0000-0000F6620000}"/>
    <cellStyle name="Input 10 2 7 2 2 3" xfId="25340" xr:uid="{00000000-0005-0000-0000-0000F7620000}"/>
    <cellStyle name="Input 10 2 7 2 2 4" xfId="25341" xr:uid="{00000000-0005-0000-0000-0000F8620000}"/>
    <cellStyle name="Input 10 2 7 2 2 5" xfId="25342" xr:uid="{00000000-0005-0000-0000-0000F9620000}"/>
    <cellStyle name="Input 10 2 7 2 2 6" xfId="25343" xr:uid="{00000000-0005-0000-0000-0000FA620000}"/>
    <cellStyle name="Input 10 2 7 2 3" xfId="25344" xr:uid="{00000000-0005-0000-0000-0000FB620000}"/>
    <cellStyle name="Input 10 2 7 2 4" xfId="25345" xr:uid="{00000000-0005-0000-0000-0000FC620000}"/>
    <cellStyle name="Input 10 2 7 2 5" xfId="25346" xr:uid="{00000000-0005-0000-0000-0000FD620000}"/>
    <cellStyle name="Input 10 2 7 2 6" xfId="25347" xr:uid="{00000000-0005-0000-0000-0000FE620000}"/>
    <cellStyle name="Input 10 2 7 3" xfId="25348" xr:uid="{00000000-0005-0000-0000-0000FF620000}"/>
    <cellStyle name="Input 10 2 7 3 2" xfId="25349" xr:uid="{00000000-0005-0000-0000-000000630000}"/>
    <cellStyle name="Input 10 2 7 3 2 2" xfId="25350" xr:uid="{00000000-0005-0000-0000-000001630000}"/>
    <cellStyle name="Input 10 2 7 3 2 3" xfId="25351" xr:uid="{00000000-0005-0000-0000-000002630000}"/>
    <cellStyle name="Input 10 2 7 3 2 4" xfId="25352" xr:uid="{00000000-0005-0000-0000-000003630000}"/>
    <cellStyle name="Input 10 2 7 3 2 5" xfId="25353" xr:uid="{00000000-0005-0000-0000-000004630000}"/>
    <cellStyle name="Input 10 2 7 3 2 6" xfId="25354" xr:uid="{00000000-0005-0000-0000-000005630000}"/>
    <cellStyle name="Input 10 2 7 3 3" xfId="25355" xr:uid="{00000000-0005-0000-0000-000006630000}"/>
    <cellStyle name="Input 10 2 7 3 4" xfId="25356" xr:uid="{00000000-0005-0000-0000-000007630000}"/>
    <cellStyle name="Input 10 2 7 3 5" xfId="25357" xr:uid="{00000000-0005-0000-0000-000008630000}"/>
    <cellStyle name="Input 10 2 7 3 6" xfId="25358" xr:uid="{00000000-0005-0000-0000-000009630000}"/>
    <cellStyle name="Input 10 2 7 4" xfId="25359" xr:uid="{00000000-0005-0000-0000-00000A630000}"/>
    <cellStyle name="Input 10 2 7 4 2" xfId="25360" xr:uid="{00000000-0005-0000-0000-00000B630000}"/>
    <cellStyle name="Input 10 2 7 4 3" xfId="25361" xr:uid="{00000000-0005-0000-0000-00000C630000}"/>
    <cellStyle name="Input 10 2 7 4 4" xfId="25362" xr:uid="{00000000-0005-0000-0000-00000D630000}"/>
    <cellStyle name="Input 10 2 7 4 5" xfId="25363" xr:uid="{00000000-0005-0000-0000-00000E630000}"/>
    <cellStyle name="Input 10 2 7 4 6" xfId="25364" xr:uid="{00000000-0005-0000-0000-00000F630000}"/>
    <cellStyle name="Input 10 2 7 5" xfId="25365" xr:uid="{00000000-0005-0000-0000-000010630000}"/>
    <cellStyle name="Input 10 2 7 6" xfId="25366" xr:uid="{00000000-0005-0000-0000-000011630000}"/>
    <cellStyle name="Input 10 2 7 7" xfId="25367" xr:uid="{00000000-0005-0000-0000-000012630000}"/>
    <cellStyle name="Input 10 2 7 8" xfId="25368" xr:uid="{00000000-0005-0000-0000-000013630000}"/>
    <cellStyle name="Input 10 2 8" xfId="25369" xr:uid="{00000000-0005-0000-0000-000014630000}"/>
    <cellStyle name="Input 10 2 8 2" xfId="25370" xr:uid="{00000000-0005-0000-0000-000015630000}"/>
    <cellStyle name="Input 10 2 8 2 2" xfId="25371" xr:uid="{00000000-0005-0000-0000-000016630000}"/>
    <cellStyle name="Input 10 2 8 2 3" xfId="25372" xr:uid="{00000000-0005-0000-0000-000017630000}"/>
    <cellStyle name="Input 10 2 8 2 4" xfId="25373" xr:uid="{00000000-0005-0000-0000-000018630000}"/>
    <cellStyle name="Input 10 2 8 2 5" xfId="25374" xr:uid="{00000000-0005-0000-0000-000019630000}"/>
    <cellStyle name="Input 10 2 8 2 6" xfId="25375" xr:uid="{00000000-0005-0000-0000-00001A630000}"/>
    <cellStyle name="Input 10 2 8 3" xfId="25376" xr:uid="{00000000-0005-0000-0000-00001B630000}"/>
    <cellStyle name="Input 10 2 8 4" xfId="25377" xr:uid="{00000000-0005-0000-0000-00001C630000}"/>
    <cellStyle name="Input 10 2 8 5" xfId="25378" xr:uid="{00000000-0005-0000-0000-00001D630000}"/>
    <cellStyle name="Input 10 2 8 6" xfId="25379" xr:uid="{00000000-0005-0000-0000-00001E630000}"/>
    <cellStyle name="Input 10 2 9" xfId="25380" xr:uid="{00000000-0005-0000-0000-00001F630000}"/>
    <cellStyle name="Input 10 2 9 2" xfId="25381" xr:uid="{00000000-0005-0000-0000-000020630000}"/>
    <cellStyle name="Input 10 2 9 2 2" xfId="25382" xr:uid="{00000000-0005-0000-0000-000021630000}"/>
    <cellStyle name="Input 10 2 9 2 3" xfId="25383" xr:uid="{00000000-0005-0000-0000-000022630000}"/>
    <cellStyle name="Input 10 2 9 2 4" xfId="25384" xr:uid="{00000000-0005-0000-0000-000023630000}"/>
    <cellStyle name="Input 10 2 9 2 5" xfId="25385" xr:uid="{00000000-0005-0000-0000-000024630000}"/>
    <cellStyle name="Input 10 2 9 2 6" xfId="25386" xr:uid="{00000000-0005-0000-0000-000025630000}"/>
    <cellStyle name="Input 10 2 9 3" xfId="25387" xr:uid="{00000000-0005-0000-0000-000026630000}"/>
    <cellStyle name="Input 10 2 9 4" xfId="25388" xr:uid="{00000000-0005-0000-0000-000027630000}"/>
    <cellStyle name="Input 10 2 9 5" xfId="25389" xr:uid="{00000000-0005-0000-0000-000028630000}"/>
    <cellStyle name="Input 10 2 9 6" xfId="25390" xr:uid="{00000000-0005-0000-0000-000029630000}"/>
    <cellStyle name="Input 10 3" xfId="25391" xr:uid="{00000000-0005-0000-0000-00002A630000}"/>
    <cellStyle name="Input 10 3 10" xfId="25392" xr:uid="{00000000-0005-0000-0000-00002B630000}"/>
    <cellStyle name="Input 10 3 11" xfId="25393" xr:uid="{00000000-0005-0000-0000-00002C630000}"/>
    <cellStyle name="Input 10 3 12" xfId="25394" xr:uid="{00000000-0005-0000-0000-00002D630000}"/>
    <cellStyle name="Input 10 3 13" xfId="25395" xr:uid="{00000000-0005-0000-0000-00002E630000}"/>
    <cellStyle name="Input 10 3 2" xfId="25396" xr:uid="{00000000-0005-0000-0000-00002F630000}"/>
    <cellStyle name="Input 10 3 2 2" xfId="25397" xr:uid="{00000000-0005-0000-0000-000030630000}"/>
    <cellStyle name="Input 10 3 2 2 2" xfId="25398" xr:uid="{00000000-0005-0000-0000-000031630000}"/>
    <cellStyle name="Input 10 3 2 2 2 2" xfId="25399" xr:uid="{00000000-0005-0000-0000-000032630000}"/>
    <cellStyle name="Input 10 3 2 2 2 3" xfId="25400" xr:uid="{00000000-0005-0000-0000-000033630000}"/>
    <cellStyle name="Input 10 3 2 2 2 4" xfId="25401" xr:uid="{00000000-0005-0000-0000-000034630000}"/>
    <cellStyle name="Input 10 3 2 2 2 5" xfId="25402" xr:uid="{00000000-0005-0000-0000-000035630000}"/>
    <cellStyle name="Input 10 3 2 2 2 6" xfId="25403" xr:uid="{00000000-0005-0000-0000-000036630000}"/>
    <cellStyle name="Input 10 3 2 2 3" xfId="25404" xr:uid="{00000000-0005-0000-0000-000037630000}"/>
    <cellStyle name="Input 10 3 2 2 4" xfId="25405" xr:uid="{00000000-0005-0000-0000-000038630000}"/>
    <cellStyle name="Input 10 3 2 2 5" xfId="25406" xr:uid="{00000000-0005-0000-0000-000039630000}"/>
    <cellStyle name="Input 10 3 2 2 6" xfId="25407" xr:uid="{00000000-0005-0000-0000-00003A630000}"/>
    <cellStyle name="Input 10 3 2 3" xfId="25408" xr:uid="{00000000-0005-0000-0000-00003B630000}"/>
    <cellStyle name="Input 10 3 2 3 2" xfId="25409" xr:uid="{00000000-0005-0000-0000-00003C630000}"/>
    <cellStyle name="Input 10 3 2 3 2 2" xfId="25410" xr:uid="{00000000-0005-0000-0000-00003D630000}"/>
    <cellStyle name="Input 10 3 2 3 2 3" xfId="25411" xr:uid="{00000000-0005-0000-0000-00003E630000}"/>
    <cellStyle name="Input 10 3 2 3 2 4" xfId="25412" xr:uid="{00000000-0005-0000-0000-00003F630000}"/>
    <cellStyle name="Input 10 3 2 3 2 5" xfId="25413" xr:uid="{00000000-0005-0000-0000-000040630000}"/>
    <cellStyle name="Input 10 3 2 3 2 6" xfId="25414" xr:uid="{00000000-0005-0000-0000-000041630000}"/>
    <cellStyle name="Input 10 3 2 3 3" xfId="25415" xr:uid="{00000000-0005-0000-0000-000042630000}"/>
    <cellStyle name="Input 10 3 2 3 4" xfId="25416" xr:uid="{00000000-0005-0000-0000-000043630000}"/>
    <cellStyle name="Input 10 3 2 3 5" xfId="25417" xr:uid="{00000000-0005-0000-0000-000044630000}"/>
    <cellStyle name="Input 10 3 2 3 6" xfId="25418" xr:uid="{00000000-0005-0000-0000-000045630000}"/>
    <cellStyle name="Input 10 3 2 4" xfId="25419" xr:uid="{00000000-0005-0000-0000-000046630000}"/>
    <cellStyle name="Input 10 3 2 4 2" xfId="25420" xr:uid="{00000000-0005-0000-0000-000047630000}"/>
    <cellStyle name="Input 10 3 2 4 3" xfId="25421" xr:uid="{00000000-0005-0000-0000-000048630000}"/>
    <cellStyle name="Input 10 3 2 4 4" xfId="25422" xr:uid="{00000000-0005-0000-0000-000049630000}"/>
    <cellStyle name="Input 10 3 2 4 5" xfId="25423" xr:uid="{00000000-0005-0000-0000-00004A630000}"/>
    <cellStyle name="Input 10 3 2 4 6" xfId="25424" xr:uid="{00000000-0005-0000-0000-00004B630000}"/>
    <cellStyle name="Input 10 3 2 5" xfId="25425" xr:uid="{00000000-0005-0000-0000-00004C630000}"/>
    <cellStyle name="Input 10 3 2 6" xfId="25426" xr:uid="{00000000-0005-0000-0000-00004D630000}"/>
    <cellStyle name="Input 10 3 2 7" xfId="25427" xr:uid="{00000000-0005-0000-0000-00004E630000}"/>
    <cellStyle name="Input 10 3 2 8" xfId="25428" xr:uid="{00000000-0005-0000-0000-00004F630000}"/>
    <cellStyle name="Input 10 3 3" xfId="25429" xr:uid="{00000000-0005-0000-0000-000050630000}"/>
    <cellStyle name="Input 10 3 3 2" xfId="25430" xr:uid="{00000000-0005-0000-0000-000051630000}"/>
    <cellStyle name="Input 10 3 3 2 2" xfId="25431" xr:uid="{00000000-0005-0000-0000-000052630000}"/>
    <cellStyle name="Input 10 3 3 2 2 2" xfId="25432" xr:uid="{00000000-0005-0000-0000-000053630000}"/>
    <cellStyle name="Input 10 3 3 2 2 3" xfId="25433" xr:uid="{00000000-0005-0000-0000-000054630000}"/>
    <cellStyle name="Input 10 3 3 2 2 4" xfId="25434" xr:uid="{00000000-0005-0000-0000-000055630000}"/>
    <cellStyle name="Input 10 3 3 2 2 5" xfId="25435" xr:uid="{00000000-0005-0000-0000-000056630000}"/>
    <cellStyle name="Input 10 3 3 2 2 6" xfId="25436" xr:uid="{00000000-0005-0000-0000-000057630000}"/>
    <cellStyle name="Input 10 3 3 2 3" xfId="25437" xr:uid="{00000000-0005-0000-0000-000058630000}"/>
    <cellStyle name="Input 10 3 3 2 4" xfId="25438" xr:uid="{00000000-0005-0000-0000-000059630000}"/>
    <cellStyle name="Input 10 3 3 2 5" xfId="25439" xr:uid="{00000000-0005-0000-0000-00005A630000}"/>
    <cellStyle name="Input 10 3 3 2 6" xfId="25440" xr:uid="{00000000-0005-0000-0000-00005B630000}"/>
    <cellStyle name="Input 10 3 3 3" xfId="25441" xr:uid="{00000000-0005-0000-0000-00005C630000}"/>
    <cellStyle name="Input 10 3 3 3 2" xfId="25442" xr:uid="{00000000-0005-0000-0000-00005D630000}"/>
    <cellStyle name="Input 10 3 3 3 2 2" xfId="25443" xr:uid="{00000000-0005-0000-0000-00005E630000}"/>
    <cellStyle name="Input 10 3 3 3 2 3" xfId="25444" xr:uid="{00000000-0005-0000-0000-00005F630000}"/>
    <cellStyle name="Input 10 3 3 3 2 4" xfId="25445" xr:uid="{00000000-0005-0000-0000-000060630000}"/>
    <cellStyle name="Input 10 3 3 3 2 5" xfId="25446" xr:uid="{00000000-0005-0000-0000-000061630000}"/>
    <cellStyle name="Input 10 3 3 3 2 6" xfId="25447" xr:uid="{00000000-0005-0000-0000-000062630000}"/>
    <cellStyle name="Input 10 3 3 3 3" xfId="25448" xr:uid="{00000000-0005-0000-0000-000063630000}"/>
    <cellStyle name="Input 10 3 3 3 4" xfId="25449" xr:uid="{00000000-0005-0000-0000-000064630000}"/>
    <cellStyle name="Input 10 3 3 3 5" xfId="25450" xr:uid="{00000000-0005-0000-0000-000065630000}"/>
    <cellStyle name="Input 10 3 3 3 6" xfId="25451" xr:uid="{00000000-0005-0000-0000-000066630000}"/>
    <cellStyle name="Input 10 3 3 4" xfId="25452" xr:uid="{00000000-0005-0000-0000-000067630000}"/>
    <cellStyle name="Input 10 3 3 4 2" xfId="25453" xr:uid="{00000000-0005-0000-0000-000068630000}"/>
    <cellStyle name="Input 10 3 3 4 3" xfId="25454" xr:uid="{00000000-0005-0000-0000-000069630000}"/>
    <cellStyle name="Input 10 3 3 4 4" xfId="25455" xr:uid="{00000000-0005-0000-0000-00006A630000}"/>
    <cellStyle name="Input 10 3 3 4 5" xfId="25456" xr:uid="{00000000-0005-0000-0000-00006B630000}"/>
    <cellStyle name="Input 10 3 3 4 6" xfId="25457" xr:uid="{00000000-0005-0000-0000-00006C630000}"/>
    <cellStyle name="Input 10 3 3 5" xfId="25458" xr:uid="{00000000-0005-0000-0000-00006D630000}"/>
    <cellStyle name="Input 10 3 3 6" xfId="25459" xr:uid="{00000000-0005-0000-0000-00006E630000}"/>
    <cellStyle name="Input 10 3 3 7" xfId="25460" xr:uid="{00000000-0005-0000-0000-00006F630000}"/>
    <cellStyle name="Input 10 3 3 8" xfId="25461" xr:uid="{00000000-0005-0000-0000-000070630000}"/>
    <cellStyle name="Input 10 3 4" xfId="25462" xr:uid="{00000000-0005-0000-0000-000071630000}"/>
    <cellStyle name="Input 10 3 4 2" xfId="25463" xr:uid="{00000000-0005-0000-0000-000072630000}"/>
    <cellStyle name="Input 10 3 4 2 2" xfId="25464" xr:uid="{00000000-0005-0000-0000-000073630000}"/>
    <cellStyle name="Input 10 3 4 2 2 2" xfId="25465" xr:uid="{00000000-0005-0000-0000-000074630000}"/>
    <cellStyle name="Input 10 3 4 2 2 3" xfId="25466" xr:uid="{00000000-0005-0000-0000-000075630000}"/>
    <cellStyle name="Input 10 3 4 2 2 4" xfId="25467" xr:uid="{00000000-0005-0000-0000-000076630000}"/>
    <cellStyle name="Input 10 3 4 2 2 5" xfId="25468" xr:uid="{00000000-0005-0000-0000-000077630000}"/>
    <cellStyle name="Input 10 3 4 2 2 6" xfId="25469" xr:uid="{00000000-0005-0000-0000-000078630000}"/>
    <cellStyle name="Input 10 3 4 2 3" xfId="25470" xr:uid="{00000000-0005-0000-0000-000079630000}"/>
    <cellStyle name="Input 10 3 4 2 4" xfId="25471" xr:uid="{00000000-0005-0000-0000-00007A630000}"/>
    <cellStyle name="Input 10 3 4 2 5" xfId="25472" xr:uid="{00000000-0005-0000-0000-00007B630000}"/>
    <cellStyle name="Input 10 3 4 2 6" xfId="25473" xr:uid="{00000000-0005-0000-0000-00007C630000}"/>
    <cellStyle name="Input 10 3 4 3" xfId="25474" xr:uid="{00000000-0005-0000-0000-00007D630000}"/>
    <cellStyle name="Input 10 3 4 3 2" xfId="25475" xr:uid="{00000000-0005-0000-0000-00007E630000}"/>
    <cellStyle name="Input 10 3 4 3 2 2" xfId="25476" xr:uid="{00000000-0005-0000-0000-00007F630000}"/>
    <cellStyle name="Input 10 3 4 3 2 3" xfId="25477" xr:uid="{00000000-0005-0000-0000-000080630000}"/>
    <cellStyle name="Input 10 3 4 3 2 4" xfId="25478" xr:uid="{00000000-0005-0000-0000-000081630000}"/>
    <cellStyle name="Input 10 3 4 3 2 5" xfId="25479" xr:uid="{00000000-0005-0000-0000-000082630000}"/>
    <cellStyle name="Input 10 3 4 3 2 6" xfId="25480" xr:uid="{00000000-0005-0000-0000-000083630000}"/>
    <cellStyle name="Input 10 3 4 3 3" xfId="25481" xr:uid="{00000000-0005-0000-0000-000084630000}"/>
    <cellStyle name="Input 10 3 4 3 4" xfId="25482" xr:uid="{00000000-0005-0000-0000-000085630000}"/>
    <cellStyle name="Input 10 3 4 3 5" xfId="25483" xr:uid="{00000000-0005-0000-0000-000086630000}"/>
    <cellStyle name="Input 10 3 4 3 6" xfId="25484" xr:uid="{00000000-0005-0000-0000-000087630000}"/>
    <cellStyle name="Input 10 3 4 4" xfId="25485" xr:uid="{00000000-0005-0000-0000-000088630000}"/>
    <cellStyle name="Input 10 3 4 4 2" xfId="25486" xr:uid="{00000000-0005-0000-0000-000089630000}"/>
    <cellStyle name="Input 10 3 4 4 3" xfId="25487" xr:uid="{00000000-0005-0000-0000-00008A630000}"/>
    <cellStyle name="Input 10 3 4 4 4" xfId="25488" xr:uid="{00000000-0005-0000-0000-00008B630000}"/>
    <cellStyle name="Input 10 3 4 4 5" xfId="25489" xr:uid="{00000000-0005-0000-0000-00008C630000}"/>
    <cellStyle name="Input 10 3 4 4 6" xfId="25490" xr:uid="{00000000-0005-0000-0000-00008D630000}"/>
    <cellStyle name="Input 10 3 4 5" xfId="25491" xr:uid="{00000000-0005-0000-0000-00008E630000}"/>
    <cellStyle name="Input 10 3 4 6" xfId="25492" xr:uid="{00000000-0005-0000-0000-00008F630000}"/>
    <cellStyle name="Input 10 3 4 7" xfId="25493" xr:uid="{00000000-0005-0000-0000-000090630000}"/>
    <cellStyle name="Input 10 3 4 8" xfId="25494" xr:uid="{00000000-0005-0000-0000-000091630000}"/>
    <cellStyle name="Input 10 3 5" xfId="25495" xr:uid="{00000000-0005-0000-0000-000092630000}"/>
    <cellStyle name="Input 10 3 5 2" xfId="25496" xr:uid="{00000000-0005-0000-0000-000093630000}"/>
    <cellStyle name="Input 10 3 5 2 2" xfId="25497" xr:uid="{00000000-0005-0000-0000-000094630000}"/>
    <cellStyle name="Input 10 3 5 2 2 2" xfId="25498" xr:uid="{00000000-0005-0000-0000-000095630000}"/>
    <cellStyle name="Input 10 3 5 2 2 3" xfId="25499" xr:uid="{00000000-0005-0000-0000-000096630000}"/>
    <cellStyle name="Input 10 3 5 2 2 4" xfId="25500" xr:uid="{00000000-0005-0000-0000-000097630000}"/>
    <cellStyle name="Input 10 3 5 2 2 5" xfId="25501" xr:uid="{00000000-0005-0000-0000-000098630000}"/>
    <cellStyle name="Input 10 3 5 2 2 6" xfId="25502" xr:uid="{00000000-0005-0000-0000-000099630000}"/>
    <cellStyle name="Input 10 3 5 2 3" xfId="25503" xr:uid="{00000000-0005-0000-0000-00009A630000}"/>
    <cellStyle name="Input 10 3 5 2 4" xfId="25504" xr:uid="{00000000-0005-0000-0000-00009B630000}"/>
    <cellStyle name="Input 10 3 5 2 5" xfId="25505" xr:uid="{00000000-0005-0000-0000-00009C630000}"/>
    <cellStyle name="Input 10 3 5 2 6" xfId="25506" xr:uid="{00000000-0005-0000-0000-00009D630000}"/>
    <cellStyle name="Input 10 3 5 3" xfId="25507" xr:uid="{00000000-0005-0000-0000-00009E630000}"/>
    <cellStyle name="Input 10 3 5 3 2" xfId="25508" xr:uid="{00000000-0005-0000-0000-00009F630000}"/>
    <cellStyle name="Input 10 3 5 3 2 2" xfId="25509" xr:uid="{00000000-0005-0000-0000-0000A0630000}"/>
    <cellStyle name="Input 10 3 5 3 2 3" xfId="25510" xr:uid="{00000000-0005-0000-0000-0000A1630000}"/>
    <cellStyle name="Input 10 3 5 3 2 4" xfId="25511" xr:uid="{00000000-0005-0000-0000-0000A2630000}"/>
    <cellStyle name="Input 10 3 5 3 2 5" xfId="25512" xr:uid="{00000000-0005-0000-0000-0000A3630000}"/>
    <cellStyle name="Input 10 3 5 3 2 6" xfId="25513" xr:uid="{00000000-0005-0000-0000-0000A4630000}"/>
    <cellStyle name="Input 10 3 5 3 3" xfId="25514" xr:uid="{00000000-0005-0000-0000-0000A5630000}"/>
    <cellStyle name="Input 10 3 5 3 4" xfId="25515" xr:uid="{00000000-0005-0000-0000-0000A6630000}"/>
    <cellStyle name="Input 10 3 5 3 5" xfId="25516" xr:uid="{00000000-0005-0000-0000-0000A7630000}"/>
    <cellStyle name="Input 10 3 5 3 6" xfId="25517" xr:uid="{00000000-0005-0000-0000-0000A8630000}"/>
    <cellStyle name="Input 10 3 5 4" xfId="25518" xr:uid="{00000000-0005-0000-0000-0000A9630000}"/>
    <cellStyle name="Input 10 3 5 4 2" xfId="25519" xr:uid="{00000000-0005-0000-0000-0000AA630000}"/>
    <cellStyle name="Input 10 3 5 4 3" xfId="25520" xr:uid="{00000000-0005-0000-0000-0000AB630000}"/>
    <cellStyle name="Input 10 3 5 4 4" xfId="25521" xr:uid="{00000000-0005-0000-0000-0000AC630000}"/>
    <cellStyle name="Input 10 3 5 4 5" xfId="25522" xr:uid="{00000000-0005-0000-0000-0000AD630000}"/>
    <cellStyle name="Input 10 3 5 4 6" xfId="25523" xr:uid="{00000000-0005-0000-0000-0000AE630000}"/>
    <cellStyle name="Input 10 3 5 5" xfId="25524" xr:uid="{00000000-0005-0000-0000-0000AF630000}"/>
    <cellStyle name="Input 10 3 5 6" xfId="25525" xr:uid="{00000000-0005-0000-0000-0000B0630000}"/>
    <cellStyle name="Input 10 3 5 7" xfId="25526" xr:uid="{00000000-0005-0000-0000-0000B1630000}"/>
    <cellStyle name="Input 10 3 5 8" xfId="25527" xr:uid="{00000000-0005-0000-0000-0000B2630000}"/>
    <cellStyle name="Input 10 3 6" xfId="25528" xr:uid="{00000000-0005-0000-0000-0000B3630000}"/>
    <cellStyle name="Input 10 3 6 2" xfId="25529" xr:uid="{00000000-0005-0000-0000-0000B4630000}"/>
    <cellStyle name="Input 10 3 6 2 2" xfId="25530" xr:uid="{00000000-0005-0000-0000-0000B5630000}"/>
    <cellStyle name="Input 10 3 6 2 2 2" xfId="25531" xr:uid="{00000000-0005-0000-0000-0000B6630000}"/>
    <cellStyle name="Input 10 3 6 2 2 3" xfId="25532" xr:uid="{00000000-0005-0000-0000-0000B7630000}"/>
    <cellStyle name="Input 10 3 6 2 2 4" xfId="25533" xr:uid="{00000000-0005-0000-0000-0000B8630000}"/>
    <cellStyle name="Input 10 3 6 2 2 5" xfId="25534" xr:uid="{00000000-0005-0000-0000-0000B9630000}"/>
    <cellStyle name="Input 10 3 6 2 2 6" xfId="25535" xr:uid="{00000000-0005-0000-0000-0000BA630000}"/>
    <cellStyle name="Input 10 3 6 2 3" xfId="25536" xr:uid="{00000000-0005-0000-0000-0000BB630000}"/>
    <cellStyle name="Input 10 3 6 2 4" xfId="25537" xr:uid="{00000000-0005-0000-0000-0000BC630000}"/>
    <cellStyle name="Input 10 3 6 2 5" xfId="25538" xr:uid="{00000000-0005-0000-0000-0000BD630000}"/>
    <cellStyle name="Input 10 3 6 2 6" xfId="25539" xr:uid="{00000000-0005-0000-0000-0000BE630000}"/>
    <cellStyle name="Input 10 3 6 3" xfId="25540" xr:uid="{00000000-0005-0000-0000-0000BF630000}"/>
    <cellStyle name="Input 10 3 6 3 2" xfId="25541" xr:uid="{00000000-0005-0000-0000-0000C0630000}"/>
    <cellStyle name="Input 10 3 6 3 2 2" xfId="25542" xr:uid="{00000000-0005-0000-0000-0000C1630000}"/>
    <cellStyle name="Input 10 3 6 3 2 3" xfId="25543" xr:uid="{00000000-0005-0000-0000-0000C2630000}"/>
    <cellStyle name="Input 10 3 6 3 2 4" xfId="25544" xr:uid="{00000000-0005-0000-0000-0000C3630000}"/>
    <cellStyle name="Input 10 3 6 3 2 5" xfId="25545" xr:uid="{00000000-0005-0000-0000-0000C4630000}"/>
    <cellStyle name="Input 10 3 6 3 2 6" xfId="25546" xr:uid="{00000000-0005-0000-0000-0000C5630000}"/>
    <cellStyle name="Input 10 3 6 3 3" xfId="25547" xr:uid="{00000000-0005-0000-0000-0000C6630000}"/>
    <cellStyle name="Input 10 3 6 3 4" xfId="25548" xr:uid="{00000000-0005-0000-0000-0000C7630000}"/>
    <cellStyle name="Input 10 3 6 3 5" xfId="25549" xr:uid="{00000000-0005-0000-0000-0000C8630000}"/>
    <cellStyle name="Input 10 3 6 3 6" xfId="25550" xr:uid="{00000000-0005-0000-0000-0000C9630000}"/>
    <cellStyle name="Input 10 3 6 4" xfId="25551" xr:uid="{00000000-0005-0000-0000-0000CA630000}"/>
    <cellStyle name="Input 10 3 6 4 2" xfId="25552" xr:uid="{00000000-0005-0000-0000-0000CB630000}"/>
    <cellStyle name="Input 10 3 6 4 3" xfId="25553" xr:uid="{00000000-0005-0000-0000-0000CC630000}"/>
    <cellStyle name="Input 10 3 6 4 4" xfId="25554" xr:uid="{00000000-0005-0000-0000-0000CD630000}"/>
    <cellStyle name="Input 10 3 6 4 5" xfId="25555" xr:uid="{00000000-0005-0000-0000-0000CE630000}"/>
    <cellStyle name="Input 10 3 6 4 6" xfId="25556" xr:uid="{00000000-0005-0000-0000-0000CF630000}"/>
    <cellStyle name="Input 10 3 6 5" xfId="25557" xr:uid="{00000000-0005-0000-0000-0000D0630000}"/>
    <cellStyle name="Input 10 3 6 6" xfId="25558" xr:uid="{00000000-0005-0000-0000-0000D1630000}"/>
    <cellStyle name="Input 10 3 6 7" xfId="25559" xr:uid="{00000000-0005-0000-0000-0000D2630000}"/>
    <cellStyle name="Input 10 3 6 8" xfId="25560" xr:uid="{00000000-0005-0000-0000-0000D3630000}"/>
    <cellStyle name="Input 10 3 7" xfId="25561" xr:uid="{00000000-0005-0000-0000-0000D4630000}"/>
    <cellStyle name="Input 10 3 7 2" xfId="25562" xr:uid="{00000000-0005-0000-0000-0000D5630000}"/>
    <cellStyle name="Input 10 3 7 2 2" xfId="25563" xr:uid="{00000000-0005-0000-0000-0000D6630000}"/>
    <cellStyle name="Input 10 3 7 2 3" xfId="25564" xr:uid="{00000000-0005-0000-0000-0000D7630000}"/>
    <cellStyle name="Input 10 3 7 2 4" xfId="25565" xr:uid="{00000000-0005-0000-0000-0000D8630000}"/>
    <cellStyle name="Input 10 3 7 2 5" xfId="25566" xr:uid="{00000000-0005-0000-0000-0000D9630000}"/>
    <cellStyle name="Input 10 3 7 2 6" xfId="25567" xr:uid="{00000000-0005-0000-0000-0000DA630000}"/>
    <cellStyle name="Input 10 3 7 3" xfId="25568" xr:uid="{00000000-0005-0000-0000-0000DB630000}"/>
    <cellStyle name="Input 10 3 7 4" xfId="25569" xr:uid="{00000000-0005-0000-0000-0000DC630000}"/>
    <cellStyle name="Input 10 3 7 5" xfId="25570" xr:uid="{00000000-0005-0000-0000-0000DD630000}"/>
    <cellStyle name="Input 10 3 7 6" xfId="25571" xr:uid="{00000000-0005-0000-0000-0000DE630000}"/>
    <cellStyle name="Input 10 3 8" xfId="25572" xr:uid="{00000000-0005-0000-0000-0000DF630000}"/>
    <cellStyle name="Input 10 3 8 2" xfId="25573" xr:uid="{00000000-0005-0000-0000-0000E0630000}"/>
    <cellStyle name="Input 10 3 8 2 2" xfId="25574" xr:uid="{00000000-0005-0000-0000-0000E1630000}"/>
    <cellStyle name="Input 10 3 8 2 3" xfId="25575" xr:uid="{00000000-0005-0000-0000-0000E2630000}"/>
    <cellStyle name="Input 10 3 8 2 4" xfId="25576" xr:uid="{00000000-0005-0000-0000-0000E3630000}"/>
    <cellStyle name="Input 10 3 8 2 5" xfId="25577" xr:uid="{00000000-0005-0000-0000-0000E4630000}"/>
    <cellStyle name="Input 10 3 8 2 6" xfId="25578" xr:uid="{00000000-0005-0000-0000-0000E5630000}"/>
    <cellStyle name="Input 10 3 8 3" xfId="25579" xr:uid="{00000000-0005-0000-0000-0000E6630000}"/>
    <cellStyle name="Input 10 3 8 4" xfId="25580" xr:uid="{00000000-0005-0000-0000-0000E7630000}"/>
    <cellStyle name="Input 10 3 8 5" xfId="25581" xr:uid="{00000000-0005-0000-0000-0000E8630000}"/>
    <cellStyle name="Input 10 3 8 6" xfId="25582" xr:uid="{00000000-0005-0000-0000-0000E9630000}"/>
    <cellStyle name="Input 10 3 9" xfId="25583" xr:uid="{00000000-0005-0000-0000-0000EA630000}"/>
    <cellStyle name="Input 10 3 9 2" xfId="25584" xr:uid="{00000000-0005-0000-0000-0000EB630000}"/>
    <cellStyle name="Input 10 3 9 3" xfId="25585" xr:uid="{00000000-0005-0000-0000-0000EC630000}"/>
    <cellStyle name="Input 10 3 9 4" xfId="25586" xr:uid="{00000000-0005-0000-0000-0000ED630000}"/>
    <cellStyle name="Input 10 3 9 5" xfId="25587" xr:uid="{00000000-0005-0000-0000-0000EE630000}"/>
    <cellStyle name="Input 10 3 9 6" xfId="25588" xr:uid="{00000000-0005-0000-0000-0000EF630000}"/>
    <cellStyle name="Input 10 4" xfId="25589" xr:uid="{00000000-0005-0000-0000-0000F0630000}"/>
    <cellStyle name="Input 10 4 2" xfId="25590" xr:uid="{00000000-0005-0000-0000-0000F1630000}"/>
    <cellStyle name="Input 10 4 2 2" xfId="25591" xr:uid="{00000000-0005-0000-0000-0000F2630000}"/>
    <cellStyle name="Input 10 4 2 2 2" xfId="25592" xr:uid="{00000000-0005-0000-0000-0000F3630000}"/>
    <cellStyle name="Input 10 4 2 2 3" xfId="25593" xr:uid="{00000000-0005-0000-0000-0000F4630000}"/>
    <cellStyle name="Input 10 4 2 2 4" xfId="25594" xr:uid="{00000000-0005-0000-0000-0000F5630000}"/>
    <cellStyle name="Input 10 4 2 2 5" xfId="25595" xr:uid="{00000000-0005-0000-0000-0000F6630000}"/>
    <cellStyle name="Input 10 4 2 2 6" xfId="25596" xr:uid="{00000000-0005-0000-0000-0000F7630000}"/>
    <cellStyle name="Input 10 4 2 3" xfId="25597" xr:uid="{00000000-0005-0000-0000-0000F8630000}"/>
    <cellStyle name="Input 10 4 2 4" xfId="25598" xr:uid="{00000000-0005-0000-0000-0000F9630000}"/>
    <cellStyle name="Input 10 4 2 5" xfId="25599" xr:uid="{00000000-0005-0000-0000-0000FA630000}"/>
    <cellStyle name="Input 10 4 2 6" xfId="25600" xr:uid="{00000000-0005-0000-0000-0000FB630000}"/>
    <cellStyle name="Input 10 4 3" xfId="25601" xr:uid="{00000000-0005-0000-0000-0000FC630000}"/>
    <cellStyle name="Input 10 4 3 2" xfId="25602" xr:uid="{00000000-0005-0000-0000-0000FD630000}"/>
    <cellStyle name="Input 10 4 3 2 2" xfId="25603" xr:uid="{00000000-0005-0000-0000-0000FE630000}"/>
    <cellStyle name="Input 10 4 3 2 3" xfId="25604" xr:uid="{00000000-0005-0000-0000-0000FF630000}"/>
    <cellStyle name="Input 10 4 3 2 4" xfId="25605" xr:uid="{00000000-0005-0000-0000-000000640000}"/>
    <cellStyle name="Input 10 4 3 2 5" xfId="25606" xr:uid="{00000000-0005-0000-0000-000001640000}"/>
    <cellStyle name="Input 10 4 3 2 6" xfId="25607" xr:uid="{00000000-0005-0000-0000-000002640000}"/>
    <cellStyle name="Input 10 4 3 3" xfId="25608" xr:uid="{00000000-0005-0000-0000-000003640000}"/>
    <cellStyle name="Input 10 4 3 4" xfId="25609" xr:uid="{00000000-0005-0000-0000-000004640000}"/>
    <cellStyle name="Input 10 4 3 5" xfId="25610" xr:uid="{00000000-0005-0000-0000-000005640000}"/>
    <cellStyle name="Input 10 4 3 6" xfId="25611" xr:uid="{00000000-0005-0000-0000-000006640000}"/>
    <cellStyle name="Input 10 4 4" xfId="25612" xr:uid="{00000000-0005-0000-0000-000007640000}"/>
    <cellStyle name="Input 10 4 4 2" xfId="25613" xr:uid="{00000000-0005-0000-0000-000008640000}"/>
    <cellStyle name="Input 10 4 4 3" xfId="25614" xr:uid="{00000000-0005-0000-0000-000009640000}"/>
    <cellStyle name="Input 10 4 4 4" xfId="25615" xr:uid="{00000000-0005-0000-0000-00000A640000}"/>
    <cellStyle name="Input 10 4 4 5" xfId="25616" xr:uid="{00000000-0005-0000-0000-00000B640000}"/>
    <cellStyle name="Input 10 4 4 6" xfId="25617" xr:uid="{00000000-0005-0000-0000-00000C640000}"/>
    <cellStyle name="Input 10 4 5" xfId="25618" xr:uid="{00000000-0005-0000-0000-00000D640000}"/>
    <cellStyle name="Input 10 4 6" xfId="25619" xr:uid="{00000000-0005-0000-0000-00000E640000}"/>
    <cellStyle name="Input 10 4 7" xfId="25620" xr:uid="{00000000-0005-0000-0000-00000F640000}"/>
    <cellStyle name="Input 10 4 8" xfId="25621" xr:uid="{00000000-0005-0000-0000-000010640000}"/>
    <cellStyle name="Input 10 5" xfId="25622" xr:uid="{00000000-0005-0000-0000-000011640000}"/>
    <cellStyle name="Input 10 5 2" xfId="25623" xr:uid="{00000000-0005-0000-0000-000012640000}"/>
    <cellStyle name="Input 10 5 2 2" xfId="25624" xr:uid="{00000000-0005-0000-0000-000013640000}"/>
    <cellStyle name="Input 10 5 2 2 2" xfId="25625" xr:uid="{00000000-0005-0000-0000-000014640000}"/>
    <cellStyle name="Input 10 5 2 2 3" xfId="25626" xr:uid="{00000000-0005-0000-0000-000015640000}"/>
    <cellStyle name="Input 10 5 2 2 4" xfId="25627" xr:uid="{00000000-0005-0000-0000-000016640000}"/>
    <cellStyle name="Input 10 5 2 2 5" xfId="25628" xr:uid="{00000000-0005-0000-0000-000017640000}"/>
    <cellStyle name="Input 10 5 2 2 6" xfId="25629" xr:uid="{00000000-0005-0000-0000-000018640000}"/>
    <cellStyle name="Input 10 5 2 3" xfId="25630" xr:uid="{00000000-0005-0000-0000-000019640000}"/>
    <cellStyle name="Input 10 5 2 4" xfId="25631" xr:uid="{00000000-0005-0000-0000-00001A640000}"/>
    <cellStyle name="Input 10 5 2 5" xfId="25632" xr:uid="{00000000-0005-0000-0000-00001B640000}"/>
    <cellStyle name="Input 10 5 2 6" xfId="25633" xr:uid="{00000000-0005-0000-0000-00001C640000}"/>
    <cellStyle name="Input 10 5 3" xfId="25634" xr:uid="{00000000-0005-0000-0000-00001D640000}"/>
    <cellStyle name="Input 10 5 3 2" xfId="25635" xr:uid="{00000000-0005-0000-0000-00001E640000}"/>
    <cellStyle name="Input 10 5 3 2 2" xfId="25636" xr:uid="{00000000-0005-0000-0000-00001F640000}"/>
    <cellStyle name="Input 10 5 3 2 3" xfId="25637" xr:uid="{00000000-0005-0000-0000-000020640000}"/>
    <cellStyle name="Input 10 5 3 2 4" xfId="25638" xr:uid="{00000000-0005-0000-0000-000021640000}"/>
    <cellStyle name="Input 10 5 3 2 5" xfId="25639" xr:uid="{00000000-0005-0000-0000-000022640000}"/>
    <cellStyle name="Input 10 5 3 2 6" xfId="25640" xr:uid="{00000000-0005-0000-0000-000023640000}"/>
    <cellStyle name="Input 10 5 3 3" xfId="25641" xr:uid="{00000000-0005-0000-0000-000024640000}"/>
    <cellStyle name="Input 10 5 3 4" xfId="25642" xr:uid="{00000000-0005-0000-0000-000025640000}"/>
    <cellStyle name="Input 10 5 3 5" xfId="25643" xr:uid="{00000000-0005-0000-0000-000026640000}"/>
    <cellStyle name="Input 10 5 3 6" xfId="25644" xr:uid="{00000000-0005-0000-0000-000027640000}"/>
    <cellStyle name="Input 10 5 4" xfId="25645" xr:uid="{00000000-0005-0000-0000-000028640000}"/>
    <cellStyle name="Input 10 5 4 2" xfId="25646" xr:uid="{00000000-0005-0000-0000-000029640000}"/>
    <cellStyle name="Input 10 5 4 3" xfId="25647" xr:uid="{00000000-0005-0000-0000-00002A640000}"/>
    <cellStyle name="Input 10 5 4 4" xfId="25648" xr:uid="{00000000-0005-0000-0000-00002B640000}"/>
    <cellStyle name="Input 10 5 4 5" xfId="25649" xr:uid="{00000000-0005-0000-0000-00002C640000}"/>
    <cellStyle name="Input 10 5 4 6" xfId="25650" xr:uid="{00000000-0005-0000-0000-00002D640000}"/>
    <cellStyle name="Input 10 5 5" xfId="25651" xr:uid="{00000000-0005-0000-0000-00002E640000}"/>
    <cellStyle name="Input 10 5 6" xfId="25652" xr:uid="{00000000-0005-0000-0000-00002F640000}"/>
    <cellStyle name="Input 10 5 7" xfId="25653" xr:uid="{00000000-0005-0000-0000-000030640000}"/>
    <cellStyle name="Input 10 5 8" xfId="25654" xr:uid="{00000000-0005-0000-0000-000031640000}"/>
    <cellStyle name="Input 10 6" xfId="25655" xr:uid="{00000000-0005-0000-0000-000032640000}"/>
    <cellStyle name="Input 10 6 2" xfId="25656" xr:uid="{00000000-0005-0000-0000-000033640000}"/>
    <cellStyle name="Input 10 6 2 2" xfId="25657" xr:uid="{00000000-0005-0000-0000-000034640000}"/>
    <cellStyle name="Input 10 6 2 2 2" xfId="25658" xr:uid="{00000000-0005-0000-0000-000035640000}"/>
    <cellStyle name="Input 10 6 2 2 3" xfId="25659" xr:uid="{00000000-0005-0000-0000-000036640000}"/>
    <cellStyle name="Input 10 6 2 2 4" xfId="25660" xr:uid="{00000000-0005-0000-0000-000037640000}"/>
    <cellStyle name="Input 10 6 2 2 5" xfId="25661" xr:uid="{00000000-0005-0000-0000-000038640000}"/>
    <cellStyle name="Input 10 6 2 2 6" xfId="25662" xr:uid="{00000000-0005-0000-0000-000039640000}"/>
    <cellStyle name="Input 10 6 2 3" xfId="25663" xr:uid="{00000000-0005-0000-0000-00003A640000}"/>
    <cellStyle name="Input 10 6 2 4" xfId="25664" xr:uid="{00000000-0005-0000-0000-00003B640000}"/>
    <cellStyle name="Input 10 6 2 5" xfId="25665" xr:uid="{00000000-0005-0000-0000-00003C640000}"/>
    <cellStyle name="Input 10 6 2 6" xfId="25666" xr:uid="{00000000-0005-0000-0000-00003D640000}"/>
    <cellStyle name="Input 10 6 3" xfId="25667" xr:uid="{00000000-0005-0000-0000-00003E640000}"/>
    <cellStyle name="Input 10 6 3 2" xfId="25668" xr:uid="{00000000-0005-0000-0000-00003F640000}"/>
    <cellStyle name="Input 10 6 3 2 2" xfId="25669" xr:uid="{00000000-0005-0000-0000-000040640000}"/>
    <cellStyle name="Input 10 6 3 2 3" xfId="25670" xr:uid="{00000000-0005-0000-0000-000041640000}"/>
    <cellStyle name="Input 10 6 3 2 4" xfId="25671" xr:uid="{00000000-0005-0000-0000-000042640000}"/>
    <cellStyle name="Input 10 6 3 2 5" xfId="25672" xr:uid="{00000000-0005-0000-0000-000043640000}"/>
    <cellStyle name="Input 10 6 3 2 6" xfId="25673" xr:uid="{00000000-0005-0000-0000-000044640000}"/>
    <cellStyle name="Input 10 6 3 3" xfId="25674" xr:uid="{00000000-0005-0000-0000-000045640000}"/>
    <cellStyle name="Input 10 6 3 4" xfId="25675" xr:uid="{00000000-0005-0000-0000-000046640000}"/>
    <cellStyle name="Input 10 6 3 5" xfId="25676" xr:uid="{00000000-0005-0000-0000-000047640000}"/>
    <cellStyle name="Input 10 6 3 6" xfId="25677" xr:uid="{00000000-0005-0000-0000-000048640000}"/>
    <cellStyle name="Input 10 6 4" xfId="25678" xr:uid="{00000000-0005-0000-0000-000049640000}"/>
    <cellStyle name="Input 10 6 4 2" xfId="25679" xr:uid="{00000000-0005-0000-0000-00004A640000}"/>
    <cellStyle name="Input 10 6 4 3" xfId="25680" xr:uid="{00000000-0005-0000-0000-00004B640000}"/>
    <cellStyle name="Input 10 6 4 4" xfId="25681" xr:uid="{00000000-0005-0000-0000-00004C640000}"/>
    <cellStyle name="Input 10 6 4 5" xfId="25682" xr:uid="{00000000-0005-0000-0000-00004D640000}"/>
    <cellStyle name="Input 10 6 4 6" xfId="25683" xr:uid="{00000000-0005-0000-0000-00004E640000}"/>
    <cellStyle name="Input 10 6 5" xfId="25684" xr:uid="{00000000-0005-0000-0000-00004F640000}"/>
    <cellStyle name="Input 10 6 6" xfId="25685" xr:uid="{00000000-0005-0000-0000-000050640000}"/>
    <cellStyle name="Input 10 6 7" xfId="25686" xr:uid="{00000000-0005-0000-0000-000051640000}"/>
    <cellStyle name="Input 10 6 8" xfId="25687" xr:uid="{00000000-0005-0000-0000-000052640000}"/>
    <cellStyle name="Input 10 7" xfId="25688" xr:uid="{00000000-0005-0000-0000-000053640000}"/>
    <cellStyle name="Input 10 7 2" xfId="25689" xr:uid="{00000000-0005-0000-0000-000054640000}"/>
    <cellStyle name="Input 10 7 2 2" xfId="25690" xr:uid="{00000000-0005-0000-0000-000055640000}"/>
    <cellStyle name="Input 10 7 2 3" xfId="25691" xr:uid="{00000000-0005-0000-0000-000056640000}"/>
    <cellStyle name="Input 10 7 2 4" xfId="25692" xr:uid="{00000000-0005-0000-0000-000057640000}"/>
    <cellStyle name="Input 10 7 2 5" xfId="25693" xr:uid="{00000000-0005-0000-0000-000058640000}"/>
    <cellStyle name="Input 10 7 2 6" xfId="25694" xr:uid="{00000000-0005-0000-0000-000059640000}"/>
    <cellStyle name="Input 10 7 3" xfId="25695" xr:uid="{00000000-0005-0000-0000-00005A640000}"/>
    <cellStyle name="Input 10 7 4" xfId="25696" xr:uid="{00000000-0005-0000-0000-00005B640000}"/>
    <cellStyle name="Input 10 7 5" xfId="25697" xr:uid="{00000000-0005-0000-0000-00005C640000}"/>
    <cellStyle name="Input 10 7 6" xfId="25698" xr:uid="{00000000-0005-0000-0000-00005D640000}"/>
    <cellStyle name="Input 10 8" xfId="25699" xr:uid="{00000000-0005-0000-0000-00005E640000}"/>
    <cellStyle name="Input 10 8 2" xfId="25700" xr:uid="{00000000-0005-0000-0000-00005F640000}"/>
    <cellStyle name="Input 10 8 2 2" xfId="25701" xr:uid="{00000000-0005-0000-0000-000060640000}"/>
    <cellStyle name="Input 10 8 2 3" xfId="25702" xr:uid="{00000000-0005-0000-0000-000061640000}"/>
    <cellStyle name="Input 10 8 2 4" xfId="25703" xr:uid="{00000000-0005-0000-0000-000062640000}"/>
    <cellStyle name="Input 10 8 2 5" xfId="25704" xr:uid="{00000000-0005-0000-0000-000063640000}"/>
    <cellStyle name="Input 10 8 2 6" xfId="25705" xr:uid="{00000000-0005-0000-0000-000064640000}"/>
    <cellStyle name="Input 10 8 3" xfId="25706" xr:uid="{00000000-0005-0000-0000-000065640000}"/>
    <cellStyle name="Input 10 8 4" xfId="25707" xr:uid="{00000000-0005-0000-0000-000066640000}"/>
    <cellStyle name="Input 10 8 5" xfId="25708" xr:uid="{00000000-0005-0000-0000-000067640000}"/>
    <cellStyle name="Input 10 8 6" xfId="25709" xr:uid="{00000000-0005-0000-0000-000068640000}"/>
    <cellStyle name="Input 10 9" xfId="25710" xr:uid="{00000000-0005-0000-0000-000069640000}"/>
    <cellStyle name="Input 10 9 2" xfId="25711" xr:uid="{00000000-0005-0000-0000-00006A640000}"/>
    <cellStyle name="Input 10 9 3" xfId="25712" xr:uid="{00000000-0005-0000-0000-00006B640000}"/>
    <cellStyle name="Input 10 9 4" xfId="25713" xr:uid="{00000000-0005-0000-0000-00006C640000}"/>
    <cellStyle name="Input 10 9 5" xfId="25714" xr:uid="{00000000-0005-0000-0000-00006D640000}"/>
    <cellStyle name="Input 10 9 6" xfId="25715" xr:uid="{00000000-0005-0000-0000-00006E640000}"/>
    <cellStyle name="Input 11" xfId="25716" xr:uid="{00000000-0005-0000-0000-00006F640000}"/>
    <cellStyle name="Input 12" xfId="25717" xr:uid="{00000000-0005-0000-0000-000070640000}"/>
    <cellStyle name="Input 13" xfId="25718" xr:uid="{00000000-0005-0000-0000-000071640000}"/>
    <cellStyle name="Input 14" xfId="25719" xr:uid="{00000000-0005-0000-0000-000072640000}"/>
    <cellStyle name="Input 2" xfId="25720" xr:uid="{00000000-0005-0000-0000-000073640000}"/>
    <cellStyle name="Input 2 10" xfId="25721" xr:uid="{00000000-0005-0000-0000-000074640000}"/>
    <cellStyle name="Input 2 10 2" xfId="25722" xr:uid="{00000000-0005-0000-0000-000075640000}"/>
    <cellStyle name="Input 2 10 2 2" xfId="25723" xr:uid="{00000000-0005-0000-0000-000076640000}"/>
    <cellStyle name="Input 2 10 2 2 2" xfId="25724" xr:uid="{00000000-0005-0000-0000-000077640000}"/>
    <cellStyle name="Input 2 10 2 2 3" xfId="25725" xr:uid="{00000000-0005-0000-0000-000078640000}"/>
    <cellStyle name="Input 2 10 2 2 4" xfId="25726" xr:uid="{00000000-0005-0000-0000-000079640000}"/>
    <cellStyle name="Input 2 10 2 2 5" xfId="25727" xr:uid="{00000000-0005-0000-0000-00007A640000}"/>
    <cellStyle name="Input 2 10 2 3" xfId="25728" xr:uid="{00000000-0005-0000-0000-00007B640000}"/>
    <cellStyle name="Input 2 10 2 4" xfId="25729" xr:uid="{00000000-0005-0000-0000-00007C640000}"/>
    <cellStyle name="Input 2 10 2 5" xfId="25730" xr:uid="{00000000-0005-0000-0000-00007D640000}"/>
    <cellStyle name="Input 2 10 2 6" xfId="25731" xr:uid="{00000000-0005-0000-0000-00007E640000}"/>
    <cellStyle name="Input 2 10 2 7" xfId="25732" xr:uid="{00000000-0005-0000-0000-00007F640000}"/>
    <cellStyle name="Input 2 10 3" xfId="25733" xr:uid="{00000000-0005-0000-0000-000080640000}"/>
    <cellStyle name="Input 2 10 3 2" xfId="25734" xr:uid="{00000000-0005-0000-0000-000081640000}"/>
    <cellStyle name="Input 2 10 3 3" xfId="25735" xr:uid="{00000000-0005-0000-0000-000082640000}"/>
    <cellStyle name="Input 2 10 3 4" xfId="25736" xr:uid="{00000000-0005-0000-0000-000083640000}"/>
    <cellStyle name="Input 2 10 3 5" xfId="25737" xr:uid="{00000000-0005-0000-0000-000084640000}"/>
    <cellStyle name="Input 2 10 4" xfId="25738" xr:uid="{00000000-0005-0000-0000-000085640000}"/>
    <cellStyle name="Input 2 10 5" xfId="25739" xr:uid="{00000000-0005-0000-0000-000086640000}"/>
    <cellStyle name="Input 2 10 6" xfId="25740" xr:uid="{00000000-0005-0000-0000-000087640000}"/>
    <cellStyle name="Input 2 10 7" xfId="25741" xr:uid="{00000000-0005-0000-0000-000088640000}"/>
    <cellStyle name="Input 2 11" xfId="25742" xr:uid="{00000000-0005-0000-0000-000089640000}"/>
    <cellStyle name="Input 2 11 2" xfId="25743" xr:uid="{00000000-0005-0000-0000-00008A640000}"/>
    <cellStyle name="Input 2 11 2 2" xfId="25744" xr:uid="{00000000-0005-0000-0000-00008B640000}"/>
    <cellStyle name="Input 2 11 2 3" xfId="25745" xr:uid="{00000000-0005-0000-0000-00008C640000}"/>
    <cellStyle name="Input 2 11 2 4" xfId="25746" xr:uid="{00000000-0005-0000-0000-00008D640000}"/>
    <cellStyle name="Input 2 11 2 5" xfId="25747" xr:uid="{00000000-0005-0000-0000-00008E640000}"/>
    <cellStyle name="Input 2 11 3" xfId="25748" xr:uid="{00000000-0005-0000-0000-00008F640000}"/>
    <cellStyle name="Input 2 11 3 2" xfId="25749" xr:uid="{00000000-0005-0000-0000-000090640000}"/>
    <cellStyle name="Input 2 11 3 3" xfId="25750" xr:uid="{00000000-0005-0000-0000-000091640000}"/>
    <cellStyle name="Input 2 11 3 4" xfId="25751" xr:uid="{00000000-0005-0000-0000-000092640000}"/>
    <cellStyle name="Input 2 11 3 5" xfId="25752" xr:uid="{00000000-0005-0000-0000-000093640000}"/>
    <cellStyle name="Input 2 11 4" xfId="25753" xr:uid="{00000000-0005-0000-0000-000094640000}"/>
    <cellStyle name="Input 2 11 5" xfId="25754" xr:uid="{00000000-0005-0000-0000-000095640000}"/>
    <cellStyle name="Input 2 11 6" xfId="25755" xr:uid="{00000000-0005-0000-0000-000096640000}"/>
    <cellStyle name="Input 2 11 7" xfId="25756" xr:uid="{00000000-0005-0000-0000-000097640000}"/>
    <cellStyle name="Input 2 11 8" xfId="25757" xr:uid="{00000000-0005-0000-0000-000098640000}"/>
    <cellStyle name="Input 2 12" xfId="25758" xr:uid="{00000000-0005-0000-0000-000099640000}"/>
    <cellStyle name="Input 2 12 2" xfId="25759" xr:uid="{00000000-0005-0000-0000-00009A640000}"/>
    <cellStyle name="Input 2 12 2 2" xfId="25760" xr:uid="{00000000-0005-0000-0000-00009B640000}"/>
    <cellStyle name="Input 2 12 2 3" xfId="25761" xr:uid="{00000000-0005-0000-0000-00009C640000}"/>
    <cellStyle name="Input 2 12 2 4" xfId="25762" xr:uid="{00000000-0005-0000-0000-00009D640000}"/>
    <cellStyle name="Input 2 12 2 5" xfId="25763" xr:uid="{00000000-0005-0000-0000-00009E640000}"/>
    <cellStyle name="Input 2 12 3" xfId="25764" xr:uid="{00000000-0005-0000-0000-00009F640000}"/>
    <cellStyle name="Input 2 12 4" xfId="25765" xr:uid="{00000000-0005-0000-0000-0000A0640000}"/>
    <cellStyle name="Input 2 12 5" xfId="25766" xr:uid="{00000000-0005-0000-0000-0000A1640000}"/>
    <cellStyle name="Input 2 12 6" xfId="25767" xr:uid="{00000000-0005-0000-0000-0000A2640000}"/>
    <cellStyle name="Input 2 13" xfId="25768" xr:uid="{00000000-0005-0000-0000-0000A3640000}"/>
    <cellStyle name="Input 2 13 2" xfId="25769" xr:uid="{00000000-0005-0000-0000-0000A4640000}"/>
    <cellStyle name="Input 2 13 2 2" xfId="25770" xr:uid="{00000000-0005-0000-0000-0000A5640000}"/>
    <cellStyle name="Input 2 13 2 3" xfId="25771" xr:uid="{00000000-0005-0000-0000-0000A6640000}"/>
    <cellStyle name="Input 2 13 2 4" xfId="25772" xr:uid="{00000000-0005-0000-0000-0000A7640000}"/>
    <cellStyle name="Input 2 13 2 5" xfId="25773" xr:uid="{00000000-0005-0000-0000-0000A8640000}"/>
    <cellStyle name="Input 2 13 3" xfId="25774" xr:uid="{00000000-0005-0000-0000-0000A9640000}"/>
    <cellStyle name="Input 2 13 4" xfId="25775" xr:uid="{00000000-0005-0000-0000-0000AA640000}"/>
    <cellStyle name="Input 2 13 5" xfId="25776" xr:uid="{00000000-0005-0000-0000-0000AB640000}"/>
    <cellStyle name="Input 2 13 6" xfId="25777" xr:uid="{00000000-0005-0000-0000-0000AC640000}"/>
    <cellStyle name="Input 2 14" xfId="25778" xr:uid="{00000000-0005-0000-0000-0000AD640000}"/>
    <cellStyle name="Input 2 14 2" xfId="25779" xr:uid="{00000000-0005-0000-0000-0000AE640000}"/>
    <cellStyle name="Input 2 14 2 2" xfId="25780" xr:uid="{00000000-0005-0000-0000-0000AF640000}"/>
    <cellStyle name="Input 2 14 2 3" xfId="25781" xr:uid="{00000000-0005-0000-0000-0000B0640000}"/>
    <cellStyle name="Input 2 14 2 4" xfId="25782" xr:uid="{00000000-0005-0000-0000-0000B1640000}"/>
    <cellStyle name="Input 2 14 2 5" xfId="25783" xr:uid="{00000000-0005-0000-0000-0000B2640000}"/>
    <cellStyle name="Input 2 14 3" xfId="25784" xr:uid="{00000000-0005-0000-0000-0000B3640000}"/>
    <cellStyle name="Input 2 14 4" xfId="25785" xr:uid="{00000000-0005-0000-0000-0000B4640000}"/>
    <cellStyle name="Input 2 14 5" xfId="25786" xr:uid="{00000000-0005-0000-0000-0000B5640000}"/>
    <cellStyle name="Input 2 14 6" xfId="25787" xr:uid="{00000000-0005-0000-0000-0000B6640000}"/>
    <cellStyle name="Input 2 15" xfId="25788" xr:uid="{00000000-0005-0000-0000-0000B7640000}"/>
    <cellStyle name="Input 2 15 2" xfId="25789" xr:uid="{00000000-0005-0000-0000-0000B8640000}"/>
    <cellStyle name="Input 2 15 2 2" xfId="25790" xr:uid="{00000000-0005-0000-0000-0000B9640000}"/>
    <cellStyle name="Input 2 15 2 3" xfId="25791" xr:uid="{00000000-0005-0000-0000-0000BA640000}"/>
    <cellStyle name="Input 2 15 2 4" xfId="25792" xr:uid="{00000000-0005-0000-0000-0000BB640000}"/>
    <cellStyle name="Input 2 15 2 5" xfId="25793" xr:uid="{00000000-0005-0000-0000-0000BC640000}"/>
    <cellStyle name="Input 2 15 3" xfId="25794" xr:uid="{00000000-0005-0000-0000-0000BD640000}"/>
    <cellStyle name="Input 2 15 4" xfId="25795" xr:uid="{00000000-0005-0000-0000-0000BE640000}"/>
    <cellStyle name="Input 2 15 5" xfId="25796" xr:uid="{00000000-0005-0000-0000-0000BF640000}"/>
    <cellStyle name="Input 2 15 6" xfId="25797" xr:uid="{00000000-0005-0000-0000-0000C0640000}"/>
    <cellStyle name="Input 2 16" xfId="25798" xr:uid="{00000000-0005-0000-0000-0000C1640000}"/>
    <cellStyle name="Input 2 16 2" xfId="25799" xr:uid="{00000000-0005-0000-0000-0000C2640000}"/>
    <cellStyle name="Input 2 16 2 2" xfId="25800" xr:uid="{00000000-0005-0000-0000-0000C3640000}"/>
    <cellStyle name="Input 2 16 2 3" xfId="25801" xr:uid="{00000000-0005-0000-0000-0000C4640000}"/>
    <cellStyle name="Input 2 16 2 4" xfId="25802" xr:uid="{00000000-0005-0000-0000-0000C5640000}"/>
    <cellStyle name="Input 2 16 2 5" xfId="25803" xr:uid="{00000000-0005-0000-0000-0000C6640000}"/>
    <cellStyle name="Input 2 16 3" xfId="25804" xr:uid="{00000000-0005-0000-0000-0000C7640000}"/>
    <cellStyle name="Input 2 16 4" xfId="25805" xr:uid="{00000000-0005-0000-0000-0000C8640000}"/>
    <cellStyle name="Input 2 16 5" xfId="25806" xr:uid="{00000000-0005-0000-0000-0000C9640000}"/>
    <cellStyle name="Input 2 16 6" xfId="25807" xr:uid="{00000000-0005-0000-0000-0000CA640000}"/>
    <cellStyle name="Input 2 17" xfId="25808" xr:uid="{00000000-0005-0000-0000-0000CB640000}"/>
    <cellStyle name="Input 2 17 2" xfId="25809" xr:uid="{00000000-0005-0000-0000-0000CC640000}"/>
    <cellStyle name="Input 2 17 2 2" xfId="25810" xr:uid="{00000000-0005-0000-0000-0000CD640000}"/>
    <cellStyle name="Input 2 17 2 3" xfId="25811" xr:uid="{00000000-0005-0000-0000-0000CE640000}"/>
    <cellStyle name="Input 2 17 2 4" xfId="25812" xr:uid="{00000000-0005-0000-0000-0000CF640000}"/>
    <cellStyle name="Input 2 17 2 5" xfId="25813" xr:uid="{00000000-0005-0000-0000-0000D0640000}"/>
    <cellStyle name="Input 2 17 3" xfId="25814" xr:uid="{00000000-0005-0000-0000-0000D1640000}"/>
    <cellStyle name="Input 2 17 4" xfId="25815" xr:uid="{00000000-0005-0000-0000-0000D2640000}"/>
    <cellStyle name="Input 2 17 5" xfId="25816" xr:uid="{00000000-0005-0000-0000-0000D3640000}"/>
    <cellStyle name="Input 2 17 6" xfId="25817" xr:uid="{00000000-0005-0000-0000-0000D4640000}"/>
    <cellStyle name="Input 2 18" xfId="25818" xr:uid="{00000000-0005-0000-0000-0000D5640000}"/>
    <cellStyle name="Input 2 18 2" xfId="25819" xr:uid="{00000000-0005-0000-0000-0000D6640000}"/>
    <cellStyle name="Input 2 18 2 2" xfId="25820" xr:uid="{00000000-0005-0000-0000-0000D7640000}"/>
    <cellStyle name="Input 2 18 2 3" xfId="25821" xr:uid="{00000000-0005-0000-0000-0000D8640000}"/>
    <cellStyle name="Input 2 18 2 4" xfId="25822" xr:uid="{00000000-0005-0000-0000-0000D9640000}"/>
    <cellStyle name="Input 2 18 2 5" xfId="25823" xr:uid="{00000000-0005-0000-0000-0000DA640000}"/>
    <cellStyle name="Input 2 18 3" xfId="25824" xr:uid="{00000000-0005-0000-0000-0000DB640000}"/>
    <cellStyle name="Input 2 18 4" xfId="25825" xr:uid="{00000000-0005-0000-0000-0000DC640000}"/>
    <cellStyle name="Input 2 18 5" xfId="25826" xr:uid="{00000000-0005-0000-0000-0000DD640000}"/>
    <cellStyle name="Input 2 18 6" xfId="25827" xr:uid="{00000000-0005-0000-0000-0000DE640000}"/>
    <cellStyle name="Input 2 19" xfId="25828" xr:uid="{00000000-0005-0000-0000-0000DF640000}"/>
    <cellStyle name="Input 2 19 2" xfId="25829" xr:uid="{00000000-0005-0000-0000-0000E0640000}"/>
    <cellStyle name="Input 2 19 2 2" xfId="25830" xr:uid="{00000000-0005-0000-0000-0000E1640000}"/>
    <cellStyle name="Input 2 19 2 3" xfId="25831" xr:uid="{00000000-0005-0000-0000-0000E2640000}"/>
    <cellStyle name="Input 2 19 2 4" xfId="25832" xr:uid="{00000000-0005-0000-0000-0000E3640000}"/>
    <cellStyle name="Input 2 19 2 5" xfId="25833" xr:uid="{00000000-0005-0000-0000-0000E4640000}"/>
    <cellStyle name="Input 2 19 3" xfId="25834" xr:uid="{00000000-0005-0000-0000-0000E5640000}"/>
    <cellStyle name="Input 2 19 4" xfId="25835" xr:uid="{00000000-0005-0000-0000-0000E6640000}"/>
    <cellStyle name="Input 2 19 5" xfId="25836" xr:uid="{00000000-0005-0000-0000-0000E7640000}"/>
    <cellStyle name="Input 2 19 6" xfId="25837" xr:uid="{00000000-0005-0000-0000-0000E8640000}"/>
    <cellStyle name="Input 2 2" xfId="25838" xr:uid="{00000000-0005-0000-0000-0000E9640000}"/>
    <cellStyle name="Input 2 2 2" xfId="25839" xr:uid="{00000000-0005-0000-0000-0000EA640000}"/>
    <cellStyle name="Input 2 2 2 2" xfId="25840" xr:uid="{00000000-0005-0000-0000-0000EB640000}"/>
    <cellStyle name="Input 2 2 2 2 2" xfId="25841" xr:uid="{00000000-0005-0000-0000-0000EC640000}"/>
    <cellStyle name="Input 2 2 2 2 3" xfId="25842" xr:uid="{00000000-0005-0000-0000-0000ED640000}"/>
    <cellStyle name="Input 2 2 2 2 4" xfId="25843" xr:uid="{00000000-0005-0000-0000-0000EE640000}"/>
    <cellStyle name="Input 2 2 2 2 5" xfId="25844" xr:uid="{00000000-0005-0000-0000-0000EF640000}"/>
    <cellStyle name="Input 2 2 2 3" xfId="25845" xr:uid="{00000000-0005-0000-0000-0000F0640000}"/>
    <cellStyle name="Input 2 2 2 4" xfId="25846" xr:uid="{00000000-0005-0000-0000-0000F1640000}"/>
    <cellStyle name="Input 2 2 2 5" xfId="25847" xr:uid="{00000000-0005-0000-0000-0000F2640000}"/>
    <cellStyle name="Input 2 2 2 6" xfId="25848" xr:uid="{00000000-0005-0000-0000-0000F3640000}"/>
    <cellStyle name="Input 2 2 2 7" xfId="25849" xr:uid="{00000000-0005-0000-0000-0000F4640000}"/>
    <cellStyle name="Input 2 2 3" xfId="25850" xr:uid="{00000000-0005-0000-0000-0000F5640000}"/>
    <cellStyle name="Input 2 2 4" xfId="25851" xr:uid="{00000000-0005-0000-0000-0000F6640000}"/>
    <cellStyle name="Input 2 2 5" xfId="25852" xr:uid="{00000000-0005-0000-0000-0000F7640000}"/>
    <cellStyle name="Input 2 2 6" xfId="25853" xr:uid="{00000000-0005-0000-0000-0000F8640000}"/>
    <cellStyle name="Input 2 20" xfId="25854" xr:uid="{00000000-0005-0000-0000-0000F9640000}"/>
    <cellStyle name="Input 2 20 2" xfId="25855" xr:uid="{00000000-0005-0000-0000-0000FA640000}"/>
    <cellStyle name="Input 2 20 2 2" xfId="25856" xr:uid="{00000000-0005-0000-0000-0000FB640000}"/>
    <cellStyle name="Input 2 20 2 3" xfId="25857" xr:uid="{00000000-0005-0000-0000-0000FC640000}"/>
    <cellStyle name="Input 2 20 2 4" xfId="25858" xr:uid="{00000000-0005-0000-0000-0000FD640000}"/>
    <cellStyle name="Input 2 20 2 5" xfId="25859" xr:uid="{00000000-0005-0000-0000-0000FE640000}"/>
    <cellStyle name="Input 2 20 3" xfId="25860" xr:uid="{00000000-0005-0000-0000-0000FF640000}"/>
    <cellStyle name="Input 2 20 4" xfId="25861" xr:uid="{00000000-0005-0000-0000-000000650000}"/>
    <cellStyle name="Input 2 20 5" xfId="25862" xr:uid="{00000000-0005-0000-0000-000001650000}"/>
    <cellStyle name="Input 2 20 6" xfId="25863" xr:uid="{00000000-0005-0000-0000-000002650000}"/>
    <cellStyle name="Input 2 21" xfId="25864" xr:uid="{00000000-0005-0000-0000-000003650000}"/>
    <cellStyle name="Input 2 21 2" xfId="25865" xr:uid="{00000000-0005-0000-0000-000004650000}"/>
    <cellStyle name="Input 2 21 2 2" xfId="25866" xr:uid="{00000000-0005-0000-0000-000005650000}"/>
    <cellStyle name="Input 2 21 2 3" xfId="25867" xr:uid="{00000000-0005-0000-0000-000006650000}"/>
    <cellStyle name="Input 2 21 2 4" xfId="25868" xr:uid="{00000000-0005-0000-0000-000007650000}"/>
    <cellStyle name="Input 2 21 2 5" xfId="25869" xr:uid="{00000000-0005-0000-0000-000008650000}"/>
    <cellStyle name="Input 2 21 3" xfId="25870" xr:uid="{00000000-0005-0000-0000-000009650000}"/>
    <cellStyle name="Input 2 21 4" xfId="25871" xr:uid="{00000000-0005-0000-0000-00000A650000}"/>
    <cellStyle name="Input 2 21 5" xfId="25872" xr:uid="{00000000-0005-0000-0000-00000B650000}"/>
    <cellStyle name="Input 2 21 6" xfId="25873" xr:uid="{00000000-0005-0000-0000-00000C650000}"/>
    <cellStyle name="Input 2 22" xfId="25874" xr:uid="{00000000-0005-0000-0000-00000D650000}"/>
    <cellStyle name="Input 2 22 2" xfId="25875" xr:uid="{00000000-0005-0000-0000-00000E650000}"/>
    <cellStyle name="Input 2 22 2 2" xfId="25876" xr:uid="{00000000-0005-0000-0000-00000F650000}"/>
    <cellStyle name="Input 2 22 2 3" xfId="25877" xr:uid="{00000000-0005-0000-0000-000010650000}"/>
    <cellStyle name="Input 2 22 2 4" xfId="25878" xr:uid="{00000000-0005-0000-0000-000011650000}"/>
    <cellStyle name="Input 2 22 2 5" xfId="25879" xr:uid="{00000000-0005-0000-0000-000012650000}"/>
    <cellStyle name="Input 2 22 3" xfId="25880" xr:uid="{00000000-0005-0000-0000-000013650000}"/>
    <cellStyle name="Input 2 22 4" xfId="25881" xr:uid="{00000000-0005-0000-0000-000014650000}"/>
    <cellStyle name="Input 2 22 5" xfId="25882" xr:uid="{00000000-0005-0000-0000-000015650000}"/>
    <cellStyle name="Input 2 22 6" xfId="25883" xr:uid="{00000000-0005-0000-0000-000016650000}"/>
    <cellStyle name="Input 2 23" xfId="25884" xr:uid="{00000000-0005-0000-0000-000017650000}"/>
    <cellStyle name="Input 2 23 2" xfId="25885" xr:uid="{00000000-0005-0000-0000-000018650000}"/>
    <cellStyle name="Input 2 23 2 2" xfId="25886" xr:uid="{00000000-0005-0000-0000-000019650000}"/>
    <cellStyle name="Input 2 23 2 3" xfId="25887" xr:uid="{00000000-0005-0000-0000-00001A650000}"/>
    <cellStyle name="Input 2 23 2 4" xfId="25888" xr:uid="{00000000-0005-0000-0000-00001B650000}"/>
    <cellStyle name="Input 2 23 2 5" xfId="25889" xr:uid="{00000000-0005-0000-0000-00001C650000}"/>
    <cellStyle name="Input 2 23 3" xfId="25890" xr:uid="{00000000-0005-0000-0000-00001D650000}"/>
    <cellStyle name="Input 2 23 4" xfId="25891" xr:uid="{00000000-0005-0000-0000-00001E650000}"/>
    <cellStyle name="Input 2 23 5" xfId="25892" xr:uid="{00000000-0005-0000-0000-00001F650000}"/>
    <cellStyle name="Input 2 23 6" xfId="25893" xr:uid="{00000000-0005-0000-0000-000020650000}"/>
    <cellStyle name="Input 2 24" xfId="25894" xr:uid="{00000000-0005-0000-0000-000021650000}"/>
    <cellStyle name="Input 2 24 2" xfId="25895" xr:uid="{00000000-0005-0000-0000-000022650000}"/>
    <cellStyle name="Input 2 24 2 2" xfId="25896" xr:uid="{00000000-0005-0000-0000-000023650000}"/>
    <cellStyle name="Input 2 24 2 3" xfId="25897" xr:uid="{00000000-0005-0000-0000-000024650000}"/>
    <cellStyle name="Input 2 24 2 4" xfId="25898" xr:uid="{00000000-0005-0000-0000-000025650000}"/>
    <cellStyle name="Input 2 24 2 5" xfId="25899" xr:uid="{00000000-0005-0000-0000-000026650000}"/>
    <cellStyle name="Input 2 24 3" xfId="25900" xr:uid="{00000000-0005-0000-0000-000027650000}"/>
    <cellStyle name="Input 2 24 4" xfId="25901" xr:uid="{00000000-0005-0000-0000-000028650000}"/>
    <cellStyle name="Input 2 24 5" xfId="25902" xr:uid="{00000000-0005-0000-0000-000029650000}"/>
    <cellStyle name="Input 2 24 6" xfId="25903" xr:uid="{00000000-0005-0000-0000-00002A650000}"/>
    <cellStyle name="Input 2 25" xfId="25904" xr:uid="{00000000-0005-0000-0000-00002B650000}"/>
    <cellStyle name="Input 2 25 2" xfId="25905" xr:uid="{00000000-0005-0000-0000-00002C650000}"/>
    <cellStyle name="Input 2 25 2 2" xfId="25906" xr:uid="{00000000-0005-0000-0000-00002D650000}"/>
    <cellStyle name="Input 2 25 2 3" xfId="25907" xr:uid="{00000000-0005-0000-0000-00002E650000}"/>
    <cellStyle name="Input 2 25 2 4" xfId="25908" xr:uid="{00000000-0005-0000-0000-00002F650000}"/>
    <cellStyle name="Input 2 25 2 5" xfId="25909" xr:uid="{00000000-0005-0000-0000-000030650000}"/>
    <cellStyle name="Input 2 25 3" xfId="25910" xr:uid="{00000000-0005-0000-0000-000031650000}"/>
    <cellStyle name="Input 2 25 4" xfId="25911" xr:uid="{00000000-0005-0000-0000-000032650000}"/>
    <cellStyle name="Input 2 25 5" xfId="25912" xr:uid="{00000000-0005-0000-0000-000033650000}"/>
    <cellStyle name="Input 2 25 6" xfId="25913" xr:uid="{00000000-0005-0000-0000-000034650000}"/>
    <cellStyle name="Input 2 26" xfId="25914" xr:uid="{00000000-0005-0000-0000-000035650000}"/>
    <cellStyle name="Input 2 26 2" xfId="25915" xr:uid="{00000000-0005-0000-0000-000036650000}"/>
    <cellStyle name="Input 2 26 2 2" xfId="25916" xr:uid="{00000000-0005-0000-0000-000037650000}"/>
    <cellStyle name="Input 2 26 2 3" xfId="25917" xr:uid="{00000000-0005-0000-0000-000038650000}"/>
    <cellStyle name="Input 2 26 2 4" xfId="25918" xr:uid="{00000000-0005-0000-0000-000039650000}"/>
    <cellStyle name="Input 2 26 2 5" xfId="25919" xr:uid="{00000000-0005-0000-0000-00003A650000}"/>
    <cellStyle name="Input 2 26 3" xfId="25920" xr:uid="{00000000-0005-0000-0000-00003B650000}"/>
    <cellStyle name="Input 2 26 4" xfId="25921" xr:uid="{00000000-0005-0000-0000-00003C650000}"/>
    <cellStyle name="Input 2 26 5" xfId="25922" xr:uid="{00000000-0005-0000-0000-00003D650000}"/>
    <cellStyle name="Input 2 26 6" xfId="25923" xr:uid="{00000000-0005-0000-0000-00003E650000}"/>
    <cellStyle name="Input 2 27" xfId="25924" xr:uid="{00000000-0005-0000-0000-00003F650000}"/>
    <cellStyle name="Input 2 27 2" xfId="25925" xr:uid="{00000000-0005-0000-0000-000040650000}"/>
    <cellStyle name="Input 2 27 2 2" xfId="25926" xr:uid="{00000000-0005-0000-0000-000041650000}"/>
    <cellStyle name="Input 2 27 2 3" xfId="25927" xr:uid="{00000000-0005-0000-0000-000042650000}"/>
    <cellStyle name="Input 2 27 2 4" xfId="25928" xr:uid="{00000000-0005-0000-0000-000043650000}"/>
    <cellStyle name="Input 2 27 2 5" xfId="25929" xr:uid="{00000000-0005-0000-0000-000044650000}"/>
    <cellStyle name="Input 2 27 3" xfId="25930" xr:uid="{00000000-0005-0000-0000-000045650000}"/>
    <cellStyle name="Input 2 27 4" xfId="25931" xr:uid="{00000000-0005-0000-0000-000046650000}"/>
    <cellStyle name="Input 2 27 5" xfId="25932" xr:uid="{00000000-0005-0000-0000-000047650000}"/>
    <cellStyle name="Input 2 27 6" xfId="25933" xr:uid="{00000000-0005-0000-0000-000048650000}"/>
    <cellStyle name="Input 2 28" xfId="25934" xr:uid="{00000000-0005-0000-0000-000049650000}"/>
    <cellStyle name="Input 2 28 2" xfId="25935" xr:uid="{00000000-0005-0000-0000-00004A650000}"/>
    <cellStyle name="Input 2 28 2 2" xfId="25936" xr:uid="{00000000-0005-0000-0000-00004B650000}"/>
    <cellStyle name="Input 2 28 2 3" xfId="25937" xr:uid="{00000000-0005-0000-0000-00004C650000}"/>
    <cellStyle name="Input 2 28 2 4" xfId="25938" xr:uid="{00000000-0005-0000-0000-00004D650000}"/>
    <cellStyle name="Input 2 28 2 5" xfId="25939" xr:uid="{00000000-0005-0000-0000-00004E650000}"/>
    <cellStyle name="Input 2 28 3" xfId="25940" xr:uid="{00000000-0005-0000-0000-00004F650000}"/>
    <cellStyle name="Input 2 28 4" xfId="25941" xr:uid="{00000000-0005-0000-0000-000050650000}"/>
    <cellStyle name="Input 2 28 5" xfId="25942" xr:uid="{00000000-0005-0000-0000-000051650000}"/>
    <cellStyle name="Input 2 28 6" xfId="25943" xr:uid="{00000000-0005-0000-0000-000052650000}"/>
    <cellStyle name="Input 2 29" xfId="25944" xr:uid="{00000000-0005-0000-0000-000053650000}"/>
    <cellStyle name="Input 2 29 2" xfId="25945" xr:uid="{00000000-0005-0000-0000-000054650000}"/>
    <cellStyle name="Input 2 29 2 2" xfId="25946" xr:uid="{00000000-0005-0000-0000-000055650000}"/>
    <cellStyle name="Input 2 29 2 3" xfId="25947" xr:uid="{00000000-0005-0000-0000-000056650000}"/>
    <cellStyle name="Input 2 29 2 4" xfId="25948" xr:uid="{00000000-0005-0000-0000-000057650000}"/>
    <cellStyle name="Input 2 29 2 5" xfId="25949" xr:uid="{00000000-0005-0000-0000-000058650000}"/>
    <cellStyle name="Input 2 29 3" xfId="25950" xr:uid="{00000000-0005-0000-0000-000059650000}"/>
    <cellStyle name="Input 2 29 4" xfId="25951" xr:uid="{00000000-0005-0000-0000-00005A650000}"/>
    <cellStyle name="Input 2 29 5" xfId="25952" xr:uid="{00000000-0005-0000-0000-00005B650000}"/>
    <cellStyle name="Input 2 29 6" xfId="25953" xr:uid="{00000000-0005-0000-0000-00005C650000}"/>
    <cellStyle name="Input 2 3" xfId="25954" xr:uid="{00000000-0005-0000-0000-00005D650000}"/>
    <cellStyle name="Input 2 3 10" xfId="25955" xr:uid="{00000000-0005-0000-0000-00005E650000}"/>
    <cellStyle name="Input 2 3 11" xfId="25956" xr:uid="{00000000-0005-0000-0000-00005F650000}"/>
    <cellStyle name="Input 2 3 12" xfId="25957" xr:uid="{00000000-0005-0000-0000-000060650000}"/>
    <cellStyle name="Input 2 3 13" xfId="25958" xr:uid="{00000000-0005-0000-0000-000061650000}"/>
    <cellStyle name="Input 2 3 2" xfId="25959" xr:uid="{00000000-0005-0000-0000-000062650000}"/>
    <cellStyle name="Input 2 3 2 10" xfId="25960" xr:uid="{00000000-0005-0000-0000-000063650000}"/>
    <cellStyle name="Input 2 3 2 10 2" xfId="25961" xr:uid="{00000000-0005-0000-0000-000064650000}"/>
    <cellStyle name="Input 2 3 2 10 3" xfId="25962" xr:uid="{00000000-0005-0000-0000-000065650000}"/>
    <cellStyle name="Input 2 3 2 10 4" xfId="25963" xr:uid="{00000000-0005-0000-0000-000066650000}"/>
    <cellStyle name="Input 2 3 2 10 5" xfId="25964" xr:uid="{00000000-0005-0000-0000-000067650000}"/>
    <cellStyle name="Input 2 3 2 10 6" xfId="25965" xr:uid="{00000000-0005-0000-0000-000068650000}"/>
    <cellStyle name="Input 2 3 2 11" xfId="25966" xr:uid="{00000000-0005-0000-0000-000069650000}"/>
    <cellStyle name="Input 2 3 2 12" xfId="25967" xr:uid="{00000000-0005-0000-0000-00006A650000}"/>
    <cellStyle name="Input 2 3 2 13" xfId="25968" xr:uid="{00000000-0005-0000-0000-00006B650000}"/>
    <cellStyle name="Input 2 3 2 14" xfId="25969" xr:uid="{00000000-0005-0000-0000-00006C650000}"/>
    <cellStyle name="Input 2 3 2 2" xfId="25970" xr:uid="{00000000-0005-0000-0000-00006D650000}"/>
    <cellStyle name="Input 2 3 2 2 10" xfId="25971" xr:uid="{00000000-0005-0000-0000-00006E650000}"/>
    <cellStyle name="Input 2 3 2 2 11" xfId="25972" xr:uid="{00000000-0005-0000-0000-00006F650000}"/>
    <cellStyle name="Input 2 3 2 2 12" xfId="25973" xr:uid="{00000000-0005-0000-0000-000070650000}"/>
    <cellStyle name="Input 2 3 2 2 13" xfId="25974" xr:uid="{00000000-0005-0000-0000-000071650000}"/>
    <cellStyle name="Input 2 3 2 2 2" xfId="25975" xr:uid="{00000000-0005-0000-0000-000072650000}"/>
    <cellStyle name="Input 2 3 2 2 2 2" xfId="25976" xr:uid="{00000000-0005-0000-0000-000073650000}"/>
    <cellStyle name="Input 2 3 2 2 2 2 2" xfId="25977" xr:uid="{00000000-0005-0000-0000-000074650000}"/>
    <cellStyle name="Input 2 3 2 2 2 2 2 2" xfId="25978" xr:uid="{00000000-0005-0000-0000-000075650000}"/>
    <cellStyle name="Input 2 3 2 2 2 2 2 3" xfId="25979" xr:uid="{00000000-0005-0000-0000-000076650000}"/>
    <cellStyle name="Input 2 3 2 2 2 2 2 4" xfId="25980" xr:uid="{00000000-0005-0000-0000-000077650000}"/>
    <cellStyle name="Input 2 3 2 2 2 2 2 5" xfId="25981" xr:uid="{00000000-0005-0000-0000-000078650000}"/>
    <cellStyle name="Input 2 3 2 2 2 2 2 6" xfId="25982" xr:uid="{00000000-0005-0000-0000-000079650000}"/>
    <cellStyle name="Input 2 3 2 2 2 2 3" xfId="25983" xr:uid="{00000000-0005-0000-0000-00007A650000}"/>
    <cellStyle name="Input 2 3 2 2 2 2 4" xfId="25984" xr:uid="{00000000-0005-0000-0000-00007B650000}"/>
    <cellStyle name="Input 2 3 2 2 2 2 5" xfId="25985" xr:uid="{00000000-0005-0000-0000-00007C650000}"/>
    <cellStyle name="Input 2 3 2 2 2 2 6" xfId="25986" xr:uid="{00000000-0005-0000-0000-00007D650000}"/>
    <cellStyle name="Input 2 3 2 2 2 3" xfId="25987" xr:uid="{00000000-0005-0000-0000-00007E650000}"/>
    <cellStyle name="Input 2 3 2 2 2 3 2" xfId="25988" xr:uid="{00000000-0005-0000-0000-00007F650000}"/>
    <cellStyle name="Input 2 3 2 2 2 3 2 2" xfId="25989" xr:uid="{00000000-0005-0000-0000-000080650000}"/>
    <cellStyle name="Input 2 3 2 2 2 3 2 3" xfId="25990" xr:uid="{00000000-0005-0000-0000-000081650000}"/>
    <cellStyle name="Input 2 3 2 2 2 3 2 4" xfId="25991" xr:uid="{00000000-0005-0000-0000-000082650000}"/>
    <cellStyle name="Input 2 3 2 2 2 3 2 5" xfId="25992" xr:uid="{00000000-0005-0000-0000-000083650000}"/>
    <cellStyle name="Input 2 3 2 2 2 3 2 6" xfId="25993" xr:uid="{00000000-0005-0000-0000-000084650000}"/>
    <cellStyle name="Input 2 3 2 2 2 3 3" xfId="25994" xr:uid="{00000000-0005-0000-0000-000085650000}"/>
    <cellStyle name="Input 2 3 2 2 2 3 4" xfId="25995" xr:uid="{00000000-0005-0000-0000-000086650000}"/>
    <cellStyle name="Input 2 3 2 2 2 3 5" xfId="25996" xr:uid="{00000000-0005-0000-0000-000087650000}"/>
    <cellStyle name="Input 2 3 2 2 2 3 6" xfId="25997" xr:uid="{00000000-0005-0000-0000-000088650000}"/>
    <cellStyle name="Input 2 3 2 2 2 4" xfId="25998" xr:uid="{00000000-0005-0000-0000-000089650000}"/>
    <cellStyle name="Input 2 3 2 2 2 4 2" xfId="25999" xr:uid="{00000000-0005-0000-0000-00008A650000}"/>
    <cellStyle name="Input 2 3 2 2 2 4 3" xfId="26000" xr:uid="{00000000-0005-0000-0000-00008B650000}"/>
    <cellStyle name="Input 2 3 2 2 2 4 4" xfId="26001" xr:uid="{00000000-0005-0000-0000-00008C650000}"/>
    <cellStyle name="Input 2 3 2 2 2 4 5" xfId="26002" xr:uid="{00000000-0005-0000-0000-00008D650000}"/>
    <cellStyle name="Input 2 3 2 2 2 4 6" xfId="26003" xr:uid="{00000000-0005-0000-0000-00008E650000}"/>
    <cellStyle name="Input 2 3 2 2 2 5" xfId="26004" xr:uid="{00000000-0005-0000-0000-00008F650000}"/>
    <cellStyle name="Input 2 3 2 2 2 6" xfId="26005" xr:uid="{00000000-0005-0000-0000-000090650000}"/>
    <cellStyle name="Input 2 3 2 2 2 7" xfId="26006" xr:uid="{00000000-0005-0000-0000-000091650000}"/>
    <cellStyle name="Input 2 3 2 2 2 8" xfId="26007" xr:uid="{00000000-0005-0000-0000-000092650000}"/>
    <cellStyle name="Input 2 3 2 2 3" xfId="26008" xr:uid="{00000000-0005-0000-0000-000093650000}"/>
    <cellStyle name="Input 2 3 2 2 3 2" xfId="26009" xr:uid="{00000000-0005-0000-0000-000094650000}"/>
    <cellStyle name="Input 2 3 2 2 3 2 2" xfId="26010" xr:uid="{00000000-0005-0000-0000-000095650000}"/>
    <cellStyle name="Input 2 3 2 2 3 2 2 2" xfId="26011" xr:uid="{00000000-0005-0000-0000-000096650000}"/>
    <cellStyle name="Input 2 3 2 2 3 2 2 3" xfId="26012" xr:uid="{00000000-0005-0000-0000-000097650000}"/>
    <cellStyle name="Input 2 3 2 2 3 2 2 4" xfId="26013" xr:uid="{00000000-0005-0000-0000-000098650000}"/>
    <cellStyle name="Input 2 3 2 2 3 2 2 5" xfId="26014" xr:uid="{00000000-0005-0000-0000-000099650000}"/>
    <cellStyle name="Input 2 3 2 2 3 2 2 6" xfId="26015" xr:uid="{00000000-0005-0000-0000-00009A650000}"/>
    <cellStyle name="Input 2 3 2 2 3 2 3" xfId="26016" xr:uid="{00000000-0005-0000-0000-00009B650000}"/>
    <cellStyle name="Input 2 3 2 2 3 2 4" xfId="26017" xr:uid="{00000000-0005-0000-0000-00009C650000}"/>
    <cellStyle name="Input 2 3 2 2 3 2 5" xfId="26018" xr:uid="{00000000-0005-0000-0000-00009D650000}"/>
    <cellStyle name="Input 2 3 2 2 3 2 6" xfId="26019" xr:uid="{00000000-0005-0000-0000-00009E650000}"/>
    <cellStyle name="Input 2 3 2 2 3 3" xfId="26020" xr:uid="{00000000-0005-0000-0000-00009F650000}"/>
    <cellStyle name="Input 2 3 2 2 3 3 2" xfId="26021" xr:uid="{00000000-0005-0000-0000-0000A0650000}"/>
    <cellStyle name="Input 2 3 2 2 3 3 2 2" xfId="26022" xr:uid="{00000000-0005-0000-0000-0000A1650000}"/>
    <cellStyle name="Input 2 3 2 2 3 3 2 3" xfId="26023" xr:uid="{00000000-0005-0000-0000-0000A2650000}"/>
    <cellStyle name="Input 2 3 2 2 3 3 2 4" xfId="26024" xr:uid="{00000000-0005-0000-0000-0000A3650000}"/>
    <cellStyle name="Input 2 3 2 2 3 3 2 5" xfId="26025" xr:uid="{00000000-0005-0000-0000-0000A4650000}"/>
    <cellStyle name="Input 2 3 2 2 3 3 2 6" xfId="26026" xr:uid="{00000000-0005-0000-0000-0000A5650000}"/>
    <cellStyle name="Input 2 3 2 2 3 3 3" xfId="26027" xr:uid="{00000000-0005-0000-0000-0000A6650000}"/>
    <cellStyle name="Input 2 3 2 2 3 3 4" xfId="26028" xr:uid="{00000000-0005-0000-0000-0000A7650000}"/>
    <cellStyle name="Input 2 3 2 2 3 3 5" xfId="26029" xr:uid="{00000000-0005-0000-0000-0000A8650000}"/>
    <cellStyle name="Input 2 3 2 2 3 3 6" xfId="26030" xr:uid="{00000000-0005-0000-0000-0000A9650000}"/>
    <cellStyle name="Input 2 3 2 2 3 4" xfId="26031" xr:uid="{00000000-0005-0000-0000-0000AA650000}"/>
    <cellStyle name="Input 2 3 2 2 3 4 2" xfId="26032" xr:uid="{00000000-0005-0000-0000-0000AB650000}"/>
    <cellStyle name="Input 2 3 2 2 3 4 3" xfId="26033" xr:uid="{00000000-0005-0000-0000-0000AC650000}"/>
    <cellStyle name="Input 2 3 2 2 3 4 4" xfId="26034" xr:uid="{00000000-0005-0000-0000-0000AD650000}"/>
    <cellStyle name="Input 2 3 2 2 3 4 5" xfId="26035" xr:uid="{00000000-0005-0000-0000-0000AE650000}"/>
    <cellStyle name="Input 2 3 2 2 3 4 6" xfId="26036" xr:uid="{00000000-0005-0000-0000-0000AF650000}"/>
    <cellStyle name="Input 2 3 2 2 3 5" xfId="26037" xr:uid="{00000000-0005-0000-0000-0000B0650000}"/>
    <cellStyle name="Input 2 3 2 2 3 6" xfId="26038" xr:uid="{00000000-0005-0000-0000-0000B1650000}"/>
    <cellStyle name="Input 2 3 2 2 3 7" xfId="26039" xr:uid="{00000000-0005-0000-0000-0000B2650000}"/>
    <cellStyle name="Input 2 3 2 2 3 8" xfId="26040" xr:uid="{00000000-0005-0000-0000-0000B3650000}"/>
    <cellStyle name="Input 2 3 2 2 4" xfId="26041" xr:uid="{00000000-0005-0000-0000-0000B4650000}"/>
    <cellStyle name="Input 2 3 2 2 4 2" xfId="26042" xr:uid="{00000000-0005-0000-0000-0000B5650000}"/>
    <cellStyle name="Input 2 3 2 2 4 2 2" xfId="26043" xr:uid="{00000000-0005-0000-0000-0000B6650000}"/>
    <cellStyle name="Input 2 3 2 2 4 2 2 2" xfId="26044" xr:uid="{00000000-0005-0000-0000-0000B7650000}"/>
    <cellStyle name="Input 2 3 2 2 4 2 2 3" xfId="26045" xr:uid="{00000000-0005-0000-0000-0000B8650000}"/>
    <cellStyle name="Input 2 3 2 2 4 2 2 4" xfId="26046" xr:uid="{00000000-0005-0000-0000-0000B9650000}"/>
    <cellStyle name="Input 2 3 2 2 4 2 2 5" xfId="26047" xr:uid="{00000000-0005-0000-0000-0000BA650000}"/>
    <cellStyle name="Input 2 3 2 2 4 2 2 6" xfId="26048" xr:uid="{00000000-0005-0000-0000-0000BB650000}"/>
    <cellStyle name="Input 2 3 2 2 4 2 3" xfId="26049" xr:uid="{00000000-0005-0000-0000-0000BC650000}"/>
    <cellStyle name="Input 2 3 2 2 4 2 4" xfId="26050" xr:uid="{00000000-0005-0000-0000-0000BD650000}"/>
    <cellStyle name="Input 2 3 2 2 4 2 5" xfId="26051" xr:uid="{00000000-0005-0000-0000-0000BE650000}"/>
    <cellStyle name="Input 2 3 2 2 4 2 6" xfId="26052" xr:uid="{00000000-0005-0000-0000-0000BF650000}"/>
    <cellStyle name="Input 2 3 2 2 4 3" xfId="26053" xr:uid="{00000000-0005-0000-0000-0000C0650000}"/>
    <cellStyle name="Input 2 3 2 2 4 3 2" xfId="26054" xr:uid="{00000000-0005-0000-0000-0000C1650000}"/>
    <cellStyle name="Input 2 3 2 2 4 3 2 2" xfId="26055" xr:uid="{00000000-0005-0000-0000-0000C2650000}"/>
    <cellStyle name="Input 2 3 2 2 4 3 2 3" xfId="26056" xr:uid="{00000000-0005-0000-0000-0000C3650000}"/>
    <cellStyle name="Input 2 3 2 2 4 3 2 4" xfId="26057" xr:uid="{00000000-0005-0000-0000-0000C4650000}"/>
    <cellStyle name="Input 2 3 2 2 4 3 2 5" xfId="26058" xr:uid="{00000000-0005-0000-0000-0000C5650000}"/>
    <cellStyle name="Input 2 3 2 2 4 3 2 6" xfId="26059" xr:uid="{00000000-0005-0000-0000-0000C6650000}"/>
    <cellStyle name="Input 2 3 2 2 4 3 3" xfId="26060" xr:uid="{00000000-0005-0000-0000-0000C7650000}"/>
    <cellStyle name="Input 2 3 2 2 4 3 4" xfId="26061" xr:uid="{00000000-0005-0000-0000-0000C8650000}"/>
    <cellStyle name="Input 2 3 2 2 4 3 5" xfId="26062" xr:uid="{00000000-0005-0000-0000-0000C9650000}"/>
    <cellStyle name="Input 2 3 2 2 4 3 6" xfId="26063" xr:uid="{00000000-0005-0000-0000-0000CA650000}"/>
    <cellStyle name="Input 2 3 2 2 4 4" xfId="26064" xr:uid="{00000000-0005-0000-0000-0000CB650000}"/>
    <cellStyle name="Input 2 3 2 2 4 4 2" xfId="26065" xr:uid="{00000000-0005-0000-0000-0000CC650000}"/>
    <cellStyle name="Input 2 3 2 2 4 4 3" xfId="26066" xr:uid="{00000000-0005-0000-0000-0000CD650000}"/>
    <cellStyle name="Input 2 3 2 2 4 4 4" xfId="26067" xr:uid="{00000000-0005-0000-0000-0000CE650000}"/>
    <cellStyle name="Input 2 3 2 2 4 4 5" xfId="26068" xr:uid="{00000000-0005-0000-0000-0000CF650000}"/>
    <cellStyle name="Input 2 3 2 2 4 4 6" xfId="26069" xr:uid="{00000000-0005-0000-0000-0000D0650000}"/>
    <cellStyle name="Input 2 3 2 2 4 5" xfId="26070" xr:uid="{00000000-0005-0000-0000-0000D1650000}"/>
    <cellStyle name="Input 2 3 2 2 4 6" xfId="26071" xr:uid="{00000000-0005-0000-0000-0000D2650000}"/>
    <cellStyle name="Input 2 3 2 2 4 7" xfId="26072" xr:uid="{00000000-0005-0000-0000-0000D3650000}"/>
    <cellStyle name="Input 2 3 2 2 4 8" xfId="26073" xr:uid="{00000000-0005-0000-0000-0000D4650000}"/>
    <cellStyle name="Input 2 3 2 2 5" xfId="26074" xr:uid="{00000000-0005-0000-0000-0000D5650000}"/>
    <cellStyle name="Input 2 3 2 2 5 2" xfId="26075" xr:uid="{00000000-0005-0000-0000-0000D6650000}"/>
    <cellStyle name="Input 2 3 2 2 5 2 2" xfId="26076" xr:uid="{00000000-0005-0000-0000-0000D7650000}"/>
    <cellStyle name="Input 2 3 2 2 5 2 2 2" xfId="26077" xr:uid="{00000000-0005-0000-0000-0000D8650000}"/>
    <cellStyle name="Input 2 3 2 2 5 2 2 3" xfId="26078" xr:uid="{00000000-0005-0000-0000-0000D9650000}"/>
    <cellStyle name="Input 2 3 2 2 5 2 2 4" xfId="26079" xr:uid="{00000000-0005-0000-0000-0000DA650000}"/>
    <cellStyle name="Input 2 3 2 2 5 2 2 5" xfId="26080" xr:uid="{00000000-0005-0000-0000-0000DB650000}"/>
    <cellStyle name="Input 2 3 2 2 5 2 2 6" xfId="26081" xr:uid="{00000000-0005-0000-0000-0000DC650000}"/>
    <cellStyle name="Input 2 3 2 2 5 2 3" xfId="26082" xr:uid="{00000000-0005-0000-0000-0000DD650000}"/>
    <cellStyle name="Input 2 3 2 2 5 2 4" xfId="26083" xr:uid="{00000000-0005-0000-0000-0000DE650000}"/>
    <cellStyle name="Input 2 3 2 2 5 2 5" xfId="26084" xr:uid="{00000000-0005-0000-0000-0000DF650000}"/>
    <cellStyle name="Input 2 3 2 2 5 2 6" xfId="26085" xr:uid="{00000000-0005-0000-0000-0000E0650000}"/>
    <cellStyle name="Input 2 3 2 2 5 3" xfId="26086" xr:uid="{00000000-0005-0000-0000-0000E1650000}"/>
    <cellStyle name="Input 2 3 2 2 5 3 2" xfId="26087" xr:uid="{00000000-0005-0000-0000-0000E2650000}"/>
    <cellStyle name="Input 2 3 2 2 5 3 2 2" xfId="26088" xr:uid="{00000000-0005-0000-0000-0000E3650000}"/>
    <cellStyle name="Input 2 3 2 2 5 3 2 3" xfId="26089" xr:uid="{00000000-0005-0000-0000-0000E4650000}"/>
    <cellStyle name="Input 2 3 2 2 5 3 2 4" xfId="26090" xr:uid="{00000000-0005-0000-0000-0000E5650000}"/>
    <cellStyle name="Input 2 3 2 2 5 3 2 5" xfId="26091" xr:uid="{00000000-0005-0000-0000-0000E6650000}"/>
    <cellStyle name="Input 2 3 2 2 5 3 2 6" xfId="26092" xr:uid="{00000000-0005-0000-0000-0000E7650000}"/>
    <cellStyle name="Input 2 3 2 2 5 3 3" xfId="26093" xr:uid="{00000000-0005-0000-0000-0000E8650000}"/>
    <cellStyle name="Input 2 3 2 2 5 3 4" xfId="26094" xr:uid="{00000000-0005-0000-0000-0000E9650000}"/>
    <cellStyle name="Input 2 3 2 2 5 3 5" xfId="26095" xr:uid="{00000000-0005-0000-0000-0000EA650000}"/>
    <cellStyle name="Input 2 3 2 2 5 3 6" xfId="26096" xr:uid="{00000000-0005-0000-0000-0000EB650000}"/>
    <cellStyle name="Input 2 3 2 2 5 4" xfId="26097" xr:uid="{00000000-0005-0000-0000-0000EC650000}"/>
    <cellStyle name="Input 2 3 2 2 5 4 2" xfId="26098" xr:uid="{00000000-0005-0000-0000-0000ED650000}"/>
    <cellStyle name="Input 2 3 2 2 5 4 3" xfId="26099" xr:uid="{00000000-0005-0000-0000-0000EE650000}"/>
    <cellStyle name="Input 2 3 2 2 5 4 4" xfId="26100" xr:uid="{00000000-0005-0000-0000-0000EF650000}"/>
    <cellStyle name="Input 2 3 2 2 5 4 5" xfId="26101" xr:uid="{00000000-0005-0000-0000-0000F0650000}"/>
    <cellStyle name="Input 2 3 2 2 5 4 6" xfId="26102" xr:uid="{00000000-0005-0000-0000-0000F1650000}"/>
    <cellStyle name="Input 2 3 2 2 5 5" xfId="26103" xr:uid="{00000000-0005-0000-0000-0000F2650000}"/>
    <cellStyle name="Input 2 3 2 2 5 6" xfId="26104" xr:uid="{00000000-0005-0000-0000-0000F3650000}"/>
    <cellStyle name="Input 2 3 2 2 5 7" xfId="26105" xr:uid="{00000000-0005-0000-0000-0000F4650000}"/>
    <cellStyle name="Input 2 3 2 2 5 8" xfId="26106" xr:uid="{00000000-0005-0000-0000-0000F5650000}"/>
    <cellStyle name="Input 2 3 2 2 6" xfId="26107" xr:uid="{00000000-0005-0000-0000-0000F6650000}"/>
    <cellStyle name="Input 2 3 2 2 6 2" xfId="26108" xr:uid="{00000000-0005-0000-0000-0000F7650000}"/>
    <cellStyle name="Input 2 3 2 2 6 2 2" xfId="26109" xr:uid="{00000000-0005-0000-0000-0000F8650000}"/>
    <cellStyle name="Input 2 3 2 2 6 2 2 2" xfId="26110" xr:uid="{00000000-0005-0000-0000-0000F9650000}"/>
    <cellStyle name="Input 2 3 2 2 6 2 2 3" xfId="26111" xr:uid="{00000000-0005-0000-0000-0000FA650000}"/>
    <cellStyle name="Input 2 3 2 2 6 2 2 4" xfId="26112" xr:uid="{00000000-0005-0000-0000-0000FB650000}"/>
    <cellStyle name="Input 2 3 2 2 6 2 2 5" xfId="26113" xr:uid="{00000000-0005-0000-0000-0000FC650000}"/>
    <cellStyle name="Input 2 3 2 2 6 2 2 6" xfId="26114" xr:uid="{00000000-0005-0000-0000-0000FD650000}"/>
    <cellStyle name="Input 2 3 2 2 6 2 3" xfId="26115" xr:uid="{00000000-0005-0000-0000-0000FE650000}"/>
    <cellStyle name="Input 2 3 2 2 6 2 4" xfId="26116" xr:uid="{00000000-0005-0000-0000-0000FF650000}"/>
    <cellStyle name="Input 2 3 2 2 6 2 5" xfId="26117" xr:uid="{00000000-0005-0000-0000-000000660000}"/>
    <cellStyle name="Input 2 3 2 2 6 2 6" xfId="26118" xr:uid="{00000000-0005-0000-0000-000001660000}"/>
    <cellStyle name="Input 2 3 2 2 6 3" xfId="26119" xr:uid="{00000000-0005-0000-0000-000002660000}"/>
    <cellStyle name="Input 2 3 2 2 6 3 2" xfId="26120" xr:uid="{00000000-0005-0000-0000-000003660000}"/>
    <cellStyle name="Input 2 3 2 2 6 3 2 2" xfId="26121" xr:uid="{00000000-0005-0000-0000-000004660000}"/>
    <cellStyle name="Input 2 3 2 2 6 3 2 3" xfId="26122" xr:uid="{00000000-0005-0000-0000-000005660000}"/>
    <cellStyle name="Input 2 3 2 2 6 3 2 4" xfId="26123" xr:uid="{00000000-0005-0000-0000-000006660000}"/>
    <cellStyle name="Input 2 3 2 2 6 3 2 5" xfId="26124" xr:uid="{00000000-0005-0000-0000-000007660000}"/>
    <cellStyle name="Input 2 3 2 2 6 3 2 6" xfId="26125" xr:uid="{00000000-0005-0000-0000-000008660000}"/>
    <cellStyle name="Input 2 3 2 2 6 3 3" xfId="26126" xr:uid="{00000000-0005-0000-0000-000009660000}"/>
    <cellStyle name="Input 2 3 2 2 6 3 4" xfId="26127" xr:uid="{00000000-0005-0000-0000-00000A660000}"/>
    <cellStyle name="Input 2 3 2 2 6 3 5" xfId="26128" xr:uid="{00000000-0005-0000-0000-00000B660000}"/>
    <cellStyle name="Input 2 3 2 2 6 3 6" xfId="26129" xr:uid="{00000000-0005-0000-0000-00000C660000}"/>
    <cellStyle name="Input 2 3 2 2 6 4" xfId="26130" xr:uid="{00000000-0005-0000-0000-00000D660000}"/>
    <cellStyle name="Input 2 3 2 2 6 4 2" xfId="26131" xr:uid="{00000000-0005-0000-0000-00000E660000}"/>
    <cellStyle name="Input 2 3 2 2 6 4 3" xfId="26132" xr:uid="{00000000-0005-0000-0000-00000F660000}"/>
    <cellStyle name="Input 2 3 2 2 6 4 4" xfId="26133" xr:uid="{00000000-0005-0000-0000-000010660000}"/>
    <cellStyle name="Input 2 3 2 2 6 4 5" xfId="26134" xr:uid="{00000000-0005-0000-0000-000011660000}"/>
    <cellStyle name="Input 2 3 2 2 6 4 6" xfId="26135" xr:uid="{00000000-0005-0000-0000-000012660000}"/>
    <cellStyle name="Input 2 3 2 2 6 5" xfId="26136" xr:uid="{00000000-0005-0000-0000-000013660000}"/>
    <cellStyle name="Input 2 3 2 2 6 6" xfId="26137" xr:uid="{00000000-0005-0000-0000-000014660000}"/>
    <cellStyle name="Input 2 3 2 2 6 7" xfId="26138" xr:uid="{00000000-0005-0000-0000-000015660000}"/>
    <cellStyle name="Input 2 3 2 2 6 8" xfId="26139" xr:uid="{00000000-0005-0000-0000-000016660000}"/>
    <cellStyle name="Input 2 3 2 2 7" xfId="26140" xr:uid="{00000000-0005-0000-0000-000017660000}"/>
    <cellStyle name="Input 2 3 2 2 7 2" xfId="26141" xr:uid="{00000000-0005-0000-0000-000018660000}"/>
    <cellStyle name="Input 2 3 2 2 7 2 2" xfId="26142" xr:uid="{00000000-0005-0000-0000-000019660000}"/>
    <cellStyle name="Input 2 3 2 2 7 2 3" xfId="26143" xr:uid="{00000000-0005-0000-0000-00001A660000}"/>
    <cellStyle name="Input 2 3 2 2 7 2 4" xfId="26144" xr:uid="{00000000-0005-0000-0000-00001B660000}"/>
    <cellStyle name="Input 2 3 2 2 7 2 5" xfId="26145" xr:uid="{00000000-0005-0000-0000-00001C660000}"/>
    <cellStyle name="Input 2 3 2 2 7 2 6" xfId="26146" xr:uid="{00000000-0005-0000-0000-00001D660000}"/>
    <cellStyle name="Input 2 3 2 2 7 3" xfId="26147" xr:uid="{00000000-0005-0000-0000-00001E660000}"/>
    <cellStyle name="Input 2 3 2 2 7 4" xfId="26148" xr:uid="{00000000-0005-0000-0000-00001F660000}"/>
    <cellStyle name="Input 2 3 2 2 7 5" xfId="26149" xr:uid="{00000000-0005-0000-0000-000020660000}"/>
    <cellStyle name="Input 2 3 2 2 7 6" xfId="26150" xr:uid="{00000000-0005-0000-0000-000021660000}"/>
    <cellStyle name="Input 2 3 2 2 8" xfId="26151" xr:uid="{00000000-0005-0000-0000-000022660000}"/>
    <cellStyle name="Input 2 3 2 2 8 2" xfId="26152" xr:uid="{00000000-0005-0000-0000-000023660000}"/>
    <cellStyle name="Input 2 3 2 2 8 2 2" xfId="26153" xr:uid="{00000000-0005-0000-0000-000024660000}"/>
    <cellStyle name="Input 2 3 2 2 8 2 3" xfId="26154" xr:uid="{00000000-0005-0000-0000-000025660000}"/>
    <cellStyle name="Input 2 3 2 2 8 2 4" xfId="26155" xr:uid="{00000000-0005-0000-0000-000026660000}"/>
    <cellStyle name="Input 2 3 2 2 8 2 5" xfId="26156" xr:uid="{00000000-0005-0000-0000-000027660000}"/>
    <cellStyle name="Input 2 3 2 2 8 2 6" xfId="26157" xr:uid="{00000000-0005-0000-0000-000028660000}"/>
    <cellStyle name="Input 2 3 2 2 8 3" xfId="26158" xr:uid="{00000000-0005-0000-0000-000029660000}"/>
    <cellStyle name="Input 2 3 2 2 8 4" xfId="26159" xr:uid="{00000000-0005-0000-0000-00002A660000}"/>
    <cellStyle name="Input 2 3 2 2 8 5" xfId="26160" xr:uid="{00000000-0005-0000-0000-00002B660000}"/>
    <cellStyle name="Input 2 3 2 2 8 6" xfId="26161" xr:uid="{00000000-0005-0000-0000-00002C660000}"/>
    <cellStyle name="Input 2 3 2 2 9" xfId="26162" xr:uid="{00000000-0005-0000-0000-00002D660000}"/>
    <cellStyle name="Input 2 3 2 2 9 2" xfId="26163" xr:uid="{00000000-0005-0000-0000-00002E660000}"/>
    <cellStyle name="Input 2 3 2 2 9 3" xfId="26164" xr:uid="{00000000-0005-0000-0000-00002F660000}"/>
    <cellStyle name="Input 2 3 2 2 9 4" xfId="26165" xr:uid="{00000000-0005-0000-0000-000030660000}"/>
    <cellStyle name="Input 2 3 2 2 9 5" xfId="26166" xr:uid="{00000000-0005-0000-0000-000031660000}"/>
    <cellStyle name="Input 2 3 2 2 9 6" xfId="26167" xr:uid="{00000000-0005-0000-0000-000032660000}"/>
    <cellStyle name="Input 2 3 2 3" xfId="26168" xr:uid="{00000000-0005-0000-0000-000033660000}"/>
    <cellStyle name="Input 2 3 2 3 2" xfId="26169" xr:uid="{00000000-0005-0000-0000-000034660000}"/>
    <cellStyle name="Input 2 3 2 3 2 2" xfId="26170" xr:uid="{00000000-0005-0000-0000-000035660000}"/>
    <cellStyle name="Input 2 3 2 3 2 2 2" xfId="26171" xr:uid="{00000000-0005-0000-0000-000036660000}"/>
    <cellStyle name="Input 2 3 2 3 2 2 3" xfId="26172" xr:uid="{00000000-0005-0000-0000-000037660000}"/>
    <cellStyle name="Input 2 3 2 3 2 2 4" xfId="26173" xr:uid="{00000000-0005-0000-0000-000038660000}"/>
    <cellStyle name="Input 2 3 2 3 2 2 5" xfId="26174" xr:uid="{00000000-0005-0000-0000-000039660000}"/>
    <cellStyle name="Input 2 3 2 3 2 2 6" xfId="26175" xr:uid="{00000000-0005-0000-0000-00003A660000}"/>
    <cellStyle name="Input 2 3 2 3 2 3" xfId="26176" xr:uid="{00000000-0005-0000-0000-00003B660000}"/>
    <cellStyle name="Input 2 3 2 3 2 4" xfId="26177" xr:uid="{00000000-0005-0000-0000-00003C660000}"/>
    <cellStyle name="Input 2 3 2 3 2 5" xfId="26178" xr:uid="{00000000-0005-0000-0000-00003D660000}"/>
    <cellStyle name="Input 2 3 2 3 2 6" xfId="26179" xr:uid="{00000000-0005-0000-0000-00003E660000}"/>
    <cellStyle name="Input 2 3 2 3 3" xfId="26180" xr:uid="{00000000-0005-0000-0000-00003F660000}"/>
    <cellStyle name="Input 2 3 2 3 3 2" xfId="26181" xr:uid="{00000000-0005-0000-0000-000040660000}"/>
    <cellStyle name="Input 2 3 2 3 3 2 2" xfId="26182" xr:uid="{00000000-0005-0000-0000-000041660000}"/>
    <cellStyle name="Input 2 3 2 3 3 2 3" xfId="26183" xr:uid="{00000000-0005-0000-0000-000042660000}"/>
    <cellStyle name="Input 2 3 2 3 3 2 4" xfId="26184" xr:uid="{00000000-0005-0000-0000-000043660000}"/>
    <cellStyle name="Input 2 3 2 3 3 2 5" xfId="26185" xr:uid="{00000000-0005-0000-0000-000044660000}"/>
    <cellStyle name="Input 2 3 2 3 3 2 6" xfId="26186" xr:uid="{00000000-0005-0000-0000-000045660000}"/>
    <cellStyle name="Input 2 3 2 3 3 3" xfId="26187" xr:uid="{00000000-0005-0000-0000-000046660000}"/>
    <cellStyle name="Input 2 3 2 3 3 4" xfId="26188" xr:uid="{00000000-0005-0000-0000-000047660000}"/>
    <cellStyle name="Input 2 3 2 3 3 5" xfId="26189" xr:uid="{00000000-0005-0000-0000-000048660000}"/>
    <cellStyle name="Input 2 3 2 3 3 6" xfId="26190" xr:uid="{00000000-0005-0000-0000-000049660000}"/>
    <cellStyle name="Input 2 3 2 3 4" xfId="26191" xr:uid="{00000000-0005-0000-0000-00004A660000}"/>
    <cellStyle name="Input 2 3 2 3 4 2" xfId="26192" xr:uid="{00000000-0005-0000-0000-00004B660000}"/>
    <cellStyle name="Input 2 3 2 3 4 3" xfId="26193" xr:uid="{00000000-0005-0000-0000-00004C660000}"/>
    <cellStyle name="Input 2 3 2 3 4 4" xfId="26194" xr:uid="{00000000-0005-0000-0000-00004D660000}"/>
    <cellStyle name="Input 2 3 2 3 4 5" xfId="26195" xr:uid="{00000000-0005-0000-0000-00004E660000}"/>
    <cellStyle name="Input 2 3 2 3 4 6" xfId="26196" xr:uid="{00000000-0005-0000-0000-00004F660000}"/>
    <cellStyle name="Input 2 3 2 3 5" xfId="26197" xr:uid="{00000000-0005-0000-0000-000050660000}"/>
    <cellStyle name="Input 2 3 2 3 6" xfId="26198" xr:uid="{00000000-0005-0000-0000-000051660000}"/>
    <cellStyle name="Input 2 3 2 3 7" xfId="26199" xr:uid="{00000000-0005-0000-0000-000052660000}"/>
    <cellStyle name="Input 2 3 2 3 8" xfId="26200" xr:uid="{00000000-0005-0000-0000-000053660000}"/>
    <cellStyle name="Input 2 3 2 4" xfId="26201" xr:uid="{00000000-0005-0000-0000-000054660000}"/>
    <cellStyle name="Input 2 3 2 4 2" xfId="26202" xr:uid="{00000000-0005-0000-0000-000055660000}"/>
    <cellStyle name="Input 2 3 2 4 2 2" xfId="26203" xr:uid="{00000000-0005-0000-0000-000056660000}"/>
    <cellStyle name="Input 2 3 2 4 2 2 2" xfId="26204" xr:uid="{00000000-0005-0000-0000-000057660000}"/>
    <cellStyle name="Input 2 3 2 4 2 2 3" xfId="26205" xr:uid="{00000000-0005-0000-0000-000058660000}"/>
    <cellStyle name="Input 2 3 2 4 2 2 4" xfId="26206" xr:uid="{00000000-0005-0000-0000-000059660000}"/>
    <cellStyle name="Input 2 3 2 4 2 2 5" xfId="26207" xr:uid="{00000000-0005-0000-0000-00005A660000}"/>
    <cellStyle name="Input 2 3 2 4 2 2 6" xfId="26208" xr:uid="{00000000-0005-0000-0000-00005B660000}"/>
    <cellStyle name="Input 2 3 2 4 2 3" xfId="26209" xr:uid="{00000000-0005-0000-0000-00005C660000}"/>
    <cellStyle name="Input 2 3 2 4 2 4" xfId="26210" xr:uid="{00000000-0005-0000-0000-00005D660000}"/>
    <cellStyle name="Input 2 3 2 4 2 5" xfId="26211" xr:uid="{00000000-0005-0000-0000-00005E660000}"/>
    <cellStyle name="Input 2 3 2 4 2 6" xfId="26212" xr:uid="{00000000-0005-0000-0000-00005F660000}"/>
    <cellStyle name="Input 2 3 2 4 3" xfId="26213" xr:uid="{00000000-0005-0000-0000-000060660000}"/>
    <cellStyle name="Input 2 3 2 4 3 2" xfId="26214" xr:uid="{00000000-0005-0000-0000-000061660000}"/>
    <cellStyle name="Input 2 3 2 4 3 2 2" xfId="26215" xr:uid="{00000000-0005-0000-0000-000062660000}"/>
    <cellStyle name="Input 2 3 2 4 3 2 3" xfId="26216" xr:uid="{00000000-0005-0000-0000-000063660000}"/>
    <cellStyle name="Input 2 3 2 4 3 2 4" xfId="26217" xr:uid="{00000000-0005-0000-0000-000064660000}"/>
    <cellStyle name="Input 2 3 2 4 3 2 5" xfId="26218" xr:uid="{00000000-0005-0000-0000-000065660000}"/>
    <cellStyle name="Input 2 3 2 4 3 2 6" xfId="26219" xr:uid="{00000000-0005-0000-0000-000066660000}"/>
    <cellStyle name="Input 2 3 2 4 3 3" xfId="26220" xr:uid="{00000000-0005-0000-0000-000067660000}"/>
    <cellStyle name="Input 2 3 2 4 3 4" xfId="26221" xr:uid="{00000000-0005-0000-0000-000068660000}"/>
    <cellStyle name="Input 2 3 2 4 3 5" xfId="26222" xr:uid="{00000000-0005-0000-0000-000069660000}"/>
    <cellStyle name="Input 2 3 2 4 3 6" xfId="26223" xr:uid="{00000000-0005-0000-0000-00006A660000}"/>
    <cellStyle name="Input 2 3 2 4 4" xfId="26224" xr:uid="{00000000-0005-0000-0000-00006B660000}"/>
    <cellStyle name="Input 2 3 2 4 4 2" xfId="26225" xr:uid="{00000000-0005-0000-0000-00006C660000}"/>
    <cellStyle name="Input 2 3 2 4 4 3" xfId="26226" xr:uid="{00000000-0005-0000-0000-00006D660000}"/>
    <cellStyle name="Input 2 3 2 4 4 4" xfId="26227" xr:uid="{00000000-0005-0000-0000-00006E660000}"/>
    <cellStyle name="Input 2 3 2 4 4 5" xfId="26228" xr:uid="{00000000-0005-0000-0000-00006F660000}"/>
    <cellStyle name="Input 2 3 2 4 4 6" xfId="26229" xr:uid="{00000000-0005-0000-0000-000070660000}"/>
    <cellStyle name="Input 2 3 2 4 5" xfId="26230" xr:uid="{00000000-0005-0000-0000-000071660000}"/>
    <cellStyle name="Input 2 3 2 4 6" xfId="26231" xr:uid="{00000000-0005-0000-0000-000072660000}"/>
    <cellStyle name="Input 2 3 2 4 7" xfId="26232" xr:uid="{00000000-0005-0000-0000-000073660000}"/>
    <cellStyle name="Input 2 3 2 4 8" xfId="26233" xr:uid="{00000000-0005-0000-0000-000074660000}"/>
    <cellStyle name="Input 2 3 2 5" xfId="26234" xr:uid="{00000000-0005-0000-0000-000075660000}"/>
    <cellStyle name="Input 2 3 2 5 2" xfId="26235" xr:uid="{00000000-0005-0000-0000-000076660000}"/>
    <cellStyle name="Input 2 3 2 5 2 2" xfId="26236" xr:uid="{00000000-0005-0000-0000-000077660000}"/>
    <cellStyle name="Input 2 3 2 5 2 2 2" xfId="26237" xr:uid="{00000000-0005-0000-0000-000078660000}"/>
    <cellStyle name="Input 2 3 2 5 2 2 3" xfId="26238" xr:uid="{00000000-0005-0000-0000-000079660000}"/>
    <cellStyle name="Input 2 3 2 5 2 2 4" xfId="26239" xr:uid="{00000000-0005-0000-0000-00007A660000}"/>
    <cellStyle name="Input 2 3 2 5 2 2 5" xfId="26240" xr:uid="{00000000-0005-0000-0000-00007B660000}"/>
    <cellStyle name="Input 2 3 2 5 2 2 6" xfId="26241" xr:uid="{00000000-0005-0000-0000-00007C660000}"/>
    <cellStyle name="Input 2 3 2 5 2 3" xfId="26242" xr:uid="{00000000-0005-0000-0000-00007D660000}"/>
    <cellStyle name="Input 2 3 2 5 2 4" xfId="26243" xr:uid="{00000000-0005-0000-0000-00007E660000}"/>
    <cellStyle name="Input 2 3 2 5 2 5" xfId="26244" xr:uid="{00000000-0005-0000-0000-00007F660000}"/>
    <cellStyle name="Input 2 3 2 5 2 6" xfId="26245" xr:uid="{00000000-0005-0000-0000-000080660000}"/>
    <cellStyle name="Input 2 3 2 5 3" xfId="26246" xr:uid="{00000000-0005-0000-0000-000081660000}"/>
    <cellStyle name="Input 2 3 2 5 3 2" xfId="26247" xr:uid="{00000000-0005-0000-0000-000082660000}"/>
    <cellStyle name="Input 2 3 2 5 3 2 2" xfId="26248" xr:uid="{00000000-0005-0000-0000-000083660000}"/>
    <cellStyle name="Input 2 3 2 5 3 2 3" xfId="26249" xr:uid="{00000000-0005-0000-0000-000084660000}"/>
    <cellStyle name="Input 2 3 2 5 3 2 4" xfId="26250" xr:uid="{00000000-0005-0000-0000-000085660000}"/>
    <cellStyle name="Input 2 3 2 5 3 2 5" xfId="26251" xr:uid="{00000000-0005-0000-0000-000086660000}"/>
    <cellStyle name="Input 2 3 2 5 3 2 6" xfId="26252" xr:uid="{00000000-0005-0000-0000-000087660000}"/>
    <cellStyle name="Input 2 3 2 5 3 3" xfId="26253" xr:uid="{00000000-0005-0000-0000-000088660000}"/>
    <cellStyle name="Input 2 3 2 5 3 4" xfId="26254" xr:uid="{00000000-0005-0000-0000-000089660000}"/>
    <cellStyle name="Input 2 3 2 5 3 5" xfId="26255" xr:uid="{00000000-0005-0000-0000-00008A660000}"/>
    <cellStyle name="Input 2 3 2 5 3 6" xfId="26256" xr:uid="{00000000-0005-0000-0000-00008B660000}"/>
    <cellStyle name="Input 2 3 2 5 4" xfId="26257" xr:uid="{00000000-0005-0000-0000-00008C660000}"/>
    <cellStyle name="Input 2 3 2 5 4 2" xfId="26258" xr:uid="{00000000-0005-0000-0000-00008D660000}"/>
    <cellStyle name="Input 2 3 2 5 4 3" xfId="26259" xr:uid="{00000000-0005-0000-0000-00008E660000}"/>
    <cellStyle name="Input 2 3 2 5 4 4" xfId="26260" xr:uid="{00000000-0005-0000-0000-00008F660000}"/>
    <cellStyle name="Input 2 3 2 5 4 5" xfId="26261" xr:uid="{00000000-0005-0000-0000-000090660000}"/>
    <cellStyle name="Input 2 3 2 5 4 6" xfId="26262" xr:uid="{00000000-0005-0000-0000-000091660000}"/>
    <cellStyle name="Input 2 3 2 5 5" xfId="26263" xr:uid="{00000000-0005-0000-0000-000092660000}"/>
    <cellStyle name="Input 2 3 2 5 6" xfId="26264" xr:uid="{00000000-0005-0000-0000-000093660000}"/>
    <cellStyle name="Input 2 3 2 5 7" xfId="26265" xr:uid="{00000000-0005-0000-0000-000094660000}"/>
    <cellStyle name="Input 2 3 2 5 8" xfId="26266" xr:uid="{00000000-0005-0000-0000-000095660000}"/>
    <cellStyle name="Input 2 3 2 6" xfId="26267" xr:uid="{00000000-0005-0000-0000-000096660000}"/>
    <cellStyle name="Input 2 3 2 6 2" xfId="26268" xr:uid="{00000000-0005-0000-0000-000097660000}"/>
    <cellStyle name="Input 2 3 2 6 2 2" xfId="26269" xr:uid="{00000000-0005-0000-0000-000098660000}"/>
    <cellStyle name="Input 2 3 2 6 2 2 2" xfId="26270" xr:uid="{00000000-0005-0000-0000-000099660000}"/>
    <cellStyle name="Input 2 3 2 6 2 2 3" xfId="26271" xr:uid="{00000000-0005-0000-0000-00009A660000}"/>
    <cellStyle name="Input 2 3 2 6 2 2 4" xfId="26272" xr:uid="{00000000-0005-0000-0000-00009B660000}"/>
    <cellStyle name="Input 2 3 2 6 2 2 5" xfId="26273" xr:uid="{00000000-0005-0000-0000-00009C660000}"/>
    <cellStyle name="Input 2 3 2 6 2 2 6" xfId="26274" xr:uid="{00000000-0005-0000-0000-00009D660000}"/>
    <cellStyle name="Input 2 3 2 6 2 3" xfId="26275" xr:uid="{00000000-0005-0000-0000-00009E660000}"/>
    <cellStyle name="Input 2 3 2 6 2 4" xfId="26276" xr:uid="{00000000-0005-0000-0000-00009F660000}"/>
    <cellStyle name="Input 2 3 2 6 2 5" xfId="26277" xr:uid="{00000000-0005-0000-0000-0000A0660000}"/>
    <cellStyle name="Input 2 3 2 6 2 6" xfId="26278" xr:uid="{00000000-0005-0000-0000-0000A1660000}"/>
    <cellStyle name="Input 2 3 2 6 3" xfId="26279" xr:uid="{00000000-0005-0000-0000-0000A2660000}"/>
    <cellStyle name="Input 2 3 2 6 3 2" xfId="26280" xr:uid="{00000000-0005-0000-0000-0000A3660000}"/>
    <cellStyle name="Input 2 3 2 6 3 2 2" xfId="26281" xr:uid="{00000000-0005-0000-0000-0000A4660000}"/>
    <cellStyle name="Input 2 3 2 6 3 2 3" xfId="26282" xr:uid="{00000000-0005-0000-0000-0000A5660000}"/>
    <cellStyle name="Input 2 3 2 6 3 2 4" xfId="26283" xr:uid="{00000000-0005-0000-0000-0000A6660000}"/>
    <cellStyle name="Input 2 3 2 6 3 2 5" xfId="26284" xr:uid="{00000000-0005-0000-0000-0000A7660000}"/>
    <cellStyle name="Input 2 3 2 6 3 2 6" xfId="26285" xr:uid="{00000000-0005-0000-0000-0000A8660000}"/>
    <cellStyle name="Input 2 3 2 6 3 3" xfId="26286" xr:uid="{00000000-0005-0000-0000-0000A9660000}"/>
    <cellStyle name="Input 2 3 2 6 3 4" xfId="26287" xr:uid="{00000000-0005-0000-0000-0000AA660000}"/>
    <cellStyle name="Input 2 3 2 6 3 5" xfId="26288" xr:uid="{00000000-0005-0000-0000-0000AB660000}"/>
    <cellStyle name="Input 2 3 2 6 3 6" xfId="26289" xr:uid="{00000000-0005-0000-0000-0000AC660000}"/>
    <cellStyle name="Input 2 3 2 6 4" xfId="26290" xr:uid="{00000000-0005-0000-0000-0000AD660000}"/>
    <cellStyle name="Input 2 3 2 6 4 2" xfId="26291" xr:uid="{00000000-0005-0000-0000-0000AE660000}"/>
    <cellStyle name="Input 2 3 2 6 4 3" xfId="26292" xr:uid="{00000000-0005-0000-0000-0000AF660000}"/>
    <cellStyle name="Input 2 3 2 6 4 4" xfId="26293" xr:uid="{00000000-0005-0000-0000-0000B0660000}"/>
    <cellStyle name="Input 2 3 2 6 4 5" xfId="26294" xr:uid="{00000000-0005-0000-0000-0000B1660000}"/>
    <cellStyle name="Input 2 3 2 6 4 6" xfId="26295" xr:uid="{00000000-0005-0000-0000-0000B2660000}"/>
    <cellStyle name="Input 2 3 2 6 5" xfId="26296" xr:uid="{00000000-0005-0000-0000-0000B3660000}"/>
    <cellStyle name="Input 2 3 2 6 6" xfId="26297" xr:uid="{00000000-0005-0000-0000-0000B4660000}"/>
    <cellStyle name="Input 2 3 2 6 7" xfId="26298" xr:uid="{00000000-0005-0000-0000-0000B5660000}"/>
    <cellStyle name="Input 2 3 2 6 8" xfId="26299" xr:uid="{00000000-0005-0000-0000-0000B6660000}"/>
    <cellStyle name="Input 2 3 2 7" xfId="26300" xr:uid="{00000000-0005-0000-0000-0000B7660000}"/>
    <cellStyle name="Input 2 3 2 7 2" xfId="26301" xr:uid="{00000000-0005-0000-0000-0000B8660000}"/>
    <cellStyle name="Input 2 3 2 7 2 2" xfId="26302" xr:uid="{00000000-0005-0000-0000-0000B9660000}"/>
    <cellStyle name="Input 2 3 2 7 2 2 2" xfId="26303" xr:uid="{00000000-0005-0000-0000-0000BA660000}"/>
    <cellStyle name="Input 2 3 2 7 2 2 3" xfId="26304" xr:uid="{00000000-0005-0000-0000-0000BB660000}"/>
    <cellStyle name="Input 2 3 2 7 2 2 4" xfId="26305" xr:uid="{00000000-0005-0000-0000-0000BC660000}"/>
    <cellStyle name="Input 2 3 2 7 2 2 5" xfId="26306" xr:uid="{00000000-0005-0000-0000-0000BD660000}"/>
    <cellStyle name="Input 2 3 2 7 2 2 6" xfId="26307" xr:uid="{00000000-0005-0000-0000-0000BE660000}"/>
    <cellStyle name="Input 2 3 2 7 2 3" xfId="26308" xr:uid="{00000000-0005-0000-0000-0000BF660000}"/>
    <cellStyle name="Input 2 3 2 7 2 4" xfId="26309" xr:uid="{00000000-0005-0000-0000-0000C0660000}"/>
    <cellStyle name="Input 2 3 2 7 2 5" xfId="26310" xr:uid="{00000000-0005-0000-0000-0000C1660000}"/>
    <cellStyle name="Input 2 3 2 7 2 6" xfId="26311" xr:uid="{00000000-0005-0000-0000-0000C2660000}"/>
    <cellStyle name="Input 2 3 2 7 3" xfId="26312" xr:uid="{00000000-0005-0000-0000-0000C3660000}"/>
    <cellStyle name="Input 2 3 2 7 3 2" xfId="26313" xr:uid="{00000000-0005-0000-0000-0000C4660000}"/>
    <cellStyle name="Input 2 3 2 7 3 2 2" xfId="26314" xr:uid="{00000000-0005-0000-0000-0000C5660000}"/>
    <cellStyle name="Input 2 3 2 7 3 2 3" xfId="26315" xr:uid="{00000000-0005-0000-0000-0000C6660000}"/>
    <cellStyle name="Input 2 3 2 7 3 2 4" xfId="26316" xr:uid="{00000000-0005-0000-0000-0000C7660000}"/>
    <cellStyle name="Input 2 3 2 7 3 2 5" xfId="26317" xr:uid="{00000000-0005-0000-0000-0000C8660000}"/>
    <cellStyle name="Input 2 3 2 7 3 2 6" xfId="26318" xr:uid="{00000000-0005-0000-0000-0000C9660000}"/>
    <cellStyle name="Input 2 3 2 7 3 3" xfId="26319" xr:uid="{00000000-0005-0000-0000-0000CA660000}"/>
    <cellStyle name="Input 2 3 2 7 3 4" xfId="26320" xr:uid="{00000000-0005-0000-0000-0000CB660000}"/>
    <cellStyle name="Input 2 3 2 7 3 5" xfId="26321" xr:uid="{00000000-0005-0000-0000-0000CC660000}"/>
    <cellStyle name="Input 2 3 2 7 3 6" xfId="26322" xr:uid="{00000000-0005-0000-0000-0000CD660000}"/>
    <cellStyle name="Input 2 3 2 7 4" xfId="26323" xr:uid="{00000000-0005-0000-0000-0000CE660000}"/>
    <cellStyle name="Input 2 3 2 7 4 2" xfId="26324" xr:uid="{00000000-0005-0000-0000-0000CF660000}"/>
    <cellStyle name="Input 2 3 2 7 4 3" xfId="26325" xr:uid="{00000000-0005-0000-0000-0000D0660000}"/>
    <cellStyle name="Input 2 3 2 7 4 4" xfId="26326" xr:uid="{00000000-0005-0000-0000-0000D1660000}"/>
    <cellStyle name="Input 2 3 2 7 4 5" xfId="26327" xr:uid="{00000000-0005-0000-0000-0000D2660000}"/>
    <cellStyle name="Input 2 3 2 7 4 6" xfId="26328" xr:uid="{00000000-0005-0000-0000-0000D3660000}"/>
    <cellStyle name="Input 2 3 2 7 5" xfId="26329" xr:uid="{00000000-0005-0000-0000-0000D4660000}"/>
    <cellStyle name="Input 2 3 2 7 6" xfId="26330" xr:uid="{00000000-0005-0000-0000-0000D5660000}"/>
    <cellStyle name="Input 2 3 2 7 7" xfId="26331" xr:uid="{00000000-0005-0000-0000-0000D6660000}"/>
    <cellStyle name="Input 2 3 2 7 8" xfId="26332" xr:uid="{00000000-0005-0000-0000-0000D7660000}"/>
    <cellStyle name="Input 2 3 2 8" xfId="26333" xr:uid="{00000000-0005-0000-0000-0000D8660000}"/>
    <cellStyle name="Input 2 3 2 8 2" xfId="26334" xr:uid="{00000000-0005-0000-0000-0000D9660000}"/>
    <cellStyle name="Input 2 3 2 8 2 2" xfId="26335" xr:uid="{00000000-0005-0000-0000-0000DA660000}"/>
    <cellStyle name="Input 2 3 2 8 2 3" xfId="26336" xr:uid="{00000000-0005-0000-0000-0000DB660000}"/>
    <cellStyle name="Input 2 3 2 8 2 4" xfId="26337" xr:uid="{00000000-0005-0000-0000-0000DC660000}"/>
    <cellStyle name="Input 2 3 2 8 2 5" xfId="26338" xr:uid="{00000000-0005-0000-0000-0000DD660000}"/>
    <cellStyle name="Input 2 3 2 8 2 6" xfId="26339" xr:uid="{00000000-0005-0000-0000-0000DE660000}"/>
    <cellStyle name="Input 2 3 2 8 3" xfId="26340" xr:uid="{00000000-0005-0000-0000-0000DF660000}"/>
    <cellStyle name="Input 2 3 2 8 4" xfId="26341" xr:uid="{00000000-0005-0000-0000-0000E0660000}"/>
    <cellStyle name="Input 2 3 2 8 5" xfId="26342" xr:uid="{00000000-0005-0000-0000-0000E1660000}"/>
    <cellStyle name="Input 2 3 2 8 6" xfId="26343" xr:uid="{00000000-0005-0000-0000-0000E2660000}"/>
    <cellStyle name="Input 2 3 2 9" xfId="26344" xr:uid="{00000000-0005-0000-0000-0000E3660000}"/>
    <cellStyle name="Input 2 3 2 9 2" xfId="26345" xr:uid="{00000000-0005-0000-0000-0000E4660000}"/>
    <cellStyle name="Input 2 3 2 9 2 2" xfId="26346" xr:uid="{00000000-0005-0000-0000-0000E5660000}"/>
    <cellStyle name="Input 2 3 2 9 2 3" xfId="26347" xr:uid="{00000000-0005-0000-0000-0000E6660000}"/>
    <cellStyle name="Input 2 3 2 9 2 4" xfId="26348" xr:uid="{00000000-0005-0000-0000-0000E7660000}"/>
    <cellStyle name="Input 2 3 2 9 2 5" xfId="26349" xr:uid="{00000000-0005-0000-0000-0000E8660000}"/>
    <cellStyle name="Input 2 3 2 9 2 6" xfId="26350" xr:uid="{00000000-0005-0000-0000-0000E9660000}"/>
    <cellStyle name="Input 2 3 2 9 3" xfId="26351" xr:uid="{00000000-0005-0000-0000-0000EA660000}"/>
    <cellStyle name="Input 2 3 2 9 4" xfId="26352" xr:uid="{00000000-0005-0000-0000-0000EB660000}"/>
    <cellStyle name="Input 2 3 2 9 5" xfId="26353" xr:uid="{00000000-0005-0000-0000-0000EC660000}"/>
    <cellStyle name="Input 2 3 2 9 6" xfId="26354" xr:uid="{00000000-0005-0000-0000-0000ED660000}"/>
    <cellStyle name="Input 2 3 3" xfId="26355" xr:uid="{00000000-0005-0000-0000-0000EE660000}"/>
    <cellStyle name="Input 2 3 3 10" xfId="26356" xr:uid="{00000000-0005-0000-0000-0000EF660000}"/>
    <cellStyle name="Input 2 3 3 11" xfId="26357" xr:uid="{00000000-0005-0000-0000-0000F0660000}"/>
    <cellStyle name="Input 2 3 3 12" xfId="26358" xr:uid="{00000000-0005-0000-0000-0000F1660000}"/>
    <cellStyle name="Input 2 3 3 13" xfId="26359" xr:uid="{00000000-0005-0000-0000-0000F2660000}"/>
    <cellStyle name="Input 2 3 3 2" xfId="26360" xr:uid="{00000000-0005-0000-0000-0000F3660000}"/>
    <cellStyle name="Input 2 3 3 2 2" xfId="26361" xr:uid="{00000000-0005-0000-0000-0000F4660000}"/>
    <cellStyle name="Input 2 3 3 2 2 2" xfId="26362" xr:uid="{00000000-0005-0000-0000-0000F5660000}"/>
    <cellStyle name="Input 2 3 3 2 2 2 2" xfId="26363" xr:uid="{00000000-0005-0000-0000-0000F6660000}"/>
    <cellStyle name="Input 2 3 3 2 2 2 3" xfId="26364" xr:uid="{00000000-0005-0000-0000-0000F7660000}"/>
    <cellStyle name="Input 2 3 3 2 2 2 4" xfId="26365" xr:uid="{00000000-0005-0000-0000-0000F8660000}"/>
    <cellStyle name="Input 2 3 3 2 2 2 5" xfId="26366" xr:uid="{00000000-0005-0000-0000-0000F9660000}"/>
    <cellStyle name="Input 2 3 3 2 2 2 6" xfId="26367" xr:uid="{00000000-0005-0000-0000-0000FA660000}"/>
    <cellStyle name="Input 2 3 3 2 2 3" xfId="26368" xr:uid="{00000000-0005-0000-0000-0000FB660000}"/>
    <cellStyle name="Input 2 3 3 2 2 4" xfId="26369" xr:uid="{00000000-0005-0000-0000-0000FC660000}"/>
    <cellStyle name="Input 2 3 3 2 2 5" xfId="26370" xr:uid="{00000000-0005-0000-0000-0000FD660000}"/>
    <cellStyle name="Input 2 3 3 2 2 6" xfId="26371" xr:uid="{00000000-0005-0000-0000-0000FE660000}"/>
    <cellStyle name="Input 2 3 3 2 3" xfId="26372" xr:uid="{00000000-0005-0000-0000-0000FF660000}"/>
    <cellStyle name="Input 2 3 3 2 3 2" xfId="26373" xr:uid="{00000000-0005-0000-0000-000000670000}"/>
    <cellStyle name="Input 2 3 3 2 3 2 2" xfId="26374" xr:uid="{00000000-0005-0000-0000-000001670000}"/>
    <cellStyle name="Input 2 3 3 2 3 2 3" xfId="26375" xr:uid="{00000000-0005-0000-0000-000002670000}"/>
    <cellStyle name="Input 2 3 3 2 3 2 4" xfId="26376" xr:uid="{00000000-0005-0000-0000-000003670000}"/>
    <cellStyle name="Input 2 3 3 2 3 2 5" xfId="26377" xr:uid="{00000000-0005-0000-0000-000004670000}"/>
    <cellStyle name="Input 2 3 3 2 3 2 6" xfId="26378" xr:uid="{00000000-0005-0000-0000-000005670000}"/>
    <cellStyle name="Input 2 3 3 2 3 3" xfId="26379" xr:uid="{00000000-0005-0000-0000-000006670000}"/>
    <cellStyle name="Input 2 3 3 2 3 4" xfId="26380" xr:uid="{00000000-0005-0000-0000-000007670000}"/>
    <cellStyle name="Input 2 3 3 2 3 5" xfId="26381" xr:uid="{00000000-0005-0000-0000-000008670000}"/>
    <cellStyle name="Input 2 3 3 2 3 6" xfId="26382" xr:uid="{00000000-0005-0000-0000-000009670000}"/>
    <cellStyle name="Input 2 3 3 2 4" xfId="26383" xr:uid="{00000000-0005-0000-0000-00000A670000}"/>
    <cellStyle name="Input 2 3 3 2 4 2" xfId="26384" xr:uid="{00000000-0005-0000-0000-00000B670000}"/>
    <cellStyle name="Input 2 3 3 2 4 3" xfId="26385" xr:uid="{00000000-0005-0000-0000-00000C670000}"/>
    <cellStyle name="Input 2 3 3 2 4 4" xfId="26386" xr:uid="{00000000-0005-0000-0000-00000D670000}"/>
    <cellStyle name="Input 2 3 3 2 4 5" xfId="26387" xr:uid="{00000000-0005-0000-0000-00000E670000}"/>
    <cellStyle name="Input 2 3 3 2 4 6" xfId="26388" xr:uid="{00000000-0005-0000-0000-00000F670000}"/>
    <cellStyle name="Input 2 3 3 2 5" xfId="26389" xr:uid="{00000000-0005-0000-0000-000010670000}"/>
    <cellStyle name="Input 2 3 3 2 6" xfId="26390" xr:uid="{00000000-0005-0000-0000-000011670000}"/>
    <cellStyle name="Input 2 3 3 2 7" xfId="26391" xr:uid="{00000000-0005-0000-0000-000012670000}"/>
    <cellStyle name="Input 2 3 3 2 8" xfId="26392" xr:uid="{00000000-0005-0000-0000-000013670000}"/>
    <cellStyle name="Input 2 3 3 3" xfId="26393" xr:uid="{00000000-0005-0000-0000-000014670000}"/>
    <cellStyle name="Input 2 3 3 3 2" xfId="26394" xr:uid="{00000000-0005-0000-0000-000015670000}"/>
    <cellStyle name="Input 2 3 3 3 2 2" xfId="26395" xr:uid="{00000000-0005-0000-0000-000016670000}"/>
    <cellStyle name="Input 2 3 3 3 2 2 2" xfId="26396" xr:uid="{00000000-0005-0000-0000-000017670000}"/>
    <cellStyle name="Input 2 3 3 3 2 2 3" xfId="26397" xr:uid="{00000000-0005-0000-0000-000018670000}"/>
    <cellStyle name="Input 2 3 3 3 2 2 4" xfId="26398" xr:uid="{00000000-0005-0000-0000-000019670000}"/>
    <cellStyle name="Input 2 3 3 3 2 2 5" xfId="26399" xr:uid="{00000000-0005-0000-0000-00001A670000}"/>
    <cellStyle name="Input 2 3 3 3 2 2 6" xfId="26400" xr:uid="{00000000-0005-0000-0000-00001B670000}"/>
    <cellStyle name="Input 2 3 3 3 2 3" xfId="26401" xr:uid="{00000000-0005-0000-0000-00001C670000}"/>
    <cellStyle name="Input 2 3 3 3 2 4" xfId="26402" xr:uid="{00000000-0005-0000-0000-00001D670000}"/>
    <cellStyle name="Input 2 3 3 3 2 5" xfId="26403" xr:uid="{00000000-0005-0000-0000-00001E670000}"/>
    <cellStyle name="Input 2 3 3 3 2 6" xfId="26404" xr:uid="{00000000-0005-0000-0000-00001F670000}"/>
    <cellStyle name="Input 2 3 3 3 3" xfId="26405" xr:uid="{00000000-0005-0000-0000-000020670000}"/>
    <cellStyle name="Input 2 3 3 3 3 2" xfId="26406" xr:uid="{00000000-0005-0000-0000-000021670000}"/>
    <cellStyle name="Input 2 3 3 3 3 2 2" xfId="26407" xr:uid="{00000000-0005-0000-0000-000022670000}"/>
    <cellStyle name="Input 2 3 3 3 3 2 3" xfId="26408" xr:uid="{00000000-0005-0000-0000-000023670000}"/>
    <cellStyle name="Input 2 3 3 3 3 2 4" xfId="26409" xr:uid="{00000000-0005-0000-0000-000024670000}"/>
    <cellStyle name="Input 2 3 3 3 3 2 5" xfId="26410" xr:uid="{00000000-0005-0000-0000-000025670000}"/>
    <cellStyle name="Input 2 3 3 3 3 2 6" xfId="26411" xr:uid="{00000000-0005-0000-0000-000026670000}"/>
    <cellStyle name="Input 2 3 3 3 3 3" xfId="26412" xr:uid="{00000000-0005-0000-0000-000027670000}"/>
    <cellStyle name="Input 2 3 3 3 3 4" xfId="26413" xr:uid="{00000000-0005-0000-0000-000028670000}"/>
    <cellStyle name="Input 2 3 3 3 3 5" xfId="26414" xr:uid="{00000000-0005-0000-0000-000029670000}"/>
    <cellStyle name="Input 2 3 3 3 3 6" xfId="26415" xr:uid="{00000000-0005-0000-0000-00002A670000}"/>
    <cellStyle name="Input 2 3 3 3 4" xfId="26416" xr:uid="{00000000-0005-0000-0000-00002B670000}"/>
    <cellStyle name="Input 2 3 3 3 4 2" xfId="26417" xr:uid="{00000000-0005-0000-0000-00002C670000}"/>
    <cellStyle name="Input 2 3 3 3 4 3" xfId="26418" xr:uid="{00000000-0005-0000-0000-00002D670000}"/>
    <cellStyle name="Input 2 3 3 3 4 4" xfId="26419" xr:uid="{00000000-0005-0000-0000-00002E670000}"/>
    <cellStyle name="Input 2 3 3 3 4 5" xfId="26420" xr:uid="{00000000-0005-0000-0000-00002F670000}"/>
    <cellStyle name="Input 2 3 3 3 4 6" xfId="26421" xr:uid="{00000000-0005-0000-0000-000030670000}"/>
    <cellStyle name="Input 2 3 3 3 5" xfId="26422" xr:uid="{00000000-0005-0000-0000-000031670000}"/>
    <cellStyle name="Input 2 3 3 3 6" xfId="26423" xr:uid="{00000000-0005-0000-0000-000032670000}"/>
    <cellStyle name="Input 2 3 3 3 7" xfId="26424" xr:uid="{00000000-0005-0000-0000-000033670000}"/>
    <cellStyle name="Input 2 3 3 3 8" xfId="26425" xr:uid="{00000000-0005-0000-0000-000034670000}"/>
    <cellStyle name="Input 2 3 3 4" xfId="26426" xr:uid="{00000000-0005-0000-0000-000035670000}"/>
    <cellStyle name="Input 2 3 3 4 2" xfId="26427" xr:uid="{00000000-0005-0000-0000-000036670000}"/>
    <cellStyle name="Input 2 3 3 4 2 2" xfId="26428" xr:uid="{00000000-0005-0000-0000-000037670000}"/>
    <cellStyle name="Input 2 3 3 4 2 2 2" xfId="26429" xr:uid="{00000000-0005-0000-0000-000038670000}"/>
    <cellStyle name="Input 2 3 3 4 2 2 3" xfId="26430" xr:uid="{00000000-0005-0000-0000-000039670000}"/>
    <cellStyle name="Input 2 3 3 4 2 2 4" xfId="26431" xr:uid="{00000000-0005-0000-0000-00003A670000}"/>
    <cellStyle name="Input 2 3 3 4 2 2 5" xfId="26432" xr:uid="{00000000-0005-0000-0000-00003B670000}"/>
    <cellStyle name="Input 2 3 3 4 2 2 6" xfId="26433" xr:uid="{00000000-0005-0000-0000-00003C670000}"/>
    <cellStyle name="Input 2 3 3 4 2 3" xfId="26434" xr:uid="{00000000-0005-0000-0000-00003D670000}"/>
    <cellStyle name="Input 2 3 3 4 2 4" xfId="26435" xr:uid="{00000000-0005-0000-0000-00003E670000}"/>
    <cellStyle name="Input 2 3 3 4 2 5" xfId="26436" xr:uid="{00000000-0005-0000-0000-00003F670000}"/>
    <cellStyle name="Input 2 3 3 4 2 6" xfId="26437" xr:uid="{00000000-0005-0000-0000-000040670000}"/>
    <cellStyle name="Input 2 3 3 4 3" xfId="26438" xr:uid="{00000000-0005-0000-0000-000041670000}"/>
    <cellStyle name="Input 2 3 3 4 3 2" xfId="26439" xr:uid="{00000000-0005-0000-0000-000042670000}"/>
    <cellStyle name="Input 2 3 3 4 3 2 2" xfId="26440" xr:uid="{00000000-0005-0000-0000-000043670000}"/>
    <cellStyle name="Input 2 3 3 4 3 2 3" xfId="26441" xr:uid="{00000000-0005-0000-0000-000044670000}"/>
    <cellStyle name="Input 2 3 3 4 3 2 4" xfId="26442" xr:uid="{00000000-0005-0000-0000-000045670000}"/>
    <cellStyle name="Input 2 3 3 4 3 2 5" xfId="26443" xr:uid="{00000000-0005-0000-0000-000046670000}"/>
    <cellStyle name="Input 2 3 3 4 3 2 6" xfId="26444" xr:uid="{00000000-0005-0000-0000-000047670000}"/>
    <cellStyle name="Input 2 3 3 4 3 3" xfId="26445" xr:uid="{00000000-0005-0000-0000-000048670000}"/>
    <cellStyle name="Input 2 3 3 4 3 4" xfId="26446" xr:uid="{00000000-0005-0000-0000-000049670000}"/>
    <cellStyle name="Input 2 3 3 4 3 5" xfId="26447" xr:uid="{00000000-0005-0000-0000-00004A670000}"/>
    <cellStyle name="Input 2 3 3 4 3 6" xfId="26448" xr:uid="{00000000-0005-0000-0000-00004B670000}"/>
    <cellStyle name="Input 2 3 3 4 4" xfId="26449" xr:uid="{00000000-0005-0000-0000-00004C670000}"/>
    <cellStyle name="Input 2 3 3 4 4 2" xfId="26450" xr:uid="{00000000-0005-0000-0000-00004D670000}"/>
    <cellStyle name="Input 2 3 3 4 4 3" xfId="26451" xr:uid="{00000000-0005-0000-0000-00004E670000}"/>
    <cellStyle name="Input 2 3 3 4 4 4" xfId="26452" xr:uid="{00000000-0005-0000-0000-00004F670000}"/>
    <cellStyle name="Input 2 3 3 4 4 5" xfId="26453" xr:uid="{00000000-0005-0000-0000-000050670000}"/>
    <cellStyle name="Input 2 3 3 4 4 6" xfId="26454" xr:uid="{00000000-0005-0000-0000-000051670000}"/>
    <cellStyle name="Input 2 3 3 4 5" xfId="26455" xr:uid="{00000000-0005-0000-0000-000052670000}"/>
    <cellStyle name="Input 2 3 3 4 6" xfId="26456" xr:uid="{00000000-0005-0000-0000-000053670000}"/>
    <cellStyle name="Input 2 3 3 4 7" xfId="26457" xr:uid="{00000000-0005-0000-0000-000054670000}"/>
    <cellStyle name="Input 2 3 3 4 8" xfId="26458" xr:uid="{00000000-0005-0000-0000-000055670000}"/>
    <cellStyle name="Input 2 3 3 5" xfId="26459" xr:uid="{00000000-0005-0000-0000-000056670000}"/>
    <cellStyle name="Input 2 3 3 5 2" xfId="26460" xr:uid="{00000000-0005-0000-0000-000057670000}"/>
    <cellStyle name="Input 2 3 3 5 2 2" xfId="26461" xr:uid="{00000000-0005-0000-0000-000058670000}"/>
    <cellStyle name="Input 2 3 3 5 2 2 2" xfId="26462" xr:uid="{00000000-0005-0000-0000-000059670000}"/>
    <cellStyle name="Input 2 3 3 5 2 2 3" xfId="26463" xr:uid="{00000000-0005-0000-0000-00005A670000}"/>
    <cellStyle name="Input 2 3 3 5 2 2 4" xfId="26464" xr:uid="{00000000-0005-0000-0000-00005B670000}"/>
    <cellStyle name="Input 2 3 3 5 2 2 5" xfId="26465" xr:uid="{00000000-0005-0000-0000-00005C670000}"/>
    <cellStyle name="Input 2 3 3 5 2 2 6" xfId="26466" xr:uid="{00000000-0005-0000-0000-00005D670000}"/>
    <cellStyle name="Input 2 3 3 5 2 3" xfId="26467" xr:uid="{00000000-0005-0000-0000-00005E670000}"/>
    <cellStyle name="Input 2 3 3 5 2 4" xfId="26468" xr:uid="{00000000-0005-0000-0000-00005F670000}"/>
    <cellStyle name="Input 2 3 3 5 2 5" xfId="26469" xr:uid="{00000000-0005-0000-0000-000060670000}"/>
    <cellStyle name="Input 2 3 3 5 2 6" xfId="26470" xr:uid="{00000000-0005-0000-0000-000061670000}"/>
    <cellStyle name="Input 2 3 3 5 3" xfId="26471" xr:uid="{00000000-0005-0000-0000-000062670000}"/>
    <cellStyle name="Input 2 3 3 5 3 2" xfId="26472" xr:uid="{00000000-0005-0000-0000-000063670000}"/>
    <cellStyle name="Input 2 3 3 5 3 2 2" xfId="26473" xr:uid="{00000000-0005-0000-0000-000064670000}"/>
    <cellStyle name="Input 2 3 3 5 3 2 3" xfId="26474" xr:uid="{00000000-0005-0000-0000-000065670000}"/>
    <cellStyle name="Input 2 3 3 5 3 2 4" xfId="26475" xr:uid="{00000000-0005-0000-0000-000066670000}"/>
    <cellStyle name="Input 2 3 3 5 3 2 5" xfId="26476" xr:uid="{00000000-0005-0000-0000-000067670000}"/>
    <cellStyle name="Input 2 3 3 5 3 2 6" xfId="26477" xr:uid="{00000000-0005-0000-0000-000068670000}"/>
    <cellStyle name="Input 2 3 3 5 3 3" xfId="26478" xr:uid="{00000000-0005-0000-0000-000069670000}"/>
    <cellStyle name="Input 2 3 3 5 3 4" xfId="26479" xr:uid="{00000000-0005-0000-0000-00006A670000}"/>
    <cellStyle name="Input 2 3 3 5 3 5" xfId="26480" xr:uid="{00000000-0005-0000-0000-00006B670000}"/>
    <cellStyle name="Input 2 3 3 5 3 6" xfId="26481" xr:uid="{00000000-0005-0000-0000-00006C670000}"/>
    <cellStyle name="Input 2 3 3 5 4" xfId="26482" xr:uid="{00000000-0005-0000-0000-00006D670000}"/>
    <cellStyle name="Input 2 3 3 5 4 2" xfId="26483" xr:uid="{00000000-0005-0000-0000-00006E670000}"/>
    <cellStyle name="Input 2 3 3 5 4 3" xfId="26484" xr:uid="{00000000-0005-0000-0000-00006F670000}"/>
    <cellStyle name="Input 2 3 3 5 4 4" xfId="26485" xr:uid="{00000000-0005-0000-0000-000070670000}"/>
    <cellStyle name="Input 2 3 3 5 4 5" xfId="26486" xr:uid="{00000000-0005-0000-0000-000071670000}"/>
    <cellStyle name="Input 2 3 3 5 4 6" xfId="26487" xr:uid="{00000000-0005-0000-0000-000072670000}"/>
    <cellStyle name="Input 2 3 3 5 5" xfId="26488" xr:uid="{00000000-0005-0000-0000-000073670000}"/>
    <cellStyle name="Input 2 3 3 5 6" xfId="26489" xr:uid="{00000000-0005-0000-0000-000074670000}"/>
    <cellStyle name="Input 2 3 3 5 7" xfId="26490" xr:uid="{00000000-0005-0000-0000-000075670000}"/>
    <cellStyle name="Input 2 3 3 5 8" xfId="26491" xr:uid="{00000000-0005-0000-0000-000076670000}"/>
    <cellStyle name="Input 2 3 3 6" xfId="26492" xr:uid="{00000000-0005-0000-0000-000077670000}"/>
    <cellStyle name="Input 2 3 3 6 2" xfId="26493" xr:uid="{00000000-0005-0000-0000-000078670000}"/>
    <cellStyle name="Input 2 3 3 6 2 2" xfId="26494" xr:uid="{00000000-0005-0000-0000-000079670000}"/>
    <cellStyle name="Input 2 3 3 6 2 2 2" xfId="26495" xr:uid="{00000000-0005-0000-0000-00007A670000}"/>
    <cellStyle name="Input 2 3 3 6 2 2 3" xfId="26496" xr:uid="{00000000-0005-0000-0000-00007B670000}"/>
    <cellStyle name="Input 2 3 3 6 2 2 4" xfId="26497" xr:uid="{00000000-0005-0000-0000-00007C670000}"/>
    <cellStyle name="Input 2 3 3 6 2 2 5" xfId="26498" xr:uid="{00000000-0005-0000-0000-00007D670000}"/>
    <cellStyle name="Input 2 3 3 6 2 2 6" xfId="26499" xr:uid="{00000000-0005-0000-0000-00007E670000}"/>
    <cellStyle name="Input 2 3 3 6 2 3" xfId="26500" xr:uid="{00000000-0005-0000-0000-00007F670000}"/>
    <cellStyle name="Input 2 3 3 6 2 4" xfId="26501" xr:uid="{00000000-0005-0000-0000-000080670000}"/>
    <cellStyle name="Input 2 3 3 6 2 5" xfId="26502" xr:uid="{00000000-0005-0000-0000-000081670000}"/>
    <cellStyle name="Input 2 3 3 6 2 6" xfId="26503" xr:uid="{00000000-0005-0000-0000-000082670000}"/>
    <cellStyle name="Input 2 3 3 6 3" xfId="26504" xr:uid="{00000000-0005-0000-0000-000083670000}"/>
    <cellStyle name="Input 2 3 3 6 3 2" xfId="26505" xr:uid="{00000000-0005-0000-0000-000084670000}"/>
    <cellStyle name="Input 2 3 3 6 3 2 2" xfId="26506" xr:uid="{00000000-0005-0000-0000-000085670000}"/>
    <cellStyle name="Input 2 3 3 6 3 2 3" xfId="26507" xr:uid="{00000000-0005-0000-0000-000086670000}"/>
    <cellStyle name="Input 2 3 3 6 3 2 4" xfId="26508" xr:uid="{00000000-0005-0000-0000-000087670000}"/>
    <cellStyle name="Input 2 3 3 6 3 2 5" xfId="26509" xr:uid="{00000000-0005-0000-0000-000088670000}"/>
    <cellStyle name="Input 2 3 3 6 3 2 6" xfId="26510" xr:uid="{00000000-0005-0000-0000-000089670000}"/>
    <cellStyle name="Input 2 3 3 6 3 3" xfId="26511" xr:uid="{00000000-0005-0000-0000-00008A670000}"/>
    <cellStyle name="Input 2 3 3 6 3 4" xfId="26512" xr:uid="{00000000-0005-0000-0000-00008B670000}"/>
    <cellStyle name="Input 2 3 3 6 3 5" xfId="26513" xr:uid="{00000000-0005-0000-0000-00008C670000}"/>
    <cellStyle name="Input 2 3 3 6 3 6" xfId="26514" xr:uid="{00000000-0005-0000-0000-00008D670000}"/>
    <cellStyle name="Input 2 3 3 6 4" xfId="26515" xr:uid="{00000000-0005-0000-0000-00008E670000}"/>
    <cellStyle name="Input 2 3 3 6 4 2" xfId="26516" xr:uid="{00000000-0005-0000-0000-00008F670000}"/>
    <cellStyle name="Input 2 3 3 6 4 3" xfId="26517" xr:uid="{00000000-0005-0000-0000-000090670000}"/>
    <cellStyle name="Input 2 3 3 6 4 4" xfId="26518" xr:uid="{00000000-0005-0000-0000-000091670000}"/>
    <cellStyle name="Input 2 3 3 6 4 5" xfId="26519" xr:uid="{00000000-0005-0000-0000-000092670000}"/>
    <cellStyle name="Input 2 3 3 6 4 6" xfId="26520" xr:uid="{00000000-0005-0000-0000-000093670000}"/>
    <cellStyle name="Input 2 3 3 6 5" xfId="26521" xr:uid="{00000000-0005-0000-0000-000094670000}"/>
    <cellStyle name="Input 2 3 3 6 6" xfId="26522" xr:uid="{00000000-0005-0000-0000-000095670000}"/>
    <cellStyle name="Input 2 3 3 6 7" xfId="26523" xr:uid="{00000000-0005-0000-0000-000096670000}"/>
    <cellStyle name="Input 2 3 3 6 8" xfId="26524" xr:uid="{00000000-0005-0000-0000-000097670000}"/>
    <cellStyle name="Input 2 3 3 7" xfId="26525" xr:uid="{00000000-0005-0000-0000-000098670000}"/>
    <cellStyle name="Input 2 3 3 7 2" xfId="26526" xr:uid="{00000000-0005-0000-0000-000099670000}"/>
    <cellStyle name="Input 2 3 3 7 2 2" xfId="26527" xr:uid="{00000000-0005-0000-0000-00009A670000}"/>
    <cellStyle name="Input 2 3 3 7 2 3" xfId="26528" xr:uid="{00000000-0005-0000-0000-00009B670000}"/>
    <cellStyle name="Input 2 3 3 7 2 4" xfId="26529" xr:uid="{00000000-0005-0000-0000-00009C670000}"/>
    <cellStyle name="Input 2 3 3 7 2 5" xfId="26530" xr:uid="{00000000-0005-0000-0000-00009D670000}"/>
    <cellStyle name="Input 2 3 3 7 2 6" xfId="26531" xr:uid="{00000000-0005-0000-0000-00009E670000}"/>
    <cellStyle name="Input 2 3 3 7 3" xfId="26532" xr:uid="{00000000-0005-0000-0000-00009F670000}"/>
    <cellStyle name="Input 2 3 3 7 4" xfId="26533" xr:uid="{00000000-0005-0000-0000-0000A0670000}"/>
    <cellStyle name="Input 2 3 3 7 5" xfId="26534" xr:uid="{00000000-0005-0000-0000-0000A1670000}"/>
    <cellStyle name="Input 2 3 3 7 6" xfId="26535" xr:uid="{00000000-0005-0000-0000-0000A2670000}"/>
    <cellStyle name="Input 2 3 3 8" xfId="26536" xr:uid="{00000000-0005-0000-0000-0000A3670000}"/>
    <cellStyle name="Input 2 3 3 8 2" xfId="26537" xr:uid="{00000000-0005-0000-0000-0000A4670000}"/>
    <cellStyle name="Input 2 3 3 8 2 2" xfId="26538" xr:uid="{00000000-0005-0000-0000-0000A5670000}"/>
    <cellStyle name="Input 2 3 3 8 2 3" xfId="26539" xr:uid="{00000000-0005-0000-0000-0000A6670000}"/>
    <cellStyle name="Input 2 3 3 8 2 4" xfId="26540" xr:uid="{00000000-0005-0000-0000-0000A7670000}"/>
    <cellStyle name="Input 2 3 3 8 2 5" xfId="26541" xr:uid="{00000000-0005-0000-0000-0000A8670000}"/>
    <cellStyle name="Input 2 3 3 8 2 6" xfId="26542" xr:uid="{00000000-0005-0000-0000-0000A9670000}"/>
    <cellStyle name="Input 2 3 3 8 3" xfId="26543" xr:uid="{00000000-0005-0000-0000-0000AA670000}"/>
    <cellStyle name="Input 2 3 3 8 4" xfId="26544" xr:uid="{00000000-0005-0000-0000-0000AB670000}"/>
    <cellStyle name="Input 2 3 3 8 5" xfId="26545" xr:uid="{00000000-0005-0000-0000-0000AC670000}"/>
    <cellStyle name="Input 2 3 3 8 6" xfId="26546" xr:uid="{00000000-0005-0000-0000-0000AD670000}"/>
    <cellStyle name="Input 2 3 3 9" xfId="26547" xr:uid="{00000000-0005-0000-0000-0000AE670000}"/>
    <cellStyle name="Input 2 3 3 9 2" xfId="26548" xr:uid="{00000000-0005-0000-0000-0000AF670000}"/>
    <cellStyle name="Input 2 3 3 9 3" xfId="26549" xr:uid="{00000000-0005-0000-0000-0000B0670000}"/>
    <cellStyle name="Input 2 3 3 9 4" xfId="26550" xr:uid="{00000000-0005-0000-0000-0000B1670000}"/>
    <cellStyle name="Input 2 3 3 9 5" xfId="26551" xr:uid="{00000000-0005-0000-0000-0000B2670000}"/>
    <cellStyle name="Input 2 3 3 9 6" xfId="26552" xr:uid="{00000000-0005-0000-0000-0000B3670000}"/>
    <cellStyle name="Input 2 3 4" xfId="26553" xr:uid="{00000000-0005-0000-0000-0000B4670000}"/>
    <cellStyle name="Input 2 3 4 2" xfId="26554" xr:uid="{00000000-0005-0000-0000-0000B5670000}"/>
    <cellStyle name="Input 2 3 4 2 2" xfId="26555" xr:uid="{00000000-0005-0000-0000-0000B6670000}"/>
    <cellStyle name="Input 2 3 4 2 2 2" xfId="26556" xr:uid="{00000000-0005-0000-0000-0000B7670000}"/>
    <cellStyle name="Input 2 3 4 2 2 3" xfId="26557" xr:uid="{00000000-0005-0000-0000-0000B8670000}"/>
    <cellStyle name="Input 2 3 4 2 2 4" xfId="26558" xr:uid="{00000000-0005-0000-0000-0000B9670000}"/>
    <cellStyle name="Input 2 3 4 2 2 5" xfId="26559" xr:uid="{00000000-0005-0000-0000-0000BA670000}"/>
    <cellStyle name="Input 2 3 4 2 2 6" xfId="26560" xr:uid="{00000000-0005-0000-0000-0000BB670000}"/>
    <cellStyle name="Input 2 3 4 2 3" xfId="26561" xr:uid="{00000000-0005-0000-0000-0000BC670000}"/>
    <cellStyle name="Input 2 3 4 2 4" xfId="26562" xr:uid="{00000000-0005-0000-0000-0000BD670000}"/>
    <cellStyle name="Input 2 3 4 2 5" xfId="26563" xr:uid="{00000000-0005-0000-0000-0000BE670000}"/>
    <cellStyle name="Input 2 3 4 2 6" xfId="26564" xr:uid="{00000000-0005-0000-0000-0000BF670000}"/>
    <cellStyle name="Input 2 3 4 3" xfId="26565" xr:uid="{00000000-0005-0000-0000-0000C0670000}"/>
    <cellStyle name="Input 2 3 4 3 2" xfId="26566" xr:uid="{00000000-0005-0000-0000-0000C1670000}"/>
    <cellStyle name="Input 2 3 4 3 2 2" xfId="26567" xr:uid="{00000000-0005-0000-0000-0000C2670000}"/>
    <cellStyle name="Input 2 3 4 3 2 3" xfId="26568" xr:uid="{00000000-0005-0000-0000-0000C3670000}"/>
    <cellStyle name="Input 2 3 4 3 2 4" xfId="26569" xr:uid="{00000000-0005-0000-0000-0000C4670000}"/>
    <cellStyle name="Input 2 3 4 3 2 5" xfId="26570" xr:uid="{00000000-0005-0000-0000-0000C5670000}"/>
    <cellStyle name="Input 2 3 4 3 2 6" xfId="26571" xr:uid="{00000000-0005-0000-0000-0000C6670000}"/>
    <cellStyle name="Input 2 3 4 3 3" xfId="26572" xr:uid="{00000000-0005-0000-0000-0000C7670000}"/>
    <cellStyle name="Input 2 3 4 3 4" xfId="26573" xr:uid="{00000000-0005-0000-0000-0000C8670000}"/>
    <cellStyle name="Input 2 3 4 3 5" xfId="26574" xr:uid="{00000000-0005-0000-0000-0000C9670000}"/>
    <cellStyle name="Input 2 3 4 3 6" xfId="26575" xr:uid="{00000000-0005-0000-0000-0000CA670000}"/>
    <cellStyle name="Input 2 3 4 4" xfId="26576" xr:uid="{00000000-0005-0000-0000-0000CB670000}"/>
    <cellStyle name="Input 2 3 4 4 2" xfId="26577" xr:uid="{00000000-0005-0000-0000-0000CC670000}"/>
    <cellStyle name="Input 2 3 4 4 3" xfId="26578" xr:uid="{00000000-0005-0000-0000-0000CD670000}"/>
    <cellStyle name="Input 2 3 4 4 4" xfId="26579" xr:uid="{00000000-0005-0000-0000-0000CE670000}"/>
    <cellStyle name="Input 2 3 4 4 5" xfId="26580" xr:uid="{00000000-0005-0000-0000-0000CF670000}"/>
    <cellStyle name="Input 2 3 4 4 6" xfId="26581" xr:uid="{00000000-0005-0000-0000-0000D0670000}"/>
    <cellStyle name="Input 2 3 4 5" xfId="26582" xr:uid="{00000000-0005-0000-0000-0000D1670000}"/>
    <cellStyle name="Input 2 3 4 6" xfId="26583" xr:uid="{00000000-0005-0000-0000-0000D2670000}"/>
    <cellStyle name="Input 2 3 4 7" xfId="26584" xr:uid="{00000000-0005-0000-0000-0000D3670000}"/>
    <cellStyle name="Input 2 3 4 8" xfId="26585" xr:uid="{00000000-0005-0000-0000-0000D4670000}"/>
    <cellStyle name="Input 2 3 5" xfId="26586" xr:uid="{00000000-0005-0000-0000-0000D5670000}"/>
    <cellStyle name="Input 2 3 5 2" xfId="26587" xr:uid="{00000000-0005-0000-0000-0000D6670000}"/>
    <cellStyle name="Input 2 3 5 2 2" xfId="26588" xr:uid="{00000000-0005-0000-0000-0000D7670000}"/>
    <cellStyle name="Input 2 3 5 2 2 2" xfId="26589" xr:uid="{00000000-0005-0000-0000-0000D8670000}"/>
    <cellStyle name="Input 2 3 5 2 2 3" xfId="26590" xr:uid="{00000000-0005-0000-0000-0000D9670000}"/>
    <cellStyle name="Input 2 3 5 2 2 4" xfId="26591" xr:uid="{00000000-0005-0000-0000-0000DA670000}"/>
    <cellStyle name="Input 2 3 5 2 2 5" xfId="26592" xr:uid="{00000000-0005-0000-0000-0000DB670000}"/>
    <cellStyle name="Input 2 3 5 2 2 6" xfId="26593" xr:uid="{00000000-0005-0000-0000-0000DC670000}"/>
    <cellStyle name="Input 2 3 5 2 3" xfId="26594" xr:uid="{00000000-0005-0000-0000-0000DD670000}"/>
    <cellStyle name="Input 2 3 5 2 4" xfId="26595" xr:uid="{00000000-0005-0000-0000-0000DE670000}"/>
    <cellStyle name="Input 2 3 5 2 5" xfId="26596" xr:uid="{00000000-0005-0000-0000-0000DF670000}"/>
    <cellStyle name="Input 2 3 5 2 6" xfId="26597" xr:uid="{00000000-0005-0000-0000-0000E0670000}"/>
    <cellStyle name="Input 2 3 5 3" xfId="26598" xr:uid="{00000000-0005-0000-0000-0000E1670000}"/>
    <cellStyle name="Input 2 3 5 3 2" xfId="26599" xr:uid="{00000000-0005-0000-0000-0000E2670000}"/>
    <cellStyle name="Input 2 3 5 3 2 2" xfId="26600" xr:uid="{00000000-0005-0000-0000-0000E3670000}"/>
    <cellStyle name="Input 2 3 5 3 2 3" xfId="26601" xr:uid="{00000000-0005-0000-0000-0000E4670000}"/>
    <cellStyle name="Input 2 3 5 3 2 4" xfId="26602" xr:uid="{00000000-0005-0000-0000-0000E5670000}"/>
    <cellStyle name="Input 2 3 5 3 2 5" xfId="26603" xr:uid="{00000000-0005-0000-0000-0000E6670000}"/>
    <cellStyle name="Input 2 3 5 3 2 6" xfId="26604" xr:uid="{00000000-0005-0000-0000-0000E7670000}"/>
    <cellStyle name="Input 2 3 5 3 3" xfId="26605" xr:uid="{00000000-0005-0000-0000-0000E8670000}"/>
    <cellStyle name="Input 2 3 5 3 4" xfId="26606" xr:uid="{00000000-0005-0000-0000-0000E9670000}"/>
    <cellStyle name="Input 2 3 5 3 5" xfId="26607" xr:uid="{00000000-0005-0000-0000-0000EA670000}"/>
    <cellStyle name="Input 2 3 5 3 6" xfId="26608" xr:uid="{00000000-0005-0000-0000-0000EB670000}"/>
    <cellStyle name="Input 2 3 5 4" xfId="26609" xr:uid="{00000000-0005-0000-0000-0000EC670000}"/>
    <cellStyle name="Input 2 3 5 4 2" xfId="26610" xr:uid="{00000000-0005-0000-0000-0000ED670000}"/>
    <cellStyle name="Input 2 3 5 4 3" xfId="26611" xr:uid="{00000000-0005-0000-0000-0000EE670000}"/>
    <cellStyle name="Input 2 3 5 4 4" xfId="26612" xr:uid="{00000000-0005-0000-0000-0000EF670000}"/>
    <cellStyle name="Input 2 3 5 4 5" xfId="26613" xr:uid="{00000000-0005-0000-0000-0000F0670000}"/>
    <cellStyle name="Input 2 3 5 4 6" xfId="26614" xr:uid="{00000000-0005-0000-0000-0000F1670000}"/>
    <cellStyle name="Input 2 3 5 5" xfId="26615" xr:uid="{00000000-0005-0000-0000-0000F2670000}"/>
    <cellStyle name="Input 2 3 5 6" xfId="26616" xr:uid="{00000000-0005-0000-0000-0000F3670000}"/>
    <cellStyle name="Input 2 3 5 7" xfId="26617" xr:uid="{00000000-0005-0000-0000-0000F4670000}"/>
    <cellStyle name="Input 2 3 5 8" xfId="26618" xr:uid="{00000000-0005-0000-0000-0000F5670000}"/>
    <cellStyle name="Input 2 3 6" xfId="26619" xr:uid="{00000000-0005-0000-0000-0000F6670000}"/>
    <cellStyle name="Input 2 3 6 2" xfId="26620" xr:uid="{00000000-0005-0000-0000-0000F7670000}"/>
    <cellStyle name="Input 2 3 6 2 2" xfId="26621" xr:uid="{00000000-0005-0000-0000-0000F8670000}"/>
    <cellStyle name="Input 2 3 6 2 2 2" xfId="26622" xr:uid="{00000000-0005-0000-0000-0000F9670000}"/>
    <cellStyle name="Input 2 3 6 2 2 3" xfId="26623" xr:uid="{00000000-0005-0000-0000-0000FA670000}"/>
    <cellStyle name="Input 2 3 6 2 2 4" xfId="26624" xr:uid="{00000000-0005-0000-0000-0000FB670000}"/>
    <cellStyle name="Input 2 3 6 2 2 5" xfId="26625" xr:uid="{00000000-0005-0000-0000-0000FC670000}"/>
    <cellStyle name="Input 2 3 6 2 2 6" xfId="26626" xr:uid="{00000000-0005-0000-0000-0000FD670000}"/>
    <cellStyle name="Input 2 3 6 2 3" xfId="26627" xr:uid="{00000000-0005-0000-0000-0000FE670000}"/>
    <cellStyle name="Input 2 3 6 2 4" xfId="26628" xr:uid="{00000000-0005-0000-0000-0000FF670000}"/>
    <cellStyle name="Input 2 3 6 2 5" xfId="26629" xr:uid="{00000000-0005-0000-0000-000000680000}"/>
    <cellStyle name="Input 2 3 6 2 6" xfId="26630" xr:uid="{00000000-0005-0000-0000-000001680000}"/>
    <cellStyle name="Input 2 3 6 3" xfId="26631" xr:uid="{00000000-0005-0000-0000-000002680000}"/>
    <cellStyle name="Input 2 3 6 3 2" xfId="26632" xr:uid="{00000000-0005-0000-0000-000003680000}"/>
    <cellStyle name="Input 2 3 6 3 2 2" xfId="26633" xr:uid="{00000000-0005-0000-0000-000004680000}"/>
    <cellStyle name="Input 2 3 6 3 2 3" xfId="26634" xr:uid="{00000000-0005-0000-0000-000005680000}"/>
    <cellStyle name="Input 2 3 6 3 2 4" xfId="26635" xr:uid="{00000000-0005-0000-0000-000006680000}"/>
    <cellStyle name="Input 2 3 6 3 2 5" xfId="26636" xr:uid="{00000000-0005-0000-0000-000007680000}"/>
    <cellStyle name="Input 2 3 6 3 2 6" xfId="26637" xr:uid="{00000000-0005-0000-0000-000008680000}"/>
    <cellStyle name="Input 2 3 6 3 3" xfId="26638" xr:uid="{00000000-0005-0000-0000-000009680000}"/>
    <cellStyle name="Input 2 3 6 3 4" xfId="26639" xr:uid="{00000000-0005-0000-0000-00000A680000}"/>
    <cellStyle name="Input 2 3 6 3 5" xfId="26640" xr:uid="{00000000-0005-0000-0000-00000B680000}"/>
    <cellStyle name="Input 2 3 6 3 6" xfId="26641" xr:uid="{00000000-0005-0000-0000-00000C680000}"/>
    <cellStyle name="Input 2 3 6 4" xfId="26642" xr:uid="{00000000-0005-0000-0000-00000D680000}"/>
    <cellStyle name="Input 2 3 6 4 2" xfId="26643" xr:uid="{00000000-0005-0000-0000-00000E680000}"/>
    <cellStyle name="Input 2 3 6 4 3" xfId="26644" xr:uid="{00000000-0005-0000-0000-00000F680000}"/>
    <cellStyle name="Input 2 3 6 4 4" xfId="26645" xr:uid="{00000000-0005-0000-0000-000010680000}"/>
    <cellStyle name="Input 2 3 6 4 5" xfId="26646" xr:uid="{00000000-0005-0000-0000-000011680000}"/>
    <cellStyle name="Input 2 3 6 4 6" xfId="26647" xr:uid="{00000000-0005-0000-0000-000012680000}"/>
    <cellStyle name="Input 2 3 6 5" xfId="26648" xr:uid="{00000000-0005-0000-0000-000013680000}"/>
    <cellStyle name="Input 2 3 6 6" xfId="26649" xr:uid="{00000000-0005-0000-0000-000014680000}"/>
    <cellStyle name="Input 2 3 6 7" xfId="26650" xr:uid="{00000000-0005-0000-0000-000015680000}"/>
    <cellStyle name="Input 2 3 6 8" xfId="26651" xr:uid="{00000000-0005-0000-0000-000016680000}"/>
    <cellStyle name="Input 2 3 7" xfId="26652" xr:uid="{00000000-0005-0000-0000-000017680000}"/>
    <cellStyle name="Input 2 3 7 2" xfId="26653" xr:uid="{00000000-0005-0000-0000-000018680000}"/>
    <cellStyle name="Input 2 3 7 2 2" xfId="26654" xr:uid="{00000000-0005-0000-0000-000019680000}"/>
    <cellStyle name="Input 2 3 7 2 3" xfId="26655" xr:uid="{00000000-0005-0000-0000-00001A680000}"/>
    <cellStyle name="Input 2 3 7 2 4" xfId="26656" xr:uid="{00000000-0005-0000-0000-00001B680000}"/>
    <cellStyle name="Input 2 3 7 2 5" xfId="26657" xr:uid="{00000000-0005-0000-0000-00001C680000}"/>
    <cellStyle name="Input 2 3 7 2 6" xfId="26658" xr:uid="{00000000-0005-0000-0000-00001D680000}"/>
    <cellStyle name="Input 2 3 7 3" xfId="26659" xr:uid="{00000000-0005-0000-0000-00001E680000}"/>
    <cellStyle name="Input 2 3 7 4" xfId="26660" xr:uid="{00000000-0005-0000-0000-00001F680000}"/>
    <cellStyle name="Input 2 3 7 5" xfId="26661" xr:uid="{00000000-0005-0000-0000-000020680000}"/>
    <cellStyle name="Input 2 3 7 6" xfId="26662" xr:uid="{00000000-0005-0000-0000-000021680000}"/>
    <cellStyle name="Input 2 3 8" xfId="26663" xr:uid="{00000000-0005-0000-0000-000022680000}"/>
    <cellStyle name="Input 2 3 8 2" xfId="26664" xr:uid="{00000000-0005-0000-0000-000023680000}"/>
    <cellStyle name="Input 2 3 8 2 2" xfId="26665" xr:uid="{00000000-0005-0000-0000-000024680000}"/>
    <cellStyle name="Input 2 3 8 2 3" xfId="26666" xr:uid="{00000000-0005-0000-0000-000025680000}"/>
    <cellStyle name="Input 2 3 8 2 4" xfId="26667" xr:uid="{00000000-0005-0000-0000-000026680000}"/>
    <cellStyle name="Input 2 3 8 2 5" xfId="26668" xr:uid="{00000000-0005-0000-0000-000027680000}"/>
    <cellStyle name="Input 2 3 8 2 6" xfId="26669" xr:uid="{00000000-0005-0000-0000-000028680000}"/>
    <cellStyle name="Input 2 3 8 3" xfId="26670" xr:uid="{00000000-0005-0000-0000-000029680000}"/>
    <cellStyle name="Input 2 3 8 4" xfId="26671" xr:uid="{00000000-0005-0000-0000-00002A680000}"/>
    <cellStyle name="Input 2 3 8 5" xfId="26672" xr:uid="{00000000-0005-0000-0000-00002B680000}"/>
    <cellStyle name="Input 2 3 8 6" xfId="26673" xr:uid="{00000000-0005-0000-0000-00002C680000}"/>
    <cellStyle name="Input 2 3 9" xfId="26674" xr:uid="{00000000-0005-0000-0000-00002D680000}"/>
    <cellStyle name="Input 2 3 9 2" xfId="26675" xr:uid="{00000000-0005-0000-0000-00002E680000}"/>
    <cellStyle name="Input 2 3 9 3" xfId="26676" xr:uid="{00000000-0005-0000-0000-00002F680000}"/>
    <cellStyle name="Input 2 3 9 4" xfId="26677" xr:uid="{00000000-0005-0000-0000-000030680000}"/>
    <cellStyle name="Input 2 3 9 5" xfId="26678" xr:uid="{00000000-0005-0000-0000-000031680000}"/>
    <cellStyle name="Input 2 3 9 6" xfId="26679" xr:uid="{00000000-0005-0000-0000-000032680000}"/>
    <cellStyle name="Input 2 30" xfId="26680" xr:uid="{00000000-0005-0000-0000-000033680000}"/>
    <cellStyle name="Input 2 30 2" xfId="26681" xr:uid="{00000000-0005-0000-0000-000034680000}"/>
    <cellStyle name="Input 2 30 2 2" xfId="26682" xr:uid="{00000000-0005-0000-0000-000035680000}"/>
    <cellStyle name="Input 2 30 2 3" xfId="26683" xr:uid="{00000000-0005-0000-0000-000036680000}"/>
    <cellStyle name="Input 2 30 2 4" xfId="26684" xr:uid="{00000000-0005-0000-0000-000037680000}"/>
    <cellStyle name="Input 2 30 2 5" xfId="26685" xr:uid="{00000000-0005-0000-0000-000038680000}"/>
    <cellStyle name="Input 2 30 3" xfId="26686" xr:uid="{00000000-0005-0000-0000-000039680000}"/>
    <cellStyle name="Input 2 30 4" xfId="26687" xr:uid="{00000000-0005-0000-0000-00003A680000}"/>
    <cellStyle name="Input 2 30 5" xfId="26688" xr:uid="{00000000-0005-0000-0000-00003B680000}"/>
    <cellStyle name="Input 2 30 6" xfId="26689" xr:uid="{00000000-0005-0000-0000-00003C680000}"/>
    <cellStyle name="Input 2 31" xfId="26690" xr:uid="{00000000-0005-0000-0000-00003D680000}"/>
    <cellStyle name="Input 2 31 2" xfId="26691" xr:uid="{00000000-0005-0000-0000-00003E680000}"/>
    <cellStyle name="Input 2 31 2 2" xfId="26692" xr:uid="{00000000-0005-0000-0000-00003F680000}"/>
    <cellStyle name="Input 2 31 2 3" xfId="26693" xr:uid="{00000000-0005-0000-0000-000040680000}"/>
    <cellStyle name="Input 2 31 2 4" xfId="26694" xr:uid="{00000000-0005-0000-0000-000041680000}"/>
    <cellStyle name="Input 2 31 2 5" xfId="26695" xr:uid="{00000000-0005-0000-0000-000042680000}"/>
    <cellStyle name="Input 2 31 3" xfId="26696" xr:uid="{00000000-0005-0000-0000-000043680000}"/>
    <cellStyle name="Input 2 31 4" xfId="26697" xr:uid="{00000000-0005-0000-0000-000044680000}"/>
    <cellStyle name="Input 2 31 5" xfId="26698" xr:uid="{00000000-0005-0000-0000-000045680000}"/>
    <cellStyle name="Input 2 31 6" xfId="26699" xr:uid="{00000000-0005-0000-0000-000046680000}"/>
    <cellStyle name="Input 2 32" xfId="26700" xr:uid="{00000000-0005-0000-0000-000047680000}"/>
    <cellStyle name="Input 2 32 2" xfId="26701" xr:uid="{00000000-0005-0000-0000-000048680000}"/>
    <cellStyle name="Input 2 32 2 2" xfId="26702" xr:uid="{00000000-0005-0000-0000-000049680000}"/>
    <cellStyle name="Input 2 32 2 3" xfId="26703" xr:uid="{00000000-0005-0000-0000-00004A680000}"/>
    <cellStyle name="Input 2 32 2 4" xfId="26704" xr:uid="{00000000-0005-0000-0000-00004B680000}"/>
    <cellStyle name="Input 2 32 2 5" xfId="26705" xr:uid="{00000000-0005-0000-0000-00004C680000}"/>
    <cellStyle name="Input 2 32 3" xfId="26706" xr:uid="{00000000-0005-0000-0000-00004D680000}"/>
    <cellStyle name="Input 2 32 4" xfId="26707" xr:uid="{00000000-0005-0000-0000-00004E680000}"/>
    <cellStyle name="Input 2 32 5" xfId="26708" xr:uid="{00000000-0005-0000-0000-00004F680000}"/>
    <cellStyle name="Input 2 32 6" xfId="26709" xr:uid="{00000000-0005-0000-0000-000050680000}"/>
    <cellStyle name="Input 2 33" xfId="26710" xr:uid="{00000000-0005-0000-0000-000051680000}"/>
    <cellStyle name="Input 2 33 2" xfId="26711" xr:uid="{00000000-0005-0000-0000-000052680000}"/>
    <cellStyle name="Input 2 33 2 2" xfId="26712" xr:uid="{00000000-0005-0000-0000-000053680000}"/>
    <cellStyle name="Input 2 33 2 3" xfId="26713" xr:uid="{00000000-0005-0000-0000-000054680000}"/>
    <cellStyle name="Input 2 33 2 4" xfId="26714" xr:uid="{00000000-0005-0000-0000-000055680000}"/>
    <cellStyle name="Input 2 33 2 5" xfId="26715" xr:uid="{00000000-0005-0000-0000-000056680000}"/>
    <cellStyle name="Input 2 33 3" xfId="26716" xr:uid="{00000000-0005-0000-0000-000057680000}"/>
    <cellStyle name="Input 2 33 4" xfId="26717" xr:uid="{00000000-0005-0000-0000-000058680000}"/>
    <cellStyle name="Input 2 33 5" xfId="26718" xr:uid="{00000000-0005-0000-0000-000059680000}"/>
    <cellStyle name="Input 2 33 6" xfId="26719" xr:uid="{00000000-0005-0000-0000-00005A680000}"/>
    <cellStyle name="Input 2 34" xfId="26720" xr:uid="{00000000-0005-0000-0000-00005B680000}"/>
    <cellStyle name="Input 2 34 2" xfId="26721" xr:uid="{00000000-0005-0000-0000-00005C680000}"/>
    <cellStyle name="Input 2 34 2 2" xfId="26722" xr:uid="{00000000-0005-0000-0000-00005D680000}"/>
    <cellStyle name="Input 2 34 2 3" xfId="26723" xr:uid="{00000000-0005-0000-0000-00005E680000}"/>
    <cellStyle name="Input 2 34 2 4" xfId="26724" xr:uid="{00000000-0005-0000-0000-00005F680000}"/>
    <cellStyle name="Input 2 34 2 5" xfId="26725" xr:uid="{00000000-0005-0000-0000-000060680000}"/>
    <cellStyle name="Input 2 34 3" xfId="26726" xr:uid="{00000000-0005-0000-0000-000061680000}"/>
    <cellStyle name="Input 2 34 4" xfId="26727" xr:uid="{00000000-0005-0000-0000-000062680000}"/>
    <cellStyle name="Input 2 34 5" xfId="26728" xr:uid="{00000000-0005-0000-0000-000063680000}"/>
    <cellStyle name="Input 2 34 6" xfId="26729" xr:uid="{00000000-0005-0000-0000-000064680000}"/>
    <cellStyle name="Input 2 35" xfId="26730" xr:uid="{00000000-0005-0000-0000-000065680000}"/>
    <cellStyle name="Input 2 35 2" xfId="26731" xr:uid="{00000000-0005-0000-0000-000066680000}"/>
    <cellStyle name="Input 2 35 2 2" xfId="26732" xr:uid="{00000000-0005-0000-0000-000067680000}"/>
    <cellStyle name="Input 2 35 2 3" xfId="26733" xr:uid="{00000000-0005-0000-0000-000068680000}"/>
    <cellStyle name="Input 2 35 2 4" xfId="26734" xr:uid="{00000000-0005-0000-0000-000069680000}"/>
    <cellStyle name="Input 2 35 2 5" xfId="26735" xr:uid="{00000000-0005-0000-0000-00006A680000}"/>
    <cellStyle name="Input 2 35 3" xfId="26736" xr:uid="{00000000-0005-0000-0000-00006B680000}"/>
    <cellStyle name="Input 2 35 4" xfId="26737" xr:uid="{00000000-0005-0000-0000-00006C680000}"/>
    <cellStyle name="Input 2 35 5" xfId="26738" xr:uid="{00000000-0005-0000-0000-00006D680000}"/>
    <cellStyle name="Input 2 35 6" xfId="26739" xr:uid="{00000000-0005-0000-0000-00006E680000}"/>
    <cellStyle name="Input 2 36" xfId="26740" xr:uid="{00000000-0005-0000-0000-00006F680000}"/>
    <cellStyle name="Input 2 36 2" xfId="26741" xr:uid="{00000000-0005-0000-0000-000070680000}"/>
    <cellStyle name="Input 2 36 2 2" xfId="26742" xr:uid="{00000000-0005-0000-0000-000071680000}"/>
    <cellStyle name="Input 2 36 2 3" xfId="26743" xr:uid="{00000000-0005-0000-0000-000072680000}"/>
    <cellStyle name="Input 2 36 2 4" xfId="26744" xr:uid="{00000000-0005-0000-0000-000073680000}"/>
    <cellStyle name="Input 2 36 2 5" xfId="26745" xr:uid="{00000000-0005-0000-0000-000074680000}"/>
    <cellStyle name="Input 2 36 3" xfId="26746" xr:uid="{00000000-0005-0000-0000-000075680000}"/>
    <cellStyle name="Input 2 36 4" xfId="26747" xr:uid="{00000000-0005-0000-0000-000076680000}"/>
    <cellStyle name="Input 2 36 5" xfId="26748" xr:uid="{00000000-0005-0000-0000-000077680000}"/>
    <cellStyle name="Input 2 36 6" xfId="26749" xr:uid="{00000000-0005-0000-0000-000078680000}"/>
    <cellStyle name="Input 2 37" xfId="26750" xr:uid="{00000000-0005-0000-0000-000079680000}"/>
    <cellStyle name="Input 2 37 2" xfId="26751" xr:uid="{00000000-0005-0000-0000-00007A680000}"/>
    <cellStyle name="Input 2 37 2 2" xfId="26752" xr:uid="{00000000-0005-0000-0000-00007B680000}"/>
    <cellStyle name="Input 2 37 2 3" xfId="26753" xr:uid="{00000000-0005-0000-0000-00007C680000}"/>
    <cellStyle name="Input 2 37 2 4" xfId="26754" xr:uid="{00000000-0005-0000-0000-00007D680000}"/>
    <cellStyle name="Input 2 37 2 5" xfId="26755" xr:uid="{00000000-0005-0000-0000-00007E680000}"/>
    <cellStyle name="Input 2 37 3" xfId="26756" xr:uid="{00000000-0005-0000-0000-00007F680000}"/>
    <cellStyle name="Input 2 37 4" xfId="26757" xr:uid="{00000000-0005-0000-0000-000080680000}"/>
    <cellStyle name="Input 2 37 5" xfId="26758" xr:uid="{00000000-0005-0000-0000-000081680000}"/>
    <cellStyle name="Input 2 37 6" xfId="26759" xr:uid="{00000000-0005-0000-0000-000082680000}"/>
    <cellStyle name="Input 2 38" xfId="26760" xr:uid="{00000000-0005-0000-0000-000083680000}"/>
    <cellStyle name="Input 2 38 2" xfId="26761" xr:uid="{00000000-0005-0000-0000-000084680000}"/>
    <cellStyle name="Input 2 38 2 2" xfId="26762" xr:uid="{00000000-0005-0000-0000-000085680000}"/>
    <cellStyle name="Input 2 38 2 3" xfId="26763" xr:uid="{00000000-0005-0000-0000-000086680000}"/>
    <cellStyle name="Input 2 38 2 4" xfId="26764" xr:uid="{00000000-0005-0000-0000-000087680000}"/>
    <cellStyle name="Input 2 38 2 5" xfId="26765" xr:uid="{00000000-0005-0000-0000-000088680000}"/>
    <cellStyle name="Input 2 38 3" xfId="26766" xr:uid="{00000000-0005-0000-0000-000089680000}"/>
    <cellStyle name="Input 2 38 4" xfId="26767" xr:uid="{00000000-0005-0000-0000-00008A680000}"/>
    <cellStyle name="Input 2 38 5" xfId="26768" xr:uid="{00000000-0005-0000-0000-00008B680000}"/>
    <cellStyle name="Input 2 38 6" xfId="26769" xr:uid="{00000000-0005-0000-0000-00008C680000}"/>
    <cellStyle name="Input 2 39" xfId="26770" xr:uid="{00000000-0005-0000-0000-00008D680000}"/>
    <cellStyle name="Input 2 39 2" xfId="26771" xr:uid="{00000000-0005-0000-0000-00008E680000}"/>
    <cellStyle name="Input 2 39 2 2" xfId="26772" xr:uid="{00000000-0005-0000-0000-00008F680000}"/>
    <cellStyle name="Input 2 39 2 3" xfId="26773" xr:uid="{00000000-0005-0000-0000-000090680000}"/>
    <cellStyle name="Input 2 39 2 4" xfId="26774" xr:uid="{00000000-0005-0000-0000-000091680000}"/>
    <cellStyle name="Input 2 39 2 5" xfId="26775" xr:uid="{00000000-0005-0000-0000-000092680000}"/>
    <cellStyle name="Input 2 39 3" xfId="26776" xr:uid="{00000000-0005-0000-0000-000093680000}"/>
    <cellStyle name="Input 2 39 4" xfId="26777" xr:uid="{00000000-0005-0000-0000-000094680000}"/>
    <cellStyle name="Input 2 39 5" xfId="26778" xr:uid="{00000000-0005-0000-0000-000095680000}"/>
    <cellStyle name="Input 2 39 6" xfId="26779" xr:uid="{00000000-0005-0000-0000-000096680000}"/>
    <cellStyle name="Input 2 4" xfId="26780" xr:uid="{00000000-0005-0000-0000-000097680000}"/>
    <cellStyle name="Input 2 4 10" xfId="26781" xr:uid="{00000000-0005-0000-0000-000098680000}"/>
    <cellStyle name="Input 2 4 10 2" xfId="26782" xr:uid="{00000000-0005-0000-0000-000099680000}"/>
    <cellStyle name="Input 2 4 10 3" xfId="26783" xr:uid="{00000000-0005-0000-0000-00009A680000}"/>
    <cellStyle name="Input 2 4 10 4" xfId="26784" xr:uid="{00000000-0005-0000-0000-00009B680000}"/>
    <cellStyle name="Input 2 4 10 5" xfId="26785" xr:uid="{00000000-0005-0000-0000-00009C680000}"/>
    <cellStyle name="Input 2 4 10 6" xfId="26786" xr:uid="{00000000-0005-0000-0000-00009D680000}"/>
    <cellStyle name="Input 2 4 11" xfId="26787" xr:uid="{00000000-0005-0000-0000-00009E680000}"/>
    <cellStyle name="Input 2 4 11 2" xfId="26788" xr:uid="{00000000-0005-0000-0000-00009F680000}"/>
    <cellStyle name="Input 2 4 11 3" xfId="26789" xr:uid="{00000000-0005-0000-0000-0000A0680000}"/>
    <cellStyle name="Input 2 4 11 4" xfId="26790" xr:uid="{00000000-0005-0000-0000-0000A1680000}"/>
    <cellStyle name="Input 2 4 11 5" xfId="26791" xr:uid="{00000000-0005-0000-0000-0000A2680000}"/>
    <cellStyle name="Input 2 4 12" xfId="26792" xr:uid="{00000000-0005-0000-0000-0000A3680000}"/>
    <cellStyle name="Input 2 4 13" xfId="26793" xr:uid="{00000000-0005-0000-0000-0000A4680000}"/>
    <cellStyle name="Input 2 4 14" xfId="26794" xr:uid="{00000000-0005-0000-0000-0000A5680000}"/>
    <cellStyle name="Input 2 4 15" xfId="26795" xr:uid="{00000000-0005-0000-0000-0000A6680000}"/>
    <cellStyle name="Input 2 4 2" xfId="26796" xr:uid="{00000000-0005-0000-0000-0000A7680000}"/>
    <cellStyle name="Input 2 4 2 10" xfId="26797" xr:uid="{00000000-0005-0000-0000-0000A8680000}"/>
    <cellStyle name="Input 2 4 2 10 2" xfId="26798" xr:uid="{00000000-0005-0000-0000-0000A9680000}"/>
    <cellStyle name="Input 2 4 2 10 3" xfId="26799" xr:uid="{00000000-0005-0000-0000-0000AA680000}"/>
    <cellStyle name="Input 2 4 2 10 4" xfId="26800" xr:uid="{00000000-0005-0000-0000-0000AB680000}"/>
    <cellStyle name="Input 2 4 2 10 5" xfId="26801" xr:uid="{00000000-0005-0000-0000-0000AC680000}"/>
    <cellStyle name="Input 2 4 2 11" xfId="26802" xr:uid="{00000000-0005-0000-0000-0000AD680000}"/>
    <cellStyle name="Input 2 4 2 12" xfId="26803" xr:uid="{00000000-0005-0000-0000-0000AE680000}"/>
    <cellStyle name="Input 2 4 2 13" xfId="26804" xr:uid="{00000000-0005-0000-0000-0000AF680000}"/>
    <cellStyle name="Input 2 4 2 14" xfId="26805" xr:uid="{00000000-0005-0000-0000-0000B0680000}"/>
    <cellStyle name="Input 2 4 2 2" xfId="26806" xr:uid="{00000000-0005-0000-0000-0000B1680000}"/>
    <cellStyle name="Input 2 4 2 2 2" xfId="26807" xr:uid="{00000000-0005-0000-0000-0000B2680000}"/>
    <cellStyle name="Input 2 4 2 2 2 2" xfId="26808" xr:uid="{00000000-0005-0000-0000-0000B3680000}"/>
    <cellStyle name="Input 2 4 2 2 2 2 2" xfId="26809" xr:uid="{00000000-0005-0000-0000-0000B4680000}"/>
    <cellStyle name="Input 2 4 2 2 2 2 3" xfId="26810" xr:uid="{00000000-0005-0000-0000-0000B5680000}"/>
    <cellStyle name="Input 2 4 2 2 2 2 4" xfId="26811" xr:uid="{00000000-0005-0000-0000-0000B6680000}"/>
    <cellStyle name="Input 2 4 2 2 2 2 5" xfId="26812" xr:uid="{00000000-0005-0000-0000-0000B7680000}"/>
    <cellStyle name="Input 2 4 2 2 2 2 6" xfId="26813" xr:uid="{00000000-0005-0000-0000-0000B8680000}"/>
    <cellStyle name="Input 2 4 2 2 2 3" xfId="26814" xr:uid="{00000000-0005-0000-0000-0000B9680000}"/>
    <cellStyle name="Input 2 4 2 2 2 4" xfId="26815" xr:uid="{00000000-0005-0000-0000-0000BA680000}"/>
    <cellStyle name="Input 2 4 2 2 2 5" xfId="26816" xr:uid="{00000000-0005-0000-0000-0000BB680000}"/>
    <cellStyle name="Input 2 4 2 2 2 6" xfId="26817" xr:uid="{00000000-0005-0000-0000-0000BC680000}"/>
    <cellStyle name="Input 2 4 2 2 3" xfId="26818" xr:uid="{00000000-0005-0000-0000-0000BD680000}"/>
    <cellStyle name="Input 2 4 2 2 3 2" xfId="26819" xr:uid="{00000000-0005-0000-0000-0000BE680000}"/>
    <cellStyle name="Input 2 4 2 2 3 2 2" xfId="26820" xr:uid="{00000000-0005-0000-0000-0000BF680000}"/>
    <cellStyle name="Input 2 4 2 2 3 2 3" xfId="26821" xr:uid="{00000000-0005-0000-0000-0000C0680000}"/>
    <cellStyle name="Input 2 4 2 2 3 2 4" xfId="26822" xr:uid="{00000000-0005-0000-0000-0000C1680000}"/>
    <cellStyle name="Input 2 4 2 2 3 2 5" xfId="26823" xr:uid="{00000000-0005-0000-0000-0000C2680000}"/>
    <cellStyle name="Input 2 4 2 2 3 2 6" xfId="26824" xr:uid="{00000000-0005-0000-0000-0000C3680000}"/>
    <cellStyle name="Input 2 4 2 2 3 3" xfId="26825" xr:uid="{00000000-0005-0000-0000-0000C4680000}"/>
    <cellStyle name="Input 2 4 2 2 3 4" xfId="26826" xr:uid="{00000000-0005-0000-0000-0000C5680000}"/>
    <cellStyle name="Input 2 4 2 2 3 5" xfId="26827" xr:uid="{00000000-0005-0000-0000-0000C6680000}"/>
    <cellStyle name="Input 2 4 2 2 3 6" xfId="26828" xr:uid="{00000000-0005-0000-0000-0000C7680000}"/>
    <cellStyle name="Input 2 4 2 2 4" xfId="26829" xr:uid="{00000000-0005-0000-0000-0000C8680000}"/>
    <cellStyle name="Input 2 4 2 2 4 2" xfId="26830" xr:uid="{00000000-0005-0000-0000-0000C9680000}"/>
    <cellStyle name="Input 2 4 2 2 4 3" xfId="26831" xr:uid="{00000000-0005-0000-0000-0000CA680000}"/>
    <cellStyle name="Input 2 4 2 2 4 4" xfId="26832" xr:uid="{00000000-0005-0000-0000-0000CB680000}"/>
    <cellStyle name="Input 2 4 2 2 4 5" xfId="26833" xr:uid="{00000000-0005-0000-0000-0000CC680000}"/>
    <cellStyle name="Input 2 4 2 2 4 6" xfId="26834" xr:uid="{00000000-0005-0000-0000-0000CD680000}"/>
    <cellStyle name="Input 2 4 2 2 5" xfId="26835" xr:uid="{00000000-0005-0000-0000-0000CE680000}"/>
    <cellStyle name="Input 2 4 2 2 6" xfId="26836" xr:uid="{00000000-0005-0000-0000-0000CF680000}"/>
    <cellStyle name="Input 2 4 2 2 7" xfId="26837" xr:uid="{00000000-0005-0000-0000-0000D0680000}"/>
    <cellStyle name="Input 2 4 2 2 8" xfId="26838" xr:uid="{00000000-0005-0000-0000-0000D1680000}"/>
    <cellStyle name="Input 2 4 2 3" xfId="26839" xr:uid="{00000000-0005-0000-0000-0000D2680000}"/>
    <cellStyle name="Input 2 4 2 3 2" xfId="26840" xr:uid="{00000000-0005-0000-0000-0000D3680000}"/>
    <cellStyle name="Input 2 4 2 3 2 2" xfId="26841" xr:uid="{00000000-0005-0000-0000-0000D4680000}"/>
    <cellStyle name="Input 2 4 2 3 2 2 2" xfId="26842" xr:uid="{00000000-0005-0000-0000-0000D5680000}"/>
    <cellStyle name="Input 2 4 2 3 2 2 3" xfId="26843" xr:uid="{00000000-0005-0000-0000-0000D6680000}"/>
    <cellStyle name="Input 2 4 2 3 2 2 4" xfId="26844" xr:uid="{00000000-0005-0000-0000-0000D7680000}"/>
    <cellStyle name="Input 2 4 2 3 2 2 5" xfId="26845" xr:uid="{00000000-0005-0000-0000-0000D8680000}"/>
    <cellStyle name="Input 2 4 2 3 2 2 6" xfId="26846" xr:uid="{00000000-0005-0000-0000-0000D9680000}"/>
    <cellStyle name="Input 2 4 2 3 2 3" xfId="26847" xr:uid="{00000000-0005-0000-0000-0000DA680000}"/>
    <cellStyle name="Input 2 4 2 3 2 4" xfId="26848" xr:uid="{00000000-0005-0000-0000-0000DB680000}"/>
    <cellStyle name="Input 2 4 2 3 2 5" xfId="26849" xr:uid="{00000000-0005-0000-0000-0000DC680000}"/>
    <cellStyle name="Input 2 4 2 3 2 6" xfId="26850" xr:uid="{00000000-0005-0000-0000-0000DD680000}"/>
    <cellStyle name="Input 2 4 2 3 3" xfId="26851" xr:uid="{00000000-0005-0000-0000-0000DE680000}"/>
    <cellStyle name="Input 2 4 2 3 3 2" xfId="26852" xr:uid="{00000000-0005-0000-0000-0000DF680000}"/>
    <cellStyle name="Input 2 4 2 3 3 2 2" xfId="26853" xr:uid="{00000000-0005-0000-0000-0000E0680000}"/>
    <cellStyle name="Input 2 4 2 3 3 2 3" xfId="26854" xr:uid="{00000000-0005-0000-0000-0000E1680000}"/>
    <cellStyle name="Input 2 4 2 3 3 2 4" xfId="26855" xr:uid="{00000000-0005-0000-0000-0000E2680000}"/>
    <cellStyle name="Input 2 4 2 3 3 2 5" xfId="26856" xr:uid="{00000000-0005-0000-0000-0000E3680000}"/>
    <cellStyle name="Input 2 4 2 3 3 2 6" xfId="26857" xr:uid="{00000000-0005-0000-0000-0000E4680000}"/>
    <cellStyle name="Input 2 4 2 3 3 3" xfId="26858" xr:uid="{00000000-0005-0000-0000-0000E5680000}"/>
    <cellStyle name="Input 2 4 2 3 3 4" xfId="26859" xr:uid="{00000000-0005-0000-0000-0000E6680000}"/>
    <cellStyle name="Input 2 4 2 3 3 5" xfId="26860" xr:uid="{00000000-0005-0000-0000-0000E7680000}"/>
    <cellStyle name="Input 2 4 2 3 3 6" xfId="26861" xr:uid="{00000000-0005-0000-0000-0000E8680000}"/>
    <cellStyle name="Input 2 4 2 3 4" xfId="26862" xr:uid="{00000000-0005-0000-0000-0000E9680000}"/>
    <cellStyle name="Input 2 4 2 3 4 2" xfId="26863" xr:uid="{00000000-0005-0000-0000-0000EA680000}"/>
    <cellStyle name="Input 2 4 2 3 4 3" xfId="26864" xr:uid="{00000000-0005-0000-0000-0000EB680000}"/>
    <cellStyle name="Input 2 4 2 3 4 4" xfId="26865" xr:uid="{00000000-0005-0000-0000-0000EC680000}"/>
    <cellStyle name="Input 2 4 2 3 4 5" xfId="26866" xr:uid="{00000000-0005-0000-0000-0000ED680000}"/>
    <cellStyle name="Input 2 4 2 3 4 6" xfId="26867" xr:uid="{00000000-0005-0000-0000-0000EE680000}"/>
    <cellStyle name="Input 2 4 2 3 5" xfId="26868" xr:uid="{00000000-0005-0000-0000-0000EF680000}"/>
    <cellStyle name="Input 2 4 2 3 6" xfId="26869" xr:uid="{00000000-0005-0000-0000-0000F0680000}"/>
    <cellStyle name="Input 2 4 2 3 7" xfId="26870" xr:uid="{00000000-0005-0000-0000-0000F1680000}"/>
    <cellStyle name="Input 2 4 2 3 8" xfId="26871" xr:uid="{00000000-0005-0000-0000-0000F2680000}"/>
    <cellStyle name="Input 2 4 2 4" xfId="26872" xr:uid="{00000000-0005-0000-0000-0000F3680000}"/>
    <cellStyle name="Input 2 4 2 4 2" xfId="26873" xr:uid="{00000000-0005-0000-0000-0000F4680000}"/>
    <cellStyle name="Input 2 4 2 4 2 2" xfId="26874" xr:uid="{00000000-0005-0000-0000-0000F5680000}"/>
    <cellStyle name="Input 2 4 2 4 2 2 2" xfId="26875" xr:uid="{00000000-0005-0000-0000-0000F6680000}"/>
    <cellStyle name="Input 2 4 2 4 2 2 3" xfId="26876" xr:uid="{00000000-0005-0000-0000-0000F7680000}"/>
    <cellStyle name="Input 2 4 2 4 2 2 4" xfId="26877" xr:uid="{00000000-0005-0000-0000-0000F8680000}"/>
    <cellStyle name="Input 2 4 2 4 2 2 5" xfId="26878" xr:uid="{00000000-0005-0000-0000-0000F9680000}"/>
    <cellStyle name="Input 2 4 2 4 2 2 6" xfId="26879" xr:uid="{00000000-0005-0000-0000-0000FA680000}"/>
    <cellStyle name="Input 2 4 2 4 2 3" xfId="26880" xr:uid="{00000000-0005-0000-0000-0000FB680000}"/>
    <cellStyle name="Input 2 4 2 4 2 4" xfId="26881" xr:uid="{00000000-0005-0000-0000-0000FC680000}"/>
    <cellStyle name="Input 2 4 2 4 2 5" xfId="26882" xr:uid="{00000000-0005-0000-0000-0000FD680000}"/>
    <cellStyle name="Input 2 4 2 4 2 6" xfId="26883" xr:uid="{00000000-0005-0000-0000-0000FE680000}"/>
    <cellStyle name="Input 2 4 2 4 3" xfId="26884" xr:uid="{00000000-0005-0000-0000-0000FF680000}"/>
    <cellStyle name="Input 2 4 2 4 3 2" xfId="26885" xr:uid="{00000000-0005-0000-0000-000000690000}"/>
    <cellStyle name="Input 2 4 2 4 3 2 2" xfId="26886" xr:uid="{00000000-0005-0000-0000-000001690000}"/>
    <cellStyle name="Input 2 4 2 4 3 2 3" xfId="26887" xr:uid="{00000000-0005-0000-0000-000002690000}"/>
    <cellStyle name="Input 2 4 2 4 3 2 4" xfId="26888" xr:uid="{00000000-0005-0000-0000-000003690000}"/>
    <cellStyle name="Input 2 4 2 4 3 2 5" xfId="26889" xr:uid="{00000000-0005-0000-0000-000004690000}"/>
    <cellStyle name="Input 2 4 2 4 3 2 6" xfId="26890" xr:uid="{00000000-0005-0000-0000-000005690000}"/>
    <cellStyle name="Input 2 4 2 4 3 3" xfId="26891" xr:uid="{00000000-0005-0000-0000-000006690000}"/>
    <cellStyle name="Input 2 4 2 4 3 4" xfId="26892" xr:uid="{00000000-0005-0000-0000-000007690000}"/>
    <cellStyle name="Input 2 4 2 4 3 5" xfId="26893" xr:uid="{00000000-0005-0000-0000-000008690000}"/>
    <cellStyle name="Input 2 4 2 4 3 6" xfId="26894" xr:uid="{00000000-0005-0000-0000-000009690000}"/>
    <cellStyle name="Input 2 4 2 4 4" xfId="26895" xr:uid="{00000000-0005-0000-0000-00000A690000}"/>
    <cellStyle name="Input 2 4 2 4 4 2" xfId="26896" xr:uid="{00000000-0005-0000-0000-00000B690000}"/>
    <cellStyle name="Input 2 4 2 4 4 3" xfId="26897" xr:uid="{00000000-0005-0000-0000-00000C690000}"/>
    <cellStyle name="Input 2 4 2 4 4 4" xfId="26898" xr:uid="{00000000-0005-0000-0000-00000D690000}"/>
    <cellStyle name="Input 2 4 2 4 4 5" xfId="26899" xr:uid="{00000000-0005-0000-0000-00000E690000}"/>
    <cellStyle name="Input 2 4 2 4 4 6" xfId="26900" xr:uid="{00000000-0005-0000-0000-00000F690000}"/>
    <cellStyle name="Input 2 4 2 4 5" xfId="26901" xr:uid="{00000000-0005-0000-0000-000010690000}"/>
    <cellStyle name="Input 2 4 2 4 6" xfId="26902" xr:uid="{00000000-0005-0000-0000-000011690000}"/>
    <cellStyle name="Input 2 4 2 4 7" xfId="26903" xr:uid="{00000000-0005-0000-0000-000012690000}"/>
    <cellStyle name="Input 2 4 2 4 8" xfId="26904" xr:uid="{00000000-0005-0000-0000-000013690000}"/>
    <cellStyle name="Input 2 4 2 5" xfId="26905" xr:uid="{00000000-0005-0000-0000-000014690000}"/>
    <cellStyle name="Input 2 4 2 5 2" xfId="26906" xr:uid="{00000000-0005-0000-0000-000015690000}"/>
    <cellStyle name="Input 2 4 2 5 2 2" xfId="26907" xr:uid="{00000000-0005-0000-0000-000016690000}"/>
    <cellStyle name="Input 2 4 2 5 2 2 2" xfId="26908" xr:uid="{00000000-0005-0000-0000-000017690000}"/>
    <cellStyle name="Input 2 4 2 5 2 2 3" xfId="26909" xr:uid="{00000000-0005-0000-0000-000018690000}"/>
    <cellStyle name="Input 2 4 2 5 2 2 4" xfId="26910" xr:uid="{00000000-0005-0000-0000-000019690000}"/>
    <cellStyle name="Input 2 4 2 5 2 2 5" xfId="26911" xr:uid="{00000000-0005-0000-0000-00001A690000}"/>
    <cellStyle name="Input 2 4 2 5 2 2 6" xfId="26912" xr:uid="{00000000-0005-0000-0000-00001B690000}"/>
    <cellStyle name="Input 2 4 2 5 2 3" xfId="26913" xr:uid="{00000000-0005-0000-0000-00001C690000}"/>
    <cellStyle name="Input 2 4 2 5 2 4" xfId="26914" xr:uid="{00000000-0005-0000-0000-00001D690000}"/>
    <cellStyle name="Input 2 4 2 5 2 5" xfId="26915" xr:uid="{00000000-0005-0000-0000-00001E690000}"/>
    <cellStyle name="Input 2 4 2 5 2 6" xfId="26916" xr:uid="{00000000-0005-0000-0000-00001F690000}"/>
    <cellStyle name="Input 2 4 2 5 3" xfId="26917" xr:uid="{00000000-0005-0000-0000-000020690000}"/>
    <cellStyle name="Input 2 4 2 5 3 2" xfId="26918" xr:uid="{00000000-0005-0000-0000-000021690000}"/>
    <cellStyle name="Input 2 4 2 5 3 2 2" xfId="26919" xr:uid="{00000000-0005-0000-0000-000022690000}"/>
    <cellStyle name="Input 2 4 2 5 3 2 3" xfId="26920" xr:uid="{00000000-0005-0000-0000-000023690000}"/>
    <cellStyle name="Input 2 4 2 5 3 2 4" xfId="26921" xr:uid="{00000000-0005-0000-0000-000024690000}"/>
    <cellStyle name="Input 2 4 2 5 3 2 5" xfId="26922" xr:uid="{00000000-0005-0000-0000-000025690000}"/>
    <cellStyle name="Input 2 4 2 5 3 2 6" xfId="26923" xr:uid="{00000000-0005-0000-0000-000026690000}"/>
    <cellStyle name="Input 2 4 2 5 3 3" xfId="26924" xr:uid="{00000000-0005-0000-0000-000027690000}"/>
    <cellStyle name="Input 2 4 2 5 3 4" xfId="26925" xr:uid="{00000000-0005-0000-0000-000028690000}"/>
    <cellStyle name="Input 2 4 2 5 3 5" xfId="26926" xr:uid="{00000000-0005-0000-0000-000029690000}"/>
    <cellStyle name="Input 2 4 2 5 3 6" xfId="26927" xr:uid="{00000000-0005-0000-0000-00002A690000}"/>
    <cellStyle name="Input 2 4 2 5 4" xfId="26928" xr:uid="{00000000-0005-0000-0000-00002B690000}"/>
    <cellStyle name="Input 2 4 2 5 4 2" xfId="26929" xr:uid="{00000000-0005-0000-0000-00002C690000}"/>
    <cellStyle name="Input 2 4 2 5 4 3" xfId="26930" xr:uid="{00000000-0005-0000-0000-00002D690000}"/>
    <cellStyle name="Input 2 4 2 5 4 4" xfId="26931" xr:uid="{00000000-0005-0000-0000-00002E690000}"/>
    <cellStyle name="Input 2 4 2 5 4 5" xfId="26932" xr:uid="{00000000-0005-0000-0000-00002F690000}"/>
    <cellStyle name="Input 2 4 2 5 4 6" xfId="26933" xr:uid="{00000000-0005-0000-0000-000030690000}"/>
    <cellStyle name="Input 2 4 2 5 5" xfId="26934" xr:uid="{00000000-0005-0000-0000-000031690000}"/>
    <cellStyle name="Input 2 4 2 5 6" xfId="26935" xr:uid="{00000000-0005-0000-0000-000032690000}"/>
    <cellStyle name="Input 2 4 2 5 7" xfId="26936" xr:uid="{00000000-0005-0000-0000-000033690000}"/>
    <cellStyle name="Input 2 4 2 5 8" xfId="26937" xr:uid="{00000000-0005-0000-0000-000034690000}"/>
    <cellStyle name="Input 2 4 2 6" xfId="26938" xr:uid="{00000000-0005-0000-0000-000035690000}"/>
    <cellStyle name="Input 2 4 2 6 2" xfId="26939" xr:uid="{00000000-0005-0000-0000-000036690000}"/>
    <cellStyle name="Input 2 4 2 6 2 2" xfId="26940" xr:uid="{00000000-0005-0000-0000-000037690000}"/>
    <cellStyle name="Input 2 4 2 6 2 2 2" xfId="26941" xr:uid="{00000000-0005-0000-0000-000038690000}"/>
    <cellStyle name="Input 2 4 2 6 2 2 3" xfId="26942" xr:uid="{00000000-0005-0000-0000-000039690000}"/>
    <cellStyle name="Input 2 4 2 6 2 2 4" xfId="26943" xr:uid="{00000000-0005-0000-0000-00003A690000}"/>
    <cellStyle name="Input 2 4 2 6 2 2 5" xfId="26944" xr:uid="{00000000-0005-0000-0000-00003B690000}"/>
    <cellStyle name="Input 2 4 2 6 2 2 6" xfId="26945" xr:uid="{00000000-0005-0000-0000-00003C690000}"/>
    <cellStyle name="Input 2 4 2 6 2 3" xfId="26946" xr:uid="{00000000-0005-0000-0000-00003D690000}"/>
    <cellStyle name="Input 2 4 2 6 2 4" xfId="26947" xr:uid="{00000000-0005-0000-0000-00003E690000}"/>
    <cellStyle name="Input 2 4 2 6 2 5" xfId="26948" xr:uid="{00000000-0005-0000-0000-00003F690000}"/>
    <cellStyle name="Input 2 4 2 6 2 6" xfId="26949" xr:uid="{00000000-0005-0000-0000-000040690000}"/>
    <cellStyle name="Input 2 4 2 6 3" xfId="26950" xr:uid="{00000000-0005-0000-0000-000041690000}"/>
    <cellStyle name="Input 2 4 2 6 3 2" xfId="26951" xr:uid="{00000000-0005-0000-0000-000042690000}"/>
    <cellStyle name="Input 2 4 2 6 3 2 2" xfId="26952" xr:uid="{00000000-0005-0000-0000-000043690000}"/>
    <cellStyle name="Input 2 4 2 6 3 2 3" xfId="26953" xr:uid="{00000000-0005-0000-0000-000044690000}"/>
    <cellStyle name="Input 2 4 2 6 3 2 4" xfId="26954" xr:uid="{00000000-0005-0000-0000-000045690000}"/>
    <cellStyle name="Input 2 4 2 6 3 2 5" xfId="26955" xr:uid="{00000000-0005-0000-0000-000046690000}"/>
    <cellStyle name="Input 2 4 2 6 3 2 6" xfId="26956" xr:uid="{00000000-0005-0000-0000-000047690000}"/>
    <cellStyle name="Input 2 4 2 6 3 3" xfId="26957" xr:uid="{00000000-0005-0000-0000-000048690000}"/>
    <cellStyle name="Input 2 4 2 6 3 4" xfId="26958" xr:uid="{00000000-0005-0000-0000-000049690000}"/>
    <cellStyle name="Input 2 4 2 6 3 5" xfId="26959" xr:uid="{00000000-0005-0000-0000-00004A690000}"/>
    <cellStyle name="Input 2 4 2 6 3 6" xfId="26960" xr:uid="{00000000-0005-0000-0000-00004B690000}"/>
    <cellStyle name="Input 2 4 2 6 4" xfId="26961" xr:uid="{00000000-0005-0000-0000-00004C690000}"/>
    <cellStyle name="Input 2 4 2 6 4 2" xfId="26962" xr:uid="{00000000-0005-0000-0000-00004D690000}"/>
    <cellStyle name="Input 2 4 2 6 4 3" xfId="26963" xr:uid="{00000000-0005-0000-0000-00004E690000}"/>
    <cellStyle name="Input 2 4 2 6 4 4" xfId="26964" xr:uid="{00000000-0005-0000-0000-00004F690000}"/>
    <cellStyle name="Input 2 4 2 6 4 5" xfId="26965" xr:uid="{00000000-0005-0000-0000-000050690000}"/>
    <cellStyle name="Input 2 4 2 6 4 6" xfId="26966" xr:uid="{00000000-0005-0000-0000-000051690000}"/>
    <cellStyle name="Input 2 4 2 6 5" xfId="26967" xr:uid="{00000000-0005-0000-0000-000052690000}"/>
    <cellStyle name="Input 2 4 2 6 6" xfId="26968" xr:uid="{00000000-0005-0000-0000-000053690000}"/>
    <cellStyle name="Input 2 4 2 6 7" xfId="26969" xr:uid="{00000000-0005-0000-0000-000054690000}"/>
    <cellStyle name="Input 2 4 2 6 8" xfId="26970" xr:uid="{00000000-0005-0000-0000-000055690000}"/>
    <cellStyle name="Input 2 4 2 7" xfId="26971" xr:uid="{00000000-0005-0000-0000-000056690000}"/>
    <cellStyle name="Input 2 4 2 7 2" xfId="26972" xr:uid="{00000000-0005-0000-0000-000057690000}"/>
    <cellStyle name="Input 2 4 2 7 2 2" xfId="26973" xr:uid="{00000000-0005-0000-0000-000058690000}"/>
    <cellStyle name="Input 2 4 2 7 2 3" xfId="26974" xr:uid="{00000000-0005-0000-0000-000059690000}"/>
    <cellStyle name="Input 2 4 2 7 2 4" xfId="26975" xr:uid="{00000000-0005-0000-0000-00005A690000}"/>
    <cellStyle name="Input 2 4 2 7 2 5" xfId="26976" xr:uid="{00000000-0005-0000-0000-00005B690000}"/>
    <cellStyle name="Input 2 4 2 7 2 6" xfId="26977" xr:uid="{00000000-0005-0000-0000-00005C690000}"/>
    <cellStyle name="Input 2 4 2 7 3" xfId="26978" xr:uid="{00000000-0005-0000-0000-00005D690000}"/>
    <cellStyle name="Input 2 4 2 7 4" xfId="26979" xr:uid="{00000000-0005-0000-0000-00005E690000}"/>
    <cellStyle name="Input 2 4 2 7 5" xfId="26980" xr:uid="{00000000-0005-0000-0000-00005F690000}"/>
    <cellStyle name="Input 2 4 2 7 6" xfId="26981" xr:uid="{00000000-0005-0000-0000-000060690000}"/>
    <cellStyle name="Input 2 4 2 8" xfId="26982" xr:uid="{00000000-0005-0000-0000-000061690000}"/>
    <cellStyle name="Input 2 4 2 8 2" xfId="26983" xr:uid="{00000000-0005-0000-0000-000062690000}"/>
    <cellStyle name="Input 2 4 2 8 2 2" xfId="26984" xr:uid="{00000000-0005-0000-0000-000063690000}"/>
    <cellStyle name="Input 2 4 2 8 2 3" xfId="26985" xr:uid="{00000000-0005-0000-0000-000064690000}"/>
    <cellStyle name="Input 2 4 2 8 2 4" xfId="26986" xr:uid="{00000000-0005-0000-0000-000065690000}"/>
    <cellStyle name="Input 2 4 2 8 2 5" xfId="26987" xr:uid="{00000000-0005-0000-0000-000066690000}"/>
    <cellStyle name="Input 2 4 2 8 2 6" xfId="26988" xr:uid="{00000000-0005-0000-0000-000067690000}"/>
    <cellStyle name="Input 2 4 2 8 3" xfId="26989" xr:uid="{00000000-0005-0000-0000-000068690000}"/>
    <cellStyle name="Input 2 4 2 8 4" xfId="26990" xr:uid="{00000000-0005-0000-0000-000069690000}"/>
    <cellStyle name="Input 2 4 2 8 5" xfId="26991" xr:uid="{00000000-0005-0000-0000-00006A690000}"/>
    <cellStyle name="Input 2 4 2 8 6" xfId="26992" xr:uid="{00000000-0005-0000-0000-00006B690000}"/>
    <cellStyle name="Input 2 4 2 9" xfId="26993" xr:uid="{00000000-0005-0000-0000-00006C690000}"/>
    <cellStyle name="Input 2 4 2 9 2" xfId="26994" xr:uid="{00000000-0005-0000-0000-00006D690000}"/>
    <cellStyle name="Input 2 4 2 9 3" xfId="26995" xr:uid="{00000000-0005-0000-0000-00006E690000}"/>
    <cellStyle name="Input 2 4 2 9 4" xfId="26996" xr:uid="{00000000-0005-0000-0000-00006F690000}"/>
    <cellStyle name="Input 2 4 2 9 5" xfId="26997" xr:uid="{00000000-0005-0000-0000-000070690000}"/>
    <cellStyle name="Input 2 4 2 9 6" xfId="26998" xr:uid="{00000000-0005-0000-0000-000071690000}"/>
    <cellStyle name="Input 2 4 3" xfId="26999" xr:uid="{00000000-0005-0000-0000-000072690000}"/>
    <cellStyle name="Input 2 4 3 2" xfId="27000" xr:uid="{00000000-0005-0000-0000-000073690000}"/>
    <cellStyle name="Input 2 4 3 2 2" xfId="27001" xr:uid="{00000000-0005-0000-0000-000074690000}"/>
    <cellStyle name="Input 2 4 3 2 2 2" xfId="27002" xr:uid="{00000000-0005-0000-0000-000075690000}"/>
    <cellStyle name="Input 2 4 3 2 2 3" xfId="27003" xr:uid="{00000000-0005-0000-0000-000076690000}"/>
    <cellStyle name="Input 2 4 3 2 2 4" xfId="27004" xr:uid="{00000000-0005-0000-0000-000077690000}"/>
    <cellStyle name="Input 2 4 3 2 2 5" xfId="27005" xr:uid="{00000000-0005-0000-0000-000078690000}"/>
    <cellStyle name="Input 2 4 3 2 2 6" xfId="27006" xr:uid="{00000000-0005-0000-0000-000079690000}"/>
    <cellStyle name="Input 2 4 3 2 3" xfId="27007" xr:uid="{00000000-0005-0000-0000-00007A690000}"/>
    <cellStyle name="Input 2 4 3 2 4" xfId="27008" xr:uid="{00000000-0005-0000-0000-00007B690000}"/>
    <cellStyle name="Input 2 4 3 2 5" xfId="27009" xr:uid="{00000000-0005-0000-0000-00007C690000}"/>
    <cellStyle name="Input 2 4 3 2 6" xfId="27010" xr:uid="{00000000-0005-0000-0000-00007D690000}"/>
    <cellStyle name="Input 2 4 3 3" xfId="27011" xr:uid="{00000000-0005-0000-0000-00007E690000}"/>
    <cellStyle name="Input 2 4 3 3 2" xfId="27012" xr:uid="{00000000-0005-0000-0000-00007F690000}"/>
    <cellStyle name="Input 2 4 3 3 2 2" xfId="27013" xr:uid="{00000000-0005-0000-0000-000080690000}"/>
    <cellStyle name="Input 2 4 3 3 2 3" xfId="27014" xr:uid="{00000000-0005-0000-0000-000081690000}"/>
    <cellStyle name="Input 2 4 3 3 2 4" xfId="27015" xr:uid="{00000000-0005-0000-0000-000082690000}"/>
    <cellStyle name="Input 2 4 3 3 2 5" xfId="27016" xr:uid="{00000000-0005-0000-0000-000083690000}"/>
    <cellStyle name="Input 2 4 3 3 2 6" xfId="27017" xr:uid="{00000000-0005-0000-0000-000084690000}"/>
    <cellStyle name="Input 2 4 3 3 3" xfId="27018" xr:uid="{00000000-0005-0000-0000-000085690000}"/>
    <cellStyle name="Input 2 4 3 3 4" xfId="27019" xr:uid="{00000000-0005-0000-0000-000086690000}"/>
    <cellStyle name="Input 2 4 3 3 5" xfId="27020" xr:uid="{00000000-0005-0000-0000-000087690000}"/>
    <cellStyle name="Input 2 4 3 3 6" xfId="27021" xr:uid="{00000000-0005-0000-0000-000088690000}"/>
    <cellStyle name="Input 2 4 3 4" xfId="27022" xr:uid="{00000000-0005-0000-0000-000089690000}"/>
    <cellStyle name="Input 2 4 3 4 2" xfId="27023" xr:uid="{00000000-0005-0000-0000-00008A690000}"/>
    <cellStyle name="Input 2 4 3 4 3" xfId="27024" xr:uid="{00000000-0005-0000-0000-00008B690000}"/>
    <cellStyle name="Input 2 4 3 4 4" xfId="27025" xr:uid="{00000000-0005-0000-0000-00008C690000}"/>
    <cellStyle name="Input 2 4 3 4 5" xfId="27026" xr:uid="{00000000-0005-0000-0000-00008D690000}"/>
    <cellStyle name="Input 2 4 3 4 6" xfId="27027" xr:uid="{00000000-0005-0000-0000-00008E690000}"/>
    <cellStyle name="Input 2 4 3 5" xfId="27028" xr:uid="{00000000-0005-0000-0000-00008F690000}"/>
    <cellStyle name="Input 2 4 3 6" xfId="27029" xr:uid="{00000000-0005-0000-0000-000090690000}"/>
    <cellStyle name="Input 2 4 3 7" xfId="27030" xr:uid="{00000000-0005-0000-0000-000091690000}"/>
    <cellStyle name="Input 2 4 3 8" xfId="27031" xr:uid="{00000000-0005-0000-0000-000092690000}"/>
    <cellStyle name="Input 2 4 4" xfId="27032" xr:uid="{00000000-0005-0000-0000-000093690000}"/>
    <cellStyle name="Input 2 4 4 2" xfId="27033" xr:uid="{00000000-0005-0000-0000-000094690000}"/>
    <cellStyle name="Input 2 4 4 2 2" xfId="27034" xr:uid="{00000000-0005-0000-0000-000095690000}"/>
    <cellStyle name="Input 2 4 4 2 2 2" xfId="27035" xr:uid="{00000000-0005-0000-0000-000096690000}"/>
    <cellStyle name="Input 2 4 4 2 2 3" xfId="27036" xr:uid="{00000000-0005-0000-0000-000097690000}"/>
    <cellStyle name="Input 2 4 4 2 2 4" xfId="27037" xr:uid="{00000000-0005-0000-0000-000098690000}"/>
    <cellStyle name="Input 2 4 4 2 2 5" xfId="27038" xr:uid="{00000000-0005-0000-0000-000099690000}"/>
    <cellStyle name="Input 2 4 4 2 2 6" xfId="27039" xr:uid="{00000000-0005-0000-0000-00009A690000}"/>
    <cellStyle name="Input 2 4 4 2 3" xfId="27040" xr:uid="{00000000-0005-0000-0000-00009B690000}"/>
    <cellStyle name="Input 2 4 4 2 4" xfId="27041" xr:uid="{00000000-0005-0000-0000-00009C690000}"/>
    <cellStyle name="Input 2 4 4 2 5" xfId="27042" xr:uid="{00000000-0005-0000-0000-00009D690000}"/>
    <cellStyle name="Input 2 4 4 2 6" xfId="27043" xr:uid="{00000000-0005-0000-0000-00009E690000}"/>
    <cellStyle name="Input 2 4 4 3" xfId="27044" xr:uid="{00000000-0005-0000-0000-00009F690000}"/>
    <cellStyle name="Input 2 4 4 3 2" xfId="27045" xr:uid="{00000000-0005-0000-0000-0000A0690000}"/>
    <cellStyle name="Input 2 4 4 3 2 2" xfId="27046" xr:uid="{00000000-0005-0000-0000-0000A1690000}"/>
    <cellStyle name="Input 2 4 4 3 2 3" xfId="27047" xr:uid="{00000000-0005-0000-0000-0000A2690000}"/>
    <cellStyle name="Input 2 4 4 3 2 4" xfId="27048" xr:uid="{00000000-0005-0000-0000-0000A3690000}"/>
    <cellStyle name="Input 2 4 4 3 2 5" xfId="27049" xr:uid="{00000000-0005-0000-0000-0000A4690000}"/>
    <cellStyle name="Input 2 4 4 3 2 6" xfId="27050" xr:uid="{00000000-0005-0000-0000-0000A5690000}"/>
    <cellStyle name="Input 2 4 4 3 3" xfId="27051" xr:uid="{00000000-0005-0000-0000-0000A6690000}"/>
    <cellStyle name="Input 2 4 4 3 4" xfId="27052" xr:uid="{00000000-0005-0000-0000-0000A7690000}"/>
    <cellStyle name="Input 2 4 4 3 5" xfId="27053" xr:uid="{00000000-0005-0000-0000-0000A8690000}"/>
    <cellStyle name="Input 2 4 4 3 6" xfId="27054" xr:uid="{00000000-0005-0000-0000-0000A9690000}"/>
    <cellStyle name="Input 2 4 4 4" xfId="27055" xr:uid="{00000000-0005-0000-0000-0000AA690000}"/>
    <cellStyle name="Input 2 4 4 4 2" xfId="27056" xr:uid="{00000000-0005-0000-0000-0000AB690000}"/>
    <cellStyle name="Input 2 4 4 4 3" xfId="27057" xr:uid="{00000000-0005-0000-0000-0000AC690000}"/>
    <cellStyle name="Input 2 4 4 4 4" xfId="27058" xr:uid="{00000000-0005-0000-0000-0000AD690000}"/>
    <cellStyle name="Input 2 4 4 4 5" xfId="27059" xr:uid="{00000000-0005-0000-0000-0000AE690000}"/>
    <cellStyle name="Input 2 4 4 4 6" xfId="27060" xr:uid="{00000000-0005-0000-0000-0000AF690000}"/>
    <cellStyle name="Input 2 4 4 5" xfId="27061" xr:uid="{00000000-0005-0000-0000-0000B0690000}"/>
    <cellStyle name="Input 2 4 4 6" xfId="27062" xr:uid="{00000000-0005-0000-0000-0000B1690000}"/>
    <cellStyle name="Input 2 4 4 7" xfId="27063" xr:uid="{00000000-0005-0000-0000-0000B2690000}"/>
    <cellStyle name="Input 2 4 4 8" xfId="27064" xr:uid="{00000000-0005-0000-0000-0000B3690000}"/>
    <cellStyle name="Input 2 4 5" xfId="27065" xr:uid="{00000000-0005-0000-0000-0000B4690000}"/>
    <cellStyle name="Input 2 4 5 2" xfId="27066" xr:uid="{00000000-0005-0000-0000-0000B5690000}"/>
    <cellStyle name="Input 2 4 5 2 2" xfId="27067" xr:uid="{00000000-0005-0000-0000-0000B6690000}"/>
    <cellStyle name="Input 2 4 5 2 2 2" xfId="27068" xr:uid="{00000000-0005-0000-0000-0000B7690000}"/>
    <cellStyle name="Input 2 4 5 2 2 3" xfId="27069" xr:uid="{00000000-0005-0000-0000-0000B8690000}"/>
    <cellStyle name="Input 2 4 5 2 2 4" xfId="27070" xr:uid="{00000000-0005-0000-0000-0000B9690000}"/>
    <cellStyle name="Input 2 4 5 2 2 5" xfId="27071" xr:uid="{00000000-0005-0000-0000-0000BA690000}"/>
    <cellStyle name="Input 2 4 5 2 2 6" xfId="27072" xr:uid="{00000000-0005-0000-0000-0000BB690000}"/>
    <cellStyle name="Input 2 4 5 2 3" xfId="27073" xr:uid="{00000000-0005-0000-0000-0000BC690000}"/>
    <cellStyle name="Input 2 4 5 2 4" xfId="27074" xr:uid="{00000000-0005-0000-0000-0000BD690000}"/>
    <cellStyle name="Input 2 4 5 2 5" xfId="27075" xr:uid="{00000000-0005-0000-0000-0000BE690000}"/>
    <cellStyle name="Input 2 4 5 2 6" xfId="27076" xr:uid="{00000000-0005-0000-0000-0000BF690000}"/>
    <cellStyle name="Input 2 4 5 3" xfId="27077" xr:uid="{00000000-0005-0000-0000-0000C0690000}"/>
    <cellStyle name="Input 2 4 5 3 2" xfId="27078" xr:uid="{00000000-0005-0000-0000-0000C1690000}"/>
    <cellStyle name="Input 2 4 5 3 2 2" xfId="27079" xr:uid="{00000000-0005-0000-0000-0000C2690000}"/>
    <cellStyle name="Input 2 4 5 3 2 3" xfId="27080" xr:uid="{00000000-0005-0000-0000-0000C3690000}"/>
    <cellStyle name="Input 2 4 5 3 2 4" xfId="27081" xr:uid="{00000000-0005-0000-0000-0000C4690000}"/>
    <cellStyle name="Input 2 4 5 3 2 5" xfId="27082" xr:uid="{00000000-0005-0000-0000-0000C5690000}"/>
    <cellStyle name="Input 2 4 5 3 2 6" xfId="27083" xr:uid="{00000000-0005-0000-0000-0000C6690000}"/>
    <cellStyle name="Input 2 4 5 3 3" xfId="27084" xr:uid="{00000000-0005-0000-0000-0000C7690000}"/>
    <cellStyle name="Input 2 4 5 3 4" xfId="27085" xr:uid="{00000000-0005-0000-0000-0000C8690000}"/>
    <cellStyle name="Input 2 4 5 3 5" xfId="27086" xr:uid="{00000000-0005-0000-0000-0000C9690000}"/>
    <cellStyle name="Input 2 4 5 3 6" xfId="27087" xr:uid="{00000000-0005-0000-0000-0000CA690000}"/>
    <cellStyle name="Input 2 4 5 4" xfId="27088" xr:uid="{00000000-0005-0000-0000-0000CB690000}"/>
    <cellStyle name="Input 2 4 5 4 2" xfId="27089" xr:uid="{00000000-0005-0000-0000-0000CC690000}"/>
    <cellStyle name="Input 2 4 5 4 3" xfId="27090" xr:uid="{00000000-0005-0000-0000-0000CD690000}"/>
    <cellStyle name="Input 2 4 5 4 4" xfId="27091" xr:uid="{00000000-0005-0000-0000-0000CE690000}"/>
    <cellStyle name="Input 2 4 5 4 5" xfId="27092" xr:uid="{00000000-0005-0000-0000-0000CF690000}"/>
    <cellStyle name="Input 2 4 5 4 6" xfId="27093" xr:uid="{00000000-0005-0000-0000-0000D0690000}"/>
    <cellStyle name="Input 2 4 5 5" xfId="27094" xr:uid="{00000000-0005-0000-0000-0000D1690000}"/>
    <cellStyle name="Input 2 4 5 6" xfId="27095" xr:uid="{00000000-0005-0000-0000-0000D2690000}"/>
    <cellStyle name="Input 2 4 5 7" xfId="27096" xr:uid="{00000000-0005-0000-0000-0000D3690000}"/>
    <cellStyle name="Input 2 4 5 8" xfId="27097" xr:uid="{00000000-0005-0000-0000-0000D4690000}"/>
    <cellStyle name="Input 2 4 6" xfId="27098" xr:uid="{00000000-0005-0000-0000-0000D5690000}"/>
    <cellStyle name="Input 2 4 6 2" xfId="27099" xr:uid="{00000000-0005-0000-0000-0000D6690000}"/>
    <cellStyle name="Input 2 4 6 2 2" xfId="27100" xr:uid="{00000000-0005-0000-0000-0000D7690000}"/>
    <cellStyle name="Input 2 4 6 2 2 2" xfId="27101" xr:uid="{00000000-0005-0000-0000-0000D8690000}"/>
    <cellStyle name="Input 2 4 6 2 2 3" xfId="27102" xr:uid="{00000000-0005-0000-0000-0000D9690000}"/>
    <cellStyle name="Input 2 4 6 2 2 4" xfId="27103" xr:uid="{00000000-0005-0000-0000-0000DA690000}"/>
    <cellStyle name="Input 2 4 6 2 2 5" xfId="27104" xr:uid="{00000000-0005-0000-0000-0000DB690000}"/>
    <cellStyle name="Input 2 4 6 2 2 6" xfId="27105" xr:uid="{00000000-0005-0000-0000-0000DC690000}"/>
    <cellStyle name="Input 2 4 6 2 3" xfId="27106" xr:uid="{00000000-0005-0000-0000-0000DD690000}"/>
    <cellStyle name="Input 2 4 6 2 4" xfId="27107" xr:uid="{00000000-0005-0000-0000-0000DE690000}"/>
    <cellStyle name="Input 2 4 6 2 5" xfId="27108" xr:uid="{00000000-0005-0000-0000-0000DF690000}"/>
    <cellStyle name="Input 2 4 6 2 6" xfId="27109" xr:uid="{00000000-0005-0000-0000-0000E0690000}"/>
    <cellStyle name="Input 2 4 6 3" xfId="27110" xr:uid="{00000000-0005-0000-0000-0000E1690000}"/>
    <cellStyle name="Input 2 4 6 3 2" xfId="27111" xr:uid="{00000000-0005-0000-0000-0000E2690000}"/>
    <cellStyle name="Input 2 4 6 3 2 2" xfId="27112" xr:uid="{00000000-0005-0000-0000-0000E3690000}"/>
    <cellStyle name="Input 2 4 6 3 2 3" xfId="27113" xr:uid="{00000000-0005-0000-0000-0000E4690000}"/>
    <cellStyle name="Input 2 4 6 3 2 4" xfId="27114" xr:uid="{00000000-0005-0000-0000-0000E5690000}"/>
    <cellStyle name="Input 2 4 6 3 2 5" xfId="27115" xr:uid="{00000000-0005-0000-0000-0000E6690000}"/>
    <cellStyle name="Input 2 4 6 3 2 6" xfId="27116" xr:uid="{00000000-0005-0000-0000-0000E7690000}"/>
    <cellStyle name="Input 2 4 6 3 3" xfId="27117" xr:uid="{00000000-0005-0000-0000-0000E8690000}"/>
    <cellStyle name="Input 2 4 6 3 4" xfId="27118" xr:uid="{00000000-0005-0000-0000-0000E9690000}"/>
    <cellStyle name="Input 2 4 6 3 5" xfId="27119" xr:uid="{00000000-0005-0000-0000-0000EA690000}"/>
    <cellStyle name="Input 2 4 6 3 6" xfId="27120" xr:uid="{00000000-0005-0000-0000-0000EB690000}"/>
    <cellStyle name="Input 2 4 6 4" xfId="27121" xr:uid="{00000000-0005-0000-0000-0000EC690000}"/>
    <cellStyle name="Input 2 4 6 4 2" xfId="27122" xr:uid="{00000000-0005-0000-0000-0000ED690000}"/>
    <cellStyle name="Input 2 4 6 4 3" xfId="27123" xr:uid="{00000000-0005-0000-0000-0000EE690000}"/>
    <cellStyle name="Input 2 4 6 4 4" xfId="27124" xr:uid="{00000000-0005-0000-0000-0000EF690000}"/>
    <cellStyle name="Input 2 4 6 4 5" xfId="27125" xr:uid="{00000000-0005-0000-0000-0000F0690000}"/>
    <cellStyle name="Input 2 4 6 4 6" xfId="27126" xr:uid="{00000000-0005-0000-0000-0000F1690000}"/>
    <cellStyle name="Input 2 4 6 5" xfId="27127" xr:uid="{00000000-0005-0000-0000-0000F2690000}"/>
    <cellStyle name="Input 2 4 6 6" xfId="27128" xr:uid="{00000000-0005-0000-0000-0000F3690000}"/>
    <cellStyle name="Input 2 4 6 7" xfId="27129" xr:uid="{00000000-0005-0000-0000-0000F4690000}"/>
    <cellStyle name="Input 2 4 6 8" xfId="27130" xr:uid="{00000000-0005-0000-0000-0000F5690000}"/>
    <cellStyle name="Input 2 4 7" xfId="27131" xr:uid="{00000000-0005-0000-0000-0000F6690000}"/>
    <cellStyle name="Input 2 4 7 2" xfId="27132" xr:uid="{00000000-0005-0000-0000-0000F7690000}"/>
    <cellStyle name="Input 2 4 7 2 2" xfId="27133" xr:uid="{00000000-0005-0000-0000-0000F8690000}"/>
    <cellStyle name="Input 2 4 7 2 2 2" xfId="27134" xr:uid="{00000000-0005-0000-0000-0000F9690000}"/>
    <cellStyle name="Input 2 4 7 2 2 3" xfId="27135" xr:uid="{00000000-0005-0000-0000-0000FA690000}"/>
    <cellStyle name="Input 2 4 7 2 2 4" xfId="27136" xr:uid="{00000000-0005-0000-0000-0000FB690000}"/>
    <cellStyle name="Input 2 4 7 2 2 5" xfId="27137" xr:uid="{00000000-0005-0000-0000-0000FC690000}"/>
    <cellStyle name="Input 2 4 7 2 2 6" xfId="27138" xr:uid="{00000000-0005-0000-0000-0000FD690000}"/>
    <cellStyle name="Input 2 4 7 2 3" xfId="27139" xr:uid="{00000000-0005-0000-0000-0000FE690000}"/>
    <cellStyle name="Input 2 4 7 2 4" xfId="27140" xr:uid="{00000000-0005-0000-0000-0000FF690000}"/>
    <cellStyle name="Input 2 4 7 2 5" xfId="27141" xr:uid="{00000000-0005-0000-0000-0000006A0000}"/>
    <cellStyle name="Input 2 4 7 2 6" xfId="27142" xr:uid="{00000000-0005-0000-0000-0000016A0000}"/>
    <cellStyle name="Input 2 4 7 3" xfId="27143" xr:uid="{00000000-0005-0000-0000-0000026A0000}"/>
    <cellStyle name="Input 2 4 7 3 2" xfId="27144" xr:uid="{00000000-0005-0000-0000-0000036A0000}"/>
    <cellStyle name="Input 2 4 7 3 2 2" xfId="27145" xr:uid="{00000000-0005-0000-0000-0000046A0000}"/>
    <cellStyle name="Input 2 4 7 3 2 3" xfId="27146" xr:uid="{00000000-0005-0000-0000-0000056A0000}"/>
    <cellStyle name="Input 2 4 7 3 2 4" xfId="27147" xr:uid="{00000000-0005-0000-0000-0000066A0000}"/>
    <cellStyle name="Input 2 4 7 3 2 5" xfId="27148" xr:uid="{00000000-0005-0000-0000-0000076A0000}"/>
    <cellStyle name="Input 2 4 7 3 2 6" xfId="27149" xr:uid="{00000000-0005-0000-0000-0000086A0000}"/>
    <cellStyle name="Input 2 4 7 3 3" xfId="27150" xr:uid="{00000000-0005-0000-0000-0000096A0000}"/>
    <cellStyle name="Input 2 4 7 3 4" xfId="27151" xr:uid="{00000000-0005-0000-0000-00000A6A0000}"/>
    <cellStyle name="Input 2 4 7 3 5" xfId="27152" xr:uid="{00000000-0005-0000-0000-00000B6A0000}"/>
    <cellStyle name="Input 2 4 7 3 6" xfId="27153" xr:uid="{00000000-0005-0000-0000-00000C6A0000}"/>
    <cellStyle name="Input 2 4 7 4" xfId="27154" xr:uid="{00000000-0005-0000-0000-00000D6A0000}"/>
    <cellStyle name="Input 2 4 7 4 2" xfId="27155" xr:uid="{00000000-0005-0000-0000-00000E6A0000}"/>
    <cellStyle name="Input 2 4 7 4 3" xfId="27156" xr:uid="{00000000-0005-0000-0000-00000F6A0000}"/>
    <cellStyle name="Input 2 4 7 4 4" xfId="27157" xr:uid="{00000000-0005-0000-0000-0000106A0000}"/>
    <cellStyle name="Input 2 4 7 4 5" xfId="27158" xr:uid="{00000000-0005-0000-0000-0000116A0000}"/>
    <cellStyle name="Input 2 4 7 4 6" xfId="27159" xr:uid="{00000000-0005-0000-0000-0000126A0000}"/>
    <cellStyle name="Input 2 4 7 5" xfId="27160" xr:uid="{00000000-0005-0000-0000-0000136A0000}"/>
    <cellStyle name="Input 2 4 7 6" xfId="27161" xr:uid="{00000000-0005-0000-0000-0000146A0000}"/>
    <cellStyle name="Input 2 4 7 7" xfId="27162" xr:uid="{00000000-0005-0000-0000-0000156A0000}"/>
    <cellStyle name="Input 2 4 7 8" xfId="27163" xr:uid="{00000000-0005-0000-0000-0000166A0000}"/>
    <cellStyle name="Input 2 4 8" xfId="27164" xr:uid="{00000000-0005-0000-0000-0000176A0000}"/>
    <cellStyle name="Input 2 4 8 2" xfId="27165" xr:uid="{00000000-0005-0000-0000-0000186A0000}"/>
    <cellStyle name="Input 2 4 8 2 2" xfId="27166" xr:uid="{00000000-0005-0000-0000-0000196A0000}"/>
    <cellStyle name="Input 2 4 8 2 3" xfId="27167" xr:uid="{00000000-0005-0000-0000-00001A6A0000}"/>
    <cellStyle name="Input 2 4 8 2 4" xfId="27168" xr:uid="{00000000-0005-0000-0000-00001B6A0000}"/>
    <cellStyle name="Input 2 4 8 2 5" xfId="27169" xr:uid="{00000000-0005-0000-0000-00001C6A0000}"/>
    <cellStyle name="Input 2 4 8 2 6" xfId="27170" xr:uid="{00000000-0005-0000-0000-00001D6A0000}"/>
    <cellStyle name="Input 2 4 8 3" xfId="27171" xr:uid="{00000000-0005-0000-0000-00001E6A0000}"/>
    <cellStyle name="Input 2 4 8 4" xfId="27172" xr:uid="{00000000-0005-0000-0000-00001F6A0000}"/>
    <cellStyle name="Input 2 4 8 5" xfId="27173" xr:uid="{00000000-0005-0000-0000-0000206A0000}"/>
    <cellStyle name="Input 2 4 8 6" xfId="27174" xr:uid="{00000000-0005-0000-0000-0000216A0000}"/>
    <cellStyle name="Input 2 4 9" xfId="27175" xr:uid="{00000000-0005-0000-0000-0000226A0000}"/>
    <cellStyle name="Input 2 4 9 2" xfId="27176" xr:uid="{00000000-0005-0000-0000-0000236A0000}"/>
    <cellStyle name="Input 2 4 9 2 2" xfId="27177" xr:uid="{00000000-0005-0000-0000-0000246A0000}"/>
    <cellStyle name="Input 2 4 9 2 3" xfId="27178" xr:uid="{00000000-0005-0000-0000-0000256A0000}"/>
    <cellStyle name="Input 2 4 9 2 4" xfId="27179" xr:uid="{00000000-0005-0000-0000-0000266A0000}"/>
    <cellStyle name="Input 2 4 9 2 5" xfId="27180" xr:uid="{00000000-0005-0000-0000-0000276A0000}"/>
    <cellStyle name="Input 2 4 9 2 6" xfId="27181" xr:uid="{00000000-0005-0000-0000-0000286A0000}"/>
    <cellStyle name="Input 2 4 9 3" xfId="27182" xr:uid="{00000000-0005-0000-0000-0000296A0000}"/>
    <cellStyle name="Input 2 4 9 4" xfId="27183" xr:uid="{00000000-0005-0000-0000-00002A6A0000}"/>
    <cellStyle name="Input 2 4 9 5" xfId="27184" xr:uid="{00000000-0005-0000-0000-00002B6A0000}"/>
    <cellStyle name="Input 2 4 9 6" xfId="27185" xr:uid="{00000000-0005-0000-0000-00002C6A0000}"/>
    <cellStyle name="Input 2 40" xfId="27186" xr:uid="{00000000-0005-0000-0000-00002D6A0000}"/>
    <cellStyle name="Input 2 40 2" xfId="27187" xr:uid="{00000000-0005-0000-0000-00002E6A0000}"/>
    <cellStyle name="Input 2 40 2 2" xfId="27188" xr:uid="{00000000-0005-0000-0000-00002F6A0000}"/>
    <cellStyle name="Input 2 40 2 3" xfId="27189" xr:uid="{00000000-0005-0000-0000-0000306A0000}"/>
    <cellStyle name="Input 2 40 2 4" xfId="27190" xr:uid="{00000000-0005-0000-0000-0000316A0000}"/>
    <cellStyle name="Input 2 40 2 5" xfId="27191" xr:uid="{00000000-0005-0000-0000-0000326A0000}"/>
    <cellStyle name="Input 2 40 3" xfId="27192" xr:uid="{00000000-0005-0000-0000-0000336A0000}"/>
    <cellStyle name="Input 2 40 4" xfId="27193" xr:uid="{00000000-0005-0000-0000-0000346A0000}"/>
    <cellStyle name="Input 2 40 5" xfId="27194" xr:uid="{00000000-0005-0000-0000-0000356A0000}"/>
    <cellStyle name="Input 2 40 6" xfId="27195" xr:uid="{00000000-0005-0000-0000-0000366A0000}"/>
    <cellStyle name="Input 2 41" xfId="27196" xr:uid="{00000000-0005-0000-0000-0000376A0000}"/>
    <cellStyle name="Input 2 41 2" xfId="27197" xr:uid="{00000000-0005-0000-0000-0000386A0000}"/>
    <cellStyle name="Input 2 41 2 2" xfId="27198" xr:uid="{00000000-0005-0000-0000-0000396A0000}"/>
    <cellStyle name="Input 2 41 2 3" xfId="27199" xr:uid="{00000000-0005-0000-0000-00003A6A0000}"/>
    <cellStyle name="Input 2 41 2 4" xfId="27200" xr:uid="{00000000-0005-0000-0000-00003B6A0000}"/>
    <cellStyle name="Input 2 41 2 5" xfId="27201" xr:uid="{00000000-0005-0000-0000-00003C6A0000}"/>
    <cellStyle name="Input 2 41 3" xfId="27202" xr:uid="{00000000-0005-0000-0000-00003D6A0000}"/>
    <cellStyle name="Input 2 41 4" xfId="27203" xr:uid="{00000000-0005-0000-0000-00003E6A0000}"/>
    <cellStyle name="Input 2 41 5" xfId="27204" xr:uid="{00000000-0005-0000-0000-00003F6A0000}"/>
    <cellStyle name="Input 2 41 6" xfId="27205" xr:uid="{00000000-0005-0000-0000-0000406A0000}"/>
    <cellStyle name="Input 2 42" xfId="27206" xr:uid="{00000000-0005-0000-0000-0000416A0000}"/>
    <cellStyle name="Input 2 42 2" xfId="27207" xr:uid="{00000000-0005-0000-0000-0000426A0000}"/>
    <cellStyle name="Input 2 42 3" xfId="27208" xr:uid="{00000000-0005-0000-0000-0000436A0000}"/>
    <cellStyle name="Input 2 42 4" xfId="27209" xr:uid="{00000000-0005-0000-0000-0000446A0000}"/>
    <cellStyle name="Input 2 42 5" xfId="27210" xr:uid="{00000000-0005-0000-0000-0000456A0000}"/>
    <cellStyle name="Input 2 43" xfId="27211" xr:uid="{00000000-0005-0000-0000-0000466A0000}"/>
    <cellStyle name="Input 2 44" xfId="27212" xr:uid="{00000000-0005-0000-0000-0000476A0000}"/>
    <cellStyle name="Input 2 45" xfId="27213" xr:uid="{00000000-0005-0000-0000-0000486A0000}"/>
    <cellStyle name="Input 2 46" xfId="27214" xr:uid="{00000000-0005-0000-0000-0000496A0000}"/>
    <cellStyle name="Input 2 5" xfId="27215" xr:uid="{00000000-0005-0000-0000-00004A6A0000}"/>
    <cellStyle name="Input 2 5 10" xfId="27216" xr:uid="{00000000-0005-0000-0000-00004B6A0000}"/>
    <cellStyle name="Input 2 5 10 2" xfId="27217" xr:uid="{00000000-0005-0000-0000-00004C6A0000}"/>
    <cellStyle name="Input 2 5 10 3" xfId="27218" xr:uid="{00000000-0005-0000-0000-00004D6A0000}"/>
    <cellStyle name="Input 2 5 10 4" xfId="27219" xr:uid="{00000000-0005-0000-0000-00004E6A0000}"/>
    <cellStyle name="Input 2 5 10 5" xfId="27220" xr:uid="{00000000-0005-0000-0000-00004F6A0000}"/>
    <cellStyle name="Input 2 5 11" xfId="27221" xr:uid="{00000000-0005-0000-0000-0000506A0000}"/>
    <cellStyle name="Input 2 5 12" xfId="27222" xr:uid="{00000000-0005-0000-0000-0000516A0000}"/>
    <cellStyle name="Input 2 5 13" xfId="27223" xr:uid="{00000000-0005-0000-0000-0000526A0000}"/>
    <cellStyle name="Input 2 5 14" xfId="27224" xr:uid="{00000000-0005-0000-0000-0000536A0000}"/>
    <cellStyle name="Input 2 5 2" xfId="27225" xr:uid="{00000000-0005-0000-0000-0000546A0000}"/>
    <cellStyle name="Input 2 5 2 2" xfId="27226" xr:uid="{00000000-0005-0000-0000-0000556A0000}"/>
    <cellStyle name="Input 2 5 2 2 2" xfId="27227" xr:uid="{00000000-0005-0000-0000-0000566A0000}"/>
    <cellStyle name="Input 2 5 2 2 2 2" xfId="27228" xr:uid="{00000000-0005-0000-0000-0000576A0000}"/>
    <cellStyle name="Input 2 5 2 2 2 3" xfId="27229" xr:uid="{00000000-0005-0000-0000-0000586A0000}"/>
    <cellStyle name="Input 2 5 2 2 2 4" xfId="27230" xr:uid="{00000000-0005-0000-0000-0000596A0000}"/>
    <cellStyle name="Input 2 5 2 2 2 5" xfId="27231" xr:uid="{00000000-0005-0000-0000-00005A6A0000}"/>
    <cellStyle name="Input 2 5 2 2 2 6" xfId="27232" xr:uid="{00000000-0005-0000-0000-00005B6A0000}"/>
    <cellStyle name="Input 2 5 2 2 3" xfId="27233" xr:uid="{00000000-0005-0000-0000-00005C6A0000}"/>
    <cellStyle name="Input 2 5 2 2 4" xfId="27234" xr:uid="{00000000-0005-0000-0000-00005D6A0000}"/>
    <cellStyle name="Input 2 5 2 2 5" xfId="27235" xr:uid="{00000000-0005-0000-0000-00005E6A0000}"/>
    <cellStyle name="Input 2 5 2 2 6" xfId="27236" xr:uid="{00000000-0005-0000-0000-00005F6A0000}"/>
    <cellStyle name="Input 2 5 2 3" xfId="27237" xr:uid="{00000000-0005-0000-0000-0000606A0000}"/>
    <cellStyle name="Input 2 5 2 3 2" xfId="27238" xr:uid="{00000000-0005-0000-0000-0000616A0000}"/>
    <cellStyle name="Input 2 5 2 3 2 2" xfId="27239" xr:uid="{00000000-0005-0000-0000-0000626A0000}"/>
    <cellStyle name="Input 2 5 2 3 2 3" xfId="27240" xr:uid="{00000000-0005-0000-0000-0000636A0000}"/>
    <cellStyle name="Input 2 5 2 3 2 4" xfId="27241" xr:uid="{00000000-0005-0000-0000-0000646A0000}"/>
    <cellStyle name="Input 2 5 2 3 2 5" xfId="27242" xr:uid="{00000000-0005-0000-0000-0000656A0000}"/>
    <cellStyle name="Input 2 5 2 3 2 6" xfId="27243" xr:uid="{00000000-0005-0000-0000-0000666A0000}"/>
    <cellStyle name="Input 2 5 2 3 3" xfId="27244" xr:uid="{00000000-0005-0000-0000-0000676A0000}"/>
    <cellStyle name="Input 2 5 2 3 4" xfId="27245" xr:uid="{00000000-0005-0000-0000-0000686A0000}"/>
    <cellStyle name="Input 2 5 2 3 5" xfId="27246" xr:uid="{00000000-0005-0000-0000-0000696A0000}"/>
    <cellStyle name="Input 2 5 2 3 6" xfId="27247" xr:uid="{00000000-0005-0000-0000-00006A6A0000}"/>
    <cellStyle name="Input 2 5 2 4" xfId="27248" xr:uid="{00000000-0005-0000-0000-00006B6A0000}"/>
    <cellStyle name="Input 2 5 2 4 2" xfId="27249" xr:uid="{00000000-0005-0000-0000-00006C6A0000}"/>
    <cellStyle name="Input 2 5 2 4 3" xfId="27250" xr:uid="{00000000-0005-0000-0000-00006D6A0000}"/>
    <cellStyle name="Input 2 5 2 4 4" xfId="27251" xr:uid="{00000000-0005-0000-0000-00006E6A0000}"/>
    <cellStyle name="Input 2 5 2 4 5" xfId="27252" xr:uid="{00000000-0005-0000-0000-00006F6A0000}"/>
    <cellStyle name="Input 2 5 2 4 6" xfId="27253" xr:uid="{00000000-0005-0000-0000-0000706A0000}"/>
    <cellStyle name="Input 2 5 2 5" xfId="27254" xr:uid="{00000000-0005-0000-0000-0000716A0000}"/>
    <cellStyle name="Input 2 5 2 5 2" xfId="27255" xr:uid="{00000000-0005-0000-0000-0000726A0000}"/>
    <cellStyle name="Input 2 5 2 5 3" xfId="27256" xr:uid="{00000000-0005-0000-0000-0000736A0000}"/>
    <cellStyle name="Input 2 5 2 5 4" xfId="27257" xr:uid="{00000000-0005-0000-0000-0000746A0000}"/>
    <cellStyle name="Input 2 5 2 5 5" xfId="27258" xr:uid="{00000000-0005-0000-0000-0000756A0000}"/>
    <cellStyle name="Input 2 5 2 6" xfId="27259" xr:uid="{00000000-0005-0000-0000-0000766A0000}"/>
    <cellStyle name="Input 2 5 2 7" xfId="27260" xr:uid="{00000000-0005-0000-0000-0000776A0000}"/>
    <cellStyle name="Input 2 5 2 8" xfId="27261" xr:uid="{00000000-0005-0000-0000-0000786A0000}"/>
    <cellStyle name="Input 2 5 2 9" xfId="27262" xr:uid="{00000000-0005-0000-0000-0000796A0000}"/>
    <cellStyle name="Input 2 5 3" xfId="27263" xr:uid="{00000000-0005-0000-0000-00007A6A0000}"/>
    <cellStyle name="Input 2 5 3 2" xfId="27264" xr:uid="{00000000-0005-0000-0000-00007B6A0000}"/>
    <cellStyle name="Input 2 5 3 2 2" xfId="27265" xr:uid="{00000000-0005-0000-0000-00007C6A0000}"/>
    <cellStyle name="Input 2 5 3 2 2 2" xfId="27266" xr:uid="{00000000-0005-0000-0000-00007D6A0000}"/>
    <cellStyle name="Input 2 5 3 2 2 3" xfId="27267" xr:uid="{00000000-0005-0000-0000-00007E6A0000}"/>
    <cellStyle name="Input 2 5 3 2 2 4" xfId="27268" xr:uid="{00000000-0005-0000-0000-00007F6A0000}"/>
    <cellStyle name="Input 2 5 3 2 2 5" xfId="27269" xr:uid="{00000000-0005-0000-0000-0000806A0000}"/>
    <cellStyle name="Input 2 5 3 2 2 6" xfId="27270" xr:uid="{00000000-0005-0000-0000-0000816A0000}"/>
    <cellStyle name="Input 2 5 3 2 3" xfId="27271" xr:uid="{00000000-0005-0000-0000-0000826A0000}"/>
    <cellStyle name="Input 2 5 3 2 4" xfId="27272" xr:uid="{00000000-0005-0000-0000-0000836A0000}"/>
    <cellStyle name="Input 2 5 3 2 5" xfId="27273" xr:uid="{00000000-0005-0000-0000-0000846A0000}"/>
    <cellStyle name="Input 2 5 3 2 6" xfId="27274" xr:uid="{00000000-0005-0000-0000-0000856A0000}"/>
    <cellStyle name="Input 2 5 3 3" xfId="27275" xr:uid="{00000000-0005-0000-0000-0000866A0000}"/>
    <cellStyle name="Input 2 5 3 3 2" xfId="27276" xr:uid="{00000000-0005-0000-0000-0000876A0000}"/>
    <cellStyle name="Input 2 5 3 3 2 2" xfId="27277" xr:uid="{00000000-0005-0000-0000-0000886A0000}"/>
    <cellStyle name="Input 2 5 3 3 2 3" xfId="27278" xr:uid="{00000000-0005-0000-0000-0000896A0000}"/>
    <cellStyle name="Input 2 5 3 3 2 4" xfId="27279" xr:uid="{00000000-0005-0000-0000-00008A6A0000}"/>
    <cellStyle name="Input 2 5 3 3 2 5" xfId="27280" xr:uid="{00000000-0005-0000-0000-00008B6A0000}"/>
    <cellStyle name="Input 2 5 3 3 2 6" xfId="27281" xr:uid="{00000000-0005-0000-0000-00008C6A0000}"/>
    <cellStyle name="Input 2 5 3 3 3" xfId="27282" xr:uid="{00000000-0005-0000-0000-00008D6A0000}"/>
    <cellStyle name="Input 2 5 3 3 4" xfId="27283" xr:uid="{00000000-0005-0000-0000-00008E6A0000}"/>
    <cellStyle name="Input 2 5 3 3 5" xfId="27284" xr:uid="{00000000-0005-0000-0000-00008F6A0000}"/>
    <cellStyle name="Input 2 5 3 3 6" xfId="27285" xr:uid="{00000000-0005-0000-0000-0000906A0000}"/>
    <cellStyle name="Input 2 5 3 4" xfId="27286" xr:uid="{00000000-0005-0000-0000-0000916A0000}"/>
    <cellStyle name="Input 2 5 3 4 2" xfId="27287" xr:uid="{00000000-0005-0000-0000-0000926A0000}"/>
    <cellStyle name="Input 2 5 3 4 3" xfId="27288" xr:uid="{00000000-0005-0000-0000-0000936A0000}"/>
    <cellStyle name="Input 2 5 3 4 4" xfId="27289" xr:uid="{00000000-0005-0000-0000-0000946A0000}"/>
    <cellStyle name="Input 2 5 3 4 5" xfId="27290" xr:uid="{00000000-0005-0000-0000-0000956A0000}"/>
    <cellStyle name="Input 2 5 3 4 6" xfId="27291" xr:uid="{00000000-0005-0000-0000-0000966A0000}"/>
    <cellStyle name="Input 2 5 3 5" xfId="27292" xr:uid="{00000000-0005-0000-0000-0000976A0000}"/>
    <cellStyle name="Input 2 5 3 6" xfId="27293" xr:uid="{00000000-0005-0000-0000-0000986A0000}"/>
    <cellStyle name="Input 2 5 3 7" xfId="27294" xr:uid="{00000000-0005-0000-0000-0000996A0000}"/>
    <cellStyle name="Input 2 5 3 8" xfId="27295" xr:uid="{00000000-0005-0000-0000-00009A6A0000}"/>
    <cellStyle name="Input 2 5 4" xfId="27296" xr:uid="{00000000-0005-0000-0000-00009B6A0000}"/>
    <cellStyle name="Input 2 5 4 2" xfId="27297" xr:uid="{00000000-0005-0000-0000-00009C6A0000}"/>
    <cellStyle name="Input 2 5 4 2 2" xfId="27298" xr:uid="{00000000-0005-0000-0000-00009D6A0000}"/>
    <cellStyle name="Input 2 5 4 2 2 2" xfId="27299" xr:uid="{00000000-0005-0000-0000-00009E6A0000}"/>
    <cellStyle name="Input 2 5 4 2 2 3" xfId="27300" xr:uid="{00000000-0005-0000-0000-00009F6A0000}"/>
    <cellStyle name="Input 2 5 4 2 2 4" xfId="27301" xr:uid="{00000000-0005-0000-0000-0000A06A0000}"/>
    <cellStyle name="Input 2 5 4 2 2 5" xfId="27302" xr:uid="{00000000-0005-0000-0000-0000A16A0000}"/>
    <cellStyle name="Input 2 5 4 2 2 6" xfId="27303" xr:uid="{00000000-0005-0000-0000-0000A26A0000}"/>
    <cellStyle name="Input 2 5 4 2 3" xfId="27304" xr:uid="{00000000-0005-0000-0000-0000A36A0000}"/>
    <cellStyle name="Input 2 5 4 2 4" xfId="27305" xr:uid="{00000000-0005-0000-0000-0000A46A0000}"/>
    <cellStyle name="Input 2 5 4 2 5" xfId="27306" xr:uid="{00000000-0005-0000-0000-0000A56A0000}"/>
    <cellStyle name="Input 2 5 4 2 6" xfId="27307" xr:uid="{00000000-0005-0000-0000-0000A66A0000}"/>
    <cellStyle name="Input 2 5 4 3" xfId="27308" xr:uid="{00000000-0005-0000-0000-0000A76A0000}"/>
    <cellStyle name="Input 2 5 4 3 2" xfId="27309" xr:uid="{00000000-0005-0000-0000-0000A86A0000}"/>
    <cellStyle name="Input 2 5 4 3 2 2" xfId="27310" xr:uid="{00000000-0005-0000-0000-0000A96A0000}"/>
    <cellStyle name="Input 2 5 4 3 2 3" xfId="27311" xr:uid="{00000000-0005-0000-0000-0000AA6A0000}"/>
    <cellStyle name="Input 2 5 4 3 2 4" xfId="27312" xr:uid="{00000000-0005-0000-0000-0000AB6A0000}"/>
    <cellStyle name="Input 2 5 4 3 2 5" xfId="27313" xr:uid="{00000000-0005-0000-0000-0000AC6A0000}"/>
    <cellStyle name="Input 2 5 4 3 2 6" xfId="27314" xr:uid="{00000000-0005-0000-0000-0000AD6A0000}"/>
    <cellStyle name="Input 2 5 4 3 3" xfId="27315" xr:uid="{00000000-0005-0000-0000-0000AE6A0000}"/>
    <cellStyle name="Input 2 5 4 3 4" xfId="27316" xr:uid="{00000000-0005-0000-0000-0000AF6A0000}"/>
    <cellStyle name="Input 2 5 4 3 5" xfId="27317" xr:uid="{00000000-0005-0000-0000-0000B06A0000}"/>
    <cellStyle name="Input 2 5 4 3 6" xfId="27318" xr:uid="{00000000-0005-0000-0000-0000B16A0000}"/>
    <cellStyle name="Input 2 5 4 4" xfId="27319" xr:uid="{00000000-0005-0000-0000-0000B26A0000}"/>
    <cellStyle name="Input 2 5 4 4 2" xfId="27320" xr:uid="{00000000-0005-0000-0000-0000B36A0000}"/>
    <cellStyle name="Input 2 5 4 4 3" xfId="27321" xr:uid="{00000000-0005-0000-0000-0000B46A0000}"/>
    <cellStyle name="Input 2 5 4 4 4" xfId="27322" xr:uid="{00000000-0005-0000-0000-0000B56A0000}"/>
    <cellStyle name="Input 2 5 4 4 5" xfId="27323" xr:uid="{00000000-0005-0000-0000-0000B66A0000}"/>
    <cellStyle name="Input 2 5 4 4 6" xfId="27324" xr:uid="{00000000-0005-0000-0000-0000B76A0000}"/>
    <cellStyle name="Input 2 5 4 5" xfId="27325" xr:uid="{00000000-0005-0000-0000-0000B86A0000}"/>
    <cellStyle name="Input 2 5 4 6" xfId="27326" xr:uid="{00000000-0005-0000-0000-0000B96A0000}"/>
    <cellStyle name="Input 2 5 4 7" xfId="27327" xr:uid="{00000000-0005-0000-0000-0000BA6A0000}"/>
    <cellStyle name="Input 2 5 4 8" xfId="27328" xr:uid="{00000000-0005-0000-0000-0000BB6A0000}"/>
    <cellStyle name="Input 2 5 5" xfId="27329" xr:uid="{00000000-0005-0000-0000-0000BC6A0000}"/>
    <cellStyle name="Input 2 5 5 2" xfId="27330" xr:uid="{00000000-0005-0000-0000-0000BD6A0000}"/>
    <cellStyle name="Input 2 5 5 2 2" xfId="27331" xr:uid="{00000000-0005-0000-0000-0000BE6A0000}"/>
    <cellStyle name="Input 2 5 5 2 2 2" xfId="27332" xr:uid="{00000000-0005-0000-0000-0000BF6A0000}"/>
    <cellStyle name="Input 2 5 5 2 2 3" xfId="27333" xr:uid="{00000000-0005-0000-0000-0000C06A0000}"/>
    <cellStyle name="Input 2 5 5 2 2 4" xfId="27334" xr:uid="{00000000-0005-0000-0000-0000C16A0000}"/>
    <cellStyle name="Input 2 5 5 2 2 5" xfId="27335" xr:uid="{00000000-0005-0000-0000-0000C26A0000}"/>
    <cellStyle name="Input 2 5 5 2 2 6" xfId="27336" xr:uid="{00000000-0005-0000-0000-0000C36A0000}"/>
    <cellStyle name="Input 2 5 5 2 3" xfId="27337" xr:uid="{00000000-0005-0000-0000-0000C46A0000}"/>
    <cellStyle name="Input 2 5 5 2 4" xfId="27338" xr:uid="{00000000-0005-0000-0000-0000C56A0000}"/>
    <cellStyle name="Input 2 5 5 2 5" xfId="27339" xr:uid="{00000000-0005-0000-0000-0000C66A0000}"/>
    <cellStyle name="Input 2 5 5 2 6" xfId="27340" xr:uid="{00000000-0005-0000-0000-0000C76A0000}"/>
    <cellStyle name="Input 2 5 5 3" xfId="27341" xr:uid="{00000000-0005-0000-0000-0000C86A0000}"/>
    <cellStyle name="Input 2 5 5 3 2" xfId="27342" xr:uid="{00000000-0005-0000-0000-0000C96A0000}"/>
    <cellStyle name="Input 2 5 5 3 2 2" xfId="27343" xr:uid="{00000000-0005-0000-0000-0000CA6A0000}"/>
    <cellStyle name="Input 2 5 5 3 2 3" xfId="27344" xr:uid="{00000000-0005-0000-0000-0000CB6A0000}"/>
    <cellStyle name="Input 2 5 5 3 2 4" xfId="27345" xr:uid="{00000000-0005-0000-0000-0000CC6A0000}"/>
    <cellStyle name="Input 2 5 5 3 2 5" xfId="27346" xr:uid="{00000000-0005-0000-0000-0000CD6A0000}"/>
    <cellStyle name="Input 2 5 5 3 2 6" xfId="27347" xr:uid="{00000000-0005-0000-0000-0000CE6A0000}"/>
    <cellStyle name="Input 2 5 5 3 3" xfId="27348" xr:uid="{00000000-0005-0000-0000-0000CF6A0000}"/>
    <cellStyle name="Input 2 5 5 3 4" xfId="27349" xr:uid="{00000000-0005-0000-0000-0000D06A0000}"/>
    <cellStyle name="Input 2 5 5 3 5" xfId="27350" xr:uid="{00000000-0005-0000-0000-0000D16A0000}"/>
    <cellStyle name="Input 2 5 5 3 6" xfId="27351" xr:uid="{00000000-0005-0000-0000-0000D26A0000}"/>
    <cellStyle name="Input 2 5 5 4" xfId="27352" xr:uid="{00000000-0005-0000-0000-0000D36A0000}"/>
    <cellStyle name="Input 2 5 5 4 2" xfId="27353" xr:uid="{00000000-0005-0000-0000-0000D46A0000}"/>
    <cellStyle name="Input 2 5 5 4 3" xfId="27354" xr:uid="{00000000-0005-0000-0000-0000D56A0000}"/>
    <cellStyle name="Input 2 5 5 4 4" xfId="27355" xr:uid="{00000000-0005-0000-0000-0000D66A0000}"/>
    <cellStyle name="Input 2 5 5 4 5" xfId="27356" xr:uid="{00000000-0005-0000-0000-0000D76A0000}"/>
    <cellStyle name="Input 2 5 5 4 6" xfId="27357" xr:uid="{00000000-0005-0000-0000-0000D86A0000}"/>
    <cellStyle name="Input 2 5 5 5" xfId="27358" xr:uid="{00000000-0005-0000-0000-0000D96A0000}"/>
    <cellStyle name="Input 2 5 5 6" xfId="27359" xr:uid="{00000000-0005-0000-0000-0000DA6A0000}"/>
    <cellStyle name="Input 2 5 5 7" xfId="27360" xr:uid="{00000000-0005-0000-0000-0000DB6A0000}"/>
    <cellStyle name="Input 2 5 5 8" xfId="27361" xr:uid="{00000000-0005-0000-0000-0000DC6A0000}"/>
    <cellStyle name="Input 2 5 6" xfId="27362" xr:uid="{00000000-0005-0000-0000-0000DD6A0000}"/>
    <cellStyle name="Input 2 5 6 2" xfId="27363" xr:uid="{00000000-0005-0000-0000-0000DE6A0000}"/>
    <cellStyle name="Input 2 5 6 2 2" xfId="27364" xr:uid="{00000000-0005-0000-0000-0000DF6A0000}"/>
    <cellStyle name="Input 2 5 6 2 2 2" xfId="27365" xr:uid="{00000000-0005-0000-0000-0000E06A0000}"/>
    <cellStyle name="Input 2 5 6 2 2 3" xfId="27366" xr:uid="{00000000-0005-0000-0000-0000E16A0000}"/>
    <cellStyle name="Input 2 5 6 2 2 4" xfId="27367" xr:uid="{00000000-0005-0000-0000-0000E26A0000}"/>
    <cellStyle name="Input 2 5 6 2 2 5" xfId="27368" xr:uid="{00000000-0005-0000-0000-0000E36A0000}"/>
    <cellStyle name="Input 2 5 6 2 2 6" xfId="27369" xr:uid="{00000000-0005-0000-0000-0000E46A0000}"/>
    <cellStyle name="Input 2 5 6 2 3" xfId="27370" xr:uid="{00000000-0005-0000-0000-0000E56A0000}"/>
    <cellStyle name="Input 2 5 6 2 4" xfId="27371" xr:uid="{00000000-0005-0000-0000-0000E66A0000}"/>
    <cellStyle name="Input 2 5 6 2 5" xfId="27372" xr:uid="{00000000-0005-0000-0000-0000E76A0000}"/>
    <cellStyle name="Input 2 5 6 2 6" xfId="27373" xr:uid="{00000000-0005-0000-0000-0000E86A0000}"/>
    <cellStyle name="Input 2 5 6 3" xfId="27374" xr:uid="{00000000-0005-0000-0000-0000E96A0000}"/>
    <cellStyle name="Input 2 5 6 3 2" xfId="27375" xr:uid="{00000000-0005-0000-0000-0000EA6A0000}"/>
    <cellStyle name="Input 2 5 6 3 2 2" xfId="27376" xr:uid="{00000000-0005-0000-0000-0000EB6A0000}"/>
    <cellStyle name="Input 2 5 6 3 2 3" xfId="27377" xr:uid="{00000000-0005-0000-0000-0000EC6A0000}"/>
    <cellStyle name="Input 2 5 6 3 2 4" xfId="27378" xr:uid="{00000000-0005-0000-0000-0000ED6A0000}"/>
    <cellStyle name="Input 2 5 6 3 2 5" xfId="27379" xr:uid="{00000000-0005-0000-0000-0000EE6A0000}"/>
    <cellStyle name="Input 2 5 6 3 2 6" xfId="27380" xr:uid="{00000000-0005-0000-0000-0000EF6A0000}"/>
    <cellStyle name="Input 2 5 6 3 3" xfId="27381" xr:uid="{00000000-0005-0000-0000-0000F06A0000}"/>
    <cellStyle name="Input 2 5 6 3 4" xfId="27382" xr:uid="{00000000-0005-0000-0000-0000F16A0000}"/>
    <cellStyle name="Input 2 5 6 3 5" xfId="27383" xr:uid="{00000000-0005-0000-0000-0000F26A0000}"/>
    <cellStyle name="Input 2 5 6 3 6" xfId="27384" xr:uid="{00000000-0005-0000-0000-0000F36A0000}"/>
    <cellStyle name="Input 2 5 6 4" xfId="27385" xr:uid="{00000000-0005-0000-0000-0000F46A0000}"/>
    <cellStyle name="Input 2 5 6 4 2" xfId="27386" xr:uid="{00000000-0005-0000-0000-0000F56A0000}"/>
    <cellStyle name="Input 2 5 6 4 3" xfId="27387" xr:uid="{00000000-0005-0000-0000-0000F66A0000}"/>
    <cellStyle name="Input 2 5 6 4 4" xfId="27388" xr:uid="{00000000-0005-0000-0000-0000F76A0000}"/>
    <cellStyle name="Input 2 5 6 4 5" xfId="27389" xr:uid="{00000000-0005-0000-0000-0000F86A0000}"/>
    <cellStyle name="Input 2 5 6 4 6" xfId="27390" xr:uid="{00000000-0005-0000-0000-0000F96A0000}"/>
    <cellStyle name="Input 2 5 6 5" xfId="27391" xr:uid="{00000000-0005-0000-0000-0000FA6A0000}"/>
    <cellStyle name="Input 2 5 6 6" xfId="27392" xr:uid="{00000000-0005-0000-0000-0000FB6A0000}"/>
    <cellStyle name="Input 2 5 6 7" xfId="27393" xr:uid="{00000000-0005-0000-0000-0000FC6A0000}"/>
    <cellStyle name="Input 2 5 6 8" xfId="27394" xr:uid="{00000000-0005-0000-0000-0000FD6A0000}"/>
    <cellStyle name="Input 2 5 7" xfId="27395" xr:uid="{00000000-0005-0000-0000-0000FE6A0000}"/>
    <cellStyle name="Input 2 5 7 2" xfId="27396" xr:uid="{00000000-0005-0000-0000-0000FF6A0000}"/>
    <cellStyle name="Input 2 5 7 2 2" xfId="27397" xr:uid="{00000000-0005-0000-0000-0000006B0000}"/>
    <cellStyle name="Input 2 5 7 2 3" xfId="27398" xr:uid="{00000000-0005-0000-0000-0000016B0000}"/>
    <cellStyle name="Input 2 5 7 2 4" xfId="27399" xr:uid="{00000000-0005-0000-0000-0000026B0000}"/>
    <cellStyle name="Input 2 5 7 2 5" xfId="27400" xr:uid="{00000000-0005-0000-0000-0000036B0000}"/>
    <cellStyle name="Input 2 5 7 2 6" xfId="27401" xr:uid="{00000000-0005-0000-0000-0000046B0000}"/>
    <cellStyle name="Input 2 5 7 3" xfId="27402" xr:uid="{00000000-0005-0000-0000-0000056B0000}"/>
    <cellStyle name="Input 2 5 7 4" xfId="27403" xr:uid="{00000000-0005-0000-0000-0000066B0000}"/>
    <cellStyle name="Input 2 5 7 5" xfId="27404" xr:uid="{00000000-0005-0000-0000-0000076B0000}"/>
    <cellStyle name="Input 2 5 7 6" xfId="27405" xr:uid="{00000000-0005-0000-0000-0000086B0000}"/>
    <cellStyle name="Input 2 5 8" xfId="27406" xr:uid="{00000000-0005-0000-0000-0000096B0000}"/>
    <cellStyle name="Input 2 5 8 2" xfId="27407" xr:uid="{00000000-0005-0000-0000-00000A6B0000}"/>
    <cellStyle name="Input 2 5 8 2 2" xfId="27408" xr:uid="{00000000-0005-0000-0000-00000B6B0000}"/>
    <cellStyle name="Input 2 5 8 2 3" xfId="27409" xr:uid="{00000000-0005-0000-0000-00000C6B0000}"/>
    <cellStyle name="Input 2 5 8 2 4" xfId="27410" xr:uid="{00000000-0005-0000-0000-00000D6B0000}"/>
    <cellStyle name="Input 2 5 8 2 5" xfId="27411" xr:uid="{00000000-0005-0000-0000-00000E6B0000}"/>
    <cellStyle name="Input 2 5 8 2 6" xfId="27412" xr:uid="{00000000-0005-0000-0000-00000F6B0000}"/>
    <cellStyle name="Input 2 5 8 3" xfId="27413" xr:uid="{00000000-0005-0000-0000-0000106B0000}"/>
    <cellStyle name="Input 2 5 8 4" xfId="27414" xr:uid="{00000000-0005-0000-0000-0000116B0000}"/>
    <cellStyle name="Input 2 5 8 5" xfId="27415" xr:uid="{00000000-0005-0000-0000-0000126B0000}"/>
    <cellStyle name="Input 2 5 8 6" xfId="27416" xr:uid="{00000000-0005-0000-0000-0000136B0000}"/>
    <cellStyle name="Input 2 5 9" xfId="27417" xr:uid="{00000000-0005-0000-0000-0000146B0000}"/>
    <cellStyle name="Input 2 5 9 2" xfId="27418" xr:uid="{00000000-0005-0000-0000-0000156B0000}"/>
    <cellStyle name="Input 2 5 9 3" xfId="27419" xr:uid="{00000000-0005-0000-0000-0000166B0000}"/>
    <cellStyle name="Input 2 5 9 4" xfId="27420" xr:uid="{00000000-0005-0000-0000-0000176B0000}"/>
    <cellStyle name="Input 2 5 9 5" xfId="27421" xr:uid="{00000000-0005-0000-0000-0000186B0000}"/>
    <cellStyle name="Input 2 5 9 6" xfId="27422" xr:uid="{00000000-0005-0000-0000-0000196B0000}"/>
    <cellStyle name="Input 2 6" xfId="27423" xr:uid="{00000000-0005-0000-0000-00001A6B0000}"/>
    <cellStyle name="Input 2 6 2" xfId="27424" xr:uid="{00000000-0005-0000-0000-00001B6B0000}"/>
    <cellStyle name="Input 2 6 2 2" xfId="27425" xr:uid="{00000000-0005-0000-0000-00001C6B0000}"/>
    <cellStyle name="Input 2 6 2 2 2" xfId="27426" xr:uid="{00000000-0005-0000-0000-00001D6B0000}"/>
    <cellStyle name="Input 2 6 2 2 3" xfId="27427" xr:uid="{00000000-0005-0000-0000-00001E6B0000}"/>
    <cellStyle name="Input 2 6 2 2 4" xfId="27428" xr:uid="{00000000-0005-0000-0000-00001F6B0000}"/>
    <cellStyle name="Input 2 6 2 2 5" xfId="27429" xr:uid="{00000000-0005-0000-0000-0000206B0000}"/>
    <cellStyle name="Input 2 6 2 2 6" xfId="27430" xr:uid="{00000000-0005-0000-0000-0000216B0000}"/>
    <cellStyle name="Input 2 6 2 3" xfId="27431" xr:uid="{00000000-0005-0000-0000-0000226B0000}"/>
    <cellStyle name="Input 2 6 2 3 2" xfId="27432" xr:uid="{00000000-0005-0000-0000-0000236B0000}"/>
    <cellStyle name="Input 2 6 2 3 3" xfId="27433" xr:uid="{00000000-0005-0000-0000-0000246B0000}"/>
    <cellStyle name="Input 2 6 2 3 4" xfId="27434" xr:uid="{00000000-0005-0000-0000-0000256B0000}"/>
    <cellStyle name="Input 2 6 2 3 5" xfId="27435" xr:uid="{00000000-0005-0000-0000-0000266B0000}"/>
    <cellStyle name="Input 2 6 2 4" xfId="27436" xr:uid="{00000000-0005-0000-0000-0000276B0000}"/>
    <cellStyle name="Input 2 6 2 5" xfId="27437" xr:uid="{00000000-0005-0000-0000-0000286B0000}"/>
    <cellStyle name="Input 2 6 2 6" xfId="27438" xr:uid="{00000000-0005-0000-0000-0000296B0000}"/>
    <cellStyle name="Input 2 6 2 7" xfId="27439" xr:uid="{00000000-0005-0000-0000-00002A6B0000}"/>
    <cellStyle name="Input 2 6 3" xfId="27440" xr:uid="{00000000-0005-0000-0000-00002B6B0000}"/>
    <cellStyle name="Input 2 6 3 2" xfId="27441" xr:uid="{00000000-0005-0000-0000-00002C6B0000}"/>
    <cellStyle name="Input 2 6 3 2 2" xfId="27442" xr:uid="{00000000-0005-0000-0000-00002D6B0000}"/>
    <cellStyle name="Input 2 6 3 2 3" xfId="27443" xr:uid="{00000000-0005-0000-0000-00002E6B0000}"/>
    <cellStyle name="Input 2 6 3 2 4" xfId="27444" xr:uid="{00000000-0005-0000-0000-00002F6B0000}"/>
    <cellStyle name="Input 2 6 3 2 5" xfId="27445" xr:uid="{00000000-0005-0000-0000-0000306B0000}"/>
    <cellStyle name="Input 2 6 3 2 6" xfId="27446" xr:uid="{00000000-0005-0000-0000-0000316B0000}"/>
    <cellStyle name="Input 2 6 3 3" xfId="27447" xr:uid="{00000000-0005-0000-0000-0000326B0000}"/>
    <cellStyle name="Input 2 6 3 4" xfId="27448" xr:uid="{00000000-0005-0000-0000-0000336B0000}"/>
    <cellStyle name="Input 2 6 3 5" xfId="27449" xr:uid="{00000000-0005-0000-0000-0000346B0000}"/>
    <cellStyle name="Input 2 6 3 6" xfId="27450" xr:uid="{00000000-0005-0000-0000-0000356B0000}"/>
    <cellStyle name="Input 2 6 4" xfId="27451" xr:uid="{00000000-0005-0000-0000-0000366B0000}"/>
    <cellStyle name="Input 2 6 4 2" xfId="27452" xr:uid="{00000000-0005-0000-0000-0000376B0000}"/>
    <cellStyle name="Input 2 6 4 3" xfId="27453" xr:uid="{00000000-0005-0000-0000-0000386B0000}"/>
    <cellStyle name="Input 2 6 4 4" xfId="27454" xr:uid="{00000000-0005-0000-0000-0000396B0000}"/>
    <cellStyle name="Input 2 6 4 5" xfId="27455" xr:uid="{00000000-0005-0000-0000-00003A6B0000}"/>
    <cellStyle name="Input 2 6 4 6" xfId="27456" xr:uid="{00000000-0005-0000-0000-00003B6B0000}"/>
    <cellStyle name="Input 2 6 5" xfId="27457" xr:uid="{00000000-0005-0000-0000-00003C6B0000}"/>
    <cellStyle name="Input 2 6 5 2" xfId="27458" xr:uid="{00000000-0005-0000-0000-00003D6B0000}"/>
    <cellStyle name="Input 2 6 5 3" xfId="27459" xr:uid="{00000000-0005-0000-0000-00003E6B0000}"/>
    <cellStyle name="Input 2 6 5 4" xfId="27460" xr:uid="{00000000-0005-0000-0000-00003F6B0000}"/>
    <cellStyle name="Input 2 6 5 5" xfId="27461" xr:uid="{00000000-0005-0000-0000-0000406B0000}"/>
    <cellStyle name="Input 2 6 6" xfId="27462" xr:uid="{00000000-0005-0000-0000-0000416B0000}"/>
    <cellStyle name="Input 2 6 7" xfId="27463" xr:uid="{00000000-0005-0000-0000-0000426B0000}"/>
    <cellStyle name="Input 2 6 8" xfId="27464" xr:uid="{00000000-0005-0000-0000-0000436B0000}"/>
    <cellStyle name="Input 2 6 9" xfId="27465" xr:uid="{00000000-0005-0000-0000-0000446B0000}"/>
    <cellStyle name="Input 2 7" xfId="27466" xr:uid="{00000000-0005-0000-0000-0000456B0000}"/>
    <cellStyle name="Input 2 7 2" xfId="27467" xr:uid="{00000000-0005-0000-0000-0000466B0000}"/>
    <cellStyle name="Input 2 7 2 2" xfId="27468" xr:uid="{00000000-0005-0000-0000-0000476B0000}"/>
    <cellStyle name="Input 2 7 2 2 2" xfId="27469" xr:uid="{00000000-0005-0000-0000-0000486B0000}"/>
    <cellStyle name="Input 2 7 2 2 3" xfId="27470" xr:uid="{00000000-0005-0000-0000-0000496B0000}"/>
    <cellStyle name="Input 2 7 2 2 4" xfId="27471" xr:uid="{00000000-0005-0000-0000-00004A6B0000}"/>
    <cellStyle name="Input 2 7 2 2 5" xfId="27472" xr:uid="{00000000-0005-0000-0000-00004B6B0000}"/>
    <cellStyle name="Input 2 7 2 2 6" xfId="27473" xr:uid="{00000000-0005-0000-0000-00004C6B0000}"/>
    <cellStyle name="Input 2 7 2 3" xfId="27474" xr:uid="{00000000-0005-0000-0000-00004D6B0000}"/>
    <cellStyle name="Input 2 7 2 3 2" xfId="27475" xr:uid="{00000000-0005-0000-0000-00004E6B0000}"/>
    <cellStyle name="Input 2 7 2 3 3" xfId="27476" xr:uid="{00000000-0005-0000-0000-00004F6B0000}"/>
    <cellStyle name="Input 2 7 2 3 4" xfId="27477" xr:uid="{00000000-0005-0000-0000-0000506B0000}"/>
    <cellStyle name="Input 2 7 2 3 5" xfId="27478" xr:uid="{00000000-0005-0000-0000-0000516B0000}"/>
    <cellStyle name="Input 2 7 2 4" xfId="27479" xr:uid="{00000000-0005-0000-0000-0000526B0000}"/>
    <cellStyle name="Input 2 7 2 5" xfId="27480" xr:uid="{00000000-0005-0000-0000-0000536B0000}"/>
    <cellStyle name="Input 2 7 2 6" xfId="27481" xr:uid="{00000000-0005-0000-0000-0000546B0000}"/>
    <cellStyle name="Input 2 7 2 7" xfId="27482" xr:uid="{00000000-0005-0000-0000-0000556B0000}"/>
    <cellStyle name="Input 2 7 3" xfId="27483" xr:uid="{00000000-0005-0000-0000-0000566B0000}"/>
    <cellStyle name="Input 2 7 3 2" xfId="27484" xr:uid="{00000000-0005-0000-0000-0000576B0000}"/>
    <cellStyle name="Input 2 7 3 2 2" xfId="27485" xr:uid="{00000000-0005-0000-0000-0000586B0000}"/>
    <cellStyle name="Input 2 7 3 2 3" xfId="27486" xr:uid="{00000000-0005-0000-0000-0000596B0000}"/>
    <cellStyle name="Input 2 7 3 2 4" xfId="27487" xr:uid="{00000000-0005-0000-0000-00005A6B0000}"/>
    <cellStyle name="Input 2 7 3 2 5" xfId="27488" xr:uid="{00000000-0005-0000-0000-00005B6B0000}"/>
    <cellStyle name="Input 2 7 3 2 6" xfId="27489" xr:uid="{00000000-0005-0000-0000-00005C6B0000}"/>
    <cellStyle name="Input 2 7 3 3" xfId="27490" xr:uid="{00000000-0005-0000-0000-00005D6B0000}"/>
    <cellStyle name="Input 2 7 3 4" xfId="27491" xr:uid="{00000000-0005-0000-0000-00005E6B0000}"/>
    <cellStyle name="Input 2 7 3 5" xfId="27492" xr:uid="{00000000-0005-0000-0000-00005F6B0000}"/>
    <cellStyle name="Input 2 7 3 6" xfId="27493" xr:uid="{00000000-0005-0000-0000-0000606B0000}"/>
    <cellStyle name="Input 2 7 4" xfId="27494" xr:uid="{00000000-0005-0000-0000-0000616B0000}"/>
    <cellStyle name="Input 2 7 4 2" xfId="27495" xr:uid="{00000000-0005-0000-0000-0000626B0000}"/>
    <cellStyle name="Input 2 7 4 3" xfId="27496" xr:uid="{00000000-0005-0000-0000-0000636B0000}"/>
    <cellStyle name="Input 2 7 4 4" xfId="27497" xr:uid="{00000000-0005-0000-0000-0000646B0000}"/>
    <cellStyle name="Input 2 7 4 5" xfId="27498" xr:uid="{00000000-0005-0000-0000-0000656B0000}"/>
    <cellStyle name="Input 2 7 4 6" xfId="27499" xr:uid="{00000000-0005-0000-0000-0000666B0000}"/>
    <cellStyle name="Input 2 7 5" xfId="27500" xr:uid="{00000000-0005-0000-0000-0000676B0000}"/>
    <cellStyle name="Input 2 7 5 2" xfId="27501" xr:uid="{00000000-0005-0000-0000-0000686B0000}"/>
    <cellStyle name="Input 2 7 5 3" xfId="27502" xr:uid="{00000000-0005-0000-0000-0000696B0000}"/>
    <cellStyle name="Input 2 7 5 4" xfId="27503" xr:uid="{00000000-0005-0000-0000-00006A6B0000}"/>
    <cellStyle name="Input 2 7 5 5" xfId="27504" xr:uid="{00000000-0005-0000-0000-00006B6B0000}"/>
    <cellStyle name="Input 2 7 6" xfId="27505" xr:uid="{00000000-0005-0000-0000-00006C6B0000}"/>
    <cellStyle name="Input 2 7 7" xfId="27506" xr:uid="{00000000-0005-0000-0000-00006D6B0000}"/>
    <cellStyle name="Input 2 7 8" xfId="27507" xr:uid="{00000000-0005-0000-0000-00006E6B0000}"/>
    <cellStyle name="Input 2 7 9" xfId="27508" xr:uid="{00000000-0005-0000-0000-00006F6B0000}"/>
    <cellStyle name="Input 2 8" xfId="27509" xr:uid="{00000000-0005-0000-0000-0000706B0000}"/>
    <cellStyle name="Input 2 8 2" xfId="27510" xr:uid="{00000000-0005-0000-0000-0000716B0000}"/>
    <cellStyle name="Input 2 8 2 2" xfId="27511" xr:uid="{00000000-0005-0000-0000-0000726B0000}"/>
    <cellStyle name="Input 2 8 2 2 2" xfId="27512" xr:uid="{00000000-0005-0000-0000-0000736B0000}"/>
    <cellStyle name="Input 2 8 2 2 3" xfId="27513" xr:uid="{00000000-0005-0000-0000-0000746B0000}"/>
    <cellStyle name="Input 2 8 2 2 4" xfId="27514" xr:uid="{00000000-0005-0000-0000-0000756B0000}"/>
    <cellStyle name="Input 2 8 2 2 5" xfId="27515" xr:uid="{00000000-0005-0000-0000-0000766B0000}"/>
    <cellStyle name="Input 2 8 2 2 6" xfId="27516" xr:uid="{00000000-0005-0000-0000-0000776B0000}"/>
    <cellStyle name="Input 2 8 2 3" xfId="27517" xr:uid="{00000000-0005-0000-0000-0000786B0000}"/>
    <cellStyle name="Input 2 8 2 3 2" xfId="27518" xr:uid="{00000000-0005-0000-0000-0000796B0000}"/>
    <cellStyle name="Input 2 8 2 3 3" xfId="27519" xr:uid="{00000000-0005-0000-0000-00007A6B0000}"/>
    <cellStyle name="Input 2 8 2 3 4" xfId="27520" xr:uid="{00000000-0005-0000-0000-00007B6B0000}"/>
    <cellStyle name="Input 2 8 2 3 5" xfId="27521" xr:uid="{00000000-0005-0000-0000-00007C6B0000}"/>
    <cellStyle name="Input 2 8 2 4" xfId="27522" xr:uid="{00000000-0005-0000-0000-00007D6B0000}"/>
    <cellStyle name="Input 2 8 2 5" xfId="27523" xr:uid="{00000000-0005-0000-0000-00007E6B0000}"/>
    <cellStyle name="Input 2 8 2 6" xfId="27524" xr:uid="{00000000-0005-0000-0000-00007F6B0000}"/>
    <cellStyle name="Input 2 8 2 7" xfId="27525" xr:uid="{00000000-0005-0000-0000-0000806B0000}"/>
    <cellStyle name="Input 2 8 3" xfId="27526" xr:uid="{00000000-0005-0000-0000-0000816B0000}"/>
    <cellStyle name="Input 2 8 3 2" xfId="27527" xr:uid="{00000000-0005-0000-0000-0000826B0000}"/>
    <cellStyle name="Input 2 8 3 2 2" xfId="27528" xr:uid="{00000000-0005-0000-0000-0000836B0000}"/>
    <cellStyle name="Input 2 8 3 2 3" xfId="27529" xr:uid="{00000000-0005-0000-0000-0000846B0000}"/>
    <cellStyle name="Input 2 8 3 2 4" xfId="27530" xr:uid="{00000000-0005-0000-0000-0000856B0000}"/>
    <cellStyle name="Input 2 8 3 2 5" xfId="27531" xr:uid="{00000000-0005-0000-0000-0000866B0000}"/>
    <cellStyle name="Input 2 8 3 2 6" xfId="27532" xr:uid="{00000000-0005-0000-0000-0000876B0000}"/>
    <cellStyle name="Input 2 8 3 3" xfId="27533" xr:uid="{00000000-0005-0000-0000-0000886B0000}"/>
    <cellStyle name="Input 2 8 3 4" xfId="27534" xr:uid="{00000000-0005-0000-0000-0000896B0000}"/>
    <cellStyle name="Input 2 8 3 5" xfId="27535" xr:uid="{00000000-0005-0000-0000-00008A6B0000}"/>
    <cellStyle name="Input 2 8 3 6" xfId="27536" xr:uid="{00000000-0005-0000-0000-00008B6B0000}"/>
    <cellStyle name="Input 2 8 4" xfId="27537" xr:uid="{00000000-0005-0000-0000-00008C6B0000}"/>
    <cellStyle name="Input 2 8 4 2" xfId="27538" xr:uid="{00000000-0005-0000-0000-00008D6B0000}"/>
    <cellStyle name="Input 2 8 4 3" xfId="27539" xr:uid="{00000000-0005-0000-0000-00008E6B0000}"/>
    <cellStyle name="Input 2 8 4 4" xfId="27540" xr:uid="{00000000-0005-0000-0000-00008F6B0000}"/>
    <cellStyle name="Input 2 8 4 5" xfId="27541" xr:uid="{00000000-0005-0000-0000-0000906B0000}"/>
    <cellStyle name="Input 2 8 4 6" xfId="27542" xr:uid="{00000000-0005-0000-0000-0000916B0000}"/>
    <cellStyle name="Input 2 8 5" xfId="27543" xr:uid="{00000000-0005-0000-0000-0000926B0000}"/>
    <cellStyle name="Input 2 8 5 2" xfId="27544" xr:uid="{00000000-0005-0000-0000-0000936B0000}"/>
    <cellStyle name="Input 2 8 5 3" xfId="27545" xr:uid="{00000000-0005-0000-0000-0000946B0000}"/>
    <cellStyle name="Input 2 8 5 4" xfId="27546" xr:uid="{00000000-0005-0000-0000-0000956B0000}"/>
    <cellStyle name="Input 2 8 5 5" xfId="27547" xr:uid="{00000000-0005-0000-0000-0000966B0000}"/>
    <cellStyle name="Input 2 8 6" xfId="27548" xr:uid="{00000000-0005-0000-0000-0000976B0000}"/>
    <cellStyle name="Input 2 8 7" xfId="27549" xr:uid="{00000000-0005-0000-0000-0000986B0000}"/>
    <cellStyle name="Input 2 8 8" xfId="27550" xr:uid="{00000000-0005-0000-0000-0000996B0000}"/>
    <cellStyle name="Input 2 8 9" xfId="27551" xr:uid="{00000000-0005-0000-0000-00009A6B0000}"/>
    <cellStyle name="Input 2 9" xfId="27552" xr:uid="{00000000-0005-0000-0000-00009B6B0000}"/>
    <cellStyle name="Input 2 9 2" xfId="27553" xr:uid="{00000000-0005-0000-0000-00009C6B0000}"/>
    <cellStyle name="Input 2 9 2 2" xfId="27554" xr:uid="{00000000-0005-0000-0000-00009D6B0000}"/>
    <cellStyle name="Input 2 9 2 2 2" xfId="27555" xr:uid="{00000000-0005-0000-0000-00009E6B0000}"/>
    <cellStyle name="Input 2 9 2 2 3" xfId="27556" xr:uid="{00000000-0005-0000-0000-00009F6B0000}"/>
    <cellStyle name="Input 2 9 2 2 4" xfId="27557" xr:uid="{00000000-0005-0000-0000-0000A06B0000}"/>
    <cellStyle name="Input 2 9 2 2 5" xfId="27558" xr:uid="{00000000-0005-0000-0000-0000A16B0000}"/>
    <cellStyle name="Input 2 9 2 3" xfId="27559" xr:uid="{00000000-0005-0000-0000-0000A26B0000}"/>
    <cellStyle name="Input 2 9 2 4" xfId="27560" xr:uid="{00000000-0005-0000-0000-0000A36B0000}"/>
    <cellStyle name="Input 2 9 2 5" xfId="27561" xr:uid="{00000000-0005-0000-0000-0000A46B0000}"/>
    <cellStyle name="Input 2 9 2 6" xfId="27562" xr:uid="{00000000-0005-0000-0000-0000A56B0000}"/>
    <cellStyle name="Input 2 9 2 7" xfId="27563" xr:uid="{00000000-0005-0000-0000-0000A66B0000}"/>
    <cellStyle name="Input 2 9 3" xfId="27564" xr:uid="{00000000-0005-0000-0000-0000A76B0000}"/>
    <cellStyle name="Input 2 9 3 2" xfId="27565" xr:uid="{00000000-0005-0000-0000-0000A86B0000}"/>
    <cellStyle name="Input 2 9 3 3" xfId="27566" xr:uid="{00000000-0005-0000-0000-0000A96B0000}"/>
    <cellStyle name="Input 2 9 3 4" xfId="27567" xr:uid="{00000000-0005-0000-0000-0000AA6B0000}"/>
    <cellStyle name="Input 2 9 3 5" xfId="27568" xr:uid="{00000000-0005-0000-0000-0000AB6B0000}"/>
    <cellStyle name="Input 2 9 4" xfId="27569" xr:uid="{00000000-0005-0000-0000-0000AC6B0000}"/>
    <cellStyle name="Input 2 9 5" xfId="27570" xr:uid="{00000000-0005-0000-0000-0000AD6B0000}"/>
    <cellStyle name="Input 2 9 6" xfId="27571" xr:uid="{00000000-0005-0000-0000-0000AE6B0000}"/>
    <cellStyle name="Input 2 9 7" xfId="27572" xr:uid="{00000000-0005-0000-0000-0000AF6B0000}"/>
    <cellStyle name="Input 3" xfId="27573" xr:uid="{00000000-0005-0000-0000-0000B06B0000}"/>
    <cellStyle name="Input 3 10" xfId="27574" xr:uid="{00000000-0005-0000-0000-0000B16B0000}"/>
    <cellStyle name="Input 3 10 2" xfId="27575" xr:uid="{00000000-0005-0000-0000-0000B26B0000}"/>
    <cellStyle name="Input 3 10 2 2" xfId="27576" xr:uid="{00000000-0005-0000-0000-0000B36B0000}"/>
    <cellStyle name="Input 3 10 2 3" xfId="27577" xr:uid="{00000000-0005-0000-0000-0000B46B0000}"/>
    <cellStyle name="Input 3 10 2 4" xfId="27578" xr:uid="{00000000-0005-0000-0000-0000B56B0000}"/>
    <cellStyle name="Input 3 10 2 5" xfId="27579" xr:uid="{00000000-0005-0000-0000-0000B66B0000}"/>
    <cellStyle name="Input 3 10 2 6" xfId="27580" xr:uid="{00000000-0005-0000-0000-0000B76B0000}"/>
    <cellStyle name="Input 3 10 3" xfId="27581" xr:uid="{00000000-0005-0000-0000-0000B86B0000}"/>
    <cellStyle name="Input 3 10 4" xfId="27582" xr:uid="{00000000-0005-0000-0000-0000B96B0000}"/>
    <cellStyle name="Input 3 10 5" xfId="27583" xr:uid="{00000000-0005-0000-0000-0000BA6B0000}"/>
    <cellStyle name="Input 3 10 6" xfId="27584" xr:uid="{00000000-0005-0000-0000-0000BB6B0000}"/>
    <cellStyle name="Input 3 11" xfId="27585" xr:uid="{00000000-0005-0000-0000-0000BC6B0000}"/>
    <cellStyle name="Input 3 11 2" xfId="27586" xr:uid="{00000000-0005-0000-0000-0000BD6B0000}"/>
    <cellStyle name="Input 3 11 3" xfId="27587" xr:uid="{00000000-0005-0000-0000-0000BE6B0000}"/>
    <cellStyle name="Input 3 11 4" xfId="27588" xr:uid="{00000000-0005-0000-0000-0000BF6B0000}"/>
    <cellStyle name="Input 3 11 5" xfId="27589" xr:uid="{00000000-0005-0000-0000-0000C06B0000}"/>
    <cellStyle name="Input 3 11 6" xfId="27590" xr:uid="{00000000-0005-0000-0000-0000C16B0000}"/>
    <cellStyle name="Input 3 12" xfId="27591" xr:uid="{00000000-0005-0000-0000-0000C26B0000}"/>
    <cellStyle name="Input 3 13" xfId="27592" xr:uid="{00000000-0005-0000-0000-0000C36B0000}"/>
    <cellStyle name="Input 3 14" xfId="27593" xr:uid="{00000000-0005-0000-0000-0000C46B0000}"/>
    <cellStyle name="Input 3 15" xfId="27594" xr:uid="{00000000-0005-0000-0000-0000C56B0000}"/>
    <cellStyle name="Input 3 2" xfId="27595" xr:uid="{00000000-0005-0000-0000-0000C66B0000}"/>
    <cellStyle name="Input 3 3" xfId="27596" xr:uid="{00000000-0005-0000-0000-0000C76B0000}"/>
    <cellStyle name="Input 3 3 10" xfId="27597" xr:uid="{00000000-0005-0000-0000-0000C86B0000}"/>
    <cellStyle name="Input 3 3 11" xfId="27598" xr:uid="{00000000-0005-0000-0000-0000C96B0000}"/>
    <cellStyle name="Input 3 3 12" xfId="27599" xr:uid="{00000000-0005-0000-0000-0000CA6B0000}"/>
    <cellStyle name="Input 3 3 13" xfId="27600" xr:uid="{00000000-0005-0000-0000-0000CB6B0000}"/>
    <cellStyle name="Input 3 3 2" xfId="27601" xr:uid="{00000000-0005-0000-0000-0000CC6B0000}"/>
    <cellStyle name="Input 3 3 2 10" xfId="27602" xr:uid="{00000000-0005-0000-0000-0000CD6B0000}"/>
    <cellStyle name="Input 3 3 2 10 2" xfId="27603" xr:uid="{00000000-0005-0000-0000-0000CE6B0000}"/>
    <cellStyle name="Input 3 3 2 10 3" xfId="27604" xr:uid="{00000000-0005-0000-0000-0000CF6B0000}"/>
    <cellStyle name="Input 3 3 2 10 4" xfId="27605" xr:uid="{00000000-0005-0000-0000-0000D06B0000}"/>
    <cellStyle name="Input 3 3 2 10 5" xfId="27606" xr:uid="{00000000-0005-0000-0000-0000D16B0000}"/>
    <cellStyle name="Input 3 3 2 10 6" xfId="27607" xr:uid="{00000000-0005-0000-0000-0000D26B0000}"/>
    <cellStyle name="Input 3 3 2 11" xfId="27608" xr:uid="{00000000-0005-0000-0000-0000D36B0000}"/>
    <cellStyle name="Input 3 3 2 12" xfId="27609" xr:uid="{00000000-0005-0000-0000-0000D46B0000}"/>
    <cellStyle name="Input 3 3 2 13" xfId="27610" xr:uid="{00000000-0005-0000-0000-0000D56B0000}"/>
    <cellStyle name="Input 3 3 2 14" xfId="27611" xr:uid="{00000000-0005-0000-0000-0000D66B0000}"/>
    <cellStyle name="Input 3 3 2 2" xfId="27612" xr:uid="{00000000-0005-0000-0000-0000D76B0000}"/>
    <cellStyle name="Input 3 3 2 2 10" xfId="27613" xr:uid="{00000000-0005-0000-0000-0000D86B0000}"/>
    <cellStyle name="Input 3 3 2 2 11" xfId="27614" xr:uid="{00000000-0005-0000-0000-0000D96B0000}"/>
    <cellStyle name="Input 3 3 2 2 12" xfId="27615" xr:uid="{00000000-0005-0000-0000-0000DA6B0000}"/>
    <cellStyle name="Input 3 3 2 2 13" xfId="27616" xr:uid="{00000000-0005-0000-0000-0000DB6B0000}"/>
    <cellStyle name="Input 3 3 2 2 2" xfId="27617" xr:uid="{00000000-0005-0000-0000-0000DC6B0000}"/>
    <cellStyle name="Input 3 3 2 2 2 2" xfId="27618" xr:uid="{00000000-0005-0000-0000-0000DD6B0000}"/>
    <cellStyle name="Input 3 3 2 2 2 2 2" xfId="27619" xr:uid="{00000000-0005-0000-0000-0000DE6B0000}"/>
    <cellStyle name="Input 3 3 2 2 2 2 2 2" xfId="27620" xr:uid="{00000000-0005-0000-0000-0000DF6B0000}"/>
    <cellStyle name="Input 3 3 2 2 2 2 2 3" xfId="27621" xr:uid="{00000000-0005-0000-0000-0000E06B0000}"/>
    <cellStyle name="Input 3 3 2 2 2 2 2 4" xfId="27622" xr:uid="{00000000-0005-0000-0000-0000E16B0000}"/>
    <cellStyle name="Input 3 3 2 2 2 2 2 5" xfId="27623" xr:uid="{00000000-0005-0000-0000-0000E26B0000}"/>
    <cellStyle name="Input 3 3 2 2 2 2 2 6" xfId="27624" xr:uid="{00000000-0005-0000-0000-0000E36B0000}"/>
    <cellStyle name="Input 3 3 2 2 2 2 3" xfId="27625" xr:uid="{00000000-0005-0000-0000-0000E46B0000}"/>
    <cellStyle name="Input 3 3 2 2 2 2 4" xfId="27626" xr:uid="{00000000-0005-0000-0000-0000E56B0000}"/>
    <cellStyle name="Input 3 3 2 2 2 2 5" xfId="27627" xr:uid="{00000000-0005-0000-0000-0000E66B0000}"/>
    <cellStyle name="Input 3 3 2 2 2 2 6" xfId="27628" xr:uid="{00000000-0005-0000-0000-0000E76B0000}"/>
    <cellStyle name="Input 3 3 2 2 2 3" xfId="27629" xr:uid="{00000000-0005-0000-0000-0000E86B0000}"/>
    <cellStyle name="Input 3 3 2 2 2 3 2" xfId="27630" xr:uid="{00000000-0005-0000-0000-0000E96B0000}"/>
    <cellStyle name="Input 3 3 2 2 2 3 2 2" xfId="27631" xr:uid="{00000000-0005-0000-0000-0000EA6B0000}"/>
    <cellStyle name="Input 3 3 2 2 2 3 2 3" xfId="27632" xr:uid="{00000000-0005-0000-0000-0000EB6B0000}"/>
    <cellStyle name="Input 3 3 2 2 2 3 2 4" xfId="27633" xr:uid="{00000000-0005-0000-0000-0000EC6B0000}"/>
    <cellStyle name="Input 3 3 2 2 2 3 2 5" xfId="27634" xr:uid="{00000000-0005-0000-0000-0000ED6B0000}"/>
    <cellStyle name="Input 3 3 2 2 2 3 2 6" xfId="27635" xr:uid="{00000000-0005-0000-0000-0000EE6B0000}"/>
    <cellStyle name="Input 3 3 2 2 2 3 3" xfId="27636" xr:uid="{00000000-0005-0000-0000-0000EF6B0000}"/>
    <cellStyle name="Input 3 3 2 2 2 3 4" xfId="27637" xr:uid="{00000000-0005-0000-0000-0000F06B0000}"/>
    <cellStyle name="Input 3 3 2 2 2 3 5" xfId="27638" xr:uid="{00000000-0005-0000-0000-0000F16B0000}"/>
    <cellStyle name="Input 3 3 2 2 2 3 6" xfId="27639" xr:uid="{00000000-0005-0000-0000-0000F26B0000}"/>
    <cellStyle name="Input 3 3 2 2 2 4" xfId="27640" xr:uid="{00000000-0005-0000-0000-0000F36B0000}"/>
    <cellStyle name="Input 3 3 2 2 2 4 2" xfId="27641" xr:uid="{00000000-0005-0000-0000-0000F46B0000}"/>
    <cellStyle name="Input 3 3 2 2 2 4 3" xfId="27642" xr:uid="{00000000-0005-0000-0000-0000F56B0000}"/>
    <cellStyle name="Input 3 3 2 2 2 4 4" xfId="27643" xr:uid="{00000000-0005-0000-0000-0000F66B0000}"/>
    <cellStyle name="Input 3 3 2 2 2 4 5" xfId="27644" xr:uid="{00000000-0005-0000-0000-0000F76B0000}"/>
    <cellStyle name="Input 3 3 2 2 2 4 6" xfId="27645" xr:uid="{00000000-0005-0000-0000-0000F86B0000}"/>
    <cellStyle name="Input 3 3 2 2 2 5" xfId="27646" xr:uid="{00000000-0005-0000-0000-0000F96B0000}"/>
    <cellStyle name="Input 3 3 2 2 2 6" xfId="27647" xr:uid="{00000000-0005-0000-0000-0000FA6B0000}"/>
    <cellStyle name="Input 3 3 2 2 2 7" xfId="27648" xr:uid="{00000000-0005-0000-0000-0000FB6B0000}"/>
    <cellStyle name="Input 3 3 2 2 2 8" xfId="27649" xr:uid="{00000000-0005-0000-0000-0000FC6B0000}"/>
    <cellStyle name="Input 3 3 2 2 3" xfId="27650" xr:uid="{00000000-0005-0000-0000-0000FD6B0000}"/>
    <cellStyle name="Input 3 3 2 2 3 2" xfId="27651" xr:uid="{00000000-0005-0000-0000-0000FE6B0000}"/>
    <cellStyle name="Input 3 3 2 2 3 2 2" xfId="27652" xr:uid="{00000000-0005-0000-0000-0000FF6B0000}"/>
    <cellStyle name="Input 3 3 2 2 3 2 2 2" xfId="27653" xr:uid="{00000000-0005-0000-0000-0000006C0000}"/>
    <cellStyle name="Input 3 3 2 2 3 2 2 3" xfId="27654" xr:uid="{00000000-0005-0000-0000-0000016C0000}"/>
    <cellStyle name="Input 3 3 2 2 3 2 2 4" xfId="27655" xr:uid="{00000000-0005-0000-0000-0000026C0000}"/>
    <cellStyle name="Input 3 3 2 2 3 2 2 5" xfId="27656" xr:uid="{00000000-0005-0000-0000-0000036C0000}"/>
    <cellStyle name="Input 3 3 2 2 3 2 2 6" xfId="27657" xr:uid="{00000000-0005-0000-0000-0000046C0000}"/>
    <cellStyle name="Input 3 3 2 2 3 2 3" xfId="27658" xr:uid="{00000000-0005-0000-0000-0000056C0000}"/>
    <cellStyle name="Input 3 3 2 2 3 2 4" xfId="27659" xr:uid="{00000000-0005-0000-0000-0000066C0000}"/>
    <cellStyle name="Input 3 3 2 2 3 2 5" xfId="27660" xr:uid="{00000000-0005-0000-0000-0000076C0000}"/>
    <cellStyle name="Input 3 3 2 2 3 2 6" xfId="27661" xr:uid="{00000000-0005-0000-0000-0000086C0000}"/>
    <cellStyle name="Input 3 3 2 2 3 3" xfId="27662" xr:uid="{00000000-0005-0000-0000-0000096C0000}"/>
    <cellStyle name="Input 3 3 2 2 3 3 2" xfId="27663" xr:uid="{00000000-0005-0000-0000-00000A6C0000}"/>
    <cellStyle name="Input 3 3 2 2 3 3 2 2" xfId="27664" xr:uid="{00000000-0005-0000-0000-00000B6C0000}"/>
    <cellStyle name="Input 3 3 2 2 3 3 2 3" xfId="27665" xr:uid="{00000000-0005-0000-0000-00000C6C0000}"/>
    <cellStyle name="Input 3 3 2 2 3 3 2 4" xfId="27666" xr:uid="{00000000-0005-0000-0000-00000D6C0000}"/>
    <cellStyle name="Input 3 3 2 2 3 3 2 5" xfId="27667" xr:uid="{00000000-0005-0000-0000-00000E6C0000}"/>
    <cellStyle name="Input 3 3 2 2 3 3 2 6" xfId="27668" xr:uid="{00000000-0005-0000-0000-00000F6C0000}"/>
    <cellStyle name="Input 3 3 2 2 3 3 3" xfId="27669" xr:uid="{00000000-0005-0000-0000-0000106C0000}"/>
    <cellStyle name="Input 3 3 2 2 3 3 4" xfId="27670" xr:uid="{00000000-0005-0000-0000-0000116C0000}"/>
    <cellStyle name="Input 3 3 2 2 3 3 5" xfId="27671" xr:uid="{00000000-0005-0000-0000-0000126C0000}"/>
    <cellStyle name="Input 3 3 2 2 3 3 6" xfId="27672" xr:uid="{00000000-0005-0000-0000-0000136C0000}"/>
    <cellStyle name="Input 3 3 2 2 3 4" xfId="27673" xr:uid="{00000000-0005-0000-0000-0000146C0000}"/>
    <cellStyle name="Input 3 3 2 2 3 4 2" xfId="27674" xr:uid="{00000000-0005-0000-0000-0000156C0000}"/>
    <cellStyle name="Input 3 3 2 2 3 4 3" xfId="27675" xr:uid="{00000000-0005-0000-0000-0000166C0000}"/>
    <cellStyle name="Input 3 3 2 2 3 4 4" xfId="27676" xr:uid="{00000000-0005-0000-0000-0000176C0000}"/>
    <cellStyle name="Input 3 3 2 2 3 4 5" xfId="27677" xr:uid="{00000000-0005-0000-0000-0000186C0000}"/>
    <cellStyle name="Input 3 3 2 2 3 4 6" xfId="27678" xr:uid="{00000000-0005-0000-0000-0000196C0000}"/>
    <cellStyle name="Input 3 3 2 2 3 5" xfId="27679" xr:uid="{00000000-0005-0000-0000-00001A6C0000}"/>
    <cellStyle name="Input 3 3 2 2 3 6" xfId="27680" xr:uid="{00000000-0005-0000-0000-00001B6C0000}"/>
    <cellStyle name="Input 3 3 2 2 3 7" xfId="27681" xr:uid="{00000000-0005-0000-0000-00001C6C0000}"/>
    <cellStyle name="Input 3 3 2 2 3 8" xfId="27682" xr:uid="{00000000-0005-0000-0000-00001D6C0000}"/>
    <cellStyle name="Input 3 3 2 2 4" xfId="27683" xr:uid="{00000000-0005-0000-0000-00001E6C0000}"/>
    <cellStyle name="Input 3 3 2 2 4 2" xfId="27684" xr:uid="{00000000-0005-0000-0000-00001F6C0000}"/>
    <cellStyle name="Input 3 3 2 2 4 2 2" xfId="27685" xr:uid="{00000000-0005-0000-0000-0000206C0000}"/>
    <cellStyle name="Input 3 3 2 2 4 2 2 2" xfId="27686" xr:uid="{00000000-0005-0000-0000-0000216C0000}"/>
    <cellStyle name="Input 3 3 2 2 4 2 2 3" xfId="27687" xr:uid="{00000000-0005-0000-0000-0000226C0000}"/>
    <cellStyle name="Input 3 3 2 2 4 2 2 4" xfId="27688" xr:uid="{00000000-0005-0000-0000-0000236C0000}"/>
    <cellStyle name="Input 3 3 2 2 4 2 2 5" xfId="27689" xr:uid="{00000000-0005-0000-0000-0000246C0000}"/>
    <cellStyle name="Input 3 3 2 2 4 2 2 6" xfId="27690" xr:uid="{00000000-0005-0000-0000-0000256C0000}"/>
    <cellStyle name="Input 3 3 2 2 4 2 3" xfId="27691" xr:uid="{00000000-0005-0000-0000-0000266C0000}"/>
    <cellStyle name="Input 3 3 2 2 4 2 4" xfId="27692" xr:uid="{00000000-0005-0000-0000-0000276C0000}"/>
    <cellStyle name="Input 3 3 2 2 4 2 5" xfId="27693" xr:uid="{00000000-0005-0000-0000-0000286C0000}"/>
    <cellStyle name="Input 3 3 2 2 4 2 6" xfId="27694" xr:uid="{00000000-0005-0000-0000-0000296C0000}"/>
    <cellStyle name="Input 3 3 2 2 4 3" xfId="27695" xr:uid="{00000000-0005-0000-0000-00002A6C0000}"/>
    <cellStyle name="Input 3 3 2 2 4 3 2" xfId="27696" xr:uid="{00000000-0005-0000-0000-00002B6C0000}"/>
    <cellStyle name="Input 3 3 2 2 4 3 2 2" xfId="27697" xr:uid="{00000000-0005-0000-0000-00002C6C0000}"/>
    <cellStyle name="Input 3 3 2 2 4 3 2 3" xfId="27698" xr:uid="{00000000-0005-0000-0000-00002D6C0000}"/>
    <cellStyle name="Input 3 3 2 2 4 3 2 4" xfId="27699" xr:uid="{00000000-0005-0000-0000-00002E6C0000}"/>
    <cellStyle name="Input 3 3 2 2 4 3 2 5" xfId="27700" xr:uid="{00000000-0005-0000-0000-00002F6C0000}"/>
    <cellStyle name="Input 3 3 2 2 4 3 2 6" xfId="27701" xr:uid="{00000000-0005-0000-0000-0000306C0000}"/>
    <cellStyle name="Input 3 3 2 2 4 3 3" xfId="27702" xr:uid="{00000000-0005-0000-0000-0000316C0000}"/>
    <cellStyle name="Input 3 3 2 2 4 3 4" xfId="27703" xr:uid="{00000000-0005-0000-0000-0000326C0000}"/>
    <cellStyle name="Input 3 3 2 2 4 3 5" xfId="27704" xr:uid="{00000000-0005-0000-0000-0000336C0000}"/>
    <cellStyle name="Input 3 3 2 2 4 3 6" xfId="27705" xr:uid="{00000000-0005-0000-0000-0000346C0000}"/>
    <cellStyle name="Input 3 3 2 2 4 4" xfId="27706" xr:uid="{00000000-0005-0000-0000-0000356C0000}"/>
    <cellStyle name="Input 3 3 2 2 4 4 2" xfId="27707" xr:uid="{00000000-0005-0000-0000-0000366C0000}"/>
    <cellStyle name="Input 3 3 2 2 4 4 3" xfId="27708" xr:uid="{00000000-0005-0000-0000-0000376C0000}"/>
    <cellStyle name="Input 3 3 2 2 4 4 4" xfId="27709" xr:uid="{00000000-0005-0000-0000-0000386C0000}"/>
    <cellStyle name="Input 3 3 2 2 4 4 5" xfId="27710" xr:uid="{00000000-0005-0000-0000-0000396C0000}"/>
    <cellStyle name="Input 3 3 2 2 4 4 6" xfId="27711" xr:uid="{00000000-0005-0000-0000-00003A6C0000}"/>
    <cellStyle name="Input 3 3 2 2 4 5" xfId="27712" xr:uid="{00000000-0005-0000-0000-00003B6C0000}"/>
    <cellStyle name="Input 3 3 2 2 4 6" xfId="27713" xr:uid="{00000000-0005-0000-0000-00003C6C0000}"/>
    <cellStyle name="Input 3 3 2 2 4 7" xfId="27714" xr:uid="{00000000-0005-0000-0000-00003D6C0000}"/>
    <cellStyle name="Input 3 3 2 2 4 8" xfId="27715" xr:uid="{00000000-0005-0000-0000-00003E6C0000}"/>
    <cellStyle name="Input 3 3 2 2 5" xfId="27716" xr:uid="{00000000-0005-0000-0000-00003F6C0000}"/>
    <cellStyle name="Input 3 3 2 2 5 2" xfId="27717" xr:uid="{00000000-0005-0000-0000-0000406C0000}"/>
    <cellStyle name="Input 3 3 2 2 5 2 2" xfId="27718" xr:uid="{00000000-0005-0000-0000-0000416C0000}"/>
    <cellStyle name="Input 3 3 2 2 5 2 2 2" xfId="27719" xr:uid="{00000000-0005-0000-0000-0000426C0000}"/>
    <cellStyle name="Input 3 3 2 2 5 2 2 3" xfId="27720" xr:uid="{00000000-0005-0000-0000-0000436C0000}"/>
    <cellStyle name="Input 3 3 2 2 5 2 2 4" xfId="27721" xr:uid="{00000000-0005-0000-0000-0000446C0000}"/>
    <cellStyle name="Input 3 3 2 2 5 2 2 5" xfId="27722" xr:uid="{00000000-0005-0000-0000-0000456C0000}"/>
    <cellStyle name="Input 3 3 2 2 5 2 2 6" xfId="27723" xr:uid="{00000000-0005-0000-0000-0000466C0000}"/>
    <cellStyle name="Input 3 3 2 2 5 2 3" xfId="27724" xr:uid="{00000000-0005-0000-0000-0000476C0000}"/>
    <cellStyle name="Input 3 3 2 2 5 2 4" xfId="27725" xr:uid="{00000000-0005-0000-0000-0000486C0000}"/>
    <cellStyle name="Input 3 3 2 2 5 2 5" xfId="27726" xr:uid="{00000000-0005-0000-0000-0000496C0000}"/>
    <cellStyle name="Input 3 3 2 2 5 2 6" xfId="27727" xr:uid="{00000000-0005-0000-0000-00004A6C0000}"/>
    <cellStyle name="Input 3 3 2 2 5 3" xfId="27728" xr:uid="{00000000-0005-0000-0000-00004B6C0000}"/>
    <cellStyle name="Input 3 3 2 2 5 3 2" xfId="27729" xr:uid="{00000000-0005-0000-0000-00004C6C0000}"/>
    <cellStyle name="Input 3 3 2 2 5 3 2 2" xfId="27730" xr:uid="{00000000-0005-0000-0000-00004D6C0000}"/>
    <cellStyle name="Input 3 3 2 2 5 3 2 3" xfId="27731" xr:uid="{00000000-0005-0000-0000-00004E6C0000}"/>
    <cellStyle name="Input 3 3 2 2 5 3 2 4" xfId="27732" xr:uid="{00000000-0005-0000-0000-00004F6C0000}"/>
    <cellStyle name="Input 3 3 2 2 5 3 2 5" xfId="27733" xr:uid="{00000000-0005-0000-0000-0000506C0000}"/>
    <cellStyle name="Input 3 3 2 2 5 3 2 6" xfId="27734" xr:uid="{00000000-0005-0000-0000-0000516C0000}"/>
    <cellStyle name="Input 3 3 2 2 5 3 3" xfId="27735" xr:uid="{00000000-0005-0000-0000-0000526C0000}"/>
    <cellStyle name="Input 3 3 2 2 5 3 4" xfId="27736" xr:uid="{00000000-0005-0000-0000-0000536C0000}"/>
    <cellStyle name="Input 3 3 2 2 5 3 5" xfId="27737" xr:uid="{00000000-0005-0000-0000-0000546C0000}"/>
    <cellStyle name="Input 3 3 2 2 5 3 6" xfId="27738" xr:uid="{00000000-0005-0000-0000-0000556C0000}"/>
    <cellStyle name="Input 3 3 2 2 5 4" xfId="27739" xr:uid="{00000000-0005-0000-0000-0000566C0000}"/>
    <cellStyle name="Input 3 3 2 2 5 4 2" xfId="27740" xr:uid="{00000000-0005-0000-0000-0000576C0000}"/>
    <cellStyle name="Input 3 3 2 2 5 4 3" xfId="27741" xr:uid="{00000000-0005-0000-0000-0000586C0000}"/>
    <cellStyle name="Input 3 3 2 2 5 4 4" xfId="27742" xr:uid="{00000000-0005-0000-0000-0000596C0000}"/>
    <cellStyle name="Input 3 3 2 2 5 4 5" xfId="27743" xr:uid="{00000000-0005-0000-0000-00005A6C0000}"/>
    <cellStyle name="Input 3 3 2 2 5 4 6" xfId="27744" xr:uid="{00000000-0005-0000-0000-00005B6C0000}"/>
    <cellStyle name="Input 3 3 2 2 5 5" xfId="27745" xr:uid="{00000000-0005-0000-0000-00005C6C0000}"/>
    <cellStyle name="Input 3 3 2 2 5 6" xfId="27746" xr:uid="{00000000-0005-0000-0000-00005D6C0000}"/>
    <cellStyle name="Input 3 3 2 2 5 7" xfId="27747" xr:uid="{00000000-0005-0000-0000-00005E6C0000}"/>
    <cellStyle name="Input 3 3 2 2 5 8" xfId="27748" xr:uid="{00000000-0005-0000-0000-00005F6C0000}"/>
    <cellStyle name="Input 3 3 2 2 6" xfId="27749" xr:uid="{00000000-0005-0000-0000-0000606C0000}"/>
    <cellStyle name="Input 3 3 2 2 6 2" xfId="27750" xr:uid="{00000000-0005-0000-0000-0000616C0000}"/>
    <cellStyle name="Input 3 3 2 2 6 2 2" xfId="27751" xr:uid="{00000000-0005-0000-0000-0000626C0000}"/>
    <cellStyle name="Input 3 3 2 2 6 2 2 2" xfId="27752" xr:uid="{00000000-0005-0000-0000-0000636C0000}"/>
    <cellStyle name="Input 3 3 2 2 6 2 2 3" xfId="27753" xr:uid="{00000000-0005-0000-0000-0000646C0000}"/>
    <cellStyle name="Input 3 3 2 2 6 2 2 4" xfId="27754" xr:uid="{00000000-0005-0000-0000-0000656C0000}"/>
    <cellStyle name="Input 3 3 2 2 6 2 2 5" xfId="27755" xr:uid="{00000000-0005-0000-0000-0000666C0000}"/>
    <cellStyle name="Input 3 3 2 2 6 2 2 6" xfId="27756" xr:uid="{00000000-0005-0000-0000-0000676C0000}"/>
    <cellStyle name="Input 3 3 2 2 6 2 3" xfId="27757" xr:uid="{00000000-0005-0000-0000-0000686C0000}"/>
    <cellStyle name="Input 3 3 2 2 6 2 4" xfId="27758" xr:uid="{00000000-0005-0000-0000-0000696C0000}"/>
    <cellStyle name="Input 3 3 2 2 6 2 5" xfId="27759" xr:uid="{00000000-0005-0000-0000-00006A6C0000}"/>
    <cellStyle name="Input 3 3 2 2 6 2 6" xfId="27760" xr:uid="{00000000-0005-0000-0000-00006B6C0000}"/>
    <cellStyle name="Input 3 3 2 2 6 3" xfId="27761" xr:uid="{00000000-0005-0000-0000-00006C6C0000}"/>
    <cellStyle name="Input 3 3 2 2 6 3 2" xfId="27762" xr:uid="{00000000-0005-0000-0000-00006D6C0000}"/>
    <cellStyle name="Input 3 3 2 2 6 3 2 2" xfId="27763" xr:uid="{00000000-0005-0000-0000-00006E6C0000}"/>
    <cellStyle name="Input 3 3 2 2 6 3 2 3" xfId="27764" xr:uid="{00000000-0005-0000-0000-00006F6C0000}"/>
    <cellStyle name="Input 3 3 2 2 6 3 2 4" xfId="27765" xr:uid="{00000000-0005-0000-0000-0000706C0000}"/>
    <cellStyle name="Input 3 3 2 2 6 3 2 5" xfId="27766" xr:uid="{00000000-0005-0000-0000-0000716C0000}"/>
    <cellStyle name="Input 3 3 2 2 6 3 2 6" xfId="27767" xr:uid="{00000000-0005-0000-0000-0000726C0000}"/>
    <cellStyle name="Input 3 3 2 2 6 3 3" xfId="27768" xr:uid="{00000000-0005-0000-0000-0000736C0000}"/>
    <cellStyle name="Input 3 3 2 2 6 3 4" xfId="27769" xr:uid="{00000000-0005-0000-0000-0000746C0000}"/>
    <cellStyle name="Input 3 3 2 2 6 3 5" xfId="27770" xr:uid="{00000000-0005-0000-0000-0000756C0000}"/>
    <cellStyle name="Input 3 3 2 2 6 3 6" xfId="27771" xr:uid="{00000000-0005-0000-0000-0000766C0000}"/>
    <cellStyle name="Input 3 3 2 2 6 4" xfId="27772" xr:uid="{00000000-0005-0000-0000-0000776C0000}"/>
    <cellStyle name="Input 3 3 2 2 6 4 2" xfId="27773" xr:uid="{00000000-0005-0000-0000-0000786C0000}"/>
    <cellStyle name="Input 3 3 2 2 6 4 3" xfId="27774" xr:uid="{00000000-0005-0000-0000-0000796C0000}"/>
    <cellStyle name="Input 3 3 2 2 6 4 4" xfId="27775" xr:uid="{00000000-0005-0000-0000-00007A6C0000}"/>
    <cellStyle name="Input 3 3 2 2 6 4 5" xfId="27776" xr:uid="{00000000-0005-0000-0000-00007B6C0000}"/>
    <cellStyle name="Input 3 3 2 2 6 4 6" xfId="27777" xr:uid="{00000000-0005-0000-0000-00007C6C0000}"/>
    <cellStyle name="Input 3 3 2 2 6 5" xfId="27778" xr:uid="{00000000-0005-0000-0000-00007D6C0000}"/>
    <cellStyle name="Input 3 3 2 2 6 6" xfId="27779" xr:uid="{00000000-0005-0000-0000-00007E6C0000}"/>
    <cellStyle name="Input 3 3 2 2 6 7" xfId="27780" xr:uid="{00000000-0005-0000-0000-00007F6C0000}"/>
    <cellStyle name="Input 3 3 2 2 6 8" xfId="27781" xr:uid="{00000000-0005-0000-0000-0000806C0000}"/>
    <cellStyle name="Input 3 3 2 2 7" xfId="27782" xr:uid="{00000000-0005-0000-0000-0000816C0000}"/>
    <cellStyle name="Input 3 3 2 2 7 2" xfId="27783" xr:uid="{00000000-0005-0000-0000-0000826C0000}"/>
    <cellStyle name="Input 3 3 2 2 7 2 2" xfId="27784" xr:uid="{00000000-0005-0000-0000-0000836C0000}"/>
    <cellStyle name="Input 3 3 2 2 7 2 3" xfId="27785" xr:uid="{00000000-0005-0000-0000-0000846C0000}"/>
    <cellStyle name="Input 3 3 2 2 7 2 4" xfId="27786" xr:uid="{00000000-0005-0000-0000-0000856C0000}"/>
    <cellStyle name="Input 3 3 2 2 7 2 5" xfId="27787" xr:uid="{00000000-0005-0000-0000-0000866C0000}"/>
    <cellStyle name="Input 3 3 2 2 7 2 6" xfId="27788" xr:uid="{00000000-0005-0000-0000-0000876C0000}"/>
    <cellStyle name="Input 3 3 2 2 7 3" xfId="27789" xr:uid="{00000000-0005-0000-0000-0000886C0000}"/>
    <cellStyle name="Input 3 3 2 2 7 4" xfId="27790" xr:uid="{00000000-0005-0000-0000-0000896C0000}"/>
    <cellStyle name="Input 3 3 2 2 7 5" xfId="27791" xr:uid="{00000000-0005-0000-0000-00008A6C0000}"/>
    <cellStyle name="Input 3 3 2 2 7 6" xfId="27792" xr:uid="{00000000-0005-0000-0000-00008B6C0000}"/>
    <cellStyle name="Input 3 3 2 2 8" xfId="27793" xr:uid="{00000000-0005-0000-0000-00008C6C0000}"/>
    <cellStyle name="Input 3 3 2 2 8 2" xfId="27794" xr:uid="{00000000-0005-0000-0000-00008D6C0000}"/>
    <cellStyle name="Input 3 3 2 2 8 2 2" xfId="27795" xr:uid="{00000000-0005-0000-0000-00008E6C0000}"/>
    <cellStyle name="Input 3 3 2 2 8 2 3" xfId="27796" xr:uid="{00000000-0005-0000-0000-00008F6C0000}"/>
    <cellStyle name="Input 3 3 2 2 8 2 4" xfId="27797" xr:uid="{00000000-0005-0000-0000-0000906C0000}"/>
    <cellStyle name="Input 3 3 2 2 8 2 5" xfId="27798" xr:uid="{00000000-0005-0000-0000-0000916C0000}"/>
    <cellStyle name="Input 3 3 2 2 8 2 6" xfId="27799" xr:uid="{00000000-0005-0000-0000-0000926C0000}"/>
    <cellStyle name="Input 3 3 2 2 8 3" xfId="27800" xr:uid="{00000000-0005-0000-0000-0000936C0000}"/>
    <cellStyle name="Input 3 3 2 2 8 4" xfId="27801" xr:uid="{00000000-0005-0000-0000-0000946C0000}"/>
    <cellStyle name="Input 3 3 2 2 8 5" xfId="27802" xr:uid="{00000000-0005-0000-0000-0000956C0000}"/>
    <cellStyle name="Input 3 3 2 2 8 6" xfId="27803" xr:uid="{00000000-0005-0000-0000-0000966C0000}"/>
    <cellStyle name="Input 3 3 2 2 9" xfId="27804" xr:uid="{00000000-0005-0000-0000-0000976C0000}"/>
    <cellStyle name="Input 3 3 2 2 9 2" xfId="27805" xr:uid="{00000000-0005-0000-0000-0000986C0000}"/>
    <cellStyle name="Input 3 3 2 2 9 3" xfId="27806" xr:uid="{00000000-0005-0000-0000-0000996C0000}"/>
    <cellStyle name="Input 3 3 2 2 9 4" xfId="27807" xr:uid="{00000000-0005-0000-0000-00009A6C0000}"/>
    <cellStyle name="Input 3 3 2 2 9 5" xfId="27808" xr:uid="{00000000-0005-0000-0000-00009B6C0000}"/>
    <cellStyle name="Input 3 3 2 2 9 6" xfId="27809" xr:uid="{00000000-0005-0000-0000-00009C6C0000}"/>
    <cellStyle name="Input 3 3 2 3" xfId="27810" xr:uid="{00000000-0005-0000-0000-00009D6C0000}"/>
    <cellStyle name="Input 3 3 2 3 2" xfId="27811" xr:uid="{00000000-0005-0000-0000-00009E6C0000}"/>
    <cellStyle name="Input 3 3 2 3 2 2" xfId="27812" xr:uid="{00000000-0005-0000-0000-00009F6C0000}"/>
    <cellStyle name="Input 3 3 2 3 2 2 2" xfId="27813" xr:uid="{00000000-0005-0000-0000-0000A06C0000}"/>
    <cellStyle name="Input 3 3 2 3 2 2 3" xfId="27814" xr:uid="{00000000-0005-0000-0000-0000A16C0000}"/>
    <cellStyle name="Input 3 3 2 3 2 2 4" xfId="27815" xr:uid="{00000000-0005-0000-0000-0000A26C0000}"/>
    <cellStyle name="Input 3 3 2 3 2 2 5" xfId="27816" xr:uid="{00000000-0005-0000-0000-0000A36C0000}"/>
    <cellStyle name="Input 3 3 2 3 2 2 6" xfId="27817" xr:uid="{00000000-0005-0000-0000-0000A46C0000}"/>
    <cellStyle name="Input 3 3 2 3 2 3" xfId="27818" xr:uid="{00000000-0005-0000-0000-0000A56C0000}"/>
    <cellStyle name="Input 3 3 2 3 2 4" xfId="27819" xr:uid="{00000000-0005-0000-0000-0000A66C0000}"/>
    <cellStyle name="Input 3 3 2 3 2 5" xfId="27820" xr:uid="{00000000-0005-0000-0000-0000A76C0000}"/>
    <cellStyle name="Input 3 3 2 3 2 6" xfId="27821" xr:uid="{00000000-0005-0000-0000-0000A86C0000}"/>
    <cellStyle name="Input 3 3 2 3 3" xfId="27822" xr:uid="{00000000-0005-0000-0000-0000A96C0000}"/>
    <cellStyle name="Input 3 3 2 3 3 2" xfId="27823" xr:uid="{00000000-0005-0000-0000-0000AA6C0000}"/>
    <cellStyle name="Input 3 3 2 3 3 2 2" xfId="27824" xr:uid="{00000000-0005-0000-0000-0000AB6C0000}"/>
    <cellStyle name="Input 3 3 2 3 3 2 3" xfId="27825" xr:uid="{00000000-0005-0000-0000-0000AC6C0000}"/>
    <cellStyle name="Input 3 3 2 3 3 2 4" xfId="27826" xr:uid="{00000000-0005-0000-0000-0000AD6C0000}"/>
    <cellStyle name="Input 3 3 2 3 3 2 5" xfId="27827" xr:uid="{00000000-0005-0000-0000-0000AE6C0000}"/>
    <cellStyle name="Input 3 3 2 3 3 2 6" xfId="27828" xr:uid="{00000000-0005-0000-0000-0000AF6C0000}"/>
    <cellStyle name="Input 3 3 2 3 3 3" xfId="27829" xr:uid="{00000000-0005-0000-0000-0000B06C0000}"/>
    <cellStyle name="Input 3 3 2 3 3 4" xfId="27830" xr:uid="{00000000-0005-0000-0000-0000B16C0000}"/>
    <cellStyle name="Input 3 3 2 3 3 5" xfId="27831" xr:uid="{00000000-0005-0000-0000-0000B26C0000}"/>
    <cellStyle name="Input 3 3 2 3 3 6" xfId="27832" xr:uid="{00000000-0005-0000-0000-0000B36C0000}"/>
    <cellStyle name="Input 3 3 2 3 4" xfId="27833" xr:uid="{00000000-0005-0000-0000-0000B46C0000}"/>
    <cellStyle name="Input 3 3 2 3 4 2" xfId="27834" xr:uid="{00000000-0005-0000-0000-0000B56C0000}"/>
    <cellStyle name="Input 3 3 2 3 4 3" xfId="27835" xr:uid="{00000000-0005-0000-0000-0000B66C0000}"/>
    <cellStyle name="Input 3 3 2 3 4 4" xfId="27836" xr:uid="{00000000-0005-0000-0000-0000B76C0000}"/>
    <cellStyle name="Input 3 3 2 3 4 5" xfId="27837" xr:uid="{00000000-0005-0000-0000-0000B86C0000}"/>
    <cellStyle name="Input 3 3 2 3 4 6" xfId="27838" xr:uid="{00000000-0005-0000-0000-0000B96C0000}"/>
    <cellStyle name="Input 3 3 2 3 5" xfId="27839" xr:uid="{00000000-0005-0000-0000-0000BA6C0000}"/>
    <cellStyle name="Input 3 3 2 3 6" xfId="27840" xr:uid="{00000000-0005-0000-0000-0000BB6C0000}"/>
    <cellStyle name="Input 3 3 2 3 7" xfId="27841" xr:uid="{00000000-0005-0000-0000-0000BC6C0000}"/>
    <cellStyle name="Input 3 3 2 3 8" xfId="27842" xr:uid="{00000000-0005-0000-0000-0000BD6C0000}"/>
    <cellStyle name="Input 3 3 2 4" xfId="27843" xr:uid="{00000000-0005-0000-0000-0000BE6C0000}"/>
    <cellStyle name="Input 3 3 2 4 2" xfId="27844" xr:uid="{00000000-0005-0000-0000-0000BF6C0000}"/>
    <cellStyle name="Input 3 3 2 4 2 2" xfId="27845" xr:uid="{00000000-0005-0000-0000-0000C06C0000}"/>
    <cellStyle name="Input 3 3 2 4 2 2 2" xfId="27846" xr:uid="{00000000-0005-0000-0000-0000C16C0000}"/>
    <cellStyle name="Input 3 3 2 4 2 2 3" xfId="27847" xr:uid="{00000000-0005-0000-0000-0000C26C0000}"/>
    <cellStyle name="Input 3 3 2 4 2 2 4" xfId="27848" xr:uid="{00000000-0005-0000-0000-0000C36C0000}"/>
    <cellStyle name="Input 3 3 2 4 2 2 5" xfId="27849" xr:uid="{00000000-0005-0000-0000-0000C46C0000}"/>
    <cellStyle name="Input 3 3 2 4 2 2 6" xfId="27850" xr:uid="{00000000-0005-0000-0000-0000C56C0000}"/>
    <cellStyle name="Input 3 3 2 4 2 3" xfId="27851" xr:uid="{00000000-0005-0000-0000-0000C66C0000}"/>
    <cellStyle name="Input 3 3 2 4 2 4" xfId="27852" xr:uid="{00000000-0005-0000-0000-0000C76C0000}"/>
    <cellStyle name="Input 3 3 2 4 2 5" xfId="27853" xr:uid="{00000000-0005-0000-0000-0000C86C0000}"/>
    <cellStyle name="Input 3 3 2 4 2 6" xfId="27854" xr:uid="{00000000-0005-0000-0000-0000C96C0000}"/>
    <cellStyle name="Input 3 3 2 4 3" xfId="27855" xr:uid="{00000000-0005-0000-0000-0000CA6C0000}"/>
    <cellStyle name="Input 3 3 2 4 3 2" xfId="27856" xr:uid="{00000000-0005-0000-0000-0000CB6C0000}"/>
    <cellStyle name="Input 3 3 2 4 3 2 2" xfId="27857" xr:uid="{00000000-0005-0000-0000-0000CC6C0000}"/>
    <cellStyle name="Input 3 3 2 4 3 2 3" xfId="27858" xr:uid="{00000000-0005-0000-0000-0000CD6C0000}"/>
    <cellStyle name="Input 3 3 2 4 3 2 4" xfId="27859" xr:uid="{00000000-0005-0000-0000-0000CE6C0000}"/>
    <cellStyle name="Input 3 3 2 4 3 2 5" xfId="27860" xr:uid="{00000000-0005-0000-0000-0000CF6C0000}"/>
    <cellStyle name="Input 3 3 2 4 3 2 6" xfId="27861" xr:uid="{00000000-0005-0000-0000-0000D06C0000}"/>
    <cellStyle name="Input 3 3 2 4 3 3" xfId="27862" xr:uid="{00000000-0005-0000-0000-0000D16C0000}"/>
    <cellStyle name="Input 3 3 2 4 3 4" xfId="27863" xr:uid="{00000000-0005-0000-0000-0000D26C0000}"/>
    <cellStyle name="Input 3 3 2 4 3 5" xfId="27864" xr:uid="{00000000-0005-0000-0000-0000D36C0000}"/>
    <cellStyle name="Input 3 3 2 4 3 6" xfId="27865" xr:uid="{00000000-0005-0000-0000-0000D46C0000}"/>
    <cellStyle name="Input 3 3 2 4 4" xfId="27866" xr:uid="{00000000-0005-0000-0000-0000D56C0000}"/>
    <cellStyle name="Input 3 3 2 4 4 2" xfId="27867" xr:uid="{00000000-0005-0000-0000-0000D66C0000}"/>
    <cellStyle name="Input 3 3 2 4 4 3" xfId="27868" xr:uid="{00000000-0005-0000-0000-0000D76C0000}"/>
    <cellStyle name="Input 3 3 2 4 4 4" xfId="27869" xr:uid="{00000000-0005-0000-0000-0000D86C0000}"/>
    <cellStyle name="Input 3 3 2 4 4 5" xfId="27870" xr:uid="{00000000-0005-0000-0000-0000D96C0000}"/>
    <cellStyle name="Input 3 3 2 4 4 6" xfId="27871" xr:uid="{00000000-0005-0000-0000-0000DA6C0000}"/>
    <cellStyle name="Input 3 3 2 4 5" xfId="27872" xr:uid="{00000000-0005-0000-0000-0000DB6C0000}"/>
    <cellStyle name="Input 3 3 2 4 6" xfId="27873" xr:uid="{00000000-0005-0000-0000-0000DC6C0000}"/>
    <cellStyle name="Input 3 3 2 4 7" xfId="27874" xr:uid="{00000000-0005-0000-0000-0000DD6C0000}"/>
    <cellStyle name="Input 3 3 2 4 8" xfId="27875" xr:uid="{00000000-0005-0000-0000-0000DE6C0000}"/>
    <cellStyle name="Input 3 3 2 5" xfId="27876" xr:uid="{00000000-0005-0000-0000-0000DF6C0000}"/>
    <cellStyle name="Input 3 3 2 5 2" xfId="27877" xr:uid="{00000000-0005-0000-0000-0000E06C0000}"/>
    <cellStyle name="Input 3 3 2 5 2 2" xfId="27878" xr:uid="{00000000-0005-0000-0000-0000E16C0000}"/>
    <cellStyle name="Input 3 3 2 5 2 2 2" xfId="27879" xr:uid="{00000000-0005-0000-0000-0000E26C0000}"/>
    <cellStyle name="Input 3 3 2 5 2 2 3" xfId="27880" xr:uid="{00000000-0005-0000-0000-0000E36C0000}"/>
    <cellStyle name="Input 3 3 2 5 2 2 4" xfId="27881" xr:uid="{00000000-0005-0000-0000-0000E46C0000}"/>
    <cellStyle name="Input 3 3 2 5 2 2 5" xfId="27882" xr:uid="{00000000-0005-0000-0000-0000E56C0000}"/>
    <cellStyle name="Input 3 3 2 5 2 2 6" xfId="27883" xr:uid="{00000000-0005-0000-0000-0000E66C0000}"/>
    <cellStyle name="Input 3 3 2 5 2 3" xfId="27884" xr:uid="{00000000-0005-0000-0000-0000E76C0000}"/>
    <cellStyle name="Input 3 3 2 5 2 4" xfId="27885" xr:uid="{00000000-0005-0000-0000-0000E86C0000}"/>
    <cellStyle name="Input 3 3 2 5 2 5" xfId="27886" xr:uid="{00000000-0005-0000-0000-0000E96C0000}"/>
    <cellStyle name="Input 3 3 2 5 2 6" xfId="27887" xr:uid="{00000000-0005-0000-0000-0000EA6C0000}"/>
    <cellStyle name="Input 3 3 2 5 3" xfId="27888" xr:uid="{00000000-0005-0000-0000-0000EB6C0000}"/>
    <cellStyle name="Input 3 3 2 5 3 2" xfId="27889" xr:uid="{00000000-0005-0000-0000-0000EC6C0000}"/>
    <cellStyle name="Input 3 3 2 5 3 2 2" xfId="27890" xr:uid="{00000000-0005-0000-0000-0000ED6C0000}"/>
    <cellStyle name="Input 3 3 2 5 3 2 3" xfId="27891" xr:uid="{00000000-0005-0000-0000-0000EE6C0000}"/>
    <cellStyle name="Input 3 3 2 5 3 2 4" xfId="27892" xr:uid="{00000000-0005-0000-0000-0000EF6C0000}"/>
    <cellStyle name="Input 3 3 2 5 3 2 5" xfId="27893" xr:uid="{00000000-0005-0000-0000-0000F06C0000}"/>
    <cellStyle name="Input 3 3 2 5 3 2 6" xfId="27894" xr:uid="{00000000-0005-0000-0000-0000F16C0000}"/>
    <cellStyle name="Input 3 3 2 5 3 3" xfId="27895" xr:uid="{00000000-0005-0000-0000-0000F26C0000}"/>
    <cellStyle name="Input 3 3 2 5 3 4" xfId="27896" xr:uid="{00000000-0005-0000-0000-0000F36C0000}"/>
    <cellStyle name="Input 3 3 2 5 3 5" xfId="27897" xr:uid="{00000000-0005-0000-0000-0000F46C0000}"/>
    <cellStyle name="Input 3 3 2 5 3 6" xfId="27898" xr:uid="{00000000-0005-0000-0000-0000F56C0000}"/>
    <cellStyle name="Input 3 3 2 5 4" xfId="27899" xr:uid="{00000000-0005-0000-0000-0000F66C0000}"/>
    <cellStyle name="Input 3 3 2 5 4 2" xfId="27900" xr:uid="{00000000-0005-0000-0000-0000F76C0000}"/>
    <cellStyle name="Input 3 3 2 5 4 3" xfId="27901" xr:uid="{00000000-0005-0000-0000-0000F86C0000}"/>
    <cellStyle name="Input 3 3 2 5 4 4" xfId="27902" xr:uid="{00000000-0005-0000-0000-0000F96C0000}"/>
    <cellStyle name="Input 3 3 2 5 4 5" xfId="27903" xr:uid="{00000000-0005-0000-0000-0000FA6C0000}"/>
    <cellStyle name="Input 3 3 2 5 4 6" xfId="27904" xr:uid="{00000000-0005-0000-0000-0000FB6C0000}"/>
    <cellStyle name="Input 3 3 2 5 5" xfId="27905" xr:uid="{00000000-0005-0000-0000-0000FC6C0000}"/>
    <cellStyle name="Input 3 3 2 5 6" xfId="27906" xr:uid="{00000000-0005-0000-0000-0000FD6C0000}"/>
    <cellStyle name="Input 3 3 2 5 7" xfId="27907" xr:uid="{00000000-0005-0000-0000-0000FE6C0000}"/>
    <cellStyle name="Input 3 3 2 5 8" xfId="27908" xr:uid="{00000000-0005-0000-0000-0000FF6C0000}"/>
    <cellStyle name="Input 3 3 2 6" xfId="27909" xr:uid="{00000000-0005-0000-0000-0000006D0000}"/>
    <cellStyle name="Input 3 3 2 6 2" xfId="27910" xr:uid="{00000000-0005-0000-0000-0000016D0000}"/>
    <cellStyle name="Input 3 3 2 6 2 2" xfId="27911" xr:uid="{00000000-0005-0000-0000-0000026D0000}"/>
    <cellStyle name="Input 3 3 2 6 2 2 2" xfId="27912" xr:uid="{00000000-0005-0000-0000-0000036D0000}"/>
    <cellStyle name="Input 3 3 2 6 2 2 3" xfId="27913" xr:uid="{00000000-0005-0000-0000-0000046D0000}"/>
    <cellStyle name="Input 3 3 2 6 2 2 4" xfId="27914" xr:uid="{00000000-0005-0000-0000-0000056D0000}"/>
    <cellStyle name="Input 3 3 2 6 2 2 5" xfId="27915" xr:uid="{00000000-0005-0000-0000-0000066D0000}"/>
    <cellStyle name="Input 3 3 2 6 2 2 6" xfId="27916" xr:uid="{00000000-0005-0000-0000-0000076D0000}"/>
    <cellStyle name="Input 3 3 2 6 2 3" xfId="27917" xr:uid="{00000000-0005-0000-0000-0000086D0000}"/>
    <cellStyle name="Input 3 3 2 6 2 4" xfId="27918" xr:uid="{00000000-0005-0000-0000-0000096D0000}"/>
    <cellStyle name="Input 3 3 2 6 2 5" xfId="27919" xr:uid="{00000000-0005-0000-0000-00000A6D0000}"/>
    <cellStyle name="Input 3 3 2 6 2 6" xfId="27920" xr:uid="{00000000-0005-0000-0000-00000B6D0000}"/>
    <cellStyle name="Input 3 3 2 6 3" xfId="27921" xr:uid="{00000000-0005-0000-0000-00000C6D0000}"/>
    <cellStyle name="Input 3 3 2 6 3 2" xfId="27922" xr:uid="{00000000-0005-0000-0000-00000D6D0000}"/>
    <cellStyle name="Input 3 3 2 6 3 2 2" xfId="27923" xr:uid="{00000000-0005-0000-0000-00000E6D0000}"/>
    <cellStyle name="Input 3 3 2 6 3 2 3" xfId="27924" xr:uid="{00000000-0005-0000-0000-00000F6D0000}"/>
    <cellStyle name="Input 3 3 2 6 3 2 4" xfId="27925" xr:uid="{00000000-0005-0000-0000-0000106D0000}"/>
    <cellStyle name="Input 3 3 2 6 3 2 5" xfId="27926" xr:uid="{00000000-0005-0000-0000-0000116D0000}"/>
    <cellStyle name="Input 3 3 2 6 3 2 6" xfId="27927" xr:uid="{00000000-0005-0000-0000-0000126D0000}"/>
    <cellStyle name="Input 3 3 2 6 3 3" xfId="27928" xr:uid="{00000000-0005-0000-0000-0000136D0000}"/>
    <cellStyle name="Input 3 3 2 6 3 4" xfId="27929" xr:uid="{00000000-0005-0000-0000-0000146D0000}"/>
    <cellStyle name="Input 3 3 2 6 3 5" xfId="27930" xr:uid="{00000000-0005-0000-0000-0000156D0000}"/>
    <cellStyle name="Input 3 3 2 6 3 6" xfId="27931" xr:uid="{00000000-0005-0000-0000-0000166D0000}"/>
    <cellStyle name="Input 3 3 2 6 4" xfId="27932" xr:uid="{00000000-0005-0000-0000-0000176D0000}"/>
    <cellStyle name="Input 3 3 2 6 4 2" xfId="27933" xr:uid="{00000000-0005-0000-0000-0000186D0000}"/>
    <cellStyle name="Input 3 3 2 6 4 3" xfId="27934" xr:uid="{00000000-0005-0000-0000-0000196D0000}"/>
    <cellStyle name="Input 3 3 2 6 4 4" xfId="27935" xr:uid="{00000000-0005-0000-0000-00001A6D0000}"/>
    <cellStyle name="Input 3 3 2 6 4 5" xfId="27936" xr:uid="{00000000-0005-0000-0000-00001B6D0000}"/>
    <cellStyle name="Input 3 3 2 6 4 6" xfId="27937" xr:uid="{00000000-0005-0000-0000-00001C6D0000}"/>
    <cellStyle name="Input 3 3 2 6 5" xfId="27938" xr:uid="{00000000-0005-0000-0000-00001D6D0000}"/>
    <cellStyle name="Input 3 3 2 6 6" xfId="27939" xr:uid="{00000000-0005-0000-0000-00001E6D0000}"/>
    <cellStyle name="Input 3 3 2 6 7" xfId="27940" xr:uid="{00000000-0005-0000-0000-00001F6D0000}"/>
    <cellStyle name="Input 3 3 2 6 8" xfId="27941" xr:uid="{00000000-0005-0000-0000-0000206D0000}"/>
    <cellStyle name="Input 3 3 2 7" xfId="27942" xr:uid="{00000000-0005-0000-0000-0000216D0000}"/>
    <cellStyle name="Input 3 3 2 7 2" xfId="27943" xr:uid="{00000000-0005-0000-0000-0000226D0000}"/>
    <cellStyle name="Input 3 3 2 7 2 2" xfId="27944" xr:uid="{00000000-0005-0000-0000-0000236D0000}"/>
    <cellStyle name="Input 3 3 2 7 2 2 2" xfId="27945" xr:uid="{00000000-0005-0000-0000-0000246D0000}"/>
    <cellStyle name="Input 3 3 2 7 2 2 3" xfId="27946" xr:uid="{00000000-0005-0000-0000-0000256D0000}"/>
    <cellStyle name="Input 3 3 2 7 2 2 4" xfId="27947" xr:uid="{00000000-0005-0000-0000-0000266D0000}"/>
    <cellStyle name="Input 3 3 2 7 2 2 5" xfId="27948" xr:uid="{00000000-0005-0000-0000-0000276D0000}"/>
    <cellStyle name="Input 3 3 2 7 2 2 6" xfId="27949" xr:uid="{00000000-0005-0000-0000-0000286D0000}"/>
    <cellStyle name="Input 3 3 2 7 2 3" xfId="27950" xr:uid="{00000000-0005-0000-0000-0000296D0000}"/>
    <cellStyle name="Input 3 3 2 7 2 4" xfId="27951" xr:uid="{00000000-0005-0000-0000-00002A6D0000}"/>
    <cellStyle name="Input 3 3 2 7 2 5" xfId="27952" xr:uid="{00000000-0005-0000-0000-00002B6D0000}"/>
    <cellStyle name="Input 3 3 2 7 2 6" xfId="27953" xr:uid="{00000000-0005-0000-0000-00002C6D0000}"/>
    <cellStyle name="Input 3 3 2 7 3" xfId="27954" xr:uid="{00000000-0005-0000-0000-00002D6D0000}"/>
    <cellStyle name="Input 3 3 2 7 3 2" xfId="27955" xr:uid="{00000000-0005-0000-0000-00002E6D0000}"/>
    <cellStyle name="Input 3 3 2 7 3 2 2" xfId="27956" xr:uid="{00000000-0005-0000-0000-00002F6D0000}"/>
    <cellStyle name="Input 3 3 2 7 3 2 3" xfId="27957" xr:uid="{00000000-0005-0000-0000-0000306D0000}"/>
    <cellStyle name="Input 3 3 2 7 3 2 4" xfId="27958" xr:uid="{00000000-0005-0000-0000-0000316D0000}"/>
    <cellStyle name="Input 3 3 2 7 3 2 5" xfId="27959" xr:uid="{00000000-0005-0000-0000-0000326D0000}"/>
    <cellStyle name="Input 3 3 2 7 3 2 6" xfId="27960" xr:uid="{00000000-0005-0000-0000-0000336D0000}"/>
    <cellStyle name="Input 3 3 2 7 3 3" xfId="27961" xr:uid="{00000000-0005-0000-0000-0000346D0000}"/>
    <cellStyle name="Input 3 3 2 7 3 4" xfId="27962" xr:uid="{00000000-0005-0000-0000-0000356D0000}"/>
    <cellStyle name="Input 3 3 2 7 3 5" xfId="27963" xr:uid="{00000000-0005-0000-0000-0000366D0000}"/>
    <cellStyle name="Input 3 3 2 7 3 6" xfId="27964" xr:uid="{00000000-0005-0000-0000-0000376D0000}"/>
    <cellStyle name="Input 3 3 2 7 4" xfId="27965" xr:uid="{00000000-0005-0000-0000-0000386D0000}"/>
    <cellStyle name="Input 3 3 2 7 4 2" xfId="27966" xr:uid="{00000000-0005-0000-0000-0000396D0000}"/>
    <cellStyle name="Input 3 3 2 7 4 3" xfId="27967" xr:uid="{00000000-0005-0000-0000-00003A6D0000}"/>
    <cellStyle name="Input 3 3 2 7 4 4" xfId="27968" xr:uid="{00000000-0005-0000-0000-00003B6D0000}"/>
    <cellStyle name="Input 3 3 2 7 4 5" xfId="27969" xr:uid="{00000000-0005-0000-0000-00003C6D0000}"/>
    <cellStyle name="Input 3 3 2 7 4 6" xfId="27970" xr:uid="{00000000-0005-0000-0000-00003D6D0000}"/>
    <cellStyle name="Input 3 3 2 7 5" xfId="27971" xr:uid="{00000000-0005-0000-0000-00003E6D0000}"/>
    <cellStyle name="Input 3 3 2 7 6" xfId="27972" xr:uid="{00000000-0005-0000-0000-00003F6D0000}"/>
    <cellStyle name="Input 3 3 2 7 7" xfId="27973" xr:uid="{00000000-0005-0000-0000-0000406D0000}"/>
    <cellStyle name="Input 3 3 2 7 8" xfId="27974" xr:uid="{00000000-0005-0000-0000-0000416D0000}"/>
    <cellStyle name="Input 3 3 2 8" xfId="27975" xr:uid="{00000000-0005-0000-0000-0000426D0000}"/>
    <cellStyle name="Input 3 3 2 8 2" xfId="27976" xr:uid="{00000000-0005-0000-0000-0000436D0000}"/>
    <cellStyle name="Input 3 3 2 8 2 2" xfId="27977" xr:uid="{00000000-0005-0000-0000-0000446D0000}"/>
    <cellStyle name="Input 3 3 2 8 2 3" xfId="27978" xr:uid="{00000000-0005-0000-0000-0000456D0000}"/>
    <cellStyle name="Input 3 3 2 8 2 4" xfId="27979" xr:uid="{00000000-0005-0000-0000-0000466D0000}"/>
    <cellStyle name="Input 3 3 2 8 2 5" xfId="27980" xr:uid="{00000000-0005-0000-0000-0000476D0000}"/>
    <cellStyle name="Input 3 3 2 8 2 6" xfId="27981" xr:uid="{00000000-0005-0000-0000-0000486D0000}"/>
    <cellStyle name="Input 3 3 2 8 3" xfId="27982" xr:uid="{00000000-0005-0000-0000-0000496D0000}"/>
    <cellStyle name="Input 3 3 2 8 4" xfId="27983" xr:uid="{00000000-0005-0000-0000-00004A6D0000}"/>
    <cellStyle name="Input 3 3 2 8 5" xfId="27984" xr:uid="{00000000-0005-0000-0000-00004B6D0000}"/>
    <cellStyle name="Input 3 3 2 8 6" xfId="27985" xr:uid="{00000000-0005-0000-0000-00004C6D0000}"/>
    <cellStyle name="Input 3 3 2 9" xfId="27986" xr:uid="{00000000-0005-0000-0000-00004D6D0000}"/>
    <cellStyle name="Input 3 3 2 9 2" xfId="27987" xr:uid="{00000000-0005-0000-0000-00004E6D0000}"/>
    <cellStyle name="Input 3 3 2 9 2 2" xfId="27988" xr:uid="{00000000-0005-0000-0000-00004F6D0000}"/>
    <cellStyle name="Input 3 3 2 9 2 3" xfId="27989" xr:uid="{00000000-0005-0000-0000-0000506D0000}"/>
    <cellStyle name="Input 3 3 2 9 2 4" xfId="27990" xr:uid="{00000000-0005-0000-0000-0000516D0000}"/>
    <cellStyle name="Input 3 3 2 9 2 5" xfId="27991" xr:uid="{00000000-0005-0000-0000-0000526D0000}"/>
    <cellStyle name="Input 3 3 2 9 2 6" xfId="27992" xr:uid="{00000000-0005-0000-0000-0000536D0000}"/>
    <cellStyle name="Input 3 3 2 9 3" xfId="27993" xr:uid="{00000000-0005-0000-0000-0000546D0000}"/>
    <cellStyle name="Input 3 3 2 9 4" xfId="27994" xr:uid="{00000000-0005-0000-0000-0000556D0000}"/>
    <cellStyle name="Input 3 3 2 9 5" xfId="27995" xr:uid="{00000000-0005-0000-0000-0000566D0000}"/>
    <cellStyle name="Input 3 3 2 9 6" xfId="27996" xr:uid="{00000000-0005-0000-0000-0000576D0000}"/>
    <cellStyle name="Input 3 3 3" xfId="27997" xr:uid="{00000000-0005-0000-0000-0000586D0000}"/>
    <cellStyle name="Input 3 3 3 10" xfId="27998" xr:uid="{00000000-0005-0000-0000-0000596D0000}"/>
    <cellStyle name="Input 3 3 3 11" xfId="27999" xr:uid="{00000000-0005-0000-0000-00005A6D0000}"/>
    <cellStyle name="Input 3 3 3 12" xfId="28000" xr:uid="{00000000-0005-0000-0000-00005B6D0000}"/>
    <cellStyle name="Input 3 3 3 13" xfId="28001" xr:uid="{00000000-0005-0000-0000-00005C6D0000}"/>
    <cellStyle name="Input 3 3 3 2" xfId="28002" xr:uid="{00000000-0005-0000-0000-00005D6D0000}"/>
    <cellStyle name="Input 3 3 3 2 2" xfId="28003" xr:uid="{00000000-0005-0000-0000-00005E6D0000}"/>
    <cellStyle name="Input 3 3 3 2 2 2" xfId="28004" xr:uid="{00000000-0005-0000-0000-00005F6D0000}"/>
    <cellStyle name="Input 3 3 3 2 2 2 2" xfId="28005" xr:uid="{00000000-0005-0000-0000-0000606D0000}"/>
    <cellStyle name="Input 3 3 3 2 2 2 3" xfId="28006" xr:uid="{00000000-0005-0000-0000-0000616D0000}"/>
    <cellStyle name="Input 3 3 3 2 2 2 4" xfId="28007" xr:uid="{00000000-0005-0000-0000-0000626D0000}"/>
    <cellStyle name="Input 3 3 3 2 2 2 5" xfId="28008" xr:uid="{00000000-0005-0000-0000-0000636D0000}"/>
    <cellStyle name="Input 3 3 3 2 2 2 6" xfId="28009" xr:uid="{00000000-0005-0000-0000-0000646D0000}"/>
    <cellStyle name="Input 3 3 3 2 2 3" xfId="28010" xr:uid="{00000000-0005-0000-0000-0000656D0000}"/>
    <cellStyle name="Input 3 3 3 2 2 4" xfId="28011" xr:uid="{00000000-0005-0000-0000-0000666D0000}"/>
    <cellStyle name="Input 3 3 3 2 2 5" xfId="28012" xr:uid="{00000000-0005-0000-0000-0000676D0000}"/>
    <cellStyle name="Input 3 3 3 2 2 6" xfId="28013" xr:uid="{00000000-0005-0000-0000-0000686D0000}"/>
    <cellStyle name="Input 3 3 3 2 3" xfId="28014" xr:uid="{00000000-0005-0000-0000-0000696D0000}"/>
    <cellStyle name="Input 3 3 3 2 3 2" xfId="28015" xr:uid="{00000000-0005-0000-0000-00006A6D0000}"/>
    <cellStyle name="Input 3 3 3 2 3 2 2" xfId="28016" xr:uid="{00000000-0005-0000-0000-00006B6D0000}"/>
    <cellStyle name="Input 3 3 3 2 3 2 3" xfId="28017" xr:uid="{00000000-0005-0000-0000-00006C6D0000}"/>
    <cellStyle name="Input 3 3 3 2 3 2 4" xfId="28018" xr:uid="{00000000-0005-0000-0000-00006D6D0000}"/>
    <cellStyle name="Input 3 3 3 2 3 2 5" xfId="28019" xr:uid="{00000000-0005-0000-0000-00006E6D0000}"/>
    <cellStyle name="Input 3 3 3 2 3 2 6" xfId="28020" xr:uid="{00000000-0005-0000-0000-00006F6D0000}"/>
    <cellStyle name="Input 3 3 3 2 3 3" xfId="28021" xr:uid="{00000000-0005-0000-0000-0000706D0000}"/>
    <cellStyle name="Input 3 3 3 2 3 4" xfId="28022" xr:uid="{00000000-0005-0000-0000-0000716D0000}"/>
    <cellStyle name="Input 3 3 3 2 3 5" xfId="28023" xr:uid="{00000000-0005-0000-0000-0000726D0000}"/>
    <cellStyle name="Input 3 3 3 2 3 6" xfId="28024" xr:uid="{00000000-0005-0000-0000-0000736D0000}"/>
    <cellStyle name="Input 3 3 3 2 4" xfId="28025" xr:uid="{00000000-0005-0000-0000-0000746D0000}"/>
    <cellStyle name="Input 3 3 3 2 4 2" xfId="28026" xr:uid="{00000000-0005-0000-0000-0000756D0000}"/>
    <cellStyle name="Input 3 3 3 2 4 3" xfId="28027" xr:uid="{00000000-0005-0000-0000-0000766D0000}"/>
    <cellStyle name="Input 3 3 3 2 4 4" xfId="28028" xr:uid="{00000000-0005-0000-0000-0000776D0000}"/>
    <cellStyle name="Input 3 3 3 2 4 5" xfId="28029" xr:uid="{00000000-0005-0000-0000-0000786D0000}"/>
    <cellStyle name="Input 3 3 3 2 4 6" xfId="28030" xr:uid="{00000000-0005-0000-0000-0000796D0000}"/>
    <cellStyle name="Input 3 3 3 2 5" xfId="28031" xr:uid="{00000000-0005-0000-0000-00007A6D0000}"/>
    <cellStyle name="Input 3 3 3 2 6" xfId="28032" xr:uid="{00000000-0005-0000-0000-00007B6D0000}"/>
    <cellStyle name="Input 3 3 3 2 7" xfId="28033" xr:uid="{00000000-0005-0000-0000-00007C6D0000}"/>
    <cellStyle name="Input 3 3 3 2 8" xfId="28034" xr:uid="{00000000-0005-0000-0000-00007D6D0000}"/>
    <cellStyle name="Input 3 3 3 3" xfId="28035" xr:uid="{00000000-0005-0000-0000-00007E6D0000}"/>
    <cellStyle name="Input 3 3 3 3 2" xfId="28036" xr:uid="{00000000-0005-0000-0000-00007F6D0000}"/>
    <cellStyle name="Input 3 3 3 3 2 2" xfId="28037" xr:uid="{00000000-0005-0000-0000-0000806D0000}"/>
    <cellStyle name="Input 3 3 3 3 2 2 2" xfId="28038" xr:uid="{00000000-0005-0000-0000-0000816D0000}"/>
    <cellStyle name="Input 3 3 3 3 2 2 3" xfId="28039" xr:uid="{00000000-0005-0000-0000-0000826D0000}"/>
    <cellStyle name="Input 3 3 3 3 2 2 4" xfId="28040" xr:uid="{00000000-0005-0000-0000-0000836D0000}"/>
    <cellStyle name="Input 3 3 3 3 2 2 5" xfId="28041" xr:uid="{00000000-0005-0000-0000-0000846D0000}"/>
    <cellStyle name="Input 3 3 3 3 2 2 6" xfId="28042" xr:uid="{00000000-0005-0000-0000-0000856D0000}"/>
    <cellStyle name="Input 3 3 3 3 2 3" xfId="28043" xr:uid="{00000000-0005-0000-0000-0000866D0000}"/>
    <cellStyle name="Input 3 3 3 3 2 4" xfId="28044" xr:uid="{00000000-0005-0000-0000-0000876D0000}"/>
    <cellStyle name="Input 3 3 3 3 2 5" xfId="28045" xr:uid="{00000000-0005-0000-0000-0000886D0000}"/>
    <cellStyle name="Input 3 3 3 3 2 6" xfId="28046" xr:uid="{00000000-0005-0000-0000-0000896D0000}"/>
    <cellStyle name="Input 3 3 3 3 3" xfId="28047" xr:uid="{00000000-0005-0000-0000-00008A6D0000}"/>
    <cellStyle name="Input 3 3 3 3 3 2" xfId="28048" xr:uid="{00000000-0005-0000-0000-00008B6D0000}"/>
    <cellStyle name="Input 3 3 3 3 3 2 2" xfId="28049" xr:uid="{00000000-0005-0000-0000-00008C6D0000}"/>
    <cellStyle name="Input 3 3 3 3 3 2 3" xfId="28050" xr:uid="{00000000-0005-0000-0000-00008D6D0000}"/>
    <cellStyle name="Input 3 3 3 3 3 2 4" xfId="28051" xr:uid="{00000000-0005-0000-0000-00008E6D0000}"/>
    <cellStyle name="Input 3 3 3 3 3 2 5" xfId="28052" xr:uid="{00000000-0005-0000-0000-00008F6D0000}"/>
    <cellStyle name="Input 3 3 3 3 3 2 6" xfId="28053" xr:uid="{00000000-0005-0000-0000-0000906D0000}"/>
    <cellStyle name="Input 3 3 3 3 3 3" xfId="28054" xr:uid="{00000000-0005-0000-0000-0000916D0000}"/>
    <cellStyle name="Input 3 3 3 3 3 4" xfId="28055" xr:uid="{00000000-0005-0000-0000-0000926D0000}"/>
    <cellStyle name="Input 3 3 3 3 3 5" xfId="28056" xr:uid="{00000000-0005-0000-0000-0000936D0000}"/>
    <cellStyle name="Input 3 3 3 3 3 6" xfId="28057" xr:uid="{00000000-0005-0000-0000-0000946D0000}"/>
    <cellStyle name="Input 3 3 3 3 4" xfId="28058" xr:uid="{00000000-0005-0000-0000-0000956D0000}"/>
    <cellStyle name="Input 3 3 3 3 4 2" xfId="28059" xr:uid="{00000000-0005-0000-0000-0000966D0000}"/>
    <cellStyle name="Input 3 3 3 3 4 3" xfId="28060" xr:uid="{00000000-0005-0000-0000-0000976D0000}"/>
    <cellStyle name="Input 3 3 3 3 4 4" xfId="28061" xr:uid="{00000000-0005-0000-0000-0000986D0000}"/>
    <cellStyle name="Input 3 3 3 3 4 5" xfId="28062" xr:uid="{00000000-0005-0000-0000-0000996D0000}"/>
    <cellStyle name="Input 3 3 3 3 4 6" xfId="28063" xr:uid="{00000000-0005-0000-0000-00009A6D0000}"/>
    <cellStyle name="Input 3 3 3 3 5" xfId="28064" xr:uid="{00000000-0005-0000-0000-00009B6D0000}"/>
    <cellStyle name="Input 3 3 3 3 6" xfId="28065" xr:uid="{00000000-0005-0000-0000-00009C6D0000}"/>
    <cellStyle name="Input 3 3 3 3 7" xfId="28066" xr:uid="{00000000-0005-0000-0000-00009D6D0000}"/>
    <cellStyle name="Input 3 3 3 3 8" xfId="28067" xr:uid="{00000000-0005-0000-0000-00009E6D0000}"/>
    <cellStyle name="Input 3 3 3 4" xfId="28068" xr:uid="{00000000-0005-0000-0000-00009F6D0000}"/>
    <cellStyle name="Input 3 3 3 4 2" xfId="28069" xr:uid="{00000000-0005-0000-0000-0000A06D0000}"/>
    <cellStyle name="Input 3 3 3 4 2 2" xfId="28070" xr:uid="{00000000-0005-0000-0000-0000A16D0000}"/>
    <cellStyle name="Input 3 3 3 4 2 2 2" xfId="28071" xr:uid="{00000000-0005-0000-0000-0000A26D0000}"/>
    <cellStyle name="Input 3 3 3 4 2 2 3" xfId="28072" xr:uid="{00000000-0005-0000-0000-0000A36D0000}"/>
    <cellStyle name="Input 3 3 3 4 2 2 4" xfId="28073" xr:uid="{00000000-0005-0000-0000-0000A46D0000}"/>
    <cellStyle name="Input 3 3 3 4 2 2 5" xfId="28074" xr:uid="{00000000-0005-0000-0000-0000A56D0000}"/>
    <cellStyle name="Input 3 3 3 4 2 2 6" xfId="28075" xr:uid="{00000000-0005-0000-0000-0000A66D0000}"/>
    <cellStyle name="Input 3 3 3 4 2 3" xfId="28076" xr:uid="{00000000-0005-0000-0000-0000A76D0000}"/>
    <cellStyle name="Input 3 3 3 4 2 4" xfId="28077" xr:uid="{00000000-0005-0000-0000-0000A86D0000}"/>
    <cellStyle name="Input 3 3 3 4 2 5" xfId="28078" xr:uid="{00000000-0005-0000-0000-0000A96D0000}"/>
    <cellStyle name="Input 3 3 3 4 2 6" xfId="28079" xr:uid="{00000000-0005-0000-0000-0000AA6D0000}"/>
    <cellStyle name="Input 3 3 3 4 3" xfId="28080" xr:uid="{00000000-0005-0000-0000-0000AB6D0000}"/>
    <cellStyle name="Input 3 3 3 4 3 2" xfId="28081" xr:uid="{00000000-0005-0000-0000-0000AC6D0000}"/>
    <cellStyle name="Input 3 3 3 4 3 2 2" xfId="28082" xr:uid="{00000000-0005-0000-0000-0000AD6D0000}"/>
    <cellStyle name="Input 3 3 3 4 3 2 3" xfId="28083" xr:uid="{00000000-0005-0000-0000-0000AE6D0000}"/>
    <cellStyle name="Input 3 3 3 4 3 2 4" xfId="28084" xr:uid="{00000000-0005-0000-0000-0000AF6D0000}"/>
    <cellStyle name="Input 3 3 3 4 3 2 5" xfId="28085" xr:uid="{00000000-0005-0000-0000-0000B06D0000}"/>
    <cellStyle name="Input 3 3 3 4 3 2 6" xfId="28086" xr:uid="{00000000-0005-0000-0000-0000B16D0000}"/>
    <cellStyle name="Input 3 3 3 4 3 3" xfId="28087" xr:uid="{00000000-0005-0000-0000-0000B26D0000}"/>
    <cellStyle name="Input 3 3 3 4 3 4" xfId="28088" xr:uid="{00000000-0005-0000-0000-0000B36D0000}"/>
    <cellStyle name="Input 3 3 3 4 3 5" xfId="28089" xr:uid="{00000000-0005-0000-0000-0000B46D0000}"/>
    <cellStyle name="Input 3 3 3 4 3 6" xfId="28090" xr:uid="{00000000-0005-0000-0000-0000B56D0000}"/>
    <cellStyle name="Input 3 3 3 4 4" xfId="28091" xr:uid="{00000000-0005-0000-0000-0000B66D0000}"/>
    <cellStyle name="Input 3 3 3 4 4 2" xfId="28092" xr:uid="{00000000-0005-0000-0000-0000B76D0000}"/>
    <cellStyle name="Input 3 3 3 4 4 3" xfId="28093" xr:uid="{00000000-0005-0000-0000-0000B86D0000}"/>
    <cellStyle name="Input 3 3 3 4 4 4" xfId="28094" xr:uid="{00000000-0005-0000-0000-0000B96D0000}"/>
    <cellStyle name="Input 3 3 3 4 4 5" xfId="28095" xr:uid="{00000000-0005-0000-0000-0000BA6D0000}"/>
    <cellStyle name="Input 3 3 3 4 4 6" xfId="28096" xr:uid="{00000000-0005-0000-0000-0000BB6D0000}"/>
    <cellStyle name="Input 3 3 3 4 5" xfId="28097" xr:uid="{00000000-0005-0000-0000-0000BC6D0000}"/>
    <cellStyle name="Input 3 3 3 4 6" xfId="28098" xr:uid="{00000000-0005-0000-0000-0000BD6D0000}"/>
    <cellStyle name="Input 3 3 3 4 7" xfId="28099" xr:uid="{00000000-0005-0000-0000-0000BE6D0000}"/>
    <cellStyle name="Input 3 3 3 4 8" xfId="28100" xr:uid="{00000000-0005-0000-0000-0000BF6D0000}"/>
    <cellStyle name="Input 3 3 3 5" xfId="28101" xr:uid="{00000000-0005-0000-0000-0000C06D0000}"/>
    <cellStyle name="Input 3 3 3 5 2" xfId="28102" xr:uid="{00000000-0005-0000-0000-0000C16D0000}"/>
    <cellStyle name="Input 3 3 3 5 2 2" xfId="28103" xr:uid="{00000000-0005-0000-0000-0000C26D0000}"/>
    <cellStyle name="Input 3 3 3 5 2 2 2" xfId="28104" xr:uid="{00000000-0005-0000-0000-0000C36D0000}"/>
    <cellStyle name="Input 3 3 3 5 2 2 3" xfId="28105" xr:uid="{00000000-0005-0000-0000-0000C46D0000}"/>
    <cellStyle name="Input 3 3 3 5 2 2 4" xfId="28106" xr:uid="{00000000-0005-0000-0000-0000C56D0000}"/>
    <cellStyle name="Input 3 3 3 5 2 2 5" xfId="28107" xr:uid="{00000000-0005-0000-0000-0000C66D0000}"/>
    <cellStyle name="Input 3 3 3 5 2 2 6" xfId="28108" xr:uid="{00000000-0005-0000-0000-0000C76D0000}"/>
    <cellStyle name="Input 3 3 3 5 2 3" xfId="28109" xr:uid="{00000000-0005-0000-0000-0000C86D0000}"/>
    <cellStyle name="Input 3 3 3 5 2 4" xfId="28110" xr:uid="{00000000-0005-0000-0000-0000C96D0000}"/>
    <cellStyle name="Input 3 3 3 5 2 5" xfId="28111" xr:uid="{00000000-0005-0000-0000-0000CA6D0000}"/>
    <cellStyle name="Input 3 3 3 5 2 6" xfId="28112" xr:uid="{00000000-0005-0000-0000-0000CB6D0000}"/>
    <cellStyle name="Input 3 3 3 5 3" xfId="28113" xr:uid="{00000000-0005-0000-0000-0000CC6D0000}"/>
    <cellStyle name="Input 3 3 3 5 3 2" xfId="28114" xr:uid="{00000000-0005-0000-0000-0000CD6D0000}"/>
    <cellStyle name="Input 3 3 3 5 3 2 2" xfId="28115" xr:uid="{00000000-0005-0000-0000-0000CE6D0000}"/>
    <cellStyle name="Input 3 3 3 5 3 2 3" xfId="28116" xr:uid="{00000000-0005-0000-0000-0000CF6D0000}"/>
    <cellStyle name="Input 3 3 3 5 3 2 4" xfId="28117" xr:uid="{00000000-0005-0000-0000-0000D06D0000}"/>
    <cellStyle name="Input 3 3 3 5 3 2 5" xfId="28118" xr:uid="{00000000-0005-0000-0000-0000D16D0000}"/>
    <cellStyle name="Input 3 3 3 5 3 2 6" xfId="28119" xr:uid="{00000000-0005-0000-0000-0000D26D0000}"/>
    <cellStyle name="Input 3 3 3 5 3 3" xfId="28120" xr:uid="{00000000-0005-0000-0000-0000D36D0000}"/>
    <cellStyle name="Input 3 3 3 5 3 4" xfId="28121" xr:uid="{00000000-0005-0000-0000-0000D46D0000}"/>
    <cellStyle name="Input 3 3 3 5 3 5" xfId="28122" xr:uid="{00000000-0005-0000-0000-0000D56D0000}"/>
    <cellStyle name="Input 3 3 3 5 3 6" xfId="28123" xr:uid="{00000000-0005-0000-0000-0000D66D0000}"/>
    <cellStyle name="Input 3 3 3 5 4" xfId="28124" xr:uid="{00000000-0005-0000-0000-0000D76D0000}"/>
    <cellStyle name="Input 3 3 3 5 4 2" xfId="28125" xr:uid="{00000000-0005-0000-0000-0000D86D0000}"/>
    <cellStyle name="Input 3 3 3 5 4 3" xfId="28126" xr:uid="{00000000-0005-0000-0000-0000D96D0000}"/>
    <cellStyle name="Input 3 3 3 5 4 4" xfId="28127" xr:uid="{00000000-0005-0000-0000-0000DA6D0000}"/>
    <cellStyle name="Input 3 3 3 5 4 5" xfId="28128" xr:uid="{00000000-0005-0000-0000-0000DB6D0000}"/>
    <cellStyle name="Input 3 3 3 5 4 6" xfId="28129" xr:uid="{00000000-0005-0000-0000-0000DC6D0000}"/>
    <cellStyle name="Input 3 3 3 5 5" xfId="28130" xr:uid="{00000000-0005-0000-0000-0000DD6D0000}"/>
    <cellStyle name="Input 3 3 3 5 6" xfId="28131" xr:uid="{00000000-0005-0000-0000-0000DE6D0000}"/>
    <cellStyle name="Input 3 3 3 5 7" xfId="28132" xr:uid="{00000000-0005-0000-0000-0000DF6D0000}"/>
    <cellStyle name="Input 3 3 3 5 8" xfId="28133" xr:uid="{00000000-0005-0000-0000-0000E06D0000}"/>
    <cellStyle name="Input 3 3 3 6" xfId="28134" xr:uid="{00000000-0005-0000-0000-0000E16D0000}"/>
    <cellStyle name="Input 3 3 3 6 2" xfId="28135" xr:uid="{00000000-0005-0000-0000-0000E26D0000}"/>
    <cellStyle name="Input 3 3 3 6 2 2" xfId="28136" xr:uid="{00000000-0005-0000-0000-0000E36D0000}"/>
    <cellStyle name="Input 3 3 3 6 2 2 2" xfId="28137" xr:uid="{00000000-0005-0000-0000-0000E46D0000}"/>
    <cellStyle name="Input 3 3 3 6 2 2 3" xfId="28138" xr:uid="{00000000-0005-0000-0000-0000E56D0000}"/>
    <cellStyle name="Input 3 3 3 6 2 2 4" xfId="28139" xr:uid="{00000000-0005-0000-0000-0000E66D0000}"/>
    <cellStyle name="Input 3 3 3 6 2 2 5" xfId="28140" xr:uid="{00000000-0005-0000-0000-0000E76D0000}"/>
    <cellStyle name="Input 3 3 3 6 2 2 6" xfId="28141" xr:uid="{00000000-0005-0000-0000-0000E86D0000}"/>
    <cellStyle name="Input 3 3 3 6 2 3" xfId="28142" xr:uid="{00000000-0005-0000-0000-0000E96D0000}"/>
    <cellStyle name="Input 3 3 3 6 2 4" xfId="28143" xr:uid="{00000000-0005-0000-0000-0000EA6D0000}"/>
    <cellStyle name="Input 3 3 3 6 2 5" xfId="28144" xr:uid="{00000000-0005-0000-0000-0000EB6D0000}"/>
    <cellStyle name="Input 3 3 3 6 2 6" xfId="28145" xr:uid="{00000000-0005-0000-0000-0000EC6D0000}"/>
    <cellStyle name="Input 3 3 3 6 3" xfId="28146" xr:uid="{00000000-0005-0000-0000-0000ED6D0000}"/>
    <cellStyle name="Input 3 3 3 6 3 2" xfId="28147" xr:uid="{00000000-0005-0000-0000-0000EE6D0000}"/>
    <cellStyle name="Input 3 3 3 6 3 2 2" xfId="28148" xr:uid="{00000000-0005-0000-0000-0000EF6D0000}"/>
    <cellStyle name="Input 3 3 3 6 3 2 3" xfId="28149" xr:uid="{00000000-0005-0000-0000-0000F06D0000}"/>
    <cellStyle name="Input 3 3 3 6 3 2 4" xfId="28150" xr:uid="{00000000-0005-0000-0000-0000F16D0000}"/>
    <cellStyle name="Input 3 3 3 6 3 2 5" xfId="28151" xr:uid="{00000000-0005-0000-0000-0000F26D0000}"/>
    <cellStyle name="Input 3 3 3 6 3 2 6" xfId="28152" xr:uid="{00000000-0005-0000-0000-0000F36D0000}"/>
    <cellStyle name="Input 3 3 3 6 3 3" xfId="28153" xr:uid="{00000000-0005-0000-0000-0000F46D0000}"/>
    <cellStyle name="Input 3 3 3 6 3 4" xfId="28154" xr:uid="{00000000-0005-0000-0000-0000F56D0000}"/>
    <cellStyle name="Input 3 3 3 6 3 5" xfId="28155" xr:uid="{00000000-0005-0000-0000-0000F66D0000}"/>
    <cellStyle name="Input 3 3 3 6 3 6" xfId="28156" xr:uid="{00000000-0005-0000-0000-0000F76D0000}"/>
    <cellStyle name="Input 3 3 3 6 4" xfId="28157" xr:uid="{00000000-0005-0000-0000-0000F86D0000}"/>
    <cellStyle name="Input 3 3 3 6 4 2" xfId="28158" xr:uid="{00000000-0005-0000-0000-0000F96D0000}"/>
    <cellStyle name="Input 3 3 3 6 4 3" xfId="28159" xr:uid="{00000000-0005-0000-0000-0000FA6D0000}"/>
    <cellStyle name="Input 3 3 3 6 4 4" xfId="28160" xr:uid="{00000000-0005-0000-0000-0000FB6D0000}"/>
    <cellStyle name="Input 3 3 3 6 4 5" xfId="28161" xr:uid="{00000000-0005-0000-0000-0000FC6D0000}"/>
    <cellStyle name="Input 3 3 3 6 4 6" xfId="28162" xr:uid="{00000000-0005-0000-0000-0000FD6D0000}"/>
    <cellStyle name="Input 3 3 3 6 5" xfId="28163" xr:uid="{00000000-0005-0000-0000-0000FE6D0000}"/>
    <cellStyle name="Input 3 3 3 6 6" xfId="28164" xr:uid="{00000000-0005-0000-0000-0000FF6D0000}"/>
    <cellStyle name="Input 3 3 3 6 7" xfId="28165" xr:uid="{00000000-0005-0000-0000-0000006E0000}"/>
    <cellStyle name="Input 3 3 3 6 8" xfId="28166" xr:uid="{00000000-0005-0000-0000-0000016E0000}"/>
    <cellStyle name="Input 3 3 3 7" xfId="28167" xr:uid="{00000000-0005-0000-0000-0000026E0000}"/>
    <cellStyle name="Input 3 3 3 7 2" xfId="28168" xr:uid="{00000000-0005-0000-0000-0000036E0000}"/>
    <cellStyle name="Input 3 3 3 7 2 2" xfId="28169" xr:uid="{00000000-0005-0000-0000-0000046E0000}"/>
    <cellStyle name="Input 3 3 3 7 2 3" xfId="28170" xr:uid="{00000000-0005-0000-0000-0000056E0000}"/>
    <cellStyle name="Input 3 3 3 7 2 4" xfId="28171" xr:uid="{00000000-0005-0000-0000-0000066E0000}"/>
    <cellStyle name="Input 3 3 3 7 2 5" xfId="28172" xr:uid="{00000000-0005-0000-0000-0000076E0000}"/>
    <cellStyle name="Input 3 3 3 7 2 6" xfId="28173" xr:uid="{00000000-0005-0000-0000-0000086E0000}"/>
    <cellStyle name="Input 3 3 3 7 3" xfId="28174" xr:uid="{00000000-0005-0000-0000-0000096E0000}"/>
    <cellStyle name="Input 3 3 3 7 4" xfId="28175" xr:uid="{00000000-0005-0000-0000-00000A6E0000}"/>
    <cellStyle name="Input 3 3 3 7 5" xfId="28176" xr:uid="{00000000-0005-0000-0000-00000B6E0000}"/>
    <cellStyle name="Input 3 3 3 7 6" xfId="28177" xr:uid="{00000000-0005-0000-0000-00000C6E0000}"/>
    <cellStyle name="Input 3 3 3 8" xfId="28178" xr:uid="{00000000-0005-0000-0000-00000D6E0000}"/>
    <cellStyle name="Input 3 3 3 8 2" xfId="28179" xr:uid="{00000000-0005-0000-0000-00000E6E0000}"/>
    <cellStyle name="Input 3 3 3 8 2 2" xfId="28180" xr:uid="{00000000-0005-0000-0000-00000F6E0000}"/>
    <cellStyle name="Input 3 3 3 8 2 3" xfId="28181" xr:uid="{00000000-0005-0000-0000-0000106E0000}"/>
    <cellStyle name="Input 3 3 3 8 2 4" xfId="28182" xr:uid="{00000000-0005-0000-0000-0000116E0000}"/>
    <cellStyle name="Input 3 3 3 8 2 5" xfId="28183" xr:uid="{00000000-0005-0000-0000-0000126E0000}"/>
    <cellStyle name="Input 3 3 3 8 2 6" xfId="28184" xr:uid="{00000000-0005-0000-0000-0000136E0000}"/>
    <cellStyle name="Input 3 3 3 8 3" xfId="28185" xr:uid="{00000000-0005-0000-0000-0000146E0000}"/>
    <cellStyle name="Input 3 3 3 8 4" xfId="28186" xr:uid="{00000000-0005-0000-0000-0000156E0000}"/>
    <cellStyle name="Input 3 3 3 8 5" xfId="28187" xr:uid="{00000000-0005-0000-0000-0000166E0000}"/>
    <cellStyle name="Input 3 3 3 8 6" xfId="28188" xr:uid="{00000000-0005-0000-0000-0000176E0000}"/>
    <cellStyle name="Input 3 3 3 9" xfId="28189" xr:uid="{00000000-0005-0000-0000-0000186E0000}"/>
    <cellStyle name="Input 3 3 3 9 2" xfId="28190" xr:uid="{00000000-0005-0000-0000-0000196E0000}"/>
    <cellStyle name="Input 3 3 3 9 3" xfId="28191" xr:uid="{00000000-0005-0000-0000-00001A6E0000}"/>
    <cellStyle name="Input 3 3 3 9 4" xfId="28192" xr:uid="{00000000-0005-0000-0000-00001B6E0000}"/>
    <cellStyle name="Input 3 3 3 9 5" xfId="28193" xr:uid="{00000000-0005-0000-0000-00001C6E0000}"/>
    <cellStyle name="Input 3 3 3 9 6" xfId="28194" xr:uid="{00000000-0005-0000-0000-00001D6E0000}"/>
    <cellStyle name="Input 3 3 4" xfId="28195" xr:uid="{00000000-0005-0000-0000-00001E6E0000}"/>
    <cellStyle name="Input 3 3 4 2" xfId="28196" xr:uid="{00000000-0005-0000-0000-00001F6E0000}"/>
    <cellStyle name="Input 3 3 4 2 2" xfId="28197" xr:uid="{00000000-0005-0000-0000-0000206E0000}"/>
    <cellStyle name="Input 3 3 4 2 2 2" xfId="28198" xr:uid="{00000000-0005-0000-0000-0000216E0000}"/>
    <cellStyle name="Input 3 3 4 2 2 3" xfId="28199" xr:uid="{00000000-0005-0000-0000-0000226E0000}"/>
    <cellStyle name="Input 3 3 4 2 2 4" xfId="28200" xr:uid="{00000000-0005-0000-0000-0000236E0000}"/>
    <cellStyle name="Input 3 3 4 2 2 5" xfId="28201" xr:uid="{00000000-0005-0000-0000-0000246E0000}"/>
    <cellStyle name="Input 3 3 4 2 2 6" xfId="28202" xr:uid="{00000000-0005-0000-0000-0000256E0000}"/>
    <cellStyle name="Input 3 3 4 2 3" xfId="28203" xr:uid="{00000000-0005-0000-0000-0000266E0000}"/>
    <cellStyle name="Input 3 3 4 2 4" xfId="28204" xr:uid="{00000000-0005-0000-0000-0000276E0000}"/>
    <cellStyle name="Input 3 3 4 2 5" xfId="28205" xr:uid="{00000000-0005-0000-0000-0000286E0000}"/>
    <cellStyle name="Input 3 3 4 2 6" xfId="28206" xr:uid="{00000000-0005-0000-0000-0000296E0000}"/>
    <cellStyle name="Input 3 3 4 3" xfId="28207" xr:uid="{00000000-0005-0000-0000-00002A6E0000}"/>
    <cellStyle name="Input 3 3 4 3 2" xfId="28208" xr:uid="{00000000-0005-0000-0000-00002B6E0000}"/>
    <cellStyle name="Input 3 3 4 3 2 2" xfId="28209" xr:uid="{00000000-0005-0000-0000-00002C6E0000}"/>
    <cellStyle name="Input 3 3 4 3 2 3" xfId="28210" xr:uid="{00000000-0005-0000-0000-00002D6E0000}"/>
    <cellStyle name="Input 3 3 4 3 2 4" xfId="28211" xr:uid="{00000000-0005-0000-0000-00002E6E0000}"/>
    <cellStyle name="Input 3 3 4 3 2 5" xfId="28212" xr:uid="{00000000-0005-0000-0000-00002F6E0000}"/>
    <cellStyle name="Input 3 3 4 3 2 6" xfId="28213" xr:uid="{00000000-0005-0000-0000-0000306E0000}"/>
    <cellStyle name="Input 3 3 4 3 3" xfId="28214" xr:uid="{00000000-0005-0000-0000-0000316E0000}"/>
    <cellStyle name="Input 3 3 4 3 4" xfId="28215" xr:uid="{00000000-0005-0000-0000-0000326E0000}"/>
    <cellStyle name="Input 3 3 4 3 5" xfId="28216" xr:uid="{00000000-0005-0000-0000-0000336E0000}"/>
    <cellStyle name="Input 3 3 4 3 6" xfId="28217" xr:uid="{00000000-0005-0000-0000-0000346E0000}"/>
    <cellStyle name="Input 3 3 4 4" xfId="28218" xr:uid="{00000000-0005-0000-0000-0000356E0000}"/>
    <cellStyle name="Input 3 3 4 4 2" xfId="28219" xr:uid="{00000000-0005-0000-0000-0000366E0000}"/>
    <cellStyle name="Input 3 3 4 4 3" xfId="28220" xr:uid="{00000000-0005-0000-0000-0000376E0000}"/>
    <cellStyle name="Input 3 3 4 4 4" xfId="28221" xr:uid="{00000000-0005-0000-0000-0000386E0000}"/>
    <cellStyle name="Input 3 3 4 4 5" xfId="28222" xr:uid="{00000000-0005-0000-0000-0000396E0000}"/>
    <cellStyle name="Input 3 3 4 4 6" xfId="28223" xr:uid="{00000000-0005-0000-0000-00003A6E0000}"/>
    <cellStyle name="Input 3 3 4 5" xfId="28224" xr:uid="{00000000-0005-0000-0000-00003B6E0000}"/>
    <cellStyle name="Input 3 3 4 6" xfId="28225" xr:uid="{00000000-0005-0000-0000-00003C6E0000}"/>
    <cellStyle name="Input 3 3 4 7" xfId="28226" xr:uid="{00000000-0005-0000-0000-00003D6E0000}"/>
    <cellStyle name="Input 3 3 4 8" xfId="28227" xr:uid="{00000000-0005-0000-0000-00003E6E0000}"/>
    <cellStyle name="Input 3 3 5" xfId="28228" xr:uid="{00000000-0005-0000-0000-00003F6E0000}"/>
    <cellStyle name="Input 3 3 5 2" xfId="28229" xr:uid="{00000000-0005-0000-0000-0000406E0000}"/>
    <cellStyle name="Input 3 3 5 2 2" xfId="28230" xr:uid="{00000000-0005-0000-0000-0000416E0000}"/>
    <cellStyle name="Input 3 3 5 2 2 2" xfId="28231" xr:uid="{00000000-0005-0000-0000-0000426E0000}"/>
    <cellStyle name="Input 3 3 5 2 2 3" xfId="28232" xr:uid="{00000000-0005-0000-0000-0000436E0000}"/>
    <cellStyle name="Input 3 3 5 2 2 4" xfId="28233" xr:uid="{00000000-0005-0000-0000-0000446E0000}"/>
    <cellStyle name="Input 3 3 5 2 2 5" xfId="28234" xr:uid="{00000000-0005-0000-0000-0000456E0000}"/>
    <cellStyle name="Input 3 3 5 2 2 6" xfId="28235" xr:uid="{00000000-0005-0000-0000-0000466E0000}"/>
    <cellStyle name="Input 3 3 5 2 3" xfId="28236" xr:uid="{00000000-0005-0000-0000-0000476E0000}"/>
    <cellStyle name="Input 3 3 5 2 4" xfId="28237" xr:uid="{00000000-0005-0000-0000-0000486E0000}"/>
    <cellStyle name="Input 3 3 5 2 5" xfId="28238" xr:uid="{00000000-0005-0000-0000-0000496E0000}"/>
    <cellStyle name="Input 3 3 5 2 6" xfId="28239" xr:uid="{00000000-0005-0000-0000-00004A6E0000}"/>
    <cellStyle name="Input 3 3 5 3" xfId="28240" xr:uid="{00000000-0005-0000-0000-00004B6E0000}"/>
    <cellStyle name="Input 3 3 5 3 2" xfId="28241" xr:uid="{00000000-0005-0000-0000-00004C6E0000}"/>
    <cellStyle name="Input 3 3 5 3 2 2" xfId="28242" xr:uid="{00000000-0005-0000-0000-00004D6E0000}"/>
    <cellStyle name="Input 3 3 5 3 2 3" xfId="28243" xr:uid="{00000000-0005-0000-0000-00004E6E0000}"/>
    <cellStyle name="Input 3 3 5 3 2 4" xfId="28244" xr:uid="{00000000-0005-0000-0000-00004F6E0000}"/>
    <cellStyle name="Input 3 3 5 3 2 5" xfId="28245" xr:uid="{00000000-0005-0000-0000-0000506E0000}"/>
    <cellStyle name="Input 3 3 5 3 2 6" xfId="28246" xr:uid="{00000000-0005-0000-0000-0000516E0000}"/>
    <cellStyle name="Input 3 3 5 3 3" xfId="28247" xr:uid="{00000000-0005-0000-0000-0000526E0000}"/>
    <cellStyle name="Input 3 3 5 3 4" xfId="28248" xr:uid="{00000000-0005-0000-0000-0000536E0000}"/>
    <cellStyle name="Input 3 3 5 3 5" xfId="28249" xr:uid="{00000000-0005-0000-0000-0000546E0000}"/>
    <cellStyle name="Input 3 3 5 3 6" xfId="28250" xr:uid="{00000000-0005-0000-0000-0000556E0000}"/>
    <cellStyle name="Input 3 3 5 4" xfId="28251" xr:uid="{00000000-0005-0000-0000-0000566E0000}"/>
    <cellStyle name="Input 3 3 5 4 2" xfId="28252" xr:uid="{00000000-0005-0000-0000-0000576E0000}"/>
    <cellStyle name="Input 3 3 5 4 3" xfId="28253" xr:uid="{00000000-0005-0000-0000-0000586E0000}"/>
    <cellStyle name="Input 3 3 5 4 4" xfId="28254" xr:uid="{00000000-0005-0000-0000-0000596E0000}"/>
    <cellStyle name="Input 3 3 5 4 5" xfId="28255" xr:uid="{00000000-0005-0000-0000-00005A6E0000}"/>
    <cellStyle name="Input 3 3 5 4 6" xfId="28256" xr:uid="{00000000-0005-0000-0000-00005B6E0000}"/>
    <cellStyle name="Input 3 3 5 5" xfId="28257" xr:uid="{00000000-0005-0000-0000-00005C6E0000}"/>
    <cellStyle name="Input 3 3 5 6" xfId="28258" xr:uid="{00000000-0005-0000-0000-00005D6E0000}"/>
    <cellStyle name="Input 3 3 5 7" xfId="28259" xr:uid="{00000000-0005-0000-0000-00005E6E0000}"/>
    <cellStyle name="Input 3 3 5 8" xfId="28260" xr:uid="{00000000-0005-0000-0000-00005F6E0000}"/>
    <cellStyle name="Input 3 3 6" xfId="28261" xr:uid="{00000000-0005-0000-0000-0000606E0000}"/>
    <cellStyle name="Input 3 3 6 2" xfId="28262" xr:uid="{00000000-0005-0000-0000-0000616E0000}"/>
    <cellStyle name="Input 3 3 6 2 2" xfId="28263" xr:uid="{00000000-0005-0000-0000-0000626E0000}"/>
    <cellStyle name="Input 3 3 6 2 2 2" xfId="28264" xr:uid="{00000000-0005-0000-0000-0000636E0000}"/>
    <cellStyle name="Input 3 3 6 2 2 3" xfId="28265" xr:uid="{00000000-0005-0000-0000-0000646E0000}"/>
    <cellStyle name="Input 3 3 6 2 2 4" xfId="28266" xr:uid="{00000000-0005-0000-0000-0000656E0000}"/>
    <cellStyle name="Input 3 3 6 2 2 5" xfId="28267" xr:uid="{00000000-0005-0000-0000-0000666E0000}"/>
    <cellStyle name="Input 3 3 6 2 2 6" xfId="28268" xr:uid="{00000000-0005-0000-0000-0000676E0000}"/>
    <cellStyle name="Input 3 3 6 2 3" xfId="28269" xr:uid="{00000000-0005-0000-0000-0000686E0000}"/>
    <cellStyle name="Input 3 3 6 2 4" xfId="28270" xr:uid="{00000000-0005-0000-0000-0000696E0000}"/>
    <cellStyle name="Input 3 3 6 2 5" xfId="28271" xr:uid="{00000000-0005-0000-0000-00006A6E0000}"/>
    <cellStyle name="Input 3 3 6 2 6" xfId="28272" xr:uid="{00000000-0005-0000-0000-00006B6E0000}"/>
    <cellStyle name="Input 3 3 6 3" xfId="28273" xr:uid="{00000000-0005-0000-0000-00006C6E0000}"/>
    <cellStyle name="Input 3 3 6 3 2" xfId="28274" xr:uid="{00000000-0005-0000-0000-00006D6E0000}"/>
    <cellStyle name="Input 3 3 6 3 2 2" xfId="28275" xr:uid="{00000000-0005-0000-0000-00006E6E0000}"/>
    <cellStyle name="Input 3 3 6 3 2 3" xfId="28276" xr:uid="{00000000-0005-0000-0000-00006F6E0000}"/>
    <cellStyle name="Input 3 3 6 3 2 4" xfId="28277" xr:uid="{00000000-0005-0000-0000-0000706E0000}"/>
    <cellStyle name="Input 3 3 6 3 2 5" xfId="28278" xr:uid="{00000000-0005-0000-0000-0000716E0000}"/>
    <cellStyle name="Input 3 3 6 3 2 6" xfId="28279" xr:uid="{00000000-0005-0000-0000-0000726E0000}"/>
    <cellStyle name="Input 3 3 6 3 3" xfId="28280" xr:uid="{00000000-0005-0000-0000-0000736E0000}"/>
    <cellStyle name="Input 3 3 6 3 4" xfId="28281" xr:uid="{00000000-0005-0000-0000-0000746E0000}"/>
    <cellStyle name="Input 3 3 6 3 5" xfId="28282" xr:uid="{00000000-0005-0000-0000-0000756E0000}"/>
    <cellStyle name="Input 3 3 6 3 6" xfId="28283" xr:uid="{00000000-0005-0000-0000-0000766E0000}"/>
    <cellStyle name="Input 3 3 6 4" xfId="28284" xr:uid="{00000000-0005-0000-0000-0000776E0000}"/>
    <cellStyle name="Input 3 3 6 4 2" xfId="28285" xr:uid="{00000000-0005-0000-0000-0000786E0000}"/>
    <cellStyle name="Input 3 3 6 4 3" xfId="28286" xr:uid="{00000000-0005-0000-0000-0000796E0000}"/>
    <cellStyle name="Input 3 3 6 4 4" xfId="28287" xr:uid="{00000000-0005-0000-0000-00007A6E0000}"/>
    <cellStyle name="Input 3 3 6 4 5" xfId="28288" xr:uid="{00000000-0005-0000-0000-00007B6E0000}"/>
    <cellStyle name="Input 3 3 6 4 6" xfId="28289" xr:uid="{00000000-0005-0000-0000-00007C6E0000}"/>
    <cellStyle name="Input 3 3 6 5" xfId="28290" xr:uid="{00000000-0005-0000-0000-00007D6E0000}"/>
    <cellStyle name="Input 3 3 6 6" xfId="28291" xr:uid="{00000000-0005-0000-0000-00007E6E0000}"/>
    <cellStyle name="Input 3 3 6 7" xfId="28292" xr:uid="{00000000-0005-0000-0000-00007F6E0000}"/>
    <cellStyle name="Input 3 3 6 8" xfId="28293" xr:uid="{00000000-0005-0000-0000-0000806E0000}"/>
    <cellStyle name="Input 3 3 7" xfId="28294" xr:uid="{00000000-0005-0000-0000-0000816E0000}"/>
    <cellStyle name="Input 3 3 7 2" xfId="28295" xr:uid="{00000000-0005-0000-0000-0000826E0000}"/>
    <cellStyle name="Input 3 3 7 2 2" xfId="28296" xr:uid="{00000000-0005-0000-0000-0000836E0000}"/>
    <cellStyle name="Input 3 3 7 2 3" xfId="28297" xr:uid="{00000000-0005-0000-0000-0000846E0000}"/>
    <cellStyle name="Input 3 3 7 2 4" xfId="28298" xr:uid="{00000000-0005-0000-0000-0000856E0000}"/>
    <cellStyle name="Input 3 3 7 2 5" xfId="28299" xr:uid="{00000000-0005-0000-0000-0000866E0000}"/>
    <cellStyle name="Input 3 3 7 2 6" xfId="28300" xr:uid="{00000000-0005-0000-0000-0000876E0000}"/>
    <cellStyle name="Input 3 3 7 3" xfId="28301" xr:uid="{00000000-0005-0000-0000-0000886E0000}"/>
    <cellStyle name="Input 3 3 7 4" xfId="28302" xr:uid="{00000000-0005-0000-0000-0000896E0000}"/>
    <cellStyle name="Input 3 3 7 5" xfId="28303" xr:uid="{00000000-0005-0000-0000-00008A6E0000}"/>
    <cellStyle name="Input 3 3 7 6" xfId="28304" xr:uid="{00000000-0005-0000-0000-00008B6E0000}"/>
    <cellStyle name="Input 3 3 8" xfId="28305" xr:uid="{00000000-0005-0000-0000-00008C6E0000}"/>
    <cellStyle name="Input 3 3 8 2" xfId="28306" xr:uid="{00000000-0005-0000-0000-00008D6E0000}"/>
    <cellStyle name="Input 3 3 8 2 2" xfId="28307" xr:uid="{00000000-0005-0000-0000-00008E6E0000}"/>
    <cellStyle name="Input 3 3 8 2 3" xfId="28308" xr:uid="{00000000-0005-0000-0000-00008F6E0000}"/>
    <cellStyle name="Input 3 3 8 2 4" xfId="28309" xr:uid="{00000000-0005-0000-0000-0000906E0000}"/>
    <cellStyle name="Input 3 3 8 2 5" xfId="28310" xr:uid="{00000000-0005-0000-0000-0000916E0000}"/>
    <cellStyle name="Input 3 3 8 2 6" xfId="28311" xr:uid="{00000000-0005-0000-0000-0000926E0000}"/>
    <cellStyle name="Input 3 3 8 3" xfId="28312" xr:uid="{00000000-0005-0000-0000-0000936E0000}"/>
    <cellStyle name="Input 3 3 8 4" xfId="28313" xr:uid="{00000000-0005-0000-0000-0000946E0000}"/>
    <cellStyle name="Input 3 3 8 5" xfId="28314" xr:uid="{00000000-0005-0000-0000-0000956E0000}"/>
    <cellStyle name="Input 3 3 8 6" xfId="28315" xr:uid="{00000000-0005-0000-0000-0000966E0000}"/>
    <cellStyle name="Input 3 3 9" xfId="28316" xr:uid="{00000000-0005-0000-0000-0000976E0000}"/>
    <cellStyle name="Input 3 3 9 2" xfId="28317" xr:uid="{00000000-0005-0000-0000-0000986E0000}"/>
    <cellStyle name="Input 3 3 9 3" xfId="28318" xr:uid="{00000000-0005-0000-0000-0000996E0000}"/>
    <cellStyle name="Input 3 3 9 4" xfId="28319" xr:uid="{00000000-0005-0000-0000-00009A6E0000}"/>
    <cellStyle name="Input 3 3 9 5" xfId="28320" xr:uid="{00000000-0005-0000-0000-00009B6E0000}"/>
    <cellStyle name="Input 3 3 9 6" xfId="28321" xr:uid="{00000000-0005-0000-0000-00009C6E0000}"/>
    <cellStyle name="Input 3 4" xfId="28322" xr:uid="{00000000-0005-0000-0000-00009D6E0000}"/>
    <cellStyle name="Input 3 4 10" xfId="28323" xr:uid="{00000000-0005-0000-0000-00009E6E0000}"/>
    <cellStyle name="Input 3 4 10 2" xfId="28324" xr:uid="{00000000-0005-0000-0000-00009F6E0000}"/>
    <cellStyle name="Input 3 4 10 3" xfId="28325" xr:uid="{00000000-0005-0000-0000-0000A06E0000}"/>
    <cellStyle name="Input 3 4 10 4" xfId="28326" xr:uid="{00000000-0005-0000-0000-0000A16E0000}"/>
    <cellStyle name="Input 3 4 10 5" xfId="28327" xr:uid="{00000000-0005-0000-0000-0000A26E0000}"/>
    <cellStyle name="Input 3 4 10 6" xfId="28328" xr:uid="{00000000-0005-0000-0000-0000A36E0000}"/>
    <cellStyle name="Input 3 4 11" xfId="28329" xr:uid="{00000000-0005-0000-0000-0000A46E0000}"/>
    <cellStyle name="Input 3 4 12" xfId="28330" xr:uid="{00000000-0005-0000-0000-0000A56E0000}"/>
    <cellStyle name="Input 3 4 13" xfId="28331" xr:uid="{00000000-0005-0000-0000-0000A66E0000}"/>
    <cellStyle name="Input 3 4 14" xfId="28332" xr:uid="{00000000-0005-0000-0000-0000A76E0000}"/>
    <cellStyle name="Input 3 4 2" xfId="28333" xr:uid="{00000000-0005-0000-0000-0000A86E0000}"/>
    <cellStyle name="Input 3 4 2 10" xfId="28334" xr:uid="{00000000-0005-0000-0000-0000A96E0000}"/>
    <cellStyle name="Input 3 4 2 11" xfId="28335" xr:uid="{00000000-0005-0000-0000-0000AA6E0000}"/>
    <cellStyle name="Input 3 4 2 12" xfId="28336" xr:uid="{00000000-0005-0000-0000-0000AB6E0000}"/>
    <cellStyle name="Input 3 4 2 13" xfId="28337" xr:uid="{00000000-0005-0000-0000-0000AC6E0000}"/>
    <cellStyle name="Input 3 4 2 2" xfId="28338" xr:uid="{00000000-0005-0000-0000-0000AD6E0000}"/>
    <cellStyle name="Input 3 4 2 2 2" xfId="28339" xr:uid="{00000000-0005-0000-0000-0000AE6E0000}"/>
    <cellStyle name="Input 3 4 2 2 2 2" xfId="28340" xr:uid="{00000000-0005-0000-0000-0000AF6E0000}"/>
    <cellStyle name="Input 3 4 2 2 2 2 2" xfId="28341" xr:uid="{00000000-0005-0000-0000-0000B06E0000}"/>
    <cellStyle name="Input 3 4 2 2 2 2 3" xfId="28342" xr:uid="{00000000-0005-0000-0000-0000B16E0000}"/>
    <cellStyle name="Input 3 4 2 2 2 2 4" xfId="28343" xr:uid="{00000000-0005-0000-0000-0000B26E0000}"/>
    <cellStyle name="Input 3 4 2 2 2 2 5" xfId="28344" xr:uid="{00000000-0005-0000-0000-0000B36E0000}"/>
    <cellStyle name="Input 3 4 2 2 2 2 6" xfId="28345" xr:uid="{00000000-0005-0000-0000-0000B46E0000}"/>
    <cellStyle name="Input 3 4 2 2 2 3" xfId="28346" xr:uid="{00000000-0005-0000-0000-0000B56E0000}"/>
    <cellStyle name="Input 3 4 2 2 2 4" xfId="28347" xr:uid="{00000000-0005-0000-0000-0000B66E0000}"/>
    <cellStyle name="Input 3 4 2 2 2 5" xfId="28348" xr:uid="{00000000-0005-0000-0000-0000B76E0000}"/>
    <cellStyle name="Input 3 4 2 2 2 6" xfId="28349" xr:uid="{00000000-0005-0000-0000-0000B86E0000}"/>
    <cellStyle name="Input 3 4 2 2 3" xfId="28350" xr:uid="{00000000-0005-0000-0000-0000B96E0000}"/>
    <cellStyle name="Input 3 4 2 2 3 2" xfId="28351" xr:uid="{00000000-0005-0000-0000-0000BA6E0000}"/>
    <cellStyle name="Input 3 4 2 2 3 2 2" xfId="28352" xr:uid="{00000000-0005-0000-0000-0000BB6E0000}"/>
    <cellStyle name="Input 3 4 2 2 3 2 3" xfId="28353" xr:uid="{00000000-0005-0000-0000-0000BC6E0000}"/>
    <cellStyle name="Input 3 4 2 2 3 2 4" xfId="28354" xr:uid="{00000000-0005-0000-0000-0000BD6E0000}"/>
    <cellStyle name="Input 3 4 2 2 3 2 5" xfId="28355" xr:uid="{00000000-0005-0000-0000-0000BE6E0000}"/>
    <cellStyle name="Input 3 4 2 2 3 2 6" xfId="28356" xr:uid="{00000000-0005-0000-0000-0000BF6E0000}"/>
    <cellStyle name="Input 3 4 2 2 3 3" xfId="28357" xr:uid="{00000000-0005-0000-0000-0000C06E0000}"/>
    <cellStyle name="Input 3 4 2 2 3 4" xfId="28358" xr:uid="{00000000-0005-0000-0000-0000C16E0000}"/>
    <cellStyle name="Input 3 4 2 2 3 5" xfId="28359" xr:uid="{00000000-0005-0000-0000-0000C26E0000}"/>
    <cellStyle name="Input 3 4 2 2 3 6" xfId="28360" xr:uid="{00000000-0005-0000-0000-0000C36E0000}"/>
    <cellStyle name="Input 3 4 2 2 4" xfId="28361" xr:uid="{00000000-0005-0000-0000-0000C46E0000}"/>
    <cellStyle name="Input 3 4 2 2 4 2" xfId="28362" xr:uid="{00000000-0005-0000-0000-0000C56E0000}"/>
    <cellStyle name="Input 3 4 2 2 4 3" xfId="28363" xr:uid="{00000000-0005-0000-0000-0000C66E0000}"/>
    <cellStyle name="Input 3 4 2 2 4 4" xfId="28364" xr:uid="{00000000-0005-0000-0000-0000C76E0000}"/>
    <cellStyle name="Input 3 4 2 2 4 5" xfId="28365" xr:uid="{00000000-0005-0000-0000-0000C86E0000}"/>
    <cellStyle name="Input 3 4 2 2 4 6" xfId="28366" xr:uid="{00000000-0005-0000-0000-0000C96E0000}"/>
    <cellStyle name="Input 3 4 2 2 5" xfId="28367" xr:uid="{00000000-0005-0000-0000-0000CA6E0000}"/>
    <cellStyle name="Input 3 4 2 2 6" xfId="28368" xr:uid="{00000000-0005-0000-0000-0000CB6E0000}"/>
    <cellStyle name="Input 3 4 2 2 7" xfId="28369" xr:uid="{00000000-0005-0000-0000-0000CC6E0000}"/>
    <cellStyle name="Input 3 4 2 2 8" xfId="28370" xr:uid="{00000000-0005-0000-0000-0000CD6E0000}"/>
    <cellStyle name="Input 3 4 2 3" xfId="28371" xr:uid="{00000000-0005-0000-0000-0000CE6E0000}"/>
    <cellStyle name="Input 3 4 2 3 2" xfId="28372" xr:uid="{00000000-0005-0000-0000-0000CF6E0000}"/>
    <cellStyle name="Input 3 4 2 3 2 2" xfId="28373" xr:uid="{00000000-0005-0000-0000-0000D06E0000}"/>
    <cellStyle name="Input 3 4 2 3 2 2 2" xfId="28374" xr:uid="{00000000-0005-0000-0000-0000D16E0000}"/>
    <cellStyle name="Input 3 4 2 3 2 2 3" xfId="28375" xr:uid="{00000000-0005-0000-0000-0000D26E0000}"/>
    <cellStyle name="Input 3 4 2 3 2 2 4" xfId="28376" xr:uid="{00000000-0005-0000-0000-0000D36E0000}"/>
    <cellStyle name="Input 3 4 2 3 2 2 5" xfId="28377" xr:uid="{00000000-0005-0000-0000-0000D46E0000}"/>
    <cellStyle name="Input 3 4 2 3 2 2 6" xfId="28378" xr:uid="{00000000-0005-0000-0000-0000D56E0000}"/>
    <cellStyle name="Input 3 4 2 3 2 3" xfId="28379" xr:uid="{00000000-0005-0000-0000-0000D66E0000}"/>
    <cellStyle name="Input 3 4 2 3 2 4" xfId="28380" xr:uid="{00000000-0005-0000-0000-0000D76E0000}"/>
    <cellStyle name="Input 3 4 2 3 2 5" xfId="28381" xr:uid="{00000000-0005-0000-0000-0000D86E0000}"/>
    <cellStyle name="Input 3 4 2 3 2 6" xfId="28382" xr:uid="{00000000-0005-0000-0000-0000D96E0000}"/>
    <cellStyle name="Input 3 4 2 3 3" xfId="28383" xr:uid="{00000000-0005-0000-0000-0000DA6E0000}"/>
    <cellStyle name="Input 3 4 2 3 3 2" xfId="28384" xr:uid="{00000000-0005-0000-0000-0000DB6E0000}"/>
    <cellStyle name="Input 3 4 2 3 3 2 2" xfId="28385" xr:uid="{00000000-0005-0000-0000-0000DC6E0000}"/>
    <cellStyle name="Input 3 4 2 3 3 2 3" xfId="28386" xr:uid="{00000000-0005-0000-0000-0000DD6E0000}"/>
    <cellStyle name="Input 3 4 2 3 3 2 4" xfId="28387" xr:uid="{00000000-0005-0000-0000-0000DE6E0000}"/>
    <cellStyle name="Input 3 4 2 3 3 2 5" xfId="28388" xr:uid="{00000000-0005-0000-0000-0000DF6E0000}"/>
    <cellStyle name="Input 3 4 2 3 3 2 6" xfId="28389" xr:uid="{00000000-0005-0000-0000-0000E06E0000}"/>
    <cellStyle name="Input 3 4 2 3 3 3" xfId="28390" xr:uid="{00000000-0005-0000-0000-0000E16E0000}"/>
    <cellStyle name="Input 3 4 2 3 3 4" xfId="28391" xr:uid="{00000000-0005-0000-0000-0000E26E0000}"/>
    <cellStyle name="Input 3 4 2 3 3 5" xfId="28392" xr:uid="{00000000-0005-0000-0000-0000E36E0000}"/>
    <cellStyle name="Input 3 4 2 3 3 6" xfId="28393" xr:uid="{00000000-0005-0000-0000-0000E46E0000}"/>
    <cellStyle name="Input 3 4 2 3 4" xfId="28394" xr:uid="{00000000-0005-0000-0000-0000E56E0000}"/>
    <cellStyle name="Input 3 4 2 3 4 2" xfId="28395" xr:uid="{00000000-0005-0000-0000-0000E66E0000}"/>
    <cellStyle name="Input 3 4 2 3 4 3" xfId="28396" xr:uid="{00000000-0005-0000-0000-0000E76E0000}"/>
    <cellStyle name="Input 3 4 2 3 4 4" xfId="28397" xr:uid="{00000000-0005-0000-0000-0000E86E0000}"/>
    <cellStyle name="Input 3 4 2 3 4 5" xfId="28398" xr:uid="{00000000-0005-0000-0000-0000E96E0000}"/>
    <cellStyle name="Input 3 4 2 3 4 6" xfId="28399" xr:uid="{00000000-0005-0000-0000-0000EA6E0000}"/>
    <cellStyle name="Input 3 4 2 3 5" xfId="28400" xr:uid="{00000000-0005-0000-0000-0000EB6E0000}"/>
    <cellStyle name="Input 3 4 2 3 6" xfId="28401" xr:uid="{00000000-0005-0000-0000-0000EC6E0000}"/>
    <cellStyle name="Input 3 4 2 3 7" xfId="28402" xr:uid="{00000000-0005-0000-0000-0000ED6E0000}"/>
    <cellStyle name="Input 3 4 2 3 8" xfId="28403" xr:uid="{00000000-0005-0000-0000-0000EE6E0000}"/>
    <cellStyle name="Input 3 4 2 4" xfId="28404" xr:uid="{00000000-0005-0000-0000-0000EF6E0000}"/>
    <cellStyle name="Input 3 4 2 4 2" xfId="28405" xr:uid="{00000000-0005-0000-0000-0000F06E0000}"/>
    <cellStyle name="Input 3 4 2 4 2 2" xfId="28406" xr:uid="{00000000-0005-0000-0000-0000F16E0000}"/>
    <cellStyle name="Input 3 4 2 4 2 2 2" xfId="28407" xr:uid="{00000000-0005-0000-0000-0000F26E0000}"/>
    <cellStyle name="Input 3 4 2 4 2 2 3" xfId="28408" xr:uid="{00000000-0005-0000-0000-0000F36E0000}"/>
    <cellStyle name="Input 3 4 2 4 2 2 4" xfId="28409" xr:uid="{00000000-0005-0000-0000-0000F46E0000}"/>
    <cellStyle name="Input 3 4 2 4 2 2 5" xfId="28410" xr:uid="{00000000-0005-0000-0000-0000F56E0000}"/>
    <cellStyle name="Input 3 4 2 4 2 2 6" xfId="28411" xr:uid="{00000000-0005-0000-0000-0000F66E0000}"/>
    <cellStyle name="Input 3 4 2 4 2 3" xfId="28412" xr:uid="{00000000-0005-0000-0000-0000F76E0000}"/>
    <cellStyle name="Input 3 4 2 4 2 4" xfId="28413" xr:uid="{00000000-0005-0000-0000-0000F86E0000}"/>
    <cellStyle name="Input 3 4 2 4 2 5" xfId="28414" xr:uid="{00000000-0005-0000-0000-0000F96E0000}"/>
    <cellStyle name="Input 3 4 2 4 2 6" xfId="28415" xr:uid="{00000000-0005-0000-0000-0000FA6E0000}"/>
    <cellStyle name="Input 3 4 2 4 3" xfId="28416" xr:uid="{00000000-0005-0000-0000-0000FB6E0000}"/>
    <cellStyle name="Input 3 4 2 4 3 2" xfId="28417" xr:uid="{00000000-0005-0000-0000-0000FC6E0000}"/>
    <cellStyle name="Input 3 4 2 4 3 2 2" xfId="28418" xr:uid="{00000000-0005-0000-0000-0000FD6E0000}"/>
    <cellStyle name="Input 3 4 2 4 3 2 3" xfId="28419" xr:uid="{00000000-0005-0000-0000-0000FE6E0000}"/>
    <cellStyle name="Input 3 4 2 4 3 2 4" xfId="28420" xr:uid="{00000000-0005-0000-0000-0000FF6E0000}"/>
    <cellStyle name="Input 3 4 2 4 3 2 5" xfId="28421" xr:uid="{00000000-0005-0000-0000-0000006F0000}"/>
    <cellStyle name="Input 3 4 2 4 3 2 6" xfId="28422" xr:uid="{00000000-0005-0000-0000-0000016F0000}"/>
    <cellStyle name="Input 3 4 2 4 3 3" xfId="28423" xr:uid="{00000000-0005-0000-0000-0000026F0000}"/>
    <cellStyle name="Input 3 4 2 4 3 4" xfId="28424" xr:uid="{00000000-0005-0000-0000-0000036F0000}"/>
    <cellStyle name="Input 3 4 2 4 3 5" xfId="28425" xr:uid="{00000000-0005-0000-0000-0000046F0000}"/>
    <cellStyle name="Input 3 4 2 4 3 6" xfId="28426" xr:uid="{00000000-0005-0000-0000-0000056F0000}"/>
    <cellStyle name="Input 3 4 2 4 4" xfId="28427" xr:uid="{00000000-0005-0000-0000-0000066F0000}"/>
    <cellStyle name="Input 3 4 2 4 4 2" xfId="28428" xr:uid="{00000000-0005-0000-0000-0000076F0000}"/>
    <cellStyle name="Input 3 4 2 4 4 3" xfId="28429" xr:uid="{00000000-0005-0000-0000-0000086F0000}"/>
    <cellStyle name="Input 3 4 2 4 4 4" xfId="28430" xr:uid="{00000000-0005-0000-0000-0000096F0000}"/>
    <cellStyle name="Input 3 4 2 4 4 5" xfId="28431" xr:uid="{00000000-0005-0000-0000-00000A6F0000}"/>
    <cellStyle name="Input 3 4 2 4 4 6" xfId="28432" xr:uid="{00000000-0005-0000-0000-00000B6F0000}"/>
    <cellStyle name="Input 3 4 2 4 5" xfId="28433" xr:uid="{00000000-0005-0000-0000-00000C6F0000}"/>
    <cellStyle name="Input 3 4 2 4 6" xfId="28434" xr:uid="{00000000-0005-0000-0000-00000D6F0000}"/>
    <cellStyle name="Input 3 4 2 4 7" xfId="28435" xr:uid="{00000000-0005-0000-0000-00000E6F0000}"/>
    <cellStyle name="Input 3 4 2 4 8" xfId="28436" xr:uid="{00000000-0005-0000-0000-00000F6F0000}"/>
    <cellStyle name="Input 3 4 2 5" xfId="28437" xr:uid="{00000000-0005-0000-0000-0000106F0000}"/>
    <cellStyle name="Input 3 4 2 5 2" xfId="28438" xr:uid="{00000000-0005-0000-0000-0000116F0000}"/>
    <cellStyle name="Input 3 4 2 5 2 2" xfId="28439" xr:uid="{00000000-0005-0000-0000-0000126F0000}"/>
    <cellStyle name="Input 3 4 2 5 2 2 2" xfId="28440" xr:uid="{00000000-0005-0000-0000-0000136F0000}"/>
    <cellStyle name="Input 3 4 2 5 2 2 3" xfId="28441" xr:uid="{00000000-0005-0000-0000-0000146F0000}"/>
    <cellStyle name="Input 3 4 2 5 2 2 4" xfId="28442" xr:uid="{00000000-0005-0000-0000-0000156F0000}"/>
    <cellStyle name="Input 3 4 2 5 2 2 5" xfId="28443" xr:uid="{00000000-0005-0000-0000-0000166F0000}"/>
    <cellStyle name="Input 3 4 2 5 2 2 6" xfId="28444" xr:uid="{00000000-0005-0000-0000-0000176F0000}"/>
    <cellStyle name="Input 3 4 2 5 2 3" xfId="28445" xr:uid="{00000000-0005-0000-0000-0000186F0000}"/>
    <cellStyle name="Input 3 4 2 5 2 4" xfId="28446" xr:uid="{00000000-0005-0000-0000-0000196F0000}"/>
    <cellStyle name="Input 3 4 2 5 2 5" xfId="28447" xr:uid="{00000000-0005-0000-0000-00001A6F0000}"/>
    <cellStyle name="Input 3 4 2 5 2 6" xfId="28448" xr:uid="{00000000-0005-0000-0000-00001B6F0000}"/>
    <cellStyle name="Input 3 4 2 5 3" xfId="28449" xr:uid="{00000000-0005-0000-0000-00001C6F0000}"/>
    <cellStyle name="Input 3 4 2 5 3 2" xfId="28450" xr:uid="{00000000-0005-0000-0000-00001D6F0000}"/>
    <cellStyle name="Input 3 4 2 5 3 2 2" xfId="28451" xr:uid="{00000000-0005-0000-0000-00001E6F0000}"/>
    <cellStyle name="Input 3 4 2 5 3 2 3" xfId="28452" xr:uid="{00000000-0005-0000-0000-00001F6F0000}"/>
    <cellStyle name="Input 3 4 2 5 3 2 4" xfId="28453" xr:uid="{00000000-0005-0000-0000-0000206F0000}"/>
    <cellStyle name="Input 3 4 2 5 3 2 5" xfId="28454" xr:uid="{00000000-0005-0000-0000-0000216F0000}"/>
    <cellStyle name="Input 3 4 2 5 3 2 6" xfId="28455" xr:uid="{00000000-0005-0000-0000-0000226F0000}"/>
    <cellStyle name="Input 3 4 2 5 3 3" xfId="28456" xr:uid="{00000000-0005-0000-0000-0000236F0000}"/>
    <cellStyle name="Input 3 4 2 5 3 4" xfId="28457" xr:uid="{00000000-0005-0000-0000-0000246F0000}"/>
    <cellStyle name="Input 3 4 2 5 3 5" xfId="28458" xr:uid="{00000000-0005-0000-0000-0000256F0000}"/>
    <cellStyle name="Input 3 4 2 5 3 6" xfId="28459" xr:uid="{00000000-0005-0000-0000-0000266F0000}"/>
    <cellStyle name="Input 3 4 2 5 4" xfId="28460" xr:uid="{00000000-0005-0000-0000-0000276F0000}"/>
    <cellStyle name="Input 3 4 2 5 4 2" xfId="28461" xr:uid="{00000000-0005-0000-0000-0000286F0000}"/>
    <cellStyle name="Input 3 4 2 5 4 3" xfId="28462" xr:uid="{00000000-0005-0000-0000-0000296F0000}"/>
    <cellStyle name="Input 3 4 2 5 4 4" xfId="28463" xr:uid="{00000000-0005-0000-0000-00002A6F0000}"/>
    <cellStyle name="Input 3 4 2 5 4 5" xfId="28464" xr:uid="{00000000-0005-0000-0000-00002B6F0000}"/>
    <cellStyle name="Input 3 4 2 5 4 6" xfId="28465" xr:uid="{00000000-0005-0000-0000-00002C6F0000}"/>
    <cellStyle name="Input 3 4 2 5 5" xfId="28466" xr:uid="{00000000-0005-0000-0000-00002D6F0000}"/>
    <cellStyle name="Input 3 4 2 5 6" xfId="28467" xr:uid="{00000000-0005-0000-0000-00002E6F0000}"/>
    <cellStyle name="Input 3 4 2 5 7" xfId="28468" xr:uid="{00000000-0005-0000-0000-00002F6F0000}"/>
    <cellStyle name="Input 3 4 2 5 8" xfId="28469" xr:uid="{00000000-0005-0000-0000-0000306F0000}"/>
    <cellStyle name="Input 3 4 2 6" xfId="28470" xr:uid="{00000000-0005-0000-0000-0000316F0000}"/>
    <cellStyle name="Input 3 4 2 6 2" xfId="28471" xr:uid="{00000000-0005-0000-0000-0000326F0000}"/>
    <cellStyle name="Input 3 4 2 6 2 2" xfId="28472" xr:uid="{00000000-0005-0000-0000-0000336F0000}"/>
    <cellStyle name="Input 3 4 2 6 2 2 2" xfId="28473" xr:uid="{00000000-0005-0000-0000-0000346F0000}"/>
    <cellStyle name="Input 3 4 2 6 2 2 3" xfId="28474" xr:uid="{00000000-0005-0000-0000-0000356F0000}"/>
    <cellStyle name="Input 3 4 2 6 2 2 4" xfId="28475" xr:uid="{00000000-0005-0000-0000-0000366F0000}"/>
    <cellStyle name="Input 3 4 2 6 2 2 5" xfId="28476" xr:uid="{00000000-0005-0000-0000-0000376F0000}"/>
    <cellStyle name="Input 3 4 2 6 2 2 6" xfId="28477" xr:uid="{00000000-0005-0000-0000-0000386F0000}"/>
    <cellStyle name="Input 3 4 2 6 2 3" xfId="28478" xr:uid="{00000000-0005-0000-0000-0000396F0000}"/>
    <cellStyle name="Input 3 4 2 6 2 4" xfId="28479" xr:uid="{00000000-0005-0000-0000-00003A6F0000}"/>
    <cellStyle name="Input 3 4 2 6 2 5" xfId="28480" xr:uid="{00000000-0005-0000-0000-00003B6F0000}"/>
    <cellStyle name="Input 3 4 2 6 2 6" xfId="28481" xr:uid="{00000000-0005-0000-0000-00003C6F0000}"/>
    <cellStyle name="Input 3 4 2 6 3" xfId="28482" xr:uid="{00000000-0005-0000-0000-00003D6F0000}"/>
    <cellStyle name="Input 3 4 2 6 3 2" xfId="28483" xr:uid="{00000000-0005-0000-0000-00003E6F0000}"/>
    <cellStyle name="Input 3 4 2 6 3 2 2" xfId="28484" xr:uid="{00000000-0005-0000-0000-00003F6F0000}"/>
    <cellStyle name="Input 3 4 2 6 3 2 3" xfId="28485" xr:uid="{00000000-0005-0000-0000-0000406F0000}"/>
    <cellStyle name="Input 3 4 2 6 3 2 4" xfId="28486" xr:uid="{00000000-0005-0000-0000-0000416F0000}"/>
    <cellStyle name="Input 3 4 2 6 3 2 5" xfId="28487" xr:uid="{00000000-0005-0000-0000-0000426F0000}"/>
    <cellStyle name="Input 3 4 2 6 3 2 6" xfId="28488" xr:uid="{00000000-0005-0000-0000-0000436F0000}"/>
    <cellStyle name="Input 3 4 2 6 3 3" xfId="28489" xr:uid="{00000000-0005-0000-0000-0000446F0000}"/>
    <cellStyle name="Input 3 4 2 6 3 4" xfId="28490" xr:uid="{00000000-0005-0000-0000-0000456F0000}"/>
    <cellStyle name="Input 3 4 2 6 3 5" xfId="28491" xr:uid="{00000000-0005-0000-0000-0000466F0000}"/>
    <cellStyle name="Input 3 4 2 6 3 6" xfId="28492" xr:uid="{00000000-0005-0000-0000-0000476F0000}"/>
    <cellStyle name="Input 3 4 2 6 4" xfId="28493" xr:uid="{00000000-0005-0000-0000-0000486F0000}"/>
    <cellStyle name="Input 3 4 2 6 4 2" xfId="28494" xr:uid="{00000000-0005-0000-0000-0000496F0000}"/>
    <cellStyle name="Input 3 4 2 6 4 3" xfId="28495" xr:uid="{00000000-0005-0000-0000-00004A6F0000}"/>
    <cellStyle name="Input 3 4 2 6 4 4" xfId="28496" xr:uid="{00000000-0005-0000-0000-00004B6F0000}"/>
    <cellStyle name="Input 3 4 2 6 4 5" xfId="28497" xr:uid="{00000000-0005-0000-0000-00004C6F0000}"/>
    <cellStyle name="Input 3 4 2 6 4 6" xfId="28498" xr:uid="{00000000-0005-0000-0000-00004D6F0000}"/>
    <cellStyle name="Input 3 4 2 6 5" xfId="28499" xr:uid="{00000000-0005-0000-0000-00004E6F0000}"/>
    <cellStyle name="Input 3 4 2 6 6" xfId="28500" xr:uid="{00000000-0005-0000-0000-00004F6F0000}"/>
    <cellStyle name="Input 3 4 2 6 7" xfId="28501" xr:uid="{00000000-0005-0000-0000-0000506F0000}"/>
    <cellStyle name="Input 3 4 2 6 8" xfId="28502" xr:uid="{00000000-0005-0000-0000-0000516F0000}"/>
    <cellStyle name="Input 3 4 2 7" xfId="28503" xr:uid="{00000000-0005-0000-0000-0000526F0000}"/>
    <cellStyle name="Input 3 4 2 7 2" xfId="28504" xr:uid="{00000000-0005-0000-0000-0000536F0000}"/>
    <cellStyle name="Input 3 4 2 7 2 2" xfId="28505" xr:uid="{00000000-0005-0000-0000-0000546F0000}"/>
    <cellStyle name="Input 3 4 2 7 2 3" xfId="28506" xr:uid="{00000000-0005-0000-0000-0000556F0000}"/>
    <cellStyle name="Input 3 4 2 7 2 4" xfId="28507" xr:uid="{00000000-0005-0000-0000-0000566F0000}"/>
    <cellStyle name="Input 3 4 2 7 2 5" xfId="28508" xr:uid="{00000000-0005-0000-0000-0000576F0000}"/>
    <cellStyle name="Input 3 4 2 7 2 6" xfId="28509" xr:uid="{00000000-0005-0000-0000-0000586F0000}"/>
    <cellStyle name="Input 3 4 2 7 3" xfId="28510" xr:uid="{00000000-0005-0000-0000-0000596F0000}"/>
    <cellStyle name="Input 3 4 2 7 4" xfId="28511" xr:uid="{00000000-0005-0000-0000-00005A6F0000}"/>
    <cellStyle name="Input 3 4 2 7 5" xfId="28512" xr:uid="{00000000-0005-0000-0000-00005B6F0000}"/>
    <cellStyle name="Input 3 4 2 7 6" xfId="28513" xr:uid="{00000000-0005-0000-0000-00005C6F0000}"/>
    <cellStyle name="Input 3 4 2 8" xfId="28514" xr:uid="{00000000-0005-0000-0000-00005D6F0000}"/>
    <cellStyle name="Input 3 4 2 8 2" xfId="28515" xr:uid="{00000000-0005-0000-0000-00005E6F0000}"/>
    <cellStyle name="Input 3 4 2 8 2 2" xfId="28516" xr:uid="{00000000-0005-0000-0000-00005F6F0000}"/>
    <cellStyle name="Input 3 4 2 8 2 3" xfId="28517" xr:uid="{00000000-0005-0000-0000-0000606F0000}"/>
    <cellStyle name="Input 3 4 2 8 2 4" xfId="28518" xr:uid="{00000000-0005-0000-0000-0000616F0000}"/>
    <cellStyle name="Input 3 4 2 8 2 5" xfId="28519" xr:uid="{00000000-0005-0000-0000-0000626F0000}"/>
    <cellStyle name="Input 3 4 2 8 2 6" xfId="28520" xr:uid="{00000000-0005-0000-0000-0000636F0000}"/>
    <cellStyle name="Input 3 4 2 8 3" xfId="28521" xr:uid="{00000000-0005-0000-0000-0000646F0000}"/>
    <cellStyle name="Input 3 4 2 8 4" xfId="28522" xr:uid="{00000000-0005-0000-0000-0000656F0000}"/>
    <cellStyle name="Input 3 4 2 8 5" xfId="28523" xr:uid="{00000000-0005-0000-0000-0000666F0000}"/>
    <cellStyle name="Input 3 4 2 8 6" xfId="28524" xr:uid="{00000000-0005-0000-0000-0000676F0000}"/>
    <cellStyle name="Input 3 4 2 9" xfId="28525" xr:uid="{00000000-0005-0000-0000-0000686F0000}"/>
    <cellStyle name="Input 3 4 2 9 2" xfId="28526" xr:uid="{00000000-0005-0000-0000-0000696F0000}"/>
    <cellStyle name="Input 3 4 2 9 3" xfId="28527" xr:uid="{00000000-0005-0000-0000-00006A6F0000}"/>
    <cellStyle name="Input 3 4 2 9 4" xfId="28528" xr:uid="{00000000-0005-0000-0000-00006B6F0000}"/>
    <cellStyle name="Input 3 4 2 9 5" xfId="28529" xr:uid="{00000000-0005-0000-0000-00006C6F0000}"/>
    <cellStyle name="Input 3 4 2 9 6" xfId="28530" xr:uid="{00000000-0005-0000-0000-00006D6F0000}"/>
    <cellStyle name="Input 3 4 3" xfId="28531" xr:uid="{00000000-0005-0000-0000-00006E6F0000}"/>
    <cellStyle name="Input 3 4 3 2" xfId="28532" xr:uid="{00000000-0005-0000-0000-00006F6F0000}"/>
    <cellStyle name="Input 3 4 3 2 2" xfId="28533" xr:uid="{00000000-0005-0000-0000-0000706F0000}"/>
    <cellStyle name="Input 3 4 3 2 2 2" xfId="28534" xr:uid="{00000000-0005-0000-0000-0000716F0000}"/>
    <cellStyle name="Input 3 4 3 2 2 3" xfId="28535" xr:uid="{00000000-0005-0000-0000-0000726F0000}"/>
    <cellStyle name="Input 3 4 3 2 2 4" xfId="28536" xr:uid="{00000000-0005-0000-0000-0000736F0000}"/>
    <cellStyle name="Input 3 4 3 2 2 5" xfId="28537" xr:uid="{00000000-0005-0000-0000-0000746F0000}"/>
    <cellStyle name="Input 3 4 3 2 2 6" xfId="28538" xr:uid="{00000000-0005-0000-0000-0000756F0000}"/>
    <cellStyle name="Input 3 4 3 2 3" xfId="28539" xr:uid="{00000000-0005-0000-0000-0000766F0000}"/>
    <cellStyle name="Input 3 4 3 2 4" xfId="28540" xr:uid="{00000000-0005-0000-0000-0000776F0000}"/>
    <cellStyle name="Input 3 4 3 2 5" xfId="28541" xr:uid="{00000000-0005-0000-0000-0000786F0000}"/>
    <cellStyle name="Input 3 4 3 2 6" xfId="28542" xr:uid="{00000000-0005-0000-0000-0000796F0000}"/>
    <cellStyle name="Input 3 4 3 3" xfId="28543" xr:uid="{00000000-0005-0000-0000-00007A6F0000}"/>
    <cellStyle name="Input 3 4 3 3 2" xfId="28544" xr:uid="{00000000-0005-0000-0000-00007B6F0000}"/>
    <cellStyle name="Input 3 4 3 3 2 2" xfId="28545" xr:uid="{00000000-0005-0000-0000-00007C6F0000}"/>
    <cellStyle name="Input 3 4 3 3 2 3" xfId="28546" xr:uid="{00000000-0005-0000-0000-00007D6F0000}"/>
    <cellStyle name="Input 3 4 3 3 2 4" xfId="28547" xr:uid="{00000000-0005-0000-0000-00007E6F0000}"/>
    <cellStyle name="Input 3 4 3 3 2 5" xfId="28548" xr:uid="{00000000-0005-0000-0000-00007F6F0000}"/>
    <cellStyle name="Input 3 4 3 3 2 6" xfId="28549" xr:uid="{00000000-0005-0000-0000-0000806F0000}"/>
    <cellStyle name="Input 3 4 3 3 3" xfId="28550" xr:uid="{00000000-0005-0000-0000-0000816F0000}"/>
    <cellStyle name="Input 3 4 3 3 4" xfId="28551" xr:uid="{00000000-0005-0000-0000-0000826F0000}"/>
    <cellStyle name="Input 3 4 3 3 5" xfId="28552" xr:uid="{00000000-0005-0000-0000-0000836F0000}"/>
    <cellStyle name="Input 3 4 3 3 6" xfId="28553" xr:uid="{00000000-0005-0000-0000-0000846F0000}"/>
    <cellStyle name="Input 3 4 3 4" xfId="28554" xr:uid="{00000000-0005-0000-0000-0000856F0000}"/>
    <cellStyle name="Input 3 4 3 4 2" xfId="28555" xr:uid="{00000000-0005-0000-0000-0000866F0000}"/>
    <cellStyle name="Input 3 4 3 4 3" xfId="28556" xr:uid="{00000000-0005-0000-0000-0000876F0000}"/>
    <cellStyle name="Input 3 4 3 4 4" xfId="28557" xr:uid="{00000000-0005-0000-0000-0000886F0000}"/>
    <cellStyle name="Input 3 4 3 4 5" xfId="28558" xr:uid="{00000000-0005-0000-0000-0000896F0000}"/>
    <cellStyle name="Input 3 4 3 4 6" xfId="28559" xr:uid="{00000000-0005-0000-0000-00008A6F0000}"/>
    <cellStyle name="Input 3 4 3 5" xfId="28560" xr:uid="{00000000-0005-0000-0000-00008B6F0000}"/>
    <cellStyle name="Input 3 4 3 6" xfId="28561" xr:uid="{00000000-0005-0000-0000-00008C6F0000}"/>
    <cellStyle name="Input 3 4 3 7" xfId="28562" xr:uid="{00000000-0005-0000-0000-00008D6F0000}"/>
    <cellStyle name="Input 3 4 3 8" xfId="28563" xr:uid="{00000000-0005-0000-0000-00008E6F0000}"/>
    <cellStyle name="Input 3 4 4" xfId="28564" xr:uid="{00000000-0005-0000-0000-00008F6F0000}"/>
    <cellStyle name="Input 3 4 4 2" xfId="28565" xr:uid="{00000000-0005-0000-0000-0000906F0000}"/>
    <cellStyle name="Input 3 4 4 2 2" xfId="28566" xr:uid="{00000000-0005-0000-0000-0000916F0000}"/>
    <cellStyle name="Input 3 4 4 2 2 2" xfId="28567" xr:uid="{00000000-0005-0000-0000-0000926F0000}"/>
    <cellStyle name="Input 3 4 4 2 2 3" xfId="28568" xr:uid="{00000000-0005-0000-0000-0000936F0000}"/>
    <cellStyle name="Input 3 4 4 2 2 4" xfId="28569" xr:uid="{00000000-0005-0000-0000-0000946F0000}"/>
    <cellStyle name="Input 3 4 4 2 2 5" xfId="28570" xr:uid="{00000000-0005-0000-0000-0000956F0000}"/>
    <cellStyle name="Input 3 4 4 2 2 6" xfId="28571" xr:uid="{00000000-0005-0000-0000-0000966F0000}"/>
    <cellStyle name="Input 3 4 4 2 3" xfId="28572" xr:uid="{00000000-0005-0000-0000-0000976F0000}"/>
    <cellStyle name="Input 3 4 4 2 4" xfId="28573" xr:uid="{00000000-0005-0000-0000-0000986F0000}"/>
    <cellStyle name="Input 3 4 4 2 5" xfId="28574" xr:uid="{00000000-0005-0000-0000-0000996F0000}"/>
    <cellStyle name="Input 3 4 4 2 6" xfId="28575" xr:uid="{00000000-0005-0000-0000-00009A6F0000}"/>
    <cellStyle name="Input 3 4 4 3" xfId="28576" xr:uid="{00000000-0005-0000-0000-00009B6F0000}"/>
    <cellStyle name="Input 3 4 4 3 2" xfId="28577" xr:uid="{00000000-0005-0000-0000-00009C6F0000}"/>
    <cellStyle name="Input 3 4 4 3 2 2" xfId="28578" xr:uid="{00000000-0005-0000-0000-00009D6F0000}"/>
    <cellStyle name="Input 3 4 4 3 2 3" xfId="28579" xr:uid="{00000000-0005-0000-0000-00009E6F0000}"/>
    <cellStyle name="Input 3 4 4 3 2 4" xfId="28580" xr:uid="{00000000-0005-0000-0000-00009F6F0000}"/>
    <cellStyle name="Input 3 4 4 3 2 5" xfId="28581" xr:uid="{00000000-0005-0000-0000-0000A06F0000}"/>
    <cellStyle name="Input 3 4 4 3 2 6" xfId="28582" xr:uid="{00000000-0005-0000-0000-0000A16F0000}"/>
    <cellStyle name="Input 3 4 4 3 3" xfId="28583" xr:uid="{00000000-0005-0000-0000-0000A26F0000}"/>
    <cellStyle name="Input 3 4 4 3 4" xfId="28584" xr:uid="{00000000-0005-0000-0000-0000A36F0000}"/>
    <cellStyle name="Input 3 4 4 3 5" xfId="28585" xr:uid="{00000000-0005-0000-0000-0000A46F0000}"/>
    <cellStyle name="Input 3 4 4 3 6" xfId="28586" xr:uid="{00000000-0005-0000-0000-0000A56F0000}"/>
    <cellStyle name="Input 3 4 4 4" xfId="28587" xr:uid="{00000000-0005-0000-0000-0000A66F0000}"/>
    <cellStyle name="Input 3 4 4 4 2" xfId="28588" xr:uid="{00000000-0005-0000-0000-0000A76F0000}"/>
    <cellStyle name="Input 3 4 4 4 3" xfId="28589" xr:uid="{00000000-0005-0000-0000-0000A86F0000}"/>
    <cellStyle name="Input 3 4 4 4 4" xfId="28590" xr:uid="{00000000-0005-0000-0000-0000A96F0000}"/>
    <cellStyle name="Input 3 4 4 4 5" xfId="28591" xr:uid="{00000000-0005-0000-0000-0000AA6F0000}"/>
    <cellStyle name="Input 3 4 4 4 6" xfId="28592" xr:uid="{00000000-0005-0000-0000-0000AB6F0000}"/>
    <cellStyle name="Input 3 4 4 5" xfId="28593" xr:uid="{00000000-0005-0000-0000-0000AC6F0000}"/>
    <cellStyle name="Input 3 4 4 6" xfId="28594" xr:uid="{00000000-0005-0000-0000-0000AD6F0000}"/>
    <cellStyle name="Input 3 4 4 7" xfId="28595" xr:uid="{00000000-0005-0000-0000-0000AE6F0000}"/>
    <cellStyle name="Input 3 4 4 8" xfId="28596" xr:uid="{00000000-0005-0000-0000-0000AF6F0000}"/>
    <cellStyle name="Input 3 4 5" xfId="28597" xr:uid="{00000000-0005-0000-0000-0000B06F0000}"/>
    <cellStyle name="Input 3 4 5 2" xfId="28598" xr:uid="{00000000-0005-0000-0000-0000B16F0000}"/>
    <cellStyle name="Input 3 4 5 2 2" xfId="28599" xr:uid="{00000000-0005-0000-0000-0000B26F0000}"/>
    <cellStyle name="Input 3 4 5 2 2 2" xfId="28600" xr:uid="{00000000-0005-0000-0000-0000B36F0000}"/>
    <cellStyle name="Input 3 4 5 2 2 3" xfId="28601" xr:uid="{00000000-0005-0000-0000-0000B46F0000}"/>
    <cellStyle name="Input 3 4 5 2 2 4" xfId="28602" xr:uid="{00000000-0005-0000-0000-0000B56F0000}"/>
    <cellStyle name="Input 3 4 5 2 2 5" xfId="28603" xr:uid="{00000000-0005-0000-0000-0000B66F0000}"/>
    <cellStyle name="Input 3 4 5 2 2 6" xfId="28604" xr:uid="{00000000-0005-0000-0000-0000B76F0000}"/>
    <cellStyle name="Input 3 4 5 2 3" xfId="28605" xr:uid="{00000000-0005-0000-0000-0000B86F0000}"/>
    <cellStyle name="Input 3 4 5 2 4" xfId="28606" xr:uid="{00000000-0005-0000-0000-0000B96F0000}"/>
    <cellStyle name="Input 3 4 5 2 5" xfId="28607" xr:uid="{00000000-0005-0000-0000-0000BA6F0000}"/>
    <cellStyle name="Input 3 4 5 2 6" xfId="28608" xr:uid="{00000000-0005-0000-0000-0000BB6F0000}"/>
    <cellStyle name="Input 3 4 5 3" xfId="28609" xr:uid="{00000000-0005-0000-0000-0000BC6F0000}"/>
    <cellStyle name="Input 3 4 5 3 2" xfId="28610" xr:uid="{00000000-0005-0000-0000-0000BD6F0000}"/>
    <cellStyle name="Input 3 4 5 3 2 2" xfId="28611" xr:uid="{00000000-0005-0000-0000-0000BE6F0000}"/>
    <cellStyle name="Input 3 4 5 3 2 3" xfId="28612" xr:uid="{00000000-0005-0000-0000-0000BF6F0000}"/>
    <cellStyle name="Input 3 4 5 3 2 4" xfId="28613" xr:uid="{00000000-0005-0000-0000-0000C06F0000}"/>
    <cellStyle name="Input 3 4 5 3 2 5" xfId="28614" xr:uid="{00000000-0005-0000-0000-0000C16F0000}"/>
    <cellStyle name="Input 3 4 5 3 2 6" xfId="28615" xr:uid="{00000000-0005-0000-0000-0000C26F0000}"/>
    <cellStyle name="Input 3 4 5 3 3" xfId="28616" xr:uid="{00000000-0005-0000-0000-0000C36F0000}"/>
    <cellStyle name="Input 3 4 5 3 4" xfId="28617" xr:uid="{00000000-0005-0000-0000-0000C46F0000}"/>
    <cellStyle name="Input 3 4 5 3 5" xfId="28618" xr:uid="{00000000-0005-0000-0000-0000C56F0000}"/>
    <cellStyle name="Input 3 4 5 3 6" xfId="28619" xr:uid="{00000000-0005-0000-0000-0000C66F0000}"/>
    <cellStyle name="Input 3 4 5 4" xfId="28620" xr:uid="{00000000-0005-0000-0000-0000C76F0000}"/>
    <cellStyle name="Input 3 4 5 4 2" xfId="28621" xr:uid="{00000000-0005-0000-0000-0000C86F0000}"/>
    <cellStyle name="Input 3 4 5 4 3" xfId="28622" xr:uid="{00000000-0005-0000-0000-0000C96F0000}"/>
    <cellStyle name="Input 3 4 5 4 4" xfId="28623" xr:uid="{00000000-0005-0000-0000-0000CA6F0000}"/>
    <cellStyle name="Input 3 4 5 4 5" xfId="28624" xr:uid="{00000000-0005-0000-0000-0000CB6F0000}"/>
    <cellStyle name="Input 3 4 5 4 6" xfId="28625" xr:uid="{00000000-0005-0000-0000-0000CC6F0000}"/>
    <cellStyle name="Input 3 4 5 5" xfId="28626" xr:uid="{00000000-0005-0000-0000-0000CD6F0000}"/>
    <cellStyle name="Input 3 4 5 6" xfId="28627" xr:uid="{00000000-0005-0000-0000-0000CE6F0000}"/>
    <cellStyle name="Input 3 4 5 7" xfId="28628" xr:uid="{00000000-0005-0000-0000-0000CF6F0000}"/>
    <cellStyle name="Input 3 4 5 8" xfId="28629" xr:uid="{00000000-0005-0000-0000-0000D06F0000}"/>
    <cellStyle name="Input 3 4 6" xfId="28630" xr:uid="{00000000-0005-0000-0000-0000D16F0000}"/>
    <cellStyle name="Input 3 4 6 2" xfId="28631" xr:uid="{00000000-0005-0000-0000-0000D26F0000}"/>
    <cellStyle name="Input 3 4 6 2 2" xfId="28632" xr:uid="{00000000-0005-0000-0000-0000D36F0000}"/>
    <cellStyle name="Input 3 4 6 2 2 2" xfId="28633" xr:uid="{00000000-0005-0000-0000-0000D46F0000}"/>
    <cellStyle name="Input 3 4 6 2 2 3" xfId="28634" xr:uid="{00000000-0005-0000-0000-0000D56F0000}"/>
    <cellStyle name="Input 3 4 6 2 2 4" xfId="28635" xr:uid="{00000000-0005-0000-0000-0000D66F0000}"/>
    <cellStyle name="Input 3 4 6 2 2 5" xfId="28636" xr:uid="{00000000-0005-0000-0000-0000D76F0000}"/>
    <cellStyle name="Input 3 4 6 2 2 6" xfId="28637" xr:uid="{00000000-0005-0000-0000-0000D86F0000}"/>
    <cellStyle name="Input 3 4 6 2 3" xfId="28638" xr:uid="{00000000-0005-0000-0000-0000D96F0000}"/>
    <cellStyle name="Input 3 4 6 2 4" xfId="28639" xr:uid="{00000000-0005-0000-0000-0000DA6F0000}"/>
    <cellStyle name="Input 3 4 6 2 5" xfId="28640" xr:uid="{00000000-0005-0000-0000-0000DB6F0000}"/>
    <cellStyle name="Input 3 4 6 2 6" xfId="28641" xr:uid="{00000000-0005-0000-0000-0000DC6F0000}"/>
    <cellStyle name="Input 3 4 6 3" xfId="28642" xr:uid="{00000000-0005-0000-0000-0000DD6F0000}"/>
    <cellStyle name="Input 3 4 6 3 2" xfId="28643" xr:uid="{00000000-0005-0000-0000-0000DE6F0000}"/>
    <cellStyle name="Input 3 4 6 3 2 2" xfId="28644" xr:uid="{00000000-0005-0000-0000-0000DF6F0000}"/>
    <cellStyle name="Input 3 4 6 3 2 3" xfId="28645" xr:uid="{00000000-0005-0000-0000-0000E06F0000}"/>
    <cellStyle name="Input 3 4 6 3 2 4" xfId="28646" xr:uid="{00000000-0005-0000-0000-0000E16F0000}"/>
    <cellStyle name="Input 3 4 6 3 2 5" xfId="28647" xr:uid="{00000000-0005-0000-0000-0000E26F0000}"/>
    <cellStyle name="Input 3 4 6 3 2 6" xfId="28648" xr:uid="{00000000-0005-0000-0000-0000E36F0000}"/>
    <cellStyle name="Input 3 4 6 3 3" xfId="28649" xr:uid="{00000000-0005-0000-0000-0000E46F0000}"/>
    <cellStyle name="Input 3 4 6 3 4" xfId="28650" xr:uid="{00000000-0005-0000-0000-0000E56F0000}"/>
    <cellStyle name="Input 3 4 6 3 5" xfId="28651" xr:uid="{00000000-0005-0000-0000-0000E66F0000}"/>
    <cellStyle name="Input 3 4 6 3 6" xfId="28652" xr:uid="{00000000-0005-0000-0000-0000E76F0000}"/>
    <cellStyle name="Input 3 4 6 4" xfId="28653" xr:uid="{00000000-0005-0000-0000-0000E86F0000}"/>
    <cellStyle name="Input 3 4 6 4 2" xfId="28654" xr:uid="{00000000-0005-0000-0000-0000E96F0000}"/>
    <cellStyle name="Input 3 4 6 4 3" xfId="28655" xr:uid="{00000000-0005-0000-0000-0000EA6F0000}"/>
    <cellStyle name="Input 3 4 6 4 4" xfId="28656" xr:uid="{00000000-0005-0000-0000-0000EB6F0000}"/>
    <cellStyle name="Input 3 4 6 4 5" xfId="28657" xr:uid="{00000000-0005-0000-0000-0000EC6F0000}"/>
    <cellStyle name="Input 3 4 6 4 6" xfId="28658" xr:uid="{00000000-0005-0000-0000-0000ED6F0000}"/>
    <cellStyle name="Input 3 4 6 5" xfId="28659" xr:uid="{00000000-0005-0000-0000-0000EE6F0000}"/>
    <cellStyle name="Input 3 4 6 6" xfId="28660" xr:uid="{00000000-0005-0000-0000-0000EF6F0000}"/>
    <cellStyle name="Input 3 4 6 7" xfId="28661" xr:uid="{00000000-0005-0000-0000-0000F06F0000}"/>
    <cellStyle name="Input 3 4 6 8" xfId="28662" xr:uid="{00000000-0005-0000-0000-0000F16F0000}"/>
    <cellStyle name="Input 3 4 7" xfId="28663" xr:uid="{00000000-0005-0000-0000-0000F26F0000}"/>
    <cellStyle name="Input 3 4 7 2" xfId="28664" xr:uid="{00000000-0005-0000-0000-0000F36F0000}"/>
    <cellStyle name="Input 3 4 7 2 2" xfId="28665" xr:uid="{00000000-0005-0000-0000-0000F46F0000}"/>
    <cellStyle name="Input 3 4 7 2 2 2" xfId="28666" xr:uid="{00000000-0005-0000-0000-0000F56F0000}"/>
    <cellStyle name="Input 3 4 7 2 2 3" xfId="28667" xr:uid="{00000000-0005-0000-0000-0000F66F0000}"/>
    <cellStyle name="Input 3 4 7 2 2 4" xfId="28668" xr:uid="{00000000-0005-0000-0000-0000F76F0000}"/>
    <cellStyle name="Input 3 4 7 2 2 5" xfId="28669" xr:uid="{00000000-0005-0000-0000-0000F86F0000}"/>
    <cellStyle name="Input 3 4 7 2 2 6" xfId="28670" xr:uid="{00000000-0005-0000-0000-0000F96F0000}"/>
    <cellStyle name="Input 3 4 7 2 3" xfId="28671" xr:uid="{00000000-0005-0000-0000-0000FA6F0000}"/>
    <cellStyle name="Input 3 4 7 2 4" xfId="28672" xr:uid="{00000000-0005-0000-0000-0000FB6F0000}"/>
    <cellStyle name="Input 3 4 7 2 5" xfId="28673" xr:uid="{00000000-0005-0000-0000-0000FC6F0000}"/>
    <cellStyle name="Input 3 4 7 2 6" xfId="28674" xr:uid="{00000000-0005-0000-0000-0000FD6F0000}"/>
    <cellStyle name="Input 3 4 7 3" xfId="28675" xr:uid="{00000000-0005-0000-0000-0000FE6F0000}"/>
    <cellStyle name="Input 3 4 7 3 2" xfId="28676" xr:uid="{00000000-0005-0000-0000-0000FF6F0000}"/>
    <cellStyle name="Input 3 4 7 3 2 2" xfId="28677" xr:uid="{00000000-0005-0000-0000-000000700000}"/>
    <cellStyle name="Input 3 4 7 3 2 3" xfId="28678" xr:uid="{00000000-0005-0000-0000-000001700000}"/>
    <cellStyle name="Input 3 4 7 3 2 4" xfId="28679" xr:uid="{00000000-0005-0000-0000-000002700000}"/>
    <cellStyle name="Input 3 4 7 3 2 5" xfId="28680" xr:uid="{00000000-0005-0000-0000-000003700000}"/>
    <cellStyle name="Input 3 4 7 3 2 6" xfId="28681" xr:uid="{00000000-0005-0000-0000-000004700000}"/>
    <cellStyle name="Input 3 4 7 3 3" xfId="28682" xr:uid="{00000000-0005-0000-0000-000005700000}"/>
    <cellStyle name="Input 3 4 7 3 4" xfId="28683" xr:uid="{00000000-0005-0000-0000-000006700000}"/>
    <cellStyle name="Input 3 4 7 3 5" xfId="28684" xr:uid="{00000000-0005-0000-0000-000007700000}"/>
    <cellStyle name="Input 3 4 7 3 6" xfId="28685" xr:uid="{00000000-0005-0000-0000-000008700000}"/>
    <cellStyle name="Input 3 4 7 4" xfId="28686" xr:uid="{00000000-0005-0000-0000-000009700000}"/>
    <cellStyle name="Input 3 4 7 4 2" xfId="28687" xr:uid="{00000000-0005-0000-0000-00000A700000}"/>
    <cellStyle name="Input 3 4 7 4 3" xfId="28688" xr:uid="{00000000-0005-0000-0000-00000B700000}"/>
    <cellStyle name="Input 3 4 7 4 4" xfId="28689" xr:uid="{00000000-0005-0000-0000-00000C700000}"/>
    <cellStyle name="Input 3 4 7 4 5" xfId="28690" xr:uid="{00000000-0005-0000-0000-00000D700000}"/>
    <cellStyle name="Input 3 4 7 4 6" xfId="28691" xr:uid="{00000000-0005-0000-0000-00000E700000}"/>
    <cellStyle name="Input 3 4 7 5" xfId="28692" xr:uid="{00000000-0005-0000-0000-00000F700000}"/>
    <cellStyle name="Input 3 4 7 6" xfId="28693" xr:uid="{00000000-0005-0000-0000-000010700000}"/>
    <cellStyle name="Input 3 4 7 7" xfId="28694" xr:uid="{00000000-0005-0000-0000-000011700000}"/>
    <cellStyle name="Input 3 4 7 8" xfId="28695" xr:uid="{00000000-0005-0000-0000-000012700000}"/>
    <cellStyle name="Input 3 4 8" xfId="28696" xr:uid="{00000000-0005-0000-0000-000013700000}"/>
    <cellStyle name="Input 3 4 8 2" xfId="28697" xr:uid="{00000000-0005-0000-0000-000014700000}"/>
    <cellStyle name="Input 3 4 8 2 2" xfId="28698" xr:uid="{00000000-0005-0000-0000-000015700000}"/>
    <cellStyle name="Input 3 4 8 2 3" xfId="28699" xr:uid="{00000000-0005-0000-0000-000016700000}"/>
    <cellStyle name="Input 3 4 8 2 4" xfId="28700" xr:uid="{00000000-0005-0000-0000-000017700000}"/>
    <cellStyle name="Input 3 4 8 2 5" xfId="28701" xr:uid="{00000000-0005-0000-0000-000018700000}"/>
    <cellStyle name="Input 3 4 8 2 6" xfId="28702" xr:uid="{00000000-0005-0000-0000-000019700000}"/>
    <cellStyle name="Input 3 4 8 3" xfId="28703" xr:uid="{00000000-0005-0000-0000-00001A700000}"/>
    <cellStyle name="Input 3 4 8 4" xfId="28704" xr:uid="{00000000-0005-0000-0000-00001B700000}"/>
    <cellStyle name="Input 3 4 8 5" xfId="28705" xr:uid="{00000000-0005-0000-0000-00001C700000}"/>
    <cellStyle name="Input 3 4 8 6" xfId="28706" xr:uid="{00000000-0005-0000-0000-00001D700000}"/>
    <cellStyle name="Input 3 4 9" xfId="28707" xr:uid="{00000000-0005-0000-0000-00001E700000}"/>
    <cellStyle name="Input 3 4 9 2" xfId="28708" xr:uid="{00000000-0005-0000-0000-00001F700000}"/>
    <cellStyle name="Input 3 4 9 2 2" xfId="28709" xr:uid="{00000000-0005-0000-0000-000020700000}"/>
    <cellStyle name="Input 3 4 9 2 3" xfId="28710" xr:uid="{00000000-0005-0000-0000-000021700000}"/>
    <cellStyle name="Input 3 4 9 2 4" xfId="28711" xr:uid="{00000000-0005-0000-0000-000022700000}"/>
    <cellStyle name="Input 3 4 9 2 5" xfId="28712" xr:uid="{00000000-0005-0000-0000-000023700000}"/>
    <cellStyle name="Input 3 4 9 2 6" xfId="28713" xr:uid="{00000000-0005-0000-0000-000024700000}"/>
    <cellStyle name="Input 3 4 9 3" xfId="28714" xr:uid="{00000000-0005-0000-0000-000025700000}"/>
    <cellStyle name="Input 3 4 9 4" xfId="28715" xr:uid="{00000000-0005-0000-0000-000026700000}"/>
    <cellStyle name="Input 3 4 9 5" xfId="28716" xr:uid="{00000000-0005-0000-0000-000027700000}"/>
    <cellStyle name="Input 3 4 9 6" xfId="28717" xr:uid="{00000000-0005-0000-0000-000028700000}"/>
    <cellStyle name="Input 3 5" xfId="28718" xr:uid="{00000000-0005-0000-0000-000029700000}"/>
    <cellStyle name="Input 3 5 10" xfId="28719" xr:uid="{00000000-0005-0000-0000-00002A700000}"/>
    <cellStyle name="Input 3 5 11" xfId="28720" xr:uid="{00000000-0005-0000-0000-00002B700000}"/>
    <cellStyle name="Input 3 5 12" xfId="28721" xr:uid="{00000000-0005-0000-0000-00002C700000}"/>
    <cellStyle name="Input 3 5 13" xfId="28722" xr:uid="{00000000-0005-0000-0000-00002D700000}"/>
    <cellStyle name="Input 3 5 2" xfId="28723" xr:uid="{00000000-0005-0000-0000-00002E700000}"/>
    <cellStyle name="Input 3 5 2 2" xfId="28724" xr:uid="{00000000-0005-0000-0000-00002F700000}"/>
    <cellStyle name="Input 3 5 2 2 2" xfId="28725" xr:uid="{00000000-0005-0000-0000-000030700000}"/>
    <cellStyle name="Input 3 5 2 2 2 2" xfId="28726" xr:uid="{00000000-0005-0000-0000-000031700000}"/>
    <cellStyle name="Input 3 5 2 2 2 3" xfId="28727" xr:uid="{00000000-0005-0000-0000-000032700000}"/>
    <cellStyle name="Input 3 5 2 2 2 4" xfId="28728" xr:uid="{00000000-0005-0000-0000-000033700000}"/>
    <cellStyle name="Input 3 5 2 2 2 5" xfId="28729" xr:uid="{00000000-0005-0000-0000-000034700000}"/>
    <cellStyle name="Input 3 5 2 2 2 6" xfId="28730" xr:uid="{00000000-0005-0000-0000-000035700000}"/>
    <cellStyle name="Input 3 5 2 2 3" xfId="28731" xr:uid="{00000000-0005-0000-0000-000036700000}"/>
    <cellStyle name="Input 3 5 2 2 4" xfId="28732" xr:uid="{00000000-0005-0000-0000-000037700000}"/>
    <cellStyle name="Input 3 5 2 2 5" xfId="28733" xr:uid="{00000000-0005-0000-0000-000038700000}"/>
    <cellStyle name="Input 3 5 2 2 6" xfId="28734" xr:uid="{00000000-0005-0000-0000-000039700000}"/>
    <cellStyle name="Input 3 5 2 3" xfId="28735" xr:uid="{00000000-0005-0000-0000-00003A700000}"/>
    <cellStyle name="Input 3 5 2 3 2" xfId="28736" xr:uid="{00000000-0005-0000-0000-00003B700000}"/>
    <cellStyle name="Input 3 5 2 3 2 2" xfId="28737" xr:uid="{00000000-0005-0000-0000-00003C700000}"/>
    <cellStyle name="Input 3 5 2 3 2 3" xfId="28738" xr:uid="{00000000-0005-0000-0000-00003D700000}"/>
    <cellStyle name="Input 3 5 2 3 2 4" xfId="28739" xr:uid="{00000000-0005-0000-0000-00003E700000}"/>
    <cellStyle name="Input 3 5 2 3 2 5" xfId="28740" xr:uid="{00000000-0005-0000-0000-00003F700000}"/>
    <cellStyle name="Input 3 5 2 3 2 6" xfId="28741" xr:uid="{00000000-0005-0000-0000-000040700000}"/>
    <cellStyle name="Input 3 5 2 3 3" xfId="28742" xr:uid="{00000000-0005-0000-0000-000041700000}"/>
    <cellStyle name="Input 3 5 2 3 4" xfId="28743" xr:uid="{00000000-0005-0000-0000-000042700000}"/>
    <cellStyle name="Input 3 5 2 3 5" xfId="28744" xr:uid="{00000000-0005-0000-0000-000043700000}"/>
    <cellStyle name="Input 3 5 2 3 6" xfId="28745" xr:uid="{00000000-0005-0000-0000-000044700000}"/>
    <cellStyle name="Input 3 5 2 4" xfId="28746" xr:uid="{00000000-0005-0000-0000-000045700000}"/>
    <cellStyle name="Input 3 5 2 4 2" xfId="28747" xr:uid="{00000000-0005-0000-0000-000046700000}"/>
    <cellStyle name="Input 3 5 2 4 3" xfId="28748" xr:uid="{00000000-0005-0000-0000-000047700000}"/>
    <cellStyle name="Input 3 5 2 4 4" xfId="28749" xr:uid="{00000000-0005-0000-0000-000048700000}"/>
    <cellStyle name="Input 3 5 2 4 5" xfId="28750" xr:uid="{00000000-0005-0000-0000-000049700000}"/>
    <cellStyle name="Input 3 5 2 4 6" xfId="28751" xr:uid="{00000000-0005-0000-0000-00004A700000}"/>
    <cellStyle name="Input 3 5 2 5" xfId="28752" xr:uid="{00000000-0005-0000-0000-00004B700000}"/>
    <cellStyle name="Input 3 5 2 6" xfId="28753" xr:uid="{00000000-0005-0000-0000-00004C700000}"/>
    <cellStyle name="Input 3 5 2 7" xfId="28754" xr:uid="{00000000-0005-0000-0000-00004D700000}"/>
    <cellStyle name="Input 3 5 2 8" xfId="28755" xr:uid="{00000000-0005-0000-0000-00004E700000}"/>
    <cellStyle name="Input 3 5 3" xfId="28756" xr:uid="{00000000-0005-0000-0000-00004F700000}"/>
    <cellStyle name="Input 3 5 3 2" xfId="28757" xr:uid="{00000000-0005-0000-0000-000050700000}"/>
    <cellStyle name="Input 3 5 3 2 2" xfId="28758" xr:uid="{00000000-0005-0000-0000-000051700000}"/>
    <cellStyle name="Input 3 5 3 2 2 2" xfId="28759" xr:uid="{00000000-0005-0000-0000-000052700000}"/>
    <cellStyle name="Input 3 5 3 2 2 3" xfId="28760" xr:uid="{00000000-0005-0000-0000-000053700000}"/>
    <cellStyle name="Input 3 5 3 2 2 4" xfId="28761" xr:uid="{00000000-0005-0000-0000-000054700000}"/>
    <cellStyle name="Input 3 5 3 2 2 5" xfId="28762" xr:uid="{00000000-0005-0000-0000-000055700000}"/>
    <cellStyle name="Input 3 5 3 2 2 6" xfId="28763" xr:uid="{00000000-0005-0000-0000-000056700000}"/>
    <cellStyle name="Input 3 5 3 2 3" xfId="28764" xr:uid="{00000000-0005-0000-0000-000057700000}"/>
    <cellStyle name="Input 3 5 3 2 4" xfId="28765" xr:uid="{00000000-0005-0000-0000-000058700000}"/>
    <cellStyle name="Input 3 5 3 2 5" xfId="28766" xr:uid="{00000000-0005-0000-0000-000059700000}"/>
    <cellStyle name="Input 3 5 3 2 6" xfId="28767" xr:uid="{00000000-0005-0000-0000-00005A700000}"/>
    <cellStyle name="Input 3 5 3 3" xfId="28768" xr:uid="{00000000-0005-0000-0000-00005B700000}"/>
    <cellStyle name="Input 3 5 3 3 2" xfId="28769" xr:uid="{00000000-0005-0000-0000-00005C700000}"/>
    <cellStyle name="Input 3 5 3 3 2 2" xfId="28770" xr:uid="{00000000-0005-0000-0000-00005D700000}"/>
    <cellStyle name="Input 3 5 3 3 2 3" xfId="28771" xr:uid="{00000000-0005-0000-0000-00005E700000}"/>
    <cellStyle name="Input 3 5 3 3 2 4" xfId="28772" xr:uid="{00000000-0005-0000-0000-00005F700000}"/>
    <cellStyle name="Input 3 5 3 3 2 5" xfId="28773" xr:uid="{00000000-0005-0000-0000-000060700000}"/>
    <cellStyle name="Input 3 5 3 3 2 6" xfId="28774" xr:uid="{00000000-0005-0000-0000-000061700000}"/>
    <cellStyle name="Input 3 5 3 3 3" xfId="28775" xr:uid="{00000000-0005-0000-0000-000062700000}"/>
    <cellStyle name="Input 3 5 3 3 4" xfId="28776" xr:uid="{00000000-0005-0000-0000-000063700000}"/>
    <cellStyle name="Input 3 5 3 3 5" xfId="28777" xr:uid="{00000000-0005-0000-0000-000064700000}"/>
    <cellStyle name="Input 3 5 3 3 6" xfId="28778" xr:uid="{00000000-0005-0000-0000-000065700000}"/>
    <cellStyle name="Input 3 5 3 4" xfId="28779" xr:uid="{00000000-0005-0000-0000-000066700000}"/>
    <cellStyle name="Input 3 5 3 4 2" xfId="28780" xr:uid="{00000000-0005-0000-0000-000067700000}"/>
    <cellStyle name="Input 3 5 3 4 3" xfId="28781" xr:uid="{00000000-0005-0000-0000-000068700000}"/>
    <cellStyle name="Input 3 5 3 4 4" xfId="28782" xr:uid="{00000000-0005-0000-0000-000069700000}"/>
    <cellStyle name="Input 3 5 3 4 5" xfId="28783" xr:uid="{00000000-0005-0000-0000-00006A700000}"/>
    <cellStyle name="Input 3 5 3 4 6" xfId="28784" xr:uid="{00000000-0005-0000-0000-00006B700000}"/>
    <cellStyle name="Input 3 5 3 5" xfId="28785" xr:uid="{00000000-0005-0000-0000-00006C700000}"/>
    <cellStyle name="Input 3 5 3 6" xfId="28786" xr:uid="{00000000-0005-0000-0000-00006D700000}"/>
    <cellStyle name="Input 3 5 3 7" xfId="28787" xr:uid="{00000000-0005-0000-0000-00006E700000}"/>
    <cellStyle name="Input 3 5 3 8" xfId="28788" xr:uid="{00000000-0005-0000-0000-00006F700000}"/>
    <cellStyle name="Input 3 5 4" xfId="28789" xr:uid="{00000000-0005-0000-0000-000070700000}"/>
    <cellStyle name="Input 3 5 4 2" xfId="28790" xr:uid="{00000000-0005-0000-0000-000071700000}"/>
    <cellStyle name="Input 3 5 4 2 2" xfId="28791" xr:uid="{00000000-0005-0000-0000-000072700000}"/>
    <cellStyle name="Input 3 5 4 2 2 2" xfId="28792" xr:uid="{00000000-0005-0000-0000-000073700000}"/>
    <cellStyle name="Input 3 5 4 2 2 3" xfId="28793" xr:uid="{00000000-0005-0000-0000-000074700000}"/>
    <cellStyle name="Input 3 5 4 2 2 4" xfId="28794" xr:uid="{00000000-0005-0000-0000-000075700000}"/>
    <cellStyle name="Input 3 5 4 2 2 5" xfId="28795" xr:uid="{00000000-0005-0000-0000-000076700000}"/>
    <cellStyle name="Input 3 5 4 2 2 6" xfId="28796" xr:uid="{00000000-0005-0000-0000-000077700000}"/>
    <cellStyle name="Input 3 5 4 2 3" xfId="28797" xr:uid="{00000000-0005-0000-0000-000078700000}"/>
    <cellStyle name="Input 3 5 4 2 4" xfId="28798" xr:uid="{00000000-0005-0000-0000-000079700000}"/>
    <cellStyle name="Input 3 5 4 2 5" xfId="28799" xr:uid="{00000000-0005-0000-0000-00007A700000}"/>
    <cellStyle name="Input 3 5 4 2 6" xfId="28800" xr:uid="{00000000-0005-0000-0000-00007B700000}"/>
    <cellStyle name="Input 3 5 4 3" xfId="28801" xr:uid="{00000000-0005-0000-0000-00007C700000}"/>
    <cellStyle name="Input 3 5 4 3 2" xfId="28802" xr:uid="{00000000-0005-0000-0000-00007D700000}"/>
    <cellStyle name="Input 3 5 4 3 2 2" xfId="28803" xr:uid="{00000000-0005-0000-0000-00007E700000}"/>
    <cellStyle name="Input 3 5 4 3 2 3" xfId="28804" xr:uid="{00000000-0005-0000-0000-00007F700000}"/>
    <cellStyle name="Input 3 5 4 3 2 4" xfId="28805" xr:uid="{00000000-0005-0000-0000-000080700000}"/>
    <cellStyle name="Input 3 5 4 3 2 5" xfId="28806" xr:uid="{00000000-0005-0000-0000-000081700000}"/>
    <cellStyle name="Input 3 5 4 3 2 6" xfId="28807" xr:uid="{00000000-0005-0000-0000-000082700000}"/>
    <cellStyle name="Input 3 5 4 3 3" xfId="28808" xr:uid="{00000000-0005-0000-0000-000083700000}"/>
    <cellStyle name="Input 3 5 4 3 4" xfId="28809" xr:uid="{00000000-0005-0000-0000-000084700000}"/>
    <cellStyle name="Input 3 5 4 3 5" xfId="28810" xr:uid="{00000000-0005-0000-0000-000085700000}"/>
    <cellStyle name="Input 3 5 4 3 6" xfId="28811" xr:uid="{00000000-0005-0000-0000-000086700000}"/>
    <cellStyle name="Input 3 5 4 4" xfId="28812" xr:uid="{00000000-0005-0000-0000-000087700000}"/>
    <cellStyle name="Input 3 5 4 4 2" xfId="28813" xr:uid="{00000000-0005-0000-0000-000088700000}"/>
    <cellStyle name="Input 3 5 4 4 3" xfId="28814" xr:uid="{00000000-0005-0000-0000-000089700000}"/>
    <cellStyle name="Input 3 5 4 4 4" xfId="28815" xr:uid="{00000000-0005-0000-0000-00008A700000}"/>
    <cellStyle name="Input 3 5 4 4 5" xfId="28816" xr:uid="{00000000-0005-0000-0000-00008B700000}"/>
    <cellStyle name="Input 3 5 4 4 6" xfId="28817" xr:uid="{00000000-0005-0000-0000-00008C700000}"/>
    <cellStyle name="Input 3 5 4 5" xfId="28818" xr:uid="{00000000-0005-0000-0000-00008D700000}"/>
    <cellStyle name="Input 3 5 4 6" xfId="28819" xr:uid="{00000000-0005-0000-0000-00008E700000}"/>
    <cellStyle name="Input 3 5 4 7" xfId="28820" xr:uid="{00000000-0005-0000-0000-00008F700000}"/>
    <cellStyle name="Input 3 5 4 8" xfId="28821" xr:uid="{00000000-0005-0000-0000-000090700000}"/>
    <cellStyle name="Input 3 5 5" xfId="28822" xr:uid="{00000000-0005-0000-0000-000091700000}"/>
    <cellStyle name="Input 3 5 5 2" xfId="28823" xr:uid="{00000000-0005-0000-0000-000092700000}"/>
    <cellStyle name="Input 3 5 5 2 2" xfId="28824" xr:uid="{00000000-0005-0000-0000-000093700000}"/>
    <cellStyle name="Input 3 5 5 2 2 2" xfId="28825" xr:uid="{00000000-0005-0000-0000-000094700000}"/>
    <cellStyle name="Input 3 5 5 2 2 3" xfId="28826" xr:uid="{00000000-0005-0000-0000-000095700000}"/>
    <cellStyle name="Input 3 5 5 2 2 4" xfId="28827" xr:uid="{00000000-0005-0000-0000-000096700000}"/>
    <cellStyle name="Input 3 5 5 2 2 5" xfId="28828" xr:uid="{00000000-0005-0000-0000-000097700000}"/>
    <cellStyle name="Input 3 5 5 2 2 6" xfId="28829" xr:uid="{00000000-0005-0000-0000-000098700000}"/>
    <cellStyle name="Input 3 5 5 2 3" xfId="28830" xr:uid="{00000000-0005-0000-0000-000099700000}"/>
    <cellStyle name="Input 3 5 5 2 4" xfId="28831" xr:uid="{00000000-0005-0000-0000-00009A700000}"/>
    <cellStyle name="Input 3 5 5 2 5" xfId="28832" xr:uid="{00000000-0005-0000-0000-00009B700000}"/>
    <cellStyle name="Input 3 5 5 2 6" xfId="28833" xr:uid="{00000000-0005-0000-0000-00009C700000}"/>
    <cellStyle name="Input 3 5 5 3" xfId="28834" xr:uid="{00000000-0005-0000-0000-00009D700000}"/>
    <cellStyle name="Input 3 5 5 3 2" xfId="28835" xr:uid="{00000000-0005-0000-0000-00009E700000}"/>
    <cellStyle name="Input 3 5 5 3 2 2" xfId="28836" xr:uid="{00000000-0005-0000-0000-00009F700000}"/>
    <cellStyle name="Input 3 5 5 3 2 3" xfId="28837" xr:uid="{00000000-0005-0000-0000-0000A0700000}"/>
    <cellStyle name="Input 3 5 5 3 2 4" xfId="28838" xr:uid="{00000000-0005-0000-0000-0000A1700000}"/>
    <cellStyle name="Input 3 5 5 3 2 5" xfId="28839" xr:uid="{00000000-0005-0000-0000-0000A2700000}"/>
    <cellStyle name="Input 3 5 5 3 2 6" xfId="28840" xr:uid="{00000000-0005-0000-0000-0000A3700000}"/>
    <cellStyle name="Input 3 5 5 3 3" xfId="28841" xr:uid="{00000000-0005-0000-0000-0000A4700000}"/>
    <cellStyle name="Input 3 5 5 3 4" xfId="28842" xr:uid="{00000000-0005-0000-0000-0000A5700000}"/>
    <cellStyle name="Input 3 5 5 3 5" xfId="28843" xr:uid="{00000000-0005-0000-0000-0000A6700000}"/>
    <cellStyle name="Input 3 5 5 3 6" xfId="28844" xr:uid="{00000000-0005-0000-0000-0000A7700000}"/>
    <cellStyle name="Input 3 5 5 4" xfId="28845" xr:uid="{00000000-0005-0000-0000-0000A8700000}"/>
    <cellStyle name="Input 3 5 5 4 2" xfId="28846" xr:uid="{00000000-0005-0000-0000-0000A9700000}"/>
    <cellStyle name="Input 3 5 5 4 3" xfId="28847" xr:uid="{00000000-0005-0000-0000-0000AA700000}"/>
    <cellStyle name="Input 3 5 5 4 4" xfId="28848" xr:uid="{00000000-0005-0000-0000-0000AB700000}"/>
    <cellStyle name="Input 3 5 5 4 5" xfId="28849" xr:uid="{00000000-0005-0000-0000-0000AC700000}"/>
    <cellStyle name="Input 3 5 5 4 6" xfId="28850" xr:uid="{00000000-0005-0000-0000-0000AD700000}"/>
    <cellStyle name="Input 3 5 5 5" xfId="28851" xr:uid="{00000000-0005-0000-0000-0000AE700000}"/>
    <cellStyle name="Input 3 5 5 6" xfId="28852" xr:uid="{00000000-0005-0000-0000-0000AF700000}"/>
    <cellStyle name="Input 3 5 5 7" xfId="28853" xr:uid="{00000000-0005-0000-0000-0000B0700000}"/>
    <cellStyle name="Input 3 5 5 8" xfId="28854" xr:uid="{00000000-0005-0000-0000-0000B1700000}"/>
    <cellStyle name="Input 3 5 6" xfId="28855" xr:uid="{00000000-0005-0000-0000-0000B2700000}"/>
    <cellStyle name="Input 3 5 6 2" xfId="28856" xr:uid="{00000000-0005-0000-0000-0000B3700000}"/>
    <cellStyle name="Input 3 5 6 2 2" xfId="28857" xr:uid="{00000000-0005-0000-0000-0000B4700000}"/>
    <cellStyle name="Input 3 5 6 2 2 2" xfId="28858" xr:uid="{00000000-0005-0000-0000-0000B5700000}"/>
    <cellStyle name="Input 3 5 6 2 2 3" xfId="28859" xr:uid="{00000000-0005-0000-0000-0000B6700000}"/>
    <cellStyle name="Input 3 5 6 2 2 4" xfId="28860" xr:uid="{00000000-0005-0000-0000-0000B7700000}"/>
    <cellStyle name="Input 3 5 6 2 2 5" xfId="28861" xr:uid="{00000000-0005-0000-0000-0000B8700000}"/>
    <cellStyle name="Input 3 5 6 2 2 6" xfId="28862" xr:uid="{00000000-0005-0000-0000-0000B9700000}"/>
    <cellStyle name="Input 3 5 6 2 3" xfId="28863" xr:uid="{00000000-0005-0000-0000-0000BA700000}"/>
    <cellStyle name="Input 3 5 6 2 4" xfId="28864" xr:uid="{00000000-0005-0000-0000-0000BB700000}"/>
    <cellStyle name="Input 3 5 6 2 5" xfId="28865" xr:uid="{00000000-0005-0000-0000-0000BC700000}"/>
    <cellStyle name="Input 3 5 6 2 6" xfId="28866" xr:uid="{00000000-0005-0000-0000-0000BD700000}"/>
    <cellStyle name="Input 3 5 6 3" xfId="28867" xr:uid="{00000000-0005-0000-0000-0000BE700000}"/>
    <cellStyle name="Input 3 5 6 3 2" xfId="28868" xr:uid="{00000000-0005-0000-0000-0000BF700000}"/>
    <cellStyle name="Input 3 5 6 3 2 2" xfId="28869" xr:uid="{00000000-0005-0000-0000-0000C0700000}"/>
    <cellStyle name="Input 3 5 6 3 2 3" xfId="28870" xr:uid="{00000000-0005-0000-0000-0000C1700000}"/>
    <cellStyle name="Input 3 5 6 3 2 4" xfId="28871" xr:uid="{00000000-0005-0000-0000-0000C2700000}"/>
    <cellStyle name="Input 3 5 6 3 2 5" xfId="28872" xr:uid="{00000000-0005-0000-0000-0000C3700000}"/>
    <cellStyle name="Input 3 5 6 3 2 6" xfId="28873" xr:uid="{00000000-0005-0000-0000-0000C4700000}"/>
    <cellStyle name="Input 3 5 6 3 3" xfId="28874" xr:uid="{00000000-0005-0000-0000-0000C5700000}"/>
    <cellStyle name="Input 3 5 6 3 4" xfId="28875" xr:uid="{00000000-0005-0000-0000-0000C6700000}"/>
    <cellStyle name="Input 3 5 6 3 5" xfId="28876" xr:uid="{00000000-0005-0000-0000-0000C7700000}"/>
    <cellStyle name="Input 3 5 6 3 6" xfId="28877" xr:uid="{00000000-0005-0000-0000-0000C8700000}"/>
    <cellStyle name="Input 3 5 6 4" xfId="28878" xr:uid="{00000000-0005-0000-0000-0000C9700000}"/>
    <cellStyle name="Input 3 5 6 4 2" xfId="28879" xr:uid="{00000000-0005-0000-0000-0000CA700000}"/>
    <cellStyle name="Input 3 5 6 4 3" xfId="28880" xr:uid="{00000000-0005-0000-0000-0000CB700000}"/>
    <cellStyle name="Input 3 5 6 4 4" xfId="28881" xr:uid="{00000000-0005-0000-0000-0000CC700000}"/>
    <cellStyle name="Input 3 5 6 4 5" xfId="28882" xr:uid="{00000000-0005-0000-0000-0000CD700000}"/>
    <cellStyle name="Input 3 5 6 4 6" xfId="28883" xr:uid="{00000000-0005-0000-0000-0000CE700000}"/>
    <cellStyle name="Input 3 5 6 5" xfId="28884" xr:uid="{00000000-0005-0000-0000-0000CF700000}"/>
    <cellStyle name="Input 3 5 6 6" xfId="28885" xr:uid="{00000000-0005-0000-0000-0000D0700000}"/>
    <cellStyle name="Input 3 5 6 7" xfId="28886" xr:uid="{00000000-0005-0000-0000-0000D1700000}"/>
    <cellStyle name="Input 3 5 6 8" xfId="28887" xr:uid="{00000000-0005-0000-0000-0000D2700000}"/>
    <cellStyle name="Input 3 5 7" xfId="28888" xr:uid="{00000000-0005-0000-0000-0000D3700000}"/>
    <cellStyle name="Input 3 5 7 2" xfId="28889" xr:uid="{00000000-0005-0000-0000-0000D4700000}"/>
    <cellStyle name="Input 3 5 7 2 2" xfId="28890" xr:uid="{00000000-0005-0000-0000-0000D5700000}"/>
    <cellStyle name="Input 3 5 7 2 3" xfId="28891" xr:uid="{00000000-0005-0000-0000-0000D6700000}"/>
    <cellStyle name="Input 3 5 7 2 4" xfId="28892" xr:uid="{00000000-0005-0000-0000-0000D7700000}"/>
    <cellStyle name="Input 3 5 7 2 5" xfId="28893" xr:uid="{00000000-0005-0000-0000-0000D8700000}"/>
    <cellStyle name="Input 3 5 7 2 6" xfId="28894" xr:uid="{00000000-0005-0000-0000-0000D9700000}"/>
    <cellStyle name="Input 3 5 7 3" xfId="28895" xr:uid="{00000000-0005-0000-0000-0000DA700000}"/>
    <cellStyle name="Input 3 5 7 4" xfId="28896" xr:uid="{00000000-0005-0000-0000-0000DB700000}"/>
    <cellStyle name="Input 3 5 7 5" xfId="28897" xr:uid="{00000000-0005-0000-0000-0000DC700000}"/>
    <cellStyle name="Input 3 5 7 6" xfId="28898" xr:uid="{00000000-0005-0000-0000-0000DD700000}"/>
    <cellStyle name="Input 3 5 8" xfId="28899" xr:uid="{00000000-0005-0000-0000-0000DE700000}"/>
    <cellStyle name="Input 3 5 8 2" xfId="28900" xr:uid="{00000000-0005-0000-0000-0000DF700000}"/>
    <cellStyle name="Input 3 5 8 2 2" xfId="28901" xr:uid="{00000000-0005-0000-0000-0000E0700000}"/>
    <cellStyle name="Input 3 5 8 2 3" xfId="28902" xr:uid="{00000000-0005-0000-0000-0000E1700000}"/>
    <cellStyle name="Input 3 5 8 2 4" xfId="28903" xr:uid="{00000000-0005-0000-0000-0000E2700000}"/>
    <cellStyle name="Input 3 5 8 2 5" xfId="28904" xr:uid="{00000000-0005-0000-0000-0000E3700000}"/>
    <cellStyle name="Input 3 5 8 2 6" xfId="28905" xr:uid="{00000000-0005-0000-0000-0000E4700000}"/>
    <cellStyle name="Input 3 5 8 3" xfId="28906" xr:uid="{00000000-0005-0000-0000-0000E5700000}"/>
    <cellStyle name="Input 3 5 8 4" xfId="28907" xr:uid="{00000000-0005-0000-0000-0000E6700000}"/>
    <cellStyle name="Input 3 5 8 5" xfId="28908" xr:uid="{00000000-0005-0000-0000-0000E7700000}"/>
    <cellStyle name="Input 3 5 8 6" xfId="28909" xr:uid="{00000000-0005-0000-0000-0000E8700000}"/>
    <cellStyle name="Input 3 5 9" xfId="28910" xr:uid="{00000000-0005-0000-0000-0000E9700000}"/>
    <cellStyle name="Input 3 5 9 2" xfId="28911" xr:uid="{00000000-0005-0000-0000-0000EA700000}"/>
    <cellStyle name="Input 3 5 9 3" xfId="28912" xr:uid="{00000000-0005-0000-0000-0000EB700000}"/>
    <cellStyle name="Input 3 5 9 4" xfId="28913" xr:uid="{00000000-0005-0000-0000-0000EC700000}"/>
    <cellStyle name="Input 3 5 9 5" xfId="28914" xr:uid="{00000000-0005-0000-0000-0000ED700000}"/>
    <cellStyle name="Input 3 5 9 6" xfId="28915" xr:uid="{00000000-0005-0000-0000-0000EE700000}"/>
    <cellStyle name="Input 3 6" xfId="28916" xr:uid="{00000000-0005-0000-0000-0000EF700000}"/>
    <cellStyle name="Input 3 6 2" xfId="28917" xr:uid="{00000000-0005-0000-0000-0000F0700000}"/>
    <cellStyle name="Input 3 6 2 2" xfId="28918" xr:uid="{00000000-0005-0000-0000-0000F1700000}"/>
    <cellStyle name="Input 3 6 2 2 2" xfId="28919" xr:uid="{00000000-0005-0000-0000-0000F2700000}"/>
    <cellStyle name="Input 3 6 2 2 3" xfId="28920" xr:uid="{00000000-0005-0000-0000-0000F3700000}"/>
    <cellStyle name="Input 3 6 2 2 4" xfId="28921" xr:uid="{00000000-0005-0000-0000-0000F4700000}"/>
    <cellStyle name="Input 3 6 2 2 5" xfId="28922" xr:uid="{00000000-0005-0000-0000-0000F5700000}"/>
    <cellStyle name="Input 3 6 2 2 6" xfId="28923" xr:uid="{00000000-0005-0000-0000-0000F6700000}"/>
    <cellStyle name="Input 3 6 2 3" xfId="28924" xr:uid="{00000000-0005-0000-0000-0000F7700000}"/>
    <cellStyle name="Input 3 6 2 4" xfId="28925" xr:uid="{00000000-0005-0000-0000-0000F8700000}"/>
    <cellStyle name="Input 3 6 2 5" xfId="28926" xr:uid="{00000000-0005-0000-0000-0000F9700000}"/>
    <cellStyle name="Input 3 6 2 6" xfId="28927" xr:uid="{00000000-0005-0000-0000-0000FA700000}"/>
    <cellStyle name="Input 3 6 3" xfId="28928" xr:uid="{00000000-0005-0000-0000-0000FB700000}"/>
    <cellStyle name="Input 3 6 3 2" xfId="28929" xr:uid="{00000000-0005-0000-0000-0000FC700000}"/>
    <cellStyle name="Input 3 6 3 2 2" xfId="28930" xr:uid="{00000000-0005-0000-0000-0000FD700000}"/>
    <cellStyle name="Input 3 6 3 2 3" xfId="28931" xr:uid="{00000000-0005-0000-0000-0000FE700000}"/>
    <cellStyle name="Input 3 6 3 2 4" xfId="28932" xr:uid="{00000000-0005-0000-0000-0000FF700000}"/>
    <cellStyle name="Input 3 6 3 2 5" xfId="28933" xr:uid="{00000000-0005-0000-0000-000000710000}"/>
    <cellStyle name="Input 3 6 3 2 6" xfId="28934" xr:uid="{00000000-0005-0000-0000-000001710000}"/>
    <cellStyle name="Input 3 6 3 3" xfId="28935" xr:uid="{00000000-0005-0000-0000-000002710000}"/>
    <cellStyle name="Input 3 6 3 4" xfId="28936" xr:uid="{00000000-0005-0000-0000-000003710000}"/>
    <cellStyle name="Input 3 6 3 5" xfId="28937" xr:uid="{00000000-0005-0000-0000-000004710000}"/>
    <cellStyle name="Input 3 6 3 6" xfId="28938" xr:uid="{00000000-0005-0000-0000-000005710000}"/>
    <cellStyle name="Input 3 6 4" xfId="28939" xr:uid="{00000000-0005-0000-0000-000006710000}"/>
    <cellStyle name="Input 3 6 4 2" xfId="28940" xr:uid="{00000000-0005-0000-0000-000007710000}"/>
    <cellStyle name="Input 3 6 4 3" xfId="28941" xr:uid="{00000000-0005-0000-0000-000008710000}"/>
    <cellStyle name="Input 3 6 4 4" xfId="28942" xr:uid="{00000000-0005-0000-0000-000009710000}"/>
    <cellStyle name="Input 3 6 4 5" xfId="28943" xr:uid="{00000000-0005-0000-0000-00000A710000}"/>
    <cellStyle name="Input 3 6 4 6" xfId="28944" xr:uid="{00000000-0005-0000-0000-00000B710000}"/>
    <cellStyle name="Input 3 6 5" xfId="28945" xr:uid="{00000000-0005-0000-0000-00000C710000}"/>
    <cellStyle name="Input 3 6 6" xfId="28946" xr:uid="{00000000-0005-0000-0000-00000D710000}"/>
    <cellStyle name="Input 3 6 7" xfId="28947" xr:uid="{00000000-0005-0000-0000-00000E710000}"/>
    <cellStyle name="Input 3 6 8" xfId="28948" xr:uid="{00000000-0005-0000-0000-00000F710000}"/>
    <cellStyle name="Input 3 7" xfId="28949" xr:uid="{00000000-0005-0000-0000-000010710000}"/>
    <cellStyle name="Input 3 7 2" xfId="28950" xr:uid="{00000000-0005-0000-0000-000011710000}"/>
    <cellStyle name="Input 3 7 2 2" xfId="28951" xr:uid="{00000000-0005-0000-0000-000012710000}"/>
    <cellStyle name="Input 3 7 2 2 2" xfId="28952" xr:uid="{00000000-0005-0000-0000-000013710000}"/>
    <cellStyle name="Input 3 7 2 2 3" xfId="28953" xr:uid="{00000000-0005-0000-0000-000014710000}"/>
    <cellStyle name="Input 3 7 2 2 4" xfId="28954" xr:uid="{00000000-0005-0000-0000-000015710000}"/>
    <cellStyle name="Input 3 7 2 2 5" xfId="28955" xr:uid="{00000000-0005-0000-0000-000016710000}"/>
    <cellStyle name="Input 3 7 2 2 6" xfId="28956" xr:uid="{00000000-0005-0000-0000-000017710000}"/>
    <cellStyle name="Input 3 7 2 3" xfId="28957" xr:uid="{00000000-0005-0000-0000-000018710000}"/>
    <cellStyle name="Input 3 7 2 4" xfId="28958" xr:uid="{00000000-0005-0000-0000-000019710000}"/>
    <cellStyle name="Input 3 7 2 5" xfId="28959" xr:uid="{00000000-0005-0000-0000-00001A710000}"/>
    <cellStyle name="Input 3 7 2 6" xfId="28960" xr:uid="{00000000-0005-0000-0000-00001B710000}"/>
    <cellStyle name="Input 3 7 3" xfId="28961" xr:uid="{00000000-0005-0000-0000-00001C710000}"/>
    <cellStyle name="Input 3 7 3 2" xfId="28962" xr:uid="{00000000-0005-0000-0000-00001D710000}"/>
    <cellStyle name="Input 3 7 3 2 2" xfId="28963" xr:uid="{00000000-0005-0000-0000-00001E710000}"/>
    <cellStyle name="Input 3 7 3 2 3" xfId="28964" xr:uid="{00000000-0005-0000-0000-00001F710000}"/>
    <cellStyle name="Input 3 7 3 2 4" xfId="28965" xr:uid="{00000000-0005-0000-0000-000020710000}"/>
    <cellStyle name="Input 3 7 3 2 5" xfId="28966" xr:uid="{00000000-0005-0000-0000-000021710000}"/>
    <cellStyle name="Input 3 7 3 2 6" xfId="28967" xr:uid="{00000000-0005-0000-0000-000022710000}"/>
    <cellStyle name="Input 3 7 3 3" xfId="28968" xr:uid="{00000000-0005-0000-0000-000023710000}"/>
    <cellStyle name="Input 3 7 3 4" xfId="28969" xr:uid="{00000000-0005-0000-0000-000024710000}"/>
    <cellStyle name="Input 3 7 3 5" xfId="28970" xr:uid="{00000000-0005-0000-0000-000025710000}"/>
    <cellStyle name="Input 3 7 3 6" xfId="28971" xr:uid="{00000000-0005-0000-0000-000026710000}"/>
    <cellStyle name="Input 3 7 4" xfId="28972" xr:uid="{00000000-0005-0000-0000-000027710000}"/>
    <cellStyle name="Input 3 7 4 2" xfId="28973" xr:uid="{00000000-0005-0000-0000-000028710000}"/>
    <cellStyle name="Input 3 7 4 3" xfId="28974" xr:uid="{00000000-0005-0000-0000-000029710000}"/>
    <cellStyle name="Input 3 7 4 4" xfId="28975" xr:uid="{00000000-0005-0000-0000-00002A710000}"/>
    <cellStyle name="Input 3 7 4 5" xfId="28976" xr:uid="{00000000-0005-0000-0000-00002B710000}"/>
    <cellStyle name="Input 3 7 4 6" xfId="28977" xr:uid="{00000000-0005-0000-0000-00002C710000}"/>
    <cellStyle name="Input 3 7 5" xfId="28978" xr:uid="{00000000-0005-0000-0000-00002D710000}"/>
    <cellStyle name="Input 3 7 6" xfId="28979" xr:uid="{00000000-0005-0000-0000-00002E710000}"/>
    <cellStyle name="Input 3 7 7" xfId="28980" xr:uid="{00000000-0005-0000-0000-00002F710000}"/>
    <cellStyle name="Input 3 7 8" xfId="28981" xr:uid="{00000000-0005-0000-0000-000030710000}"/>
    <cellStyle name="Input 3 8" xfId="28982" xr:uid="{00000000-0005-0000-0000-000031710000}"/>
    <cellStyle name="Input 3 8 2" xfId="28983" xr:uid="{00000000-0005-0000-0000-000032710000}"/>
    <cellStyle name="Input 3 8 2 2" xfId="28984" xr:uid="{00000000-0005-0000-0000-000033710000}"/>
    <cellStyle name="Input 3 8 2 2 2" xfId="28985" xr:uid="{00000000-0005-0000-0000-000034710000}"/>
    <cellStyle name="Input 3 8 2 2 3" xfId="28986" xr:uid="{00000000-0005-0000-0000-000035710000}"/>
    <cellStyle name="Input 3 8 2 2 4" xfId="28987" xr:uid="{00000000-0005-0000-0000-000036710000}"/>
    <cellStyle name="Input 3 8 2 2 5" xfId="28988" xr:uid="{00000000-0005-0000-0000-000037710000}"/>
    <cellStyle name="Input 3 8 2 2 6" xfId="28989" xr:uid="{00000000-0005-0000-0000-000038710000}"/>
    <cellStyle name="Input 3 8 2 3" xfId="28990" xr:uid="{00000000-0005-0000-0000-000039710000}"/>
    <cellStyle name="Input 3 8 2 4" xfId="28991" xr:uid="{00000000-0005-0000-0000-00003A710000}"/>
    <cellStyle name="Input 3 8 2 5" xfId="28992" xr:uid="{00000000-0005-0000-0000-00003B710000}"/>
    <cellStyle name="Input 3 8 2 6" xfId="28993" xr:uid="{00000000-0005-0000-0000-00003C710000}"/>
    <cellStyle name="Input 3 8 3" xfId="28994" xr:uid="{00000000-0005-0000-0000-00003D710000}"/>
    <cellStyle name="Input 3 8 3 2" xfId="28995" xr:uid="{00000000-0005-0000-0000-00003E710000}"/>
    <cellStyle name="Input 3 8 3 2 2" xfId="28996" xr:uid="{00000000-0005-0000-0000-00003F710000}"/>
    <cellStyle name="Input 3 8 3 2 3" xfId="28997" xr:uid="{00000000-0005-0000-0000-000040710000}"/>
    <cellStyle name="Input 3 8 3 2 4" xfId="28998" xr:uid="{00000000-0005-0000-0000-000041710000}"/>
    <cellStyle name="Input 3 8 3 2 5" xfId="28999" xr:uid="{00000000-0005-0000-0000-000042710000}"/>
    <cellStyle name="Input 3 8 3 2 6" xfId="29000" xr:uid="{00000000-0005-0000-0000-000043710000}"/>
    <cellStyle name="Input 3 8 3 3" xfId="29001" xr:uid="{00000000-0005-0000-0000-000044710000}"/>
    <cellStyle name="Input 3 8 3 4" xfId="29002" xr:uid="{00000000-0005-0000-0000-000045710000}"/>
    <cellStyle name="Input 3 8 3 5" xfId="29003" xr:uid="{00000000-0005-0000-0000-000046710000}"/>
    <cellStyle name="Input 3 8 3 6" xfId="29004" xr:uid="{00000000-0005-0000-0000-000047710000}"/>
    <cellStyle name="Input 3 8 4" xfId="29005" xr:uid="{00000000-0005-0000-0000-000048710000}"/>
    <cellStyle name="Input 3 8 4 2" xfId="29006" xr:uid="{00000000-0005-0000-0000-000049710000}"/>
    <cellStyle name="Input 3 8 4 3" xfId="29007" xr:uid="{00000000-0005-0000-0000-00004A710000}"/>
    <cellStyle name="Input 3 8 4 4" xfId="29008" xr:uid="{00000000-0005-0000-0000-00004B710000}"/>
    <cellStyle name="Input 3 8 4 5" xfId="29009" xr:uid="{00000000-0005-0000-0000-00004C710000}"/>
    <cellStyle name="Input 3 8 4 6" xfId="29010" xr:uid="{00000000-0005-0000-0000-00004D710000}"/>
    <cellStyle name="Input 3 8 5" xfId="29011" xr:uid="{00000000-0005-0000-0000-00004E710000}"/>
    <cellStyle name="Input 3 8 6" xfId="29012" xr:uid="{00000000-0005-0000-0000-00004F710000}"/>
    <cellStyle name="Input 3 8 7" xfId="29013" xr:uid="{00000000-0005-0000-0000-000050710000}"/>
    <cellStyle name="Input 3 8 8" xfId="29014" xr:uid="{00000000-0005-0000-0000-000051710000}"/>
    <cellStyle name="Input 3 9" xfId="29015" xr:uid="{00000000-0005-0000-0000-000052710000}"/>
    <cellStyle name="Input 3 9 2" xfId="29016" xr:uid="{00000000-0005-0000-0000-000053710000}"/>
    <cellStyle name="Input 3 9 2 2" xfId="29017" xr:uid="{00000000-0005-0000-0000-000054710000}"/>
    <cellStyle name="Input 3 9 2 3" xfId="29018" xr:uid="{00000000-0005-0000-0000-000055710000}"/>
    <cellStyle name="Input 3 9 2 4" xfId="29019" xr:uid="{00000000-0005-0000-0000-000056710000}"/>
    <cellStyle name="Input 3 9 2 5" xfId="29020" xr:uid="{00000000-0005-0000-0000-000057710000}"/>
    <cellStyle name="Input 3 9 2 6" xfId="29021" xr:uid="{00000000-0005-0000-0000-000058710000}"/>
    <cellStyle name="Input 3 9 3" xfId="29022" xr:uid="{00000000-0005-0000-0000-000059710000}"/>
    <cellStyle name="Input 3 9 4" xfId="29023" xr:uid="{00000000-0005-0000-0000-00005A710000}"/>
    <cellStyle name="Input 3 9 5" xfId="29024" xr:uid="{00000000-0005-0000-0000-00005B710000}"/>
    <cellStyle name="Input 3 9 6" xfId="29025" xr:uid="{00000000-0005-0000-0000-00005C710000}"/>
    <cellStyle name="Input 4" xfId="29026" xr:uid="{00000000-0005-0000-0000-00005D710000}"/>
    <cellStyle name="Input 4 2" xfId="29027" xr:uid="{00000000-0005-0000-0000-00005E710000}"/>
    <cellStyle name="Input 4 2 10" xfId="29028" xr:uid="{00000000-0005-0000-0000-00005F710000}"/>
    <cellStyle name="Input 4 2 11" xfId="29029" xr:uid="{00000000-0005-0000-0000-000060710000}"/>
    <cellStyle name="Input 4 2 12" xfId="29030" xr:uid="{00000000-0005-0000-0000-000061710000}"/>
    <cellStyle name="Input 4 2 13" xfId="29031" xr:uid="{00000000-0005-0000-0000-000062710000}"/>
    <cellStyle name="Input 4 2 2" xfId="29032" xr:uid="{00000000-0005-0000-0000-000063710000}"/>
    <cellStyle name="Input 4 2 2 10" xfId="29033" xr:uid="{00000000-0005-0000-0000-000064710000}"/>
    <cellStyle name="Input 4 2 2 10 2" xfId="29034" xr:uid="{00000000-0005-0000-0000-000065710000}"/>
    <cellStyle name="Input 4 2 2 10 3" xfId="29035" xr:uid="{00000000-0005-0000-0000-000066710000}"/>
    <cellStyle name="Input 4 2 2 10 4" xfId="29036" xr:uid="{00000000-0005-0000-0000-000067710000}"/>
    <cellStyle name="Input 4 2 2 10 5" xfId="29037" xr:uid="{00000000-0005-0000-0000-000068710000}"/>
    <cellStyle name="Input 4 2 2 10 6" xfId="29038" xr:uid="{00000000-0005-0000-0000-000069710000}"/>
    <cellStyle name="Input 4 2 2 11" xfId="29039" xr:uid="{00000000-0005-0000-0000-00006A710000}"/>
    <cellStyle name="Input 4 2 2 12" xfId="29040" xr:uid="{00000000-0005-0000-0000-00006B710000}"/>
    <cellStyle name="Input 4 2 2 13" xfId="29041" xr:uid="{00000000-0005-0000-0000-00006C710000}"/>
    <cellStyle name="Input 4 2 2 14" xfId="29042" xr:uid="{00000000-0005-0000-0000-00006D710000}"/>
    <cellStyle name="Input 4 2 2 2" xfId="29043" xr:uid="{00000000-0005-0000-0000-00006E710000}"/>
    <cellStyle name="Input 4 2 2 2 10" xfId="29044" xr:uid="{00000000-0005-0000-0000-00006F710000}"/>
    <cellStyle name="Input 4 2 2 2 11" xfId="29045" xr:uid="{00000000-0005-0000-0000-000070710000}"/>
    <cellStyle name="Input 4 2 2 2 12" xfId="29046" xr:uid="{00000000-0005-0000-0000-000071710000}"/>
    <cellStyle name="Input 4 2 2 2 13" xfId="29047" xr:uid="{00000000-0005-0000-0000-000072710000}"/>
    <cellStyle name="Input 4 2 2 2 2" xfId="29048" xr:uid="{00000000-0005-0000-0000-000073710000}"/>
    <cellStyle name="Input 4 2 2 2 2 2" xfId="29049" xr:uid="{00000000-0005-0000-0000-000074710000}"/>
    <cellStyle name="Input 4 2 2 2 2 2 2" xfId="29050" xr:uid="{00000000-0005-0000-0000-000075710000}"/>
    <cellStyle name="Input 4 2 2 2 2 2 2 2" xfId="29051" xr:uid="{00000000-0005-0000-0000-000076710000}"/>
    <cellStyle name="Input 4 2 2 2 2 2 2 3" xfId="29052" xr:uid="{00000000-0005-0000-0000-000077710000}"/>
    <cellStyle name="Input 4 2 2 2 2 2 2 4" xfId="29053" xr:uid="{00000000-0005-0000-0000-000078710000}"/>
    <cellStyle name="Input 4 2 2 2 2 2 2 5" xfId="29054" xr:uid="{00000000-0005-0000-0000-000079710000}"/>
    <cellStyle name="Input 4 2 2 2 2 2 2 6" xfId="29055" xr:uid="{00000000-0005-0000-0000-00007A710000}"/>
    <cellStyle name="Input 4 2 2 2 2 2 3" xfId="29056" xr:uid="{00000000-0005-0000-0000-00007B710000}"/>
    <cellStyle name="Input 4 2 2 2 2 2 4" xfId="29057" xr:uid="{00000000-0005-0000-0000-00007C710000}"/>
    <cellStyle name="Input 4 2 2 2 2 2 5" xfId="29058" xr:uid="{00000000-0005-0000-0000-00007D710000}"/>
    <cellStyle name="Input 4 2 2 2 2 2 6" xfId="29059" xr:uid="{00000000-0005-0000-0000-00007E710000}"/>
    <cellStyle name="Input 4 2 2 2 2 3" xfId="29060" xr:uid="{00000000-0005-0000-0000-00007F710000}"/>
    <cellStyle name="Input 4 2 2 2 2 3 2" xfId="29061" xr:uid="{00000000-0005-0000-0000-000080710000}"/>
    <cellStyle name="Input 4 2 2 2 2 3 2 2" xfId="29062" xr:uid="{00000000-0005-0000-0000-000081710000}"/>
    <cellStyle name="Input 4 2 2 2 2 3 2 3" xfId="29063" xr:uid="{00000000-0005-0000-0000-000082710000}"/>
    <cellStyle name="Input 4 2 2 2 2 3 2 4" xfId="29064" xr:uid="{00000000-0005-0000-0000-000083710000}"/>
    <cellStyle name="Input 4 2 2 2 2 3 2 5" xfId="29065" xr:uid="{00000000-0005-0000-0000-000084710000}"/>
    <cellStyle name="Input 4 2 2 2 2 3 2 6" xfId="29066" xr:uid="{00000000-0005-0000-0000-000085710000}"/>
    <cellStyle name="Input 4 2 2 2 2 3 3" xfId="29067" xr:uid="{00000000-0005-0000-0000-000086710000}"/>
    <cellStyle name="Input 4 2 2 2 2 3 4" xfId="29068" xr:uid="{00000000-0005-0000-0000-000087710000}"/>
    <cellStyle name="Input 4 2 2 2 2 3 5" xfId="29069" xr:uid="{00000000-0005-0000-0000-000088710000}"/>
    <cellStyle name="Input 4 2 2 2 2 3 6" xfId="29070" xr:uid="{00000000-0005-0000-0000-000089710000}"/>
    <cellStyle name="Input 4 2 2 2 2 4" xfId="29071" xr:uid="{00000000-0005-0000-0000-00008A710000}"/>
    <cellStyle name="Input 4 2 2 2 2 4 2" xfId="29072" xr:uid="{00000000-0005-0000-0000-00008B710000}"/>
    <cellStyle name="Input 4 2 2 2 2 4 3" xfId="29073" xr:uid="{00000000-0005-0000-0000-00008C710000}"/>
    <cellStyle name="Input 4 2 2 2 2 4 4" xfId="29074" xr:uid="{00000000-0005-0000-0000-00008D710000}"/>
    <cellStyle name="Input 4 2 2 2 2 4 5" xfId="29075" xr:uid="{00000000-0005-0000-0000-00008E710000}"/>
    <cellStyle name="Input 4 2 2 2 2 4 6" xfId="29076" xr:uid="{00000000-0005-0000-0000-00008F710000}"/>
    <cellStyle name="Input 4 2 2 2 2 5" xfId="29077" xr:uid="{00000000-0005-0000-0000-000090710000}"/>
    <cellStyle name="Input 4 2 2 2 2 6" xfId="29078" xr:uid="{00000000-0005-0000-0000-000091710000}"/>
    <cellStyle name="Input 4 2 2 2 2 7" xfId="29079" xr:uid="{00000000-0005-0000-0000-000092710000}"/>
    <cellStyle name="Input 4 2 2 2 2 8" xfId="29080" xr:uid="{00000000-0005-0000-0000-000093710000}"/>
    <cellStyle name="Input 4 2 2 2 3" xfId="29081" xr:uid="{00000000-0005-0000-0000-000094710000}"/>
    <cellStyle name="Input 4 2 2 2 3 2" xfId="29082" xr:uid="{00000000-0005-0000-0000-000095710000}"/>
    <cellStyle name="Input 4 2 2 2 3 2 2" xfId="29083" xr:uid="{00000000-0005-0000-0000-000096710000}"/>
    <cellStyle name="Input 4 2 2 2 3 2 2 2" xfId="29084" xr:uid="{00000000-0005-0000-0000-000097710000}"/>
    <cellStyle name="Input 4 2 2 2 3 2 2 3" xfId="29085" xr:uid="{00000000-0005-0000-0000-000098710000}"/>
    <cellStyle name="Input 4 2 2 2 3 2 2 4" xfId="29086" xr:uid="{00000000-0005-0000-0000-000099710000}"/>
    <cellStyle name="Input 4 2 2 2 3 2 2 5" xfId="29087" xr:uid="{00000000-0005-0000-0000-00009A710000}"/>
    <cellStyle name="Input 4 2 2 2 3 2 2 6" xfId="29088" xr:uid="{00000000-0005-0000-0000-00009B710000}"/>
    <cellStyle name="Input 4 2 2 2 3 2 3" xfId="29089" xr:uid="{00000000-0005-0000-0000-00009C710000}"/>
    <cellStyle name="Input 4 2 2 2 3 2 4" xfId="29090" xr:uid="{00000000-0005-0000-0000-00009D710000}"/>
    <cellStyle name="Input 4 2 2 2 3 2 5" xfId="29091" xr:uid="{00000000-0005-0000-0000-00009E710000}"/>
    <cellStyle name="Input 4 2 2 2 3 2 6" xfId="29092" xr:uid="{00000000-0005-0000-0000-00009F710000}"/>
    <cellStyle name="Input 4 2 2 2 3 3" xfId="29093" xr:uid="{00000000-0005-0000-0000-0000A0710000}"/>
    <cellStyle name="Input 4 2 2 2 3 3 2" xfId="29094" xr:uid="{00000000-0005-0000-0000-0000A1710000}"/>
    <cellStyle name="Input 4 2 2 2 3 3 2 2" xfId="29095" xr:uid="{00000000-0005-0000-0000-0000A2710000}"/>
    <cellStyle name="Input 4 2 2 2 3 3 2 3" xfId="29096" xr:uid="{00000000-0005-0000-0000-0000A3710000}"/>
    <cellStyle name="Input 4 2 2 2 3 3 2 4" xfId="29097" xr:uid="{00000000-0005-0000-0000-0000A4710000}"/>
    <cellStyle name="Input 4 2 2 2 3 3 2 5" xfId="29098" xr:uid="{00000000-0005-0000-0000-0000A5710000}"/>
    <cellStyle name="Input 4 2 2 2 3 3 2 6" xfId="29099" xr:uid="{00000000-0005-0000-0000-0000A6710000}"/>
    <cellStyle name="Input 4 2 2 2 3 3 3" xfId="29100" xr:uid="{00000000-0005-0000-0000-0000A7710000}"/>
    <cellStyle name="Input 4 2 2 2 3 3 4" xfId="29101" xr:uid="{00000000-0005-0000-0000-0000A8710000}"/>
    <cellStyle name="Input 4 2 2 2 3 3 5" xfId="29102" xr:uid="{00000000-0005-0000-0000-0000A9710000}"/>
    <cellStyle name="Input 4 2 2 2 3 3 6" xfId="29103" xr:uid="{00000000-0005-0000-0000-0000AA710000}"/>
    <cellStyle name="Input 4 2 2 2 3 4" xfId="29104" xr:uid="{00000000-0005-0000-0000-0000AB710000}"/>
    <cellStyle name="Input 4 2 2 2 3 4 2" xfId="29105" xr:uid="{00000000-0005-0000-0000-0000AC710000}"/>
    <cellStyle name="Input 4 2 2 2 3 4 3" xfId="29106" xr:uid="{00000000-0005-0000-0000-0000AD710000}"/>
    <cellStyle name="Input 4 2 2 2 3 4 4" xfId="29107" xr:uid="{00000000-0005-0000-0000-0000AE710000}"/>
    <cellStyle name="Input 4 2 2 2 3 4 5" xfId="29108" xr:uid="{00000000-0005-0000-0000-0000AF710000}"/>
    <cellStyle name="Input 4 2 2 2 3 4 6" xfId="29109" xr:uid="{00000000-0005-0000-0000-0000B0710000}"/>
    <cellStyle name="Input 4 2 2 2 3 5" xfId="29110" xr:uid="{00000000-0005-0000-0000-0000B1710000}"/>
    <cellStyle name="Input 4 2 2 2 3 6" xfId="29111" xr:uid="{00000000-0005-0000-0000-0000B2710000}"/>
    <cellStyle name="Input 4 2 2 2 3 7" xfId="29112" xr:uid="{00000000-0005-0000-0000-0000B3710000}"/>
    <cellStyle name="Input 4 2 2 2 3 8" xfId="29113" xr:uid="{00000000-0005-0000-0000-0000B4710000}"/>
    <cellStyle name="Input 4 2 2 2 4" xfId="29114" xr:uid="{00000000-0005-0000-0000-0000B5710000}"/>
    <cellStyle name="Input 4 2 2 2 4 2" xfId="29115" xr:uid="{00000000-0005-0000-0000-0000B6710000}"/>
    <cellStyle name="Input 4 2 2 2 4 2 2" xfId="29116" xr:uid="{00000000-0005-0000-0000-0000B7710000}"/>
    <cellStyle name="Input 4 2 2 2 4 2 2 2" xfId="29117" xr:uid="{00000000-0005-0000-0000-0000B8710000}"/>
    <cellStyle name="Input 4 2 2 2 4 2 2 3" xfId="29118" xr:uid="{00000000-0005-0000-0000-0000B9710000}"/>
    <cellStyle name="Input 4 2 2 2 4 2 2 4" xfId="29119" xr:uid="{00000000-0005-0000-0000-0000BA710000}"/>
    <cellStyle name="Input 4 2 2 2 4 2 2 5" xfId="29120" xr:uid="{00000000-0005-0000-0000-0000BB710000}"/>
    <cellStyle name="Input 4 2 2 2 4 2 2 6" xfId="29121" xr:uid="{00000000-0005-0000-0000-0000BC710000}"/>
    <cellStyle name="Input 4 2 2 2 4 2 3" xfId="29122" xr:uid="{00000000-0005-0000-0000-0000BD710000}"/>
    <cellStyle name="Input 4 2 2 2 4 2 4" xfId="29123" xr:uid="{00000000-0005-0000-0000-0000BE710000}"/>
    <cellStyle name="Input 4 2 2 2 4 2 5" xfId="29124" xr:uid="{00000000-0005-0000-0000-0000BF710000}"/>
    <cellStyle name="Input 4 2 2 2 4 2 6" xfId="29125" xr:uid="{00000000-0005-0000-0000-0000C0710000}"/>
    <cellStyle name="Input 4 2 2 2 4 3" xfId="29126" xr:uid="{00000000-0005-0000-0000-0000C1710000}"/>
    <cellStyle name="Input 4 2 2 2 4 3 2" xfId="29127" xr:uid="{00000000-0005-0000-0000-0000C2710000}"/>
    <cellStyle name="Input 4 2 2 2 4 3 2 2" xfId="29128" xr:uid="{00000000-0005-0000-0000-0000C3710000}"/>
    <cellStyle name="Input 4 2 2 2 4 3 2 3" xfId="29129" xr:uid="{00000000-0005-0000-0000-0000C4710000}"/>
    <cellStyle name="Input 4 2 2 2 4 3 2 4" xfId="29130" xr:uid="{00000000-0005-0000-0000-0000C5710000}"/>
    <cellStyle name="Input 4 2 2 2 4 3 2 5" xfId="29131" xr:uid="{00000000-0005-0000-0000-0000C6710000}"/>
    <cellStyle name="Input 4 2 2 2 4 3 2 6" xfId="29132" xr:uid="{00000000-0005-0000-0000-0000C7710000}"/>
    <cellStyle name="Input 4 2 2 2 4 3 3" xfId="29133" xr:uid="{00000000-0005-0000-0000-0000C8710000}"/>
    <cellStyle name="Input 4 2 2 2 4 3 4" xfId="29134" xr:uid="{00000000-0005-0000-0000-0000C9710000}"/>
    <cellStyle name="Input 4 2 2 2 4 3 5" xfId="29135" xr:uid="{00000000-0005-0000-0000-0000CA710000}"/>
    <cellStyle name="Input 4 2 2 2 4 3 6" xfId="29136" xr:uid="{00000000-0005-0000-0000-0000CB710000}"/>
    <cellStyle name="Input 4 2 2 2 4 4" xfId="29137" xr:uid="{00000000-0005-0000-0000-0000CC710000}"/>
    <cellStyle name="Input 4 2 2 2 4 4 2" xfId="29138" xr:uid="{00000000-0005-0000-0000-0000CD710000}"/>
    <cellStyle name="Input 4 2 2 2 4 4 3" xfId="29139" xr:uid="{00000000-0005-0000-0000-0000CE710000}"/>
    <cellStyle name="Input 4 2 2 2 4 4 4" xfId="29140" xr:uid="{00000000-0005-0000-0000-0000CF710000}"/>
    <cellStyle name="Input 4 2 2 2 4 4 5" xfId="29141" xr:uid="{00000000-0005-0000-0000-0000D0710000}"/>
    <cellStyle name="Input 4 2 2 2 4 4 6" xfId="29142" xr:uid="{00000000-0005-0000-0000-0000D1710000}"/>
    <cellStyle name="Input 4 2 2 2 4 5" xfId="29143" xr:uid="{00000000-0005-0000-0000-0000D2710000}"/>
    <cellStyle name="Input 4 2 2 2 4 6" xfId="29144" xr:uid="{00000000-0005-0000-0000-0000D3710000}"/>
    <cellStyle name="Input 4 2 2 2 4 7" xfId="29145" xr:uid="{00000000-0005-0000-0000-0000D4710000}"/>
    <cellStyle name="Input 4 2 2 2 4 8" xfId="29146" xr:uid="{00000000-0005-0000-0000-0000D5710000}"/>
    <cellStyle name="Input 4 2 2 2 5" xfId="29147" xr:uid="{00000000-0005-0000-0000-0000D6710000}"/>
    <cellStyle name="Input 4 2 2 2 5 2" xfId="29148" xr:uid="{00000000-0005-0000-0000-0000D7710000}"/>
    <cellStyle name="Input 4 2 2 2 5 2 2" xfId="29149" xr:uid="{00000000-0005-0000-0000-0000D8710000}"/>
    <cellStyle name="Input 4 2 2 2 5 2 2 2" xfId="29150" xr:uid="{00000000-0005-0000-0000-0000D9710000}"/>
    <cellStyle name="Input 4 2 2 2 5 2 2 3" xfId="29151" xr:uid="{00000000-0005-0000-0000-0000DA710000}"/>
    <cellStyle name="Input 4 2 2 2 5 2 2 4" xfId="29152" xr:uid="{00000000-0005-0000-0000-0000DB710000}"/>
    <cellStyle name="Input 4 2 2 2 5 2 2 5" xfId="29153" xr:uid="{00000000-0005-0000-0000-0000DC710000}"/>
    <cellStyle name="Input 4 2 2 2 5 2 2 6" xfId="29154" xr:uid="{00000000-0005-0000-0000-0000DD710000}"/>
    <cellStyle name="Input 4 2 2 2 5 2 3" xfId="29155" xr:uid="{00000000-0005-0000-0000-0000DE710000}"/>
    <cellStyle name="Input 4 2 2 2 5 2 4" xfId="29156" xr:uid="{00000000-0005-0000-0000-0000DF710000}"/>
    <cellStyle name="Input 4 2 2 2 5 2 5" xfId="29157" xr:uid="{00000000-0005-0000-0000-0000E0710000}"/>
    <cellStyle name="Input 4 2 2 2 5 2 6" xfId="29158" xr:uid="{00000000-0005-0000-0000-0000E1710000}"/>
    <cellStyle name="Input 4 2 2 2 5 3" xfId="29159" xr:uid="{00000000-0005-0000-0000-0000E2710000}"/>
    <cellStyle name="Input 4 2 2 2 5 3 2" xfId="29160" xr:uid="{00000000-0005-0000-0000-0000E3710000}"/>
    <cellStyle name="Input 4 2 2 2 5 3 2 2" xfId="29161" xr:uid="{00000000-0005-0000-0000-0000E4710000}"/>
    <cellStyle name="Input 4 2 2 2 5 3 2 3" xfId="29162" xr:uid="{00000000-0005-0000-0000-0000E5710000}"/>
    <cellStyle name="Input 4 2 2 2 5 3 2 4" xfId="29163" xr:uid="{00000000-0005-0000-0000-0000E6710000}"/>
    <cellStyle name="Input 4 2 2 2 5 3 2 5" xfId="29164" xr:uid="{00000000-0005-0000-0000-0000E7710000}"/>
    <cellStyle name="Input 4 2 2 2 5 3 2 6" xfId="29165" xr:uid="{00000000-0005-0000-0000-0000E8710000}"/>
    <cellStyle name="Input 4 2 2 2 5 3 3" xfId="29166" xr:uid="{00000000-0005-0000-0000-0000E9710000}"/>
    <cellStyle name="Input 4 2 2 2 5 3 4" xfId="29167" xr:uid="{00000000-0005-0000-0000-0000EA710000}"/>
    <cellStyle name="Input 4 2 2 2 5 3 5" xfId="29168" xr:uid="{00000000-0005-0000-0000-0000EB710000}"/>
    <cellStyle name="Input 4 2 2 2 5 3 6" xfId="29169" xr:uid="{00000000-0005-0000-0000-0000EC710000}"/>
    <cellStyle name="Input 4 2 2 2 5 4" xfId="29170" xr:uid="{00000000-0005-0000-0000-0000ED710000}"/>
    <cellStyle name="Input 4 2 2 2 5 4 2" xfId="29171" xr:uid="{00000000-0005-0000-0000-0000EE710000}"/>
    <cellStyle name="Input 4 2 2 2 5 4 3" xfId="29172" xr:uid="{00000000-0005-0000-0000-0000EF710000}"/>
    <cellStyle name="Input 4 2 2 2 5 4 4" xfId="29173" xr:uid="{00000000-0005-0000-0000-0000F0710000}"/>
    <cellStyle name="Input 4 2 2 2 5 4 5" xfId="29174" xr:uid="{00000000-0005-0000-0000-0000F1710000}"/>
    <cellStyle name="Input 4 2 2 2 5 4 6" xfId="29175" xr:uid="{00000000-0005-0000-0000-0000F2710000}"/>
    <cellStyle name="Input 4 2 2 2 5 5" xfId="29176" xr:uid="{00000000-0005-0000-0000-0000F3710000}"/>
    <cellStyle name="Input 4 2 2 2 5 6" xfId="29177" xr:uid="{00000000-0005-0000-0000-0000F4710000}"/>
    <cellStyle name="Input 4 2 2 2 5 7" xfId="29178" xr:uid="{00000000-0005-0000-0000-0000F5710000}"/>
    <cellStyle name="Input 4 2 2 2 5 8" xfId="29179" xr:uid="{00000000-0005-0000-0000-0000F6710000}"/>
    <cellStyle name="Input 4 2 2 2 6" xfId="29180" xr:uid="{00000000-0005-0000-0000-0000F7710000}"/>
    <cellStyle name="Input 4 2 2 2 6 2" xfId="29181" xr:uid="{00000000-0005-0000-0000-0000F8710000}"/>
    <cellStyle name="Input 4 2 2 2 6 2 2" xfId="29182" xr:uid="{00000000-0005-0000-0000-0000F9710000}"/>
    <cellStyle name="Input 4 2 2 2 6 2 2 2" xfId="29183" xr:uid="{00000000-0005-0000-0000-0000FA710000}"/>
    <cellStyle name="Input 4 2 2 2 6 2 2 3" xfId="29184" xr:uid="{00000000-0005-0000-0000-0000FB710000}"/>
    <cellStyle name="Input 4 2 2 2 6 2 2 4" xfId="29185" xr:uid="{00000000-0005-0000-0000-0000FC710000}"/>
    <cellStyle name="Input 4 2 2 2 6 2 2 5" xfId="29186" xr:uid="{00000000-0005-0000-0000-0000FD710000}"/>
    <cellStyle name="Input 4 2 2 2 6 2 2 6" xfId="29187" xr:uid="{00000000-0005-0000-0000-0000FE710000}"/>
    <cellStyle name="Input 4 2 2 2 6 2 3" xfId="29188" xr:uid="{00000000-0005-0000-0000-0000FF710000}"/>
    <cellStyle name="Input 4 2 2 2 6 2 4" xfId="29189" xr:uid="{00000000-0005-0000-0000-000000720000}"/>
    <cellStyle name="Input 4 2 2 2 6 2 5" xfId="29190" xr:uid="{00000000-0005-0000-0000-000001720000}"/>
    <cellStyle name="Input 4 2 2 2 6 2 6" xfId="29191" xr:uid="{00000000-0005-0000-0000-000002720000}"/>
    <cellStyle name="Input 4 2 2 2 6 3" xfId="29192" xr:uid="{00000000-0005-0000-0000-000003720000}"/>
    <cellStyle name="Input 4 2 2 2 6 3 2" xfId="29193" xr:uid="{00000000-0005-0000-0000-000004720000}"/>
    <cellStyle name="Input 4 2 2 2 6 3 2 2" xfId="29194" xr:uid="{00000000-0005-0000-0000-000005720000}"/>
    <cellStyle name="Input 4 2 2 2 6 3 2 3" xfId="29195" xr:uid="{00000000-0005-0000-0000-000006720000}"/>
    <cellStyle name="Input 4 2 2 2 6 3 2 4" xfId="29196" xr:uid="{00000000-0005-0000-0000-000007720000}"/>
    <cellStyle name="Input 4 2 2 2 6 3 2 5" xfId="29197" xr:uid="{00000000-0005-0000-0000-000008720000}"/>
    <cellStyle name="Input 4 2 2 2 6 3 2 6" xfId="29198" xr:uid="{00000000-0005-0000-0000-000009720000}"/>
    <cellStyle name="Input 4 2 2 2 6 3 3" xfId="29199" xr:uid="{00000000-0005-0000-0000-00000A720000}"/>
    <cellStyle name="Input 4 2 2 2 6 3 4" xfId="29200" xr:uid="{00000000-0005-0000-0000-00000B720000}"/>
    <cellStyle name="Input 4 2 2 2 6 3 5" xfId="29201" xr:uid="{00000000-0005-0000-0000-00000C720000}"/>
    <cellStyle name="Input 4 2 2 2 6 3 6" xfId="29202" xr:uid="{00000000-0005-0000-0000-00000D720000}"/>
    <cellStyle name="Input 4 2 2 2 6 4" xfId="29203" xr:uid="{00000000-0005-0000-0000-00000E720000}"/>
    <cellStyle name="Input 4 2 2 2 6 4 2" xfId="29204" xr:uid="{00000000-0005-0000-0000-00000F720000}"/>
    <cellStyle name="Input 4 2 2 2 6 4 3" xfId="29205" xr:uid="{00000000-0005-0000-0000-000010720000}"/>
    <cellStyle name="Input 4 2 2 2 6 4 4" xfId="29206" xr:uid="{00000000-0005-0000-0000-000011720000}"/>
    <cellStyle name="Input 4 2 2 2 6 4 5" xfId="29207" xr:uid="{00000000-0005-0000-0000-000012720000}"/>
    <cellStyle name="Input 4 2 2 2 6 4 6" xfId="29208" xr:uid="{00000000-0005-0000-0000-000013720000}"/>
    <cellStyle name="Input 4 2 2 2 6 5" xfId="29209" xr:uid="{00000000-0005-0000-0000-000014720000}"/>
    <cellStyle name="Input 4 2 2 2 6 6" xfId="29210" xr:uid="{00000000-0005-0000-0000-000015720000}"/>
    <cellStyle name="Input 4 2 2 2 6 7" xfId="29211" xr:uid="{00000000-0005-0000-0000-000016720000}"/>
    <cellStyle name="Input 4 2 2 2 6 8" xfId="29212" xr:uid="{00000000-0005-0000-0000-000017720000}"/>
    <cellStyle name="Input 4 2 2 2 7" xfId="29213" xr:uid="{00000000-0005-0000-0000-000018720000}"/>
    <cellStyle name="Input 4 2 2 2 7 2" xfId="29214" xr:uid="{00000000-0005-0000-0000-000019720000}"/>
    <cellStyle name="Input 4 2 2 2 7 2 2" xfId="29215" xr:uid="{00000000-0005-0000-0000-00001A720000}"/>
    <cellStyle name="Input 4 2 2 2 7 2 3" xfId="29216" xr:uid="{00000000-0005-0000-0000-00001B720000}"/>
    <cellStyle name="Input 4 2 2 2 7 2 4" xfId="29217" xr:uid="{00000000-0005-0000-0000-00001C720000}"/>
    <cellStyle name="Input 4 2 2 2 7 2 5" xfId="29218" xr:uid="{00000000-0005-0000-0000-00001D720000}"/>
    <cellStyle name="Input 4 2 2 2 7 2 6" xfId="29219" xr:uid="{00000000-0005-0000-0000-00001E720000}"/>
    <cellStyle name="Input 4 2 2 2 7 3" xfId="29220" xr:uid="{00000000-0005-0000-0000-00001F720000}"/>
    <cellStyle name="Input 4 2 2 2 7 4" xfId="29221" xr:uid="{00000000-0005-0000-0000-000020720000}"/>
    <cellStyle name="Input 4 2 2 2 7 5" xfId="29222" xr:uid="{00000000-0005-0000-0000-000021720000}"/>
    <cellStyle name="Input 4 2 2 2 7 6" xfId="29223" xr:uid="{00000000-0005-0000-0000-000022720000}"/>
    <cellStyle name="Input 4 2 2 2 8" xfId="29224" xr:uid="{00000000-0005-0000-0000-000023720000}"/>
    <cellStyle name="Input 4 2 2 2 8 2" xfId="29225" xr:uid="{00000000-0005-0000-0000-000024720000}"/>
    <cellStyle name="Input 4 2 2 2 8 2 2" xfId="29226" xr:uid="{00000000-0005-0000-0000-000025720000}"/>
    <cellStyle name="Input 4 2 2 2 8 2 3" xfId="29227" xr:uid="{00000000-0005-0000-0000-000026720000}"/>
    <cellStyle name="Input 4 2 2 2 8 2 4" xfId="29228" xr:uid="{00000000-0005-0000-0000-000027720000}"/>
    <cellStyle name="Input 4 2 2 2 8 2 5" xfId="29229" xr:uid="{00000000-0005-0000-0000-000028720000}"/>
    <cellStyle name="Input 4 2 2 2 8 2 6" xfId="29230" xr:uid="{00000000-0005-0000-0000-000029720000}"/>
    <cellStyle name="Input 4 2 2 2 8 3" xfId="29231" xr:uid="{00000000-0005-0000-0000-00002A720000}"/>
    <cellStyle name="Input 4 2 2 2 8 4" xfId="29232" xr:uid="{00000000-0005-0000-0000-00002B720000}"/>
    <cellStyle name="Input 4 2 2 2 8 5" xfId="29233" xr:uid="{00000000-0005-0000-0000-00002C720000}"/>
    <cellStyle name="Input 4 2 2 2 8 6" xfId="29234" xr:uid="{00000000-0005-0000-0000-00002D720000}"/>
    <cellStyle name="Input 4 2 2 2 9" xfId="29235" xr:uid="{00000000-0005-0000-0000-00002E720000}"/>
    <cellStyle name="Input 4 2 2 2 9 2" xfId="29236" xr:uid="{00000000-0005-0000-0000-00002F720000}"/>
    <cellStyle name="Input 4 2 2 2 9 3" xfId="29237" xr:uid="{00000000-0005-0000-0000-000030720000}"/>
    <cellStyle name="Input 4 2 2 2 9 4" xfId="29238" xr:uid="{00000000-0005-0000-0000-000031720000}"/>
    <cellStyle name="Input 4 2 2 2 9 5" xfId="29239" xr:uid="{00000000-0005-0000-0000-000032720000}"/>
    <cellStyle name="Input 4 2 2 2 9 6" xfId="29240" xr:uid="{00000000-0005-0000-0000-000033720000}"/>
    <cellStyle name="Input 4 2 2 3" xfId="29241" xr:uid="{00000000-0005-0000-0000-000034720000}"/>
    <cellStyle name="Input 4 2 2 3 2" xfId="29242" xr:uid="{00000000-0005-0000-0000-000035720000}"/>
    <cellStyle name="Input 4 2 2 3 2 2" xfId="29243" xr:uid="{00000000-0005-0000-0000-000036720000}"/>
    <cellStyle name="Input 4 2 2 3 2 2 2" xfId="29244" xr:uid="{00000000-0005-0000-0000-000037720000}"/>
    <cellStyle name="Input 4 2 2 3 2 2 3" xfId="29245" xr:uid="{00000000-0005-0000-0000-000038720000}"/>
    <cellStyle name="Input 4 2 2 3 2 2 4" xfId="29246" xr:uid="{00000000-0005-0000-0000-000039720000}"/>
    <cellStyle name="Input 4 2 2 3 2 2 5" xfId="29247" xr:uid="{00000000-0005-0000-0000-00003A720000}"/>
    <cellStyle name="Input 4 2 2 3 2 2 6" xfId="29248" xr:uid="{00000000-0005-0000-0000-00003B720000}"/>
    <cellStyle name="Input 4 2 2 3 2 3" xfId="29249" xr:uid="{00000000-0005-0000-0000-00003C720000}"/>
    <cellStyle name="Input 4 2 2 3 2 4" xfId="29250" xr:uid="{00000000-0005-0000-0000-00003D720000}"/>
    <cellStyle name="Input 4 2 2 3 2 5" xfId="29251" xr:uid="{00000000-0005-0000-0000-00003E720000}"/>
    <cellStyle name="Input 4 2 2 3 2 6" xfId="29252" xr:uid="{00000000-0005-0000-0000-00003F720000}"/>
    <cellStyle name="Input 4 2 2 3 3" xfId="29253" xr:uid="{00000000-0005-0000-0000-000040720000}"/>
    <cellStyle name="Input 4 2 2 3 3 2" xfId="29254" xr:uid="{00000000-0005-0000-0000-000041720000}"/>
    <cellStyle name="Input 4 2 2 3 3 2 2" xfId="29255" xr:uid="{00000000-0005-0000-0000-000042720000}"/>
    <cellStyle name="Input 4 2 2 3 3 2 3" xfId="29256" xr:uid="{00000000-0005-0000-0000-000043720000}"/>
    <cellStyle name="Input 4 2 2 3 3 2 4" xfId="29257" xr:uid="{00000000-0005-0000-0000-000044720000}"/>
    <cellStyle name="Input 4 2 2 3 3 2 5" xfId="29258" xr:uid="{00000000-0005-0000-0000-000045720000}"/>
    <cellStyle name="Input 4 2 2 3 3 2 6" xfId="29259" xr:uid="{00000000-0005-0000-0000-000046720000}"/>
    <cellStyle name="Input 4 2 2 3 3 3" xfId="29260" xr:uid="{00000000-0005-0000-0000-000047720000}"/>
    <cellStyle name="Input 4 2 2 3 3 4" xfId="29261" xr:uid="{00000000-0005-0000-0000-000048720000}"/>
    <cellStyle name="Input 4 2 2 3 3 5" xfId="29262" xr:uid="{00000000-0005-0000-0000-000049720000}"/>
    <cellStyle name="Input 4 2 2 3 3 6" xfId="29263" xr:uid="{00000000-0005-0000-0000-00004A720000}"/>
    <cellStyle name="Input 4 2 2 3 4" xfId="29264" xr:uid="{00000000-0005-0000-0000-00004B720000}"/>
    <cellStyle name="Input 4 2 2 3 4 2" xfId="29265" xr:uid="{00000000-0005-0000-0000-00004C720000}"/>
    <cellStyle name="Input 4 2 2 3 4 3" xfId="29266" xr:uid="{00000000-0005-0000-0000-00004D720000}"/>
    <cellStyle name="Input 4 2 2 3 4 4" xfId="29267" xr:uid="{00000000-0005-0000-0000-00004E720000}"/>
    <cellStyle name="Input 4 2 2 3 4 5" xfId="29268" xr:uid="{00000000-0005-0000-0000-00004F720000}"/>
    <cellStyle name="Input 4 2 2 3 4 6" xfId="29269" xr:uid="{00000000-0005-0000-0000-000050720000}"/>
    <cellStyle name="Input 4 2 2 3 5" xfId="29270" xr:uid="{00000000-0005-0000-0000-000051720000}"/>
    <cellStyle name="Input 4 2 2 3 6" xfId="29271" xr:uid="{00000000-0005-0000-0000-000052720000}"/>
    <cellStyle name="Input 4 2 2 3 7" xfId="29272" xr:uid="{00000000-0005-0000-0000-000053720000}"/>
    <cellStyle name="Input 4 2 2 3 8" xfId="29273" xr:uid="{00000000-0005-0000-0000-000054720000}"/>
    <cellStyle name="Input 4 2 2 4" xfId="29274" xr:uid="{00000000-0005-0000-0000-000055720000}"/>
    <cellStyle name="Input 4 2 2 4 2" xfId="29275" xr:uid="{00000000-0005-0000-0000-000056720000}"/>
    <cellStyle name="Input 4 2 2 4 2 2" xfId="29276" xr:uid="{00000000-0005-0000-0000-000057720000}"/>
    <cellStyle name="Input 4 2 2 4 2 2 2" xfId="29277" xr:uid="{00000000-0005-0000-0000-000058720000}"/>
    <cellStyle name="Input 4 2 2 4 2 2 3" xfId="29278" xr:uid="{00000000-0005-0000-0000-000059720000}"/>
    <cellStyle name="Input 4 2 2 4 2 2 4" xfId="29279" xr:uid="{00000000-0005-0000-0000-00005A720000}"/>
    <cellStyle name="Input 4 2 2 4 2 2 5" xfId="29280" xr:uid="{00000000-0005-0000-0000-00005B720000}"/>
    <cellStyle name="Input 4 2 2 4 2 2 6" xfId="29281" xr:uid="{00000000-0005-0000-0000-00005C720000}"/>
    <cellStyle name="Input 4 2 2 4 2 3" xfId="29282" xr:uid="{00000000-0005-0000-0000-00005D720000}"/>
    <cellStyle name="Input 4 2 2 4 2 4" xfId="29283" xr:uid="{00000000-0005-0000-0000-00005E720000}"/>
    <cellStyle name="Input 4 2 2 4 2 5" xfId="29284" xr:uid="{00000000-0005-0000-0000-00005F720000}"/>
    <cellStyle name="Input 4 2 2 4 2 6" xfId="29285" xr:uid="{00000000-0005-0000-0000-000060720000}"/>
    <cellStyle name="Input 4 2 2 4 3" xfId="29286" xr:uid="{00000000-0005-0000-0000-000061720000}"/>
    <cellStyle name="Input 4 2 2 4 3 2" xfId="29287" xr:uid="{00000000-0005-0000-0000-000062720000}"/>
    <cellStyle name="Input 4 2 2 4 3 2 2" xfId="29288" xr:uid="{00000000-0005-0000-0000-000063720000}"/>
    <cellStyle name="Input 4 2 2 4 3 2 3" xfId="29289" xr:uid="{00000000-0005-0000-0000-000064720000}"/>
    <cellStyle name="Input 4 2 2 4 3 2 4" xfId="29290" xr:uid="{00000000-0005-0000-0000-000065720000}"/>
    <cellStyle name="Input 4 2 2 4 3 2 5" xfId="29291" xr:uid="{00000000-0005-0000-0000-000066720000}"/>
    <cellStyle name="Input 4 2 2 4 3 2 6" xfId="29292" xr:uid="{00000000-0005-0000-0000-000067720000}"/>
    <cellStyle name="Input 4 2 2 4 3 3" xfId="29293" xr:uid="{00000000-0005-0000-0000-000068720000}"/>
    <cellStyle name="Input 4 2 2 4 3 4" xfId="29294" xr:uid="{00000000-0005-0000-0000-000069720000}"/>
    <cellStyle name="Input 4 2 2 4 3 5" xfId="29295" xr:uid="{00000000-0005-0000-0000-00006A720000}"/>
    <cellStyle name="Input 4 2 2 4 3 6" xfId="29296" xr:uid="{00000000-0005-0000-0000-00006B720000}"/>
    <cellStyle name="Input 4 2 2 4 4" xfId="29297" xr:uid="{00000000-0005-0000-0000-00006C720000}"/>
    <cellStyle name="Input 4 2 2 4 4 2" xfId="29298" xr:uid="{00000000-0005-0000-0000-00006D720000}"/>
    <cellStyle name="Input 4 2 2 4 4 3" xfId="29299" xr:uid="{00000000-0005-0000-0000-00006E720000}"/>
    <cellStyle name="Input 4 2 2 4 4 4" xfId="29300" xr:uid="{00000000-0005-0000-0000-00006F720000}"/>
    <cellStyle name="Input 4 2 2 4 4 5" xfId="29301" xr:uid="{00000000-0005-0000-0000-000070720000}"/>
    <cellStyle name="Input 4 2 2 4 4 6" xfId="29302" xr:uid="{00000000-0005-0000-0000-000071720000}"/>
    <cellStyle name="Input 4 2 2 4 5" xfId="29303" xr:uid="{00000000-0005-0000-0000-000072720000}"/>
    <cellStyle name="Input 4 2 2 4 6" xfId="29304" xr:uid="{00000000-0005-0000-0000-000073720000}"/>
    <cellStyle name="Input 4 2 2 4 7" xfId="29305" xr:uid="{00000000-0005-0000-0000-000074720000}"/>
    <cellStyle name="Input 4 2 2 4 8" xfId="29306" xr:uid="{00000000-0005-0000-0000-000075720000}"/>
    <cellStyle name="Input 4 2 2 5" xfId="29307" xr:uid="{00000000-0005-0000-0000-000076720000}"/>
    <cellStyle name="Input 4 2 2 5 2" xfId="29308" xr:uid="{00000000-0005-0000-0000-000077720000}"/>
    <cellStyle name="Input 4 2 2 5 2 2" xfId="29309" xr:uid="{00000000-0005-0000-0000-000078720000}"/>
    <cellStyle name="Input 4 2 2 5 2 2 2" xfId="29310" xr:uid="{00000000-0005-0000-0000-000079720000}"/>
    <cellStyle name="Input 4 2 2 5 2 2 3" xfId="29311" xr:uid="{00000000-0005-0000-0000-00007A720000}"/>
    <cellStyle name="Input 4 2 2 5 2 2 4" xfId="29312" xr:uid="{00000000-0005-0000-0000-00007B720000}"/>
    <cellStyle name="Input 4 2 2 5 2 2 5" xfId="29313" xr:uid="{00000000-0005-0000-0000-00007C720000}"/>
    <cellStyle name="Input 4 2 2 5 2 2 6" xfId="29314" xr:uid="{00000000-0005-0000-0000-00007D720000}"/>
    <cellStyle name="Input 4 2 2 5 2 3" xfId="29315" xr:uid="{00000000-0005-0000-0000-00007E720000}"/>
    <cellStyle name="Input 4 2 2 5 2 4" xfId="29316" xr:uid="{00000000-0005-0000-0000-00007F720000}"/>
    <cellStyle name="Input 4 2 2 5 2 5" xfId="29317" xr:uid="{00000000-0005-0000-0000-000080720000}"/>
    <cellStyle name="Input 4 2 2 5 2 6" xfId="29318" xr:uid="{00000000-0005-0000-0000-000081720000}"/>
    <cellStyle name="Input 4 2 2 5 3" xfId="29319" xr:uid="{00000000-0005-0000-0000-000082720000}"/>
    <cellStyle name="Input 4 2 2 5 3 2" xfId="29320" xr:uid="{00000000-0005-0000-0000-000083720000}"/>
    <cellStyle name="Input 4 2 2 5 3 2 2" xfId="29321" xr:uid="{00000000-0005-0000-0000-000084720000}"/>
    <cellStyle name="Input 4 2 2 5 3 2 3" xfId="29322" xr:uid="{00000000-0005-0000-0000-000085720000}"/>
    <cellStyle name="Input 4 2 2 5 3 2 4" xfId="29323" xr:uid="{00000000-0005-0000-0000-000086720000}"/>
    <cellStyle name="Input 4 2 2 5 3 2 5" xfId="29324" xr:uid="{00000000-0005-0000-0000-000087720000}"/>
    <cellStyle name="Input 4 2 2 5 3 2 6" xfId="29325" xr:uid="{00000000-0005-0000-0000-000088720000}"/>
    <cellStyle name="Input 4 2 2 5 3 3" xfId="29326" xr:uid="{00000000-0005-0000-0000-000089720000}"/>
    <cellStyle name="Input 4 2 2 5 3 4" xfId="29327" xr:uid="{00000000-0005-0000-0000-00008A720000}"/>
    <cellStyle name="Input 4 2 2 5 3 5" xfId="29328" xr:uid="{00000000-0005-0000-0000-00008B720000}"/>
    <cellStyle name="Input 4 2 2 5 3 6" xfId="29329" xr:uid="{00000000-0005-0000-0000-00008C720000}"/>
    <cellStyle name="Input 4 2 2 5 4" xfId="29330" xr:uid="{00000000-0005-0000-0000-00008D720000}"/>
    <cellStyle name="Input 4 2 2 5 4 2" xfId="29331" xr:uid="{00000000-0005-0000-0000-00008E720000}"/>
    <cellStyle name="Input 4 2 2 5 4 3" xfId="29332" xr:uid="{00000000-0005-0000-0000-00008F720000}"/>
    <cellStyle name="Input 4 2 2 5 4 4" xfId="29333" xr:uid="{00000000-0005-0000-0000-000090720000}"/>
    <cellStyle name="Input 4 2 2 5 4 5" xfId="29334" xr:uid="{00000000-0005-0000-0000-000091720000}"/>
    <cellStyle name="Input 4 2 2 5 4 6" xfId="29335" xr:uid="{00000000-0005-0000-0000-000092720000}"/>
    <cellStyle name="Input 4 2 2 5 5" xfId="29336" xr:uid="{00000000-0005-0000-0000-000093720000}"/>
    <cellStyle name="Input 4 2 2 5 6" xfId="29337" xr:uid="{00000000-0005-0000-0000-000094720000}"/>
    <cellStyle name="Input 4 2 2 5 7" xfId="29338" xr:uid="{00000000-0005-0000-0000-000095720000}"/>
    <cellStyle name="Input 4 2 2 5 8" xfId="29339" xr:uid="{00000000-0005-0000-0000-000096720000}"/>
    <cellStyle name="Input 4 2 2 6" xfId="29340" xr:uid="{00000000-0005-0000-0000-000097720000}"/>
    <cellStyle name="Input 4 2 2 6 2" xfId="29341" xr:uid="{00000000-0005-0000-0000-000098720000}"/>
    <cellStyle name="Input 4 2 2 6 2 2" xfId="29342" xr:uid="{00000000-0005-0000-0000-000099720000}"/>
    <cellStyle name="Input 4 2 2 6 2 2 2" xfId="29343" xr:uid="{00000000-0005-0000-0000-00009A720000}"/>
    <cellStyle name="Input 4 2 2 6 2 2 3" xfId="29344" xr:uid="{00000000-0005-0000-0000-00009B720000}"/>
    <cellStyle name="Input 4 2 2 6 2 2 4" xfId="29345" xr:uid="{00000000-0005-0000-0000-00009C720000}"/>
    <cellStyle name="Input 4 2 2 6 2 2 5" xfId="29346" xr:uid="{00000000-0005-0000-0000-00009D720000}"/>
    <cellStyle name="Input 4 2 2 6 2 2 6" xfId="29347" xr:uid="{00000000-0005-0000-0000-00009E720000}"/>
    <cellStyle name="Input 4 2 2 6 2 3" xfId="29348" xr:uid="{00000000-0005-0000-0000-00009F720000}"/>
    <cellStyle name="Input 4 2 2 6 2 4" xfId="29349" xr:uid="{00000000-0005-0000-0000-0000A0720000}"/>
    <cellStyle name="Input 4 2 2 6 2 5" xfId="29350" xr:uid="{00000000-0005-0000-0000-0000A1720000}"/>
    <cellStyle name="Input 4 2 2 6 2 6" xfId="29351" xr:uid="{00000000-0005-0000-0000-0000A2720000}"/>
    <cellStyle name="Input 4 2 2 6 3" xfId="29352" xr:uid="{00000000-0005-0000-0000-0000A3720000}"/>
    <cellStyle name="Input 4 2 2 6 3 2" xfId="29353" xr:uid="{00000000-0005-0000-0000-0000A4720000}"/>
    <cellStyle name="Input 4 2 2 6 3 2 2" xfId="29354" xr:uid="{00000000-0005-0000-0000-0000A5720000}"/>
    <cellStyle name="Input 4 2 2 6 3 2 3" xfId="29355" xr:uid="{00000000-0005-0000-0000-0000A6720000}"/>
    <cellStyle name="Input 4 2 2 6 3 2 4" xfId="29356" xr:uid="{00000000-0005-0000-0000-0000A7720000}"/>
    <cellStyle name="Input 4 2 2 6 3 2 5" xfId="29357" xr:uid="{00000000-0005-0000-0000-0000A8720000}"/>
    <cellStyle name="Input 4 2 2 6 3 2 6" xfId="29358" xr:uid="{00000000-0005-0000-0000-0000A9720000}"/>
    <cellStyle name="Input 4 2 2 6 3 3" xfId="29359" xr:uid="{00000000-0005-0000-0000-0000AA720000}"/>
    <cellStyle name="Input 4 2 2 6 3 4" xfId="29360" xr:uid="{00000000-0005-0000-0000-0000AB720000}"/>
    <cellStyle name="Input 4 2 2 6 3 5" xfId="29361" xr:uid="{00000000-0005-0000-0000-0000AC720000}"/>
    <cellStyle name="Input 4 2 2 6 3 6" xfId="29362" xr:uid="{00000000-0005-0000-0000-0000AD720000}"/>
    <cellStyle name="Input 4 2 2 6 4" xfId="29363" xr:uid="{00000000-0005-0000-0000-0000AE720000}"/>
    <cellStyle name="Input 4 2 2 6 4 2" xfId="29364" xr:uid="{00000000-0005-0000-0000-0000AF720000}"/>
    <cellStyle name="Input 4 2 2 6 4 3" xfId="29365" xr:uid="{00000000-0005-0000-0000-0000B0720000}"/>
    <cellStyle name="Input 4 2 2 6 4 4" xfId="29366" xr:uid="{00000000-0005-0000-0000-0000B1720000}"/>
    <cellStyle name="Input 4 2 2 6 4 5" xfId="29367" xr:uid="{00000000-0005-0000-0000-0000B2720000}"/>
    <cellStyle name="Input 4 2 2 6 4 6" xfId="29368" xr:uid="{00000000-0005-0000-0000-0000B3720000}"/>
    <cellStyle name="Input 4 2 2 6 5" xfId="29369" xr:uid="{00000000-0005-0000-0000-0000B4720000}"/>
    <cellStyle name="Input 4 2 2 6 6" xfId="29370" xr:uid="{00000000-0005-0000-0000-0000B5720000}"/>
    <cellStyle name="Input 4 2 2 6 7" xfId="29371" xr:uid="{00000000-0005-0000-0000-0000B6720000}"/>
    <cellStyle name="Input 4 2 2 6 8" xfId="29372" xr:uid="{00000000-0005-0000-0000-0000B7720000}"/>
    <cellStyle name="Input 4 2 2 7" xfId="29373" xr:uid="{00000000-0005-0000-0000-0000B8720000}"/>
    <cellStyle name="Input 4 2 2 7 2" xfId="29374" xr:uid="{00000000-0005-0000-0000-0000B9720000}"/>
    <cellStyle name="Input 4 2 2 7 2 2" xfId="29375" xr:uid="{00000000-0005-0000-0000-0000BA720000}"/>
    <cellStyle name="Input 4 2 2 7 2 2 2" xfId="29376" xr:uid="{00000000-0005-0000-0000-0000BB720000}"/>
    <cellStyle name="Input 4 2 2 7 2 2 3" xfId="29377" xr:uid="{00000000-0005-0000-0000-0000BC720000}"/>
    <cellStyle name="Input 4 2 2 7 2 2 4" xfId="29378" xr:uid="{00000000-0005-0000-0000-0000BD720000}"/>
    <cellStyle name="Input 4 2 2 7 2 2 5" xfId="29379" xr:uid="{00000000-0005-0000-0000-0000BE720000}"/>
    <cellStyle name="Input 4 2 2 7 2 2 6" xfId="29380" xr:uid="{00000000-0005-0000-0000-0000BF720000}"/>
    <cellStyle name="Input 4 2 2 7 2 3" xfId="29381" xr:uid="{00000000-0005-0000-0000-0000C0720000}"/>
    <cellStyle name="Input 4 2 2 7 2 4" xfId="29382" xr:uid="{00000000-0005-0000-0000-0000C1720000}"/>
    <cellStyle name="Input 4 2 2 7 2 5" xfId="29383" xr:uid="{00000000-0005-0000-0000-0000C2720000}"/>
    <cellStyle name="Input 4 2 2 7 2 6" xfId="29384" xr:uid="{00000000-0005-0000-0000-0000C3720000}"/>
    <cellStyle name="Input 4 2 2 7 3" xfId="29385" xr:uid="{00000000-0005-0000-0000-0000C4720000}"/>
    <cellStyle name="Input 4 2 2 7 3 2" xfId="29386" xr:uid="{00000000-0005-0000-0000-0000C5720000}"/>
    <cellStyle name="Input 4 2 2 7 3 2 2" xfId="29387" xr:uid="{00000000-0005-0000-0000-0000C6720000}"/>
    <cellStyle name="Input 4 2 2 7 3 2 3" xfId="29388" xr:uid="{00000000-0005-0000-0000-0000C7720000}"/>
    <cellStyle name="Input 4 2 2 7 3 2 4" xfId="29389" xr:uid="{00000000-0005-0000-0000-0000C8720000}"/>
    <cellStyle name="Input 4 2 2 7 3 2 5" xfId="29390" xr:uid="{00000000-0005-0000-0000-0000C9720000}"/>
    <cellStyle name="Input 4 2 2 7 3 2 6" xfId="29391" xr:uid="{00000000-0005-0000-0000-0000CA720000}"/>
    <cellStyle name="Input 4 2 2 7 3 3" xfId="29392" xr:uid="{00000000-0005-0000-0000-0000CB720000}"/>
    <cellStyle name="Input 4 2 2 7 3 4" xfId="29393" xr:uid="{00000000-0005-0000-0000-0000CC720000}"/>
    <cellStyle name="Input 4 2 2 7 3 5" xfId="29394" xr:uid="{00000000-0005-0000-0000-0000CD720000}"/>
    <cellStyle name="Input 4 2 2 7 3 6" xfId="29395" xr:uid="{00000000-0005-0000-0000-0000CE720000}"/>
    <cellStyle name="Input 4 2 2 7 4" xfId="29396" xr:uid="{00000000-0005-0000-0000-0000CF720000}"/>
    <cellStyle name="Input 4 2 2 7 4 2" xfId="29397" xr:uid="{00000000-0005-0000-0000-0000D0720000}"/>
    <cellStyle name="Input 4 2 2 7 4 3" xfId="29398" xr:uid="{00000000-0005-0000-0000-0000D1720000}"/>
    <cellStyle name="Input 4 2 2 7 4 4" xfId="29399" xr:uid="{00000000-0005-0000-0000-0000D2720000}"/>
    <cellStyle name="Input 4 2 2 7 4 5" xfId="29400" xr:uid="{00000000-0005-0000-0000-0000D3720000}"/>
    <cellStyle name="Input 4 2 2 7 4 6" xfId="29401" xr:uid="{00000000-0005-0000-0000-0000D4720000}"/>
    <cellStyle name="Input 4 2 2 7 5" xfId="29402" xr:uid="{00000000-0005-0000-0000-0000D5720000}"/>
    <cellStyle name="Input 4 2 2 7 6" xfId="29403" xr:uid="{00000000-0005-0000-0000-0000D6720000}"/>
    <cellStyle name="Input 4 2 2 7 7" xfId="29404" xr:uid="{00000000-0005-0000-0000-0000D7720000}"/>
    <cellStyle name="Input 4 2 2 7 8" xfId="29405" xr:uid="{00000000-0005-0000-0000-0000D8720000}"/>
    <cellStyle name="Input 4 2 2 8" xfId="29406" xr:uid="{00000000-0005-0000-0000-0000D9720000}"/>
    <cellStyle name="Input 4 2 2 8 2" xfId="29407" xr:uid="{00000000-0005-0000-0000-0000DA720000}"/>
    <cellStyle name="Input 4 2 2 8 2 2" xfId="29408" xr:uid="{00000000-0005-0000-0000-0000DB720000}"/>
    <cellStyle name="Input 4 2 2 8 2 3" xfId="29409" xr:uid="{00000000-0005-0000-0000-0000DC720000}"/>
    <cellStyle name="Input 4 2 2 8 2 4" xfId="29410" xr:uid="{00000000-0005-0000-0000-0000DD720000}"/>
    <cellStyle name="Input 4 2 2 8 2 5" xfId="29411" xr:uid="{00000000-0005-0000-0000-0000DE720000}"/>
    <cellStyle name="Input 4 2 2 8 2 6" xfId="29412" xr:uid="{00000000-0005-0000-0000-0000DF720000}"/>
    <cellStyle name="Input 4 2 2 8 3" xfId="29413" xr:uid="{00000000-0005-0000-0000-0000E0720000}"/>
    <cellStyle name="Input 4 2 2 8 4" xfId="29414" xr:uid="{00000000-0005-0000-0000-0000E1720000}"/>
    <cellStyle name="Input 4 2 2 8 5" xfId="29415" xr:uid="{00000000-0005-0000-0000-0000E2720000}"/>
    <cellStyle name="Input 4 2 2 8 6" xfId="29416" xr:uid="{00000000-0005-0000-0000-0000E3720000}"/>
    <cellStyle name="Input 4 2 2 9" xfId="29417" xr:uid="{00000000-0005-0000-0000-0000E4720000}"/>
    <cellStyle name="Input 4 2 2 9 2" xfId="29418" xr:uid="{00000000-0005-0000-0000-0000E5720000}"/>
    <cellStyle name="Input 4 2 2 9 2 2" xfId="29419" xr:uid="{00000000-0005-0000-0000-0000E6720000}"/>
    <cellStyle name="Input 4 2 2 9 2 3" xfId="29420" xr:uid="{00000000-0005-0000-0000-0000E7720000}"/>
    <cellStyle name="Input 4 2 2 9 2 4" xfId="29421" xr:uid="{00000000-0005-0000-0000-0000E8720000}"/>
    <cellStyle name="Input 4 2 2 9 2 5" xfId="29422" xr:uid="{00000000-0005-0000-0000-0000E9720000}"/>
    <cellStyle name="Input 4 2 2 9 2 6" xfId="29423" xr:uid="{00000000-0005-0000-0000-0000EA720000}"/>
    <cellStyle name="Input 4 2 2 9 3" xfId="29424" xr:uid="{00000000-0005-0000-0000-0000EB720000}"/>
    <cellStyle name="Input 4 2 2 9 4" xfId="29425" xr:uid="{00000000-0005-0000-0000-0000EC720000}"/>
    <cellStyle name="Input 4 2 2 9 5" xfId="29426" xr:uid="{00000000-0005-0000-0000-0000ED720000}"/>
    <cellStyle name="Input 4 2 2 9 6" xfId="29427" xr:uid="{00000000-0005-0000-0000-0000EE720000}"/>
    <cellStyle name="Input 4 2 3" xfId="29428" xr:uid="{00000000-0005-0000-0000-0000EF720000}"/>
    <cellStyle name="Input 4 2 3 10" xfId="29429" xr:uid="{00000000-0005-0000-0000-0000F0720000}"/>
    <cellStyle name="Input 4 2 3 11" xfId="29430" xr:uid="{00000000-0005-0000-0000-0000F1720000}"/>
    <cellStyle name="Input 4 2 3 12" xfId="29431" xr:uid="{00000000-0005-0000-0000-0000F2720000}"/>
    <cellStyle name="Input 4 2 3 13" xfId="29432" xr:uid="{00000000-0005-0000-0000-0000F3720000}"/>
    <cellStyle name="Input 4 2 3 2" xfId="29433" xr:uid="{00000000-0005-0000-0000-0000F4720000}"/>
    <cellStyle name="Input 4 2 3 2 2" xfId="29434" xr:uid="{00000000-0005-0000-0000-0000F5720000}"/>
    <cellStyle name="Input 4 2 3 2 2 2" xfId="29435" xr:uid="{00000000-0005-0000-0000-0000F6720000}"/>
    <cellStyle name="Input 4 2 3 2 2 2 2" xfId="29436" xr:uid="{00000000-0005-0000-0000-0000F7720000}"/>
    <cellStyle name="Input 4 2 3 2 2 2 3" xfId="29437" xr:uid="{00000000-0005-0000-0000-0000F8720000}"/>
    <cellStyle name="Input 4 2 3 2 2 2 4" xfId="29438" xr:uid="{00000000-0005-0000-0000-0000F9720000}"/>
    <cellStyle name="Input 4 2 3 2 2 2 5" xfId="29439" xr:uid="{00000000-0005-0000-0000-0000FA720000}"/>
    <cellStyle name="Input 4 2 3 2 2 2 6" xfId="29440" xr:uid="{00000000-0005-0000-0000-0000FB720000}"/>
    <cellStyle name="Input 4 2 3 2 2 3" xfId="29441" xr:uid="{00000000-0005-0000-0000-0000FC720000}"/>
    <cellStyle name="Input 4 2 3 2 2 4" xfId="29442" xr:uid="{00000000-0005-0000-0000-0000FD720000}"/>
    <cellStyle name="Input 4 2 3 2 2 5" xfId="29443" xr:uid="{00000000-0005-0000-0000-0000FE720000}"/>
    <cellStyle name="Input 4 2 3 2 2 6" xfId="29444" xr:uid="{00000000-0005-0000-0000-0000FF720000}"/>
    <cellStyle name="Input 4 2 3 2 3" xfId="29445" xr:uid="{00000000-0005-0000-0000-000000730000}"/>
    <cellStyle name="Input 4 2 3 2 3 2" xfId="29446" xr:uid="{00000000-0005-0000-0000-000001730000}"/>
    <cellStyle name="Input 4 2 3 2 3 2 2" xfId="29447" xr:uid="{00000000-0005-0000-0000-000002730000}"/>
    <cellStyle name="Input 4 2 3 2 3 2 3" xfId="29448" xr:uid="{00000000-0005-0000-0000-000003730000}"/>
    <cellStyle name="Input 4 2 3 2 3 2 4" xfId="29449" xr:uid="{00000000-0005-0000-0000-000004730000}"/>
    <cellStyle name="Input 4 2 3 2 3 2 5" xfId="29450" xr:uid="{00000000-0005-0000-0000-000005730000}"/>
    <cellStyle name="Input 4 2 3 2 3 2 6" xfId="29451" xr:uid="{00000000-0005-0000-0000-000006730000}"/>
    <cellStyle name="Input 4 2 3 2 3 3" xfId="29452" xr:uid="{00000000-0005-0000-0000-000007730000}"/>
    <cellStyle name="Input 4 2 3 2 3 4" xfId="29453" xr:uid="{00000000-0005-0000-0000-000008730000}"/>
    <cellStyle name="Input 4 2 3 2 3 5" xfId="29454" xr:uid="{00000000-0005-0000-0000-000009730000}"/>
    <cellStyle name="Input 4 2 3 2 3 6" xfId="29455" xr:uid="{00000000-0005-0000-0000-00000A730000}"/>
    <cellStyle name="Input 4 2 3 2 4" xfId="29456" xr:uid="{00000000-0005-0000-0000-00000B730000}"/>
    <cellStyle name="Input 4 2 3 2 4 2" xfId="29457" xr:uid="{00000000-0005-0000-0000-00000C730000}"/>
    <cellStyle name="Input 4 2 3 2 4 3" xfId="29458" xr:uid="{00000000-0005-0000-0000-00000D730000}"/>
    <cellStyle name="Input 4 2 3 2 4 4" xfId="29459" xr:uid="{00000000-0005-0000-0000-00000E730000}"/>
    <cellStyle name="Input 4 2 3 2 4 5" xfId="29460" xr:uid="{00000000-0005-0000-0000-00000F730000}"/>
    <cellStyle name="Input 4 2 3 2 4 6" xfId="29461" xr:uid="{00000000-0005-0000-0000-000010730000}"/>
    <cellStyle name="Input 4 2 3 2 5" xfId="29462" xr:uid="{00000000-0005-0000-0000-000011730000}"/>
    <cellStyle name="Input 4 2 3 2 6" xfId="29463" xr:uid="{00000000-0005-0000-0000-000012730000}"/>
    <cellStyle name="Input 4 2 3 2 7" xfId="29464" xr:uid="{00000000-0005-0000-0000-000013730000}"/>
    <cellStyle name="Input 4 2 3 2 8" xfId="29465" xr:uid="{00000000-0005-0000-0000-000014730000}"/>
    <cellStyle name="Input 4 2 3 3" xfId="29466" xr:uid="{00000000-0005-0000-0000-000015730000}"/>
    <cellStyle name="Input 4 2 3 3 2" xfId="29467" xr:uid="{00000000-0005-0000-0000-000016730000}"/>
    <cellStyle name="Input 4 2 3 3 2 2" xfId="29468" xr:uid="{00000000-0005-0000-0000-000017730000}"/>
    <cellStyle name="Input 4 2 3 3 2 2 2" xfId="29469" xr:uid="{00000000-0005-0000-0000-000018730000}"/>
    <cellStyle name="Input 4 2 3 3 2 2 3" xfId="29470" xr:uid="{00000000-0005-0000-0000-000019730000}"/>
    <cellStyle name="Input 4 2 3 3 2 2 4" xfId="29471" xr:uid="{00000000-0005-0000-0000-00001A730000}"/>
    <cellStyle name="Input 4 2 3 3 2 2 5" xfId="29472" xr:uid="{00000000-0005-0000-0000-00001B730000}"/>
    <cellStyle name="Input 4 2 3 3 2 2 6" xfId="29473" xr:uid="{00000000-0005-0000-0000-00001C730000}"/>
    <cellStyle name="Input 4 2 3 3 2 3" xfId="29474" xr:uid="{00000000-0005-0000-0000-00001D730000}"/>
    <cellStyle name="Input 4 2 3 3 2 4" xfId="29475" xr:uid="{00000000-0005-0000-0000-00001E730000}"/>
    <cellStyle name="Input 4 2 3 3 2 5" xfId="29476" xr:uid="{00000000-0005-0000-0000-00001F730000}"/>
    <cellStyle name="Input 4 2 3 3 2 6" xfId="29477" xr:uid="{00000000-0005-0000-0000-000020730000}"/>
    <cellStyle name="Input 4 2 3 3 3" xfId="29478" xr:uid="{00000000-0005-0000-0000-000021730000}"/>
    <cellStyle name="Input 4 2 3 3 3 2" xfId="29479" xr:uid="{00000000-0005-0000-0000-000022730000}"/>
    <cellStyle name="Input 4 2 3 3 3 2 2" xfId="29480" xr:uid="{00000000-0005-0000-0000-000023730000}"/>
    <cellStyle name="Input 4 2 3 3 3 2 3" xfId="29481" xr:uid="{00000000-0005-0000-0000-000024730000}"/>
    <cellStyle name="Input 4 2 3 3 3 2 4" xfId="29482" xr:uid="{00000000-0005-0000-0000-000025730000}"/>
    <cellStyle name="Input 4 2 3 3 3 2 5" xfId="29483" xr:uid="{00000000-0005-0000-0000-000026730000}"/>
    <cellStyle name="Input 4 2 3 3 3 2 6" xfId="29484" xr:uid="{00000000-0005-0000-0000-000027730000}"/>
    <cellStyle name="Input 4 2 3 3 3 3" xfId="29485" xr:uid="{00000000-0005-0000-0000-000028730000}"/>
    <cellStyle name="Input 4 2 3 3 3 4" xfId="29486" xr:uid="{00000000-0005-0000-0000-000029730000}"/>
    <cellStyle name="Input 4 2 3 3 3 5" xfId="29487" xr:uid="{00000000-0005-0000-0000-00002A730000}"/>
    <cellStyle name="Input 4 2 3 3 3 6" xfId="29488" xr:uid="{00000000-0005-0000-0000-00002B730000}"/>
    <cellStyle name="Input 4 2 3 3 4" xfId="29489" xr:uid="{00000000-0005-0000-0000-00002C730000}"/>
    <cellStyle name="Input 4 2 3 3 4 2" xfId="29490" xr:uid="{00000000-0005-0000-0000-00002D730000}"/>
    <cellStyle name="Input 4 2 3 3 4 3" xfId="29491" xr:uid="{00000000-0005-0000-0000-00002E730000}"/>
    <cellStyle name="Input 4 2 3 3 4 4" xfId="29492" xr:uid="{00000000-0005-0000-0000-00002F730000}"/>
    <cellStyle name="Input 4 2 3 3 4 5" xfId="29493" xr:uid="{00000000-0005-0000-0000-000030730000}"/>
    <cellStyle name="Input 4 2 3 3 4 6" xfId="29494" xr:uid="{00000000-0005-0000-0000-000031730000}"/>
    <cellStyle name="Input 4 2 3 3 5" xfId="29495" xr:uid="{00000000-0005-0000-0000-000032730000}"/>
    <cellStyle name="Input 4 2 3 3 6" xfId="29496" xr:uid="{00000000-0005-0000-0000-000033730000}"/>
    <cellStyle name="Input 4 2 3 3 7" xfId="29497" xr:uid="{00000000-0005-0000-0000-000034730000}"/>
    <cellStyle name="Input 4 2 3 3 8" xfId="29498" xr:uid="{00000000-0005-0000-0000-000035730000}"/>
    <cellStyle name="Input 4 2 3 4" xfId="29499" xr:uid="{00000000-0005-0000-0000-000036730000}"/>
    <cellStyle name="Input 4 2 3 4 2" xfId="29500" xr:uid="{00000000-0005-0000-0000-000037730000}"/>
    <cellStyle name="Input 4 2 3 4 2 2" xfId="29501" xr:uid="{00000000-0005-0000-0000-000038730000}"/>
    <cellStyle name="Input 4 2 3 4 2 2 2" xfId="29502" xr:uid="{00000000-0005-0000-0000-000039730000}"/>
    <cellStyle name="Input 4 2 3 4 2 2 3" xfId="29503" xr:uid="{00000000-0005-0000-0000-00003A730000}"/>
    <cellStyle name="Input 4 2 3 4 2 2 4" xfId="29504" xr:uid="{00000000-0005-0000-0000-00003B730000}"/>
    <cellStyle name="Input 4 2 3 4 2 2 5" xfId="29505" xr:uid="{00000000-0005-0000-0000-00003C730000}"/>
    <cellStyle name="Input 4 2 3 4 2 2 6" xfId="29506" xr:uid="{00000000-0005-0000-0000-00003D730000}"/>
    <cellStyle name="Input 4 2 3 4 2 3" xfId="29507" xr:uid="{00000000-0005-0000-0000-00003E730000}"/>
    <cellStyle name="Input 4 2 3 4 2 4" xfId="29508" xr:uid="{00000000-0005-0000-0000-00003F730000}"/>
    <cellStyle name="Input 4 2 3 4 2 5" xfId="29509" xr:uid="{00000000-0005-0000-0000-000040730000}"/>
    <cellStyle name="Input 4 2 3 4 2 6" xfId="29510" xr:uid="{00000000-0005-0000-0000-000041730000}"/>
    <cellStyle name="Input 4 2 3 4 3" xfId="29511" xr:uid="{00000000-0005-0000-0000-000042730000}"/>
    <cellStyle name="Input 4 2 3 4 3 2" xfId="29512" xr:uid="{00000000-0005-0000-0000-000043730000}"/>
    <cellStyle name="Input 4 2 3 4 3 2 2" xfId="29513" xr:uid="{00000000-0005-0000-0000-000044730000}"/>
    <cellStyle name="Input 4 2 3 4 3 2 3" xfId="29514" xr:uid="{00000000-0005-0000-0000-000045730000}"/>
    <cellStyle name="Input 4 2 3 4 3 2 4" xfId="29515" xr:uid="{00000000-0005-0000-0000-000046730000}"/>
    <cellStyle name="Input 4 2 3 4 3 2 5" xfId="29516" xr:uid="{00000000-0005-0000-0000-000047730000}"/>
    <cellStyle name="Input 4 2 3 4 3 2 6" xfId="29517" xr:uid="{00000000-0005-0000-0000-000048730000}"/>
    <cellStyle name="Input 4 2 3 4 3 3" xfId="29518" xr:uid="{00000000-0005-0000-0000-000049730000}"/>
    <cellStyle name="Input 4 2 3 4 3 4" xfId="29519" xr:uid="{00000000-0005-0000-0000-00004A730000}"/>
    <cellStyle name="Input 4 2 3 4 3 5" xfId="29520" xr:uid="{00000000-0005-0000-0000-00004B730000}"/>
    <cellStyle name="Input 4 2 3 4 3 6" xfId="29521" xr:uid="{00000000-0005-0000-0000-00004C730000}"/>
    <cellStyle name="Input 4 2 3 4 4" xfId="29522" xr:uid="{00000000-0005-0000-0000-00004D730000}"/>
    <cellStyle name="Input 4 2 3 4 4 2" xfId="29523" xr:uid="{00000000-0005-0000-0000-00004E730000}"/>
    <cellStyle name="Input 4 2 3 4 4 3" xfId="29524" xr:uid="{00000000-0005-0000-0000-00004F730000}"/>
    <cellStyle name="Input 4 2 3 4 4 4" xfId="29525" xr:uid="{00000000-0005-0000-0000-000050730000}"/>
    <cellStyle name="Input 4 2 3 4 4 5" xfId="29526" xr:uid="{00000000-0005-0000-0000-000051730000}"/>
    <cellStyle name="Input 4 2 3 4 4 6" xfId="29527" xr:uid="{00000000-0005-0000-0000-000052730000}"/>
    <cellStyle name="Input 4 2 3 4 5" xfId="29528" xr:uid="{00000000-0005-0000-0000-000053730000}"/>
    <cellStyle name="Input 4 2 3 4 6" xfId="29529" xr:uid="{00000000-0005-0000-0000-000054730000}"/>
    <cellStyle name="Input 4 2 3 4 7" xfId="29530" xr:uid="{00000000-0005-0000-0000-000055730000}"/>
    <cellStyle name="Input 4 2 3 4 8" xfId="29531" xr:uid="{00000000-0005-0000-0000-000056730000}"/>
    <cellStyle name="Input 4 2 3 5" xfId="29532" xr:uid="{00000000-0005-0000-0000-000057730000}"/>
    <cellStyle name="Input 4 2 3 5 2" xfId="29533" xr:uid="{00000000-0005-0000-0000-000058730000}"/>
    <cellStyle name="Input 4 2 3 5 2 2" xfId="29534" xr:uid="{00000000-0005-0000-0000-000059730000}"/>
    <cellStyle name="Input 4 2 3 5 2 2 2" xfId="29535" xr:uid="{00000000-0005-0000-0000-00005A730000}"/>
    <cellStyle name="Input 4 2 3 5 2 2 3" xfId="29536" xr:uid="{00000000-0005-0000-0000-00005B730000}"/>
    <cellStyle name="Input 4 2 3 5 2 2 4" xfId="29537" xr:uid="{00000000-0005-0000-0000-00005C730000}"/>
    <cellStyle name="Input 4 2 3 5 2 2 5" xfId="29538" xr:uid="{00000000-0005-0000-0000-00005D730000}"/>
    <cellStyle name="Input 4 2 3 5 2 2 6" xfId="29539" xr:uid="{00000000-0005-0000-0000-00005E730000}"/>
    <cellStyle name="Input 4 2 3 5 2 3" xfId="29540" xr:uid="{00000000-0005-0000-0000-00005F730000}"/>
    <cellStyle name="Input 4 2 3 5 2 4" xfId="29541" xr:uid="{00000000-0005-0000-0000-000060730000}"/>
    <cellStyle name="Input 4 2 3 5 2 5" xfId="29542" xr:uid="{00000000-0005-0000-0000-000061730000}"/>
    <cellStyle name="Input 4 2 3 5 2 6" xfId="29543" xr:uid="{00000000-0005-0000-0000-000062730000}"/>
    <cellStyle name="Input 4 2 3 5 3" xfId="29544" xr:uid="{00000000-0005-0000-0000-000063730000}"/>
    <cellStyle name="Input 4 2 3 5 3 2" xfId="29545" xr:uid="{00000000-0005-0000-0000-000064730000}"/>
    <cellStyle name="Input 4 2 3 5 3 2 2" xfId="29546" xr:uid="{00000000-0005-0000-0000-000065730000}"/>
    <cellStyle name="Input 4 2 3 5 3 2 3" xfId="29547" xr:uid="{00000000-0005-0000-0000-000066730000}"/>
    <cellStyle name="Input 4 2 3 5 3 2 4" xfId="29548" xr:uid="{00000000-0005-0000-0000-000067730000}"/>
    <cellStyle name="Input 4 2 3 5 3 2 5" xfId="29549" xr:uid="{00000000-0005-0000-0000-000068730000}"/>
    <cellStyle name="Input 4 2 3 5 3 2 6" xfId="29550" xr:uid="{00000000-0005-0000-0000-000069730000}"/>
    <cellStyle name="Input 4 2 3 5 3 3" xfId="29551" xr:uid="{00000000-0005-0000-0000-00006A730000}"/>
    <cellStyle name="Input 4 2 3 5 3 4" xfId="29552" xr:uid="{00000000-0005-0000-0000-00006B730000}"/>
    <cellStyle name="Input 4 2 3 5 3 5" xfId="29553" xr:uid="{00000000-0005-0000-0000-00006C730000}"/>
    <cellStyle name="Input 4 2 3 5 3 6" xfId="29554" xr:uid="{00000000-0005-0000-0000-00006D730000}"/>
    <cellStyle name="Input 4 2 3 5 4" xfId="29555" xr:uid="{00000000-0005-0000-0000-00006E730000}"/>
    <cellStyle name="Input 4 2 3 5 4 2" xfId="29556" xr:uid="{00000000-0005-0000-0000-00006F730000}"/>
    <cellStyle name="Input 4 2 3 5 4 3" xfId="29557" xr:uid="{00000000-0005-0000-0000-000070730000}"/>
    <cellStyle name="Input 4 2 3 5 4 4" xfId="29558" xr:uid="{00000000-0005-0000-0000-000071730000}"/>
    <cellStyle name="Input 4 2 3 5 4 5" xfId="29559" xr:uid="{00000000-0005-0000-0000-000072730000}"/>
    <cellStyle name="Input 4 2 3 5 4 6" xfId="29560" xr:uid="{00000000-0005-0000-0000-000073730000}"/>
    <cellStyle name="Input 4 2 3 5 5" xfId="29561" xr:uid="{00000000-0005-0000-0000-000074730000}"/>
    <cellStyle name="Input 4 2 3 5 6" xfId="29562" xr:uid="{00000000-0005-0000-0000-000075730000}"/>
    <cellStyle name="Input 4 2 3 5 7" xfId="29563" xr:uid="{00000000-0005-0000-0000-000076730000}"/>
    <cellStyle name="Input 4 2 3 5 8" xfId="29564" xr:uid="{00000000-0005-0000-0000-000077730000}"/>
    <cellStyle name="Input 4 2 3 6" xfId="29565" xr:uid="{00000000-0005-0000-0000-000078730000}"/>
    <cellStyle name="Input 4 2 3 6 2" xfId="29566" xr:uid="{00000000-0005-0000-0000-000079730000}"/>
    <cellStyle name="Input 4 2 3 6 2 2" xfId="29567" xr:uid="{00000000-0005-0000-0000-00007A730000}"/>
    <cellStyle name="Input 4 2 3 6 2 2 2" xfId="29568" xr:uid="{00000000-0005-0000-0000-00007B730000}"/>
    <cellStyle name="Input 4 2 3 6 2 2 3" xfId="29569" xr:uid="{00000000-0005-0000-0000-00007C730000}"/>
    <cellStyle name="Input 4 2 3 6 2 2 4" xfId="29570" xr:uid="{00000000-0005-0000-0000-00007D730000}"/>
    <cellStyle name="Input 4 2 3 6 2 2 5" xfId="29571" xr:uid="{00000000-0005-0000-0000-00007E730000}"/>
    <cellStyle name="Input 4 2 3 6 2 2 6" xfId="29572" xr:uid="{00000000-0005-0000-0000-00007F730000}"/>
    <cellStyle name="Input 4 2 3 6 2 3" xfId="29573" xr:uid="{00000000-0005-0000-0000-000080730000}"/>
    <cellStyle name="Input 4 2 3 6 2 4" xfId="29574" xr:uid="{00000000-0005-0000-0000-000081730000}"/>
    <cellStyle name="Input 4 2 3 6 2 5" xfId="29575" xr:uid="{00000000-0005-0000-0000-000082730000}"/>
    <cellStyle name="Input 4 2 3 6 2 6" xfId="29576" xr:uid="{00000000-0005-0000-0000-000083730000}"/>
    <cellStyle name="Input 4 2 3 6 3" xfId="29577" xr:uid="{00000000-0005-0000-0000-000084730000}"/>
    <cellStyle name="Input 4 2 3 6 3 2" xfId="29578" xr:uid="{00000000-0005-0000-0000-000085730000}"/>
    <cellStyle name="Input 4 2 3 6 3 2 2" xfId="29579" xr:uid="{00000000-0005-0000-0000-000086730000}"/>
    <cellStyle name="Input 4 2 3 6 3 2 3" xfId="29580" xr:uid="{00000000-0005-0000-0000-000087730000}"/>
    <cellStyle name="Input 4 2 3 6 3 2 4" xfId="29581" xr:uid="{00000000-0005-0000-0000-000088730000}"/>
    <cellStyle name="Input 4 2 3 6 3 2 5" xfId="29582" xr:uid="{00000000-0005-0000-0000-000089730000}"/>
    <cellStyle name="Input 4 2 3 6 3 2 6" xfId="29583" xr:uid="{00000000-0005-0000-0000-00008A730000}"/>
    <cellStyle name="Input 4 2 3 6 3 3" xfId="29584" xr:uid="{00000000-0005-0000-0000-00008B730000}"/>
    <cellStyle name="Input 4 2 3 6 3 4" xfId="29585" xr:uid="{00000000-0005-0000-0000-00008C730000}"/>
    <cellStyle name="Input 4 2 3 6 3 5" xfId="29586" xr:uid="{00000000-0005-0000-0000-00008D730000}"/>
    <cellStyle name="Input 4 2 3 6 3 6" xfId="29587" xr:uid="{00000000-0005-0000-0000-00008E730000}"/>
    <cellStyle name="Input 4 2 3 6 4" xfId="29588" xr:uid="{00000000-0005-0000-0000-00008F730000}"/>
    <cellStyle name="Input 4 2 3 6 4 2" xfId="29589" xr:uid="{00000000-0005-0000-0000-000090730000}"/>
    <cellStyle name="Input 4 2 3 6 4 3" xfId="29590" xr:uid="{00000000-0005-0000-0000-000091730000}"/>
    <cellStyle name="Input 4 2 3 6 4 4" xfId="29591" xr:uid="{00000000-0005-0000-0000-000092730000}"/>
    <cellStyle name="Input 4 2 3 6 4 5" xfId="29592" xr:uid="{00000000-0005-0000-0000-000093730000}"/>
    <cellStyle name="Input 4 2 3 6 4 6" xfId="29593" xr:uid="{00000000-0005-0000-0000-000094730000}"/>
    <cellStyle name="Input 4 2 3 6 5" xfId="29594" xr:uid="{00000000-0005-0000-0000-000095730000}"/>
    <cellStyle name="Input 4 2 3 6 6" xfId="29595" xr:uid="{00000000-0005-0000-0000-000096730000}"/>
    <cellStyle name="Input 4 2 3 6 7" xfId="29596" xr:uid="{00000000-0005-0000-0000-000097730000}"/>
    <cellStyle name="Input 4 2 3 6 8" xfId="29597" xr:uid="{00000000-0005-0000-0000-000098730000}"/>
    <cellStyle name="Input 4 2 3 7" xfId="29598" xr:uid="{00000000-0005-0000-0000-000099730000}"/>
    <cellStyle name="Input 4 2 3 7 2" xfId="29599" xr:uid="{00000000-0005-0000-0000-00009A730000}"/>
    <cellStyle name="Input 4 2 3 7 2 2" xfId="29600" xr:uid="{00000000-0005-0000-0000-00009B730000}"/>
    <cellStyle name="Input 4 2 3 7 2 3" xfId="29601" xr:uid="{00000000-0005-0000-0000-00009C730000}"/>
    <cellStyle name="Input 4 2 3 7 2 4" xfId="29602" xr:uid="{00000000-0005-0000-0000-00009D730000}"/>
    <cellStyle name="Input 4 2 3 7 2 5" xfId="29603" xr:uid="{00000000-0005-0000-0000-00009E730000}"/>
    <cellStyle name="Input 4 2 3 7 2 6" xfId="29604" xr:uid="{00000000-0005-0000-0000-00009F730000}"/>
    <cellStyle name="Input 4 2 3 7 3" xfId="29605" xr:uid="{00000000-0005-0000-0000-0000A0730000}"/>
    <cellStyle name="Input 4 2 3 7 4" xfId="29606" xr:uid="{00000000-0005-0000-0000-0000A1730000}"/>
    <cellStyle name="Input 4 2 3 7 5" xfId="29607" xr:uid="{00000000-0005-0000-0000-0000A2730000}"/>
    <cellStyle name="Input 4 2 3 7 6" xfId="29608" xr:uid="{00000000-0005-0000-0000-0000A3730000}"/>
    <cellStyle name="Input 4 2 3 8" xfId="29609" xr:uid="{00000000-0005-0000-0000-0000A4730000}"/>
    <cellStyle name="Input 4 2 3 8 2" xfId="29610" xr:uid="{00000000-0005-0000-0000-0000A5730000}"/>
    <cellStyle name="Input 4 2 3 8 2 2" xfId="29611" xr:uid="{00000000-0005-0000-0000-0000A6730000}"/>
    <cellStyle name="Input 4 2 3 8 2 3" xfId="29612" xr:uid="{00000000-0005-0000-0000-0000A7730000}"/>
    <cellStyle name="Input 4 2 3 8 2 4" xfId="29613" xr:uid="{00000000-0005-0000-0000-0000A8730000}"/>
    <cellStyle name="Input 4 2 3 8 2 5" xfId="29614" xr:uid="{00000000-0005-0000-0000-0000A9730000}"/>
    <cellStyle name="Input 4 2 3 8 2 6" xfId="29615" xr:uid="{00000000-0005-0000-0000-0000AA730000}"/>
    <cellStyle name="Input 4 2 3 8 3" xfId="29616" xr:uid="{00000000-0005-0000-0000-0000AB730000}"/>
    <cellStyle name="Input 4 2 3 8 4" xfId="29617" xr:uid="{00000000-0005-0000-0000-0000AC730000}"/>
    <cellStyle name="Input 4 2 3 8 5" xfId="29618" xr:uid="{00000000-0005-0000-0000-0000AD730000}"/>
    <cellStyle name="Input 4 2 3 8 6" xfId="29619" xr:uid="{00000000-0005-0000-0000-0000AE730000}"/>
    <cellStyle name="Input 4 2 3 9" xfId="29620" xr:uid="{00000000-0005-0000-0000-0000AF730000}"/>
    <cellStyle name="Input 4 2 3 9 2" xfId="29621" xr:uid="{00000000-0005-0000-0000-0000B0730000}"/>
    <cellStyle name="Input 4 2 3 9 3" xfId="29622" xr:uid="{00000000-0005-0000-0000-0000B1730000}"/>
    <cellStyle name="Input 4 2 3 9 4" xfId="29623" xr:uid="{00000000-0005-0000-0000-0000B2730000}"/>
    <cellStyle name="Input 4 2 3 9 5" xfId="29624" xr:uid="{00000000-0005-0000-0000-0000B3730000}"/>
    <cellStyle name="Input 4 2 3 9 6" xfId="29625" xr:uid="{00000000-0005-0000-0000-0000B4730000}"/>
    <cellStyle name="Input 4 2 4" xfId="29626" xr:uid="{00000000-0005-0000-0000-0000B5730000}"/>
    <cellStyle name="Input 4 2 4 2" xfId="29627" xr:uid="{00000000-0005-0000-0000-0000B6730000}"/>
    <cellStyle name="Input 4 2 4 2 2" xfId="29628" xr:uid="{00000000-0005-0000-0000-0000B7730000}"/>
    <cellStyle name="Input 4 2 4 2 2 2" xfId="29629" xr:uid="{00000000-0005-0000-0000-0000B8730000}"/>
    <cellStyle name="Input 4 2 4 2 2 3" xfId="29630" xr:uid="{00000000-0005-0000-0000-0000B9730000}"/>
    <cellStyle name="Input 4 2 4 2 2 4" xfId="29631" xr:uid="{00000000-0005-0000-0000-0000BA730000}"/>
    <cellStyle name="Input 4 2 4 2 2 5" xfId="29632" xr:uid="{00000000-0005-0000-0000-0000BB730000}"/>
    <cellStyle name="Input 4 2 4 2 2 6" xfId="29633" xr:uid="{00000000-0005-0000-0000-0000BC730000}"/>
    <cellStyle name="Input 4 2 4 2 3" xfId="29634" xr:uid="{00000000-0005-0000-0000-0000BD730000}"/>
    <cellStyle name="Input 4 2 4 2 4" xfId="29635" xr:uid="{00000000-0005-0000-0000-0000BE730000}"/>
    <cellStyle name="Input 4 2 4 2 5" xfId="29636" xr:uid="{00000000-0005-0000-0000-0000BF730000}"/>
    <cellStyle name="Input 4 2 4 2 6" xfId="29637" xr:uid="{00000000-0005-0000-0000-0000C0730000}"/>
    <cellStyle name="Input 4 2 4 3" xfId="29638" xr:uid="{00000000-0005-0000-0000-0000C1730000}"/>
    <cellStyle name="Input 4 2 4 3 2" xfId="29639" xr:uid="{00000000-0005-0000-0000-0000C2730000}"/>
    <cellStyle name="Input 4 2 4 3 2 2" xfId="29640" xr:uid="{00000000-0005-0000-0000-0000C3730000}"/>
    <cellStyle name="Input 4 2 4 3 2 3" xfId="29641" xr:uid="{00000000-0005-0000-0000-0000C4730000}"/>
    <cellStyle name="Input 4 2 4 3 2 4" xfId="29642" xr:uid="{00000000-0005-0000-0000-0000C5730000}"/>
    <cellStyle name="Input 4 2 4 3 2 5" xfId="29643" xr:uid="{00000000-0005-0000-0000-0000C6730000}"/>
    <cellStyle name="Input 4 2 4 3 2 6" xfId="29644" xr:uid="{00000000-0005-0000-0000-0000C7730000}"/>
    <cellStyle name="Input 4 2 4 3 3" xfId="29645" xr:uid="{00000000-0005-0000-0000-0000C8730000}"/>
    <cellStyle name="Input 4 2 4 3 4" xfId="29646" xr:uid="{00000000-0005-0000-0000-0000C9730000}"/>
    <cellStyle name="Input 4 2 4 3 5" xfId="29647" xr:uid="{00000000-0005-0000-0000-0000CA730000}"/>
    <cellStyle name="Input 4 2 4 3 6" xfId="29648" xr:uid="{00000000-0005-0000-0000-0000CB730000}"/>
    <cellStyle name="Input 4 2 4 4" xfId="29649" xr:uid="{00000000-0005-0000-0000-0000CC730000}"/>
    <cellStyle name="Input 4 2 4 4 2" xfId="29650" xr:uid="{00000000-0005-0000-0000-0000CD730000}"/>
    <cellStyle name="Input 4 2 4 4 3" xfId="29651" xr:uid="{00000000-0005-0000-0000-0000CE730000}"/>
    <cellStyle name="Input 4 2 4 4 4" xfId="29652" xr:uid="{00000000-0005-0000-0000-0000CF730000}"/>
    <cellStyle name="Input 4 2 4 4 5" xfId="29653" xr:uid="{00000000-0005-0000-0000-0000D0730000}"/>
    <cellStyle name="Input 4 2 4 4 6" xfId="29654" xr:uid="{00000000-0005-0000-0000-0000D1730000}"/>
    <cellStyle name="Input 4 2 4 5" xfId="29655" xr:uid="{00000000-0005-0000-0000-0000D2730000}"/>
    <cellStyle name="Input 4 2 4 6" xfId="29656" xr:uid="{00000000-0005-0000-0000-0000D3730000}"/>
    <cellStyle name="Input 4 2 4 7" xfId="29657" xr:uid="{00000000-0005-0000-0000-0000D4730000}"/>
    <cellStyle name="Input 4 2 4 8" xfId="29658" xr:uid="{00000000-0005-0000-0000-0000D5730000}"/>
    <cellStyle name="Input 4 2 5" xfId="29659" xr:uid="{00000000-0005-0000-0000-0000D6730000}"/>
    <cellStyle name="Input 4 2 5 2" xfId="29660" xr:uid="{00000000-0005-0000-0000-0000D7730000}"/>
    <cellStyle name="Input 4 2 5 2 2" xfId="29661" xr:uid="{00000000-0005-0000-0000-0000D8730000}"/>
    <cellStyle name="Input 4 2 5 2 2 2" xfId="29662" xr:uid="{00000000-0005-0000-0000-0000D9730000}"/>
    <cellStyle name="Input 4 2 5 2 2 3" xfId="29663" xr:uid="{00000000-0005-0000-0000-0000DA730000}"/>
    <cellStyle name="Input 4 2 5 2 2 4" xfId="29664" xr:uid="{00000000-0005-0000-0000-0000DB730000}"/>
    <cellStyle name="Input 4 2 5 2 2 5" xfId="29665" xr:uid="{00000000-0005-0000-0000-0000DC730000}"/>
    <cellStyle name="Input 4 2 5 2 2 6" xfId="29666" xr:uid="{00000000-0005-0000-0000-0000DD730000}"/>
    <cellStyle name="Input 4 2 5 2 3" xfId="29667" xr:uid="{00000000-0005-0000-0000-0000DE730000}"/>
    <cellStyle name="Input 4 2 5 2 4" xfId="29668" xr:uid="{00000000-0005-0000-0000-0000DF730000}"/>
    <cellStyle name="Input 4 2 5 2 5" xfId="29669" xr:uid="{00000000-0005-0000-0000-0000E0730000}"/>
    <cellStyle name="Input 4 2 5 2 6" xfId="29670" xr:uid="{00000000-0005-0000-0000-0000E1730000}"/>
    <cellStyle name="Input 4 2 5 3" xfId="29671" xr:uid="{00000000-0005-0000-0000-0000E2730000}"/>
    <cellStyle name="Input 4 2 5 3 2" xfId="29672" xr:uid="{00000000-0005-0000-0000-0000E3730000}"/>
    <cellStyle name="Input 4 2 5 3 2 2" xfId="29673" xr:uid="{00000000-0005-0000-0000-0000E4730000}"/>
    <cellStyle name="Input 4 2 5 3 2 3" xfId="29674" xr:uid="{00000000-0005-0000-0000-0000E5730000}"/>
    <cellStyle name="Input 4 2 5 3 2 4" xfId="29675" xr:uid="{00000000-0005-0000-0000-0000E6730000}"/>
    <cellStyle name="Input 4 2 5 3 2 5" xfId="29676" xr:uid="{00000000-0005-0000-0000-0000E7730000}"/>
    <cellStyle name="Input 4 2 5 3 2 6" xfId="29677" xr:uid="{00000000-0005-0000-0000-0000E8730000}"/>
    <cellStyle name="Input 4 2 5 3 3" xfId="29678" xr:uid="{00000000-0005-0000-0000-0000E9730000}"/>
    <cellStyle name="Input 4 2 5 3 4" xfId="29679" xr:uid="{00000000-0005-0000-0000-0000EA730000}"/>
    <cellStyle name="Input 4 2 5 3 5" xfId="29680" xr:uid="{00000000-0005-0000-0000-0000EB730000}"/>
    <cellStyle name="Input 4 2 5 3 6" xfId="29681" xr:uid="{00000000-0005-0000-0000-0000EC730000}"/>
    <cellStyle name="Input 4 2 5 4" xfId="29682" xr:uid="{00000000-0005-0000-0000-0000ED730000}"/>
    <cellStyle name="Input 4 2 5 4 2" xfId="29683" xr:uid="{00000000-0005-0000-0000-0000EE730000}"/>
    <cellStyle name="Input 4 2 5 4 3" xfId="29684" xr:uid="{00000000-0005-0000-0000-0000EF730000}"/>
    <cellStyle name="Input 4 2 5 4 4" xfId="29685" xr:uid="{00000000-0005-0000-0000-0000F0730000}"/>
    <cellStyle name="Input 4 2 5 4 5" xfId="29686" xr:uid="{00000000-0005-0000-0000-0000F1730000}"/>
    <cellStyle name="Input 4 2 5 4 6" xfId="29687" xr:uid="{00000000-0005-0000-0000-0000F2730000}"/>
    <cellStyle name="Input 4 2 5 5" xfId="29688" xr:uid="{00000000-0005-0000-0000-0000F3730000}"/>
    <cellStyle name="Input 4 2 5 6" xfId="29689" xr:uid="{00000000-0005-0000-0000-0000F4730000}"/>
    <cellStyle name="Input 4 2 5 7" xfId="29690" xr:uid="{00000000-0005-0000-0000-0000F5730000}"/>
    <cellStyle name="Input 4 2 5 8" xfId="29691" xr:uid="{00000000-0005-0000-0000-0000F6730000}"/>
    <cellStyle name="Input 4 2 6" xfId="29692" xr:uid="{00000000-0005-0000-0000-0000F7730000}"/>
    <cellStyle name="Input 4 2 6 2" xfId="29693" xr:uid="{00000000-0005-0000-0000-0000F8730000}"/>
    <cellStyle name="Input 4 2 6 2 2" xfId="29694" xr:uid="{00000000-0005-0000-0000-0000F9730000}"/>
    <cellStyle name="Input 4 2 6 2 2 2" xfId="29695" xr:uid="{00000000-0005-0000-0000-0000FA730000}"/>
    <cellStyle name="Input 4 2 6 2 2 3" xfId="29696" xr:uid="{00000000-0005-0000-0000-0000FB730000}"/>
    <cellStyle name="Input 4 2 6 2 2 4" xfId="29697" xr:uid="{00000000-0005-0000-0000-0000FC730000}"/>
    <cellStyle name="Input 4 2 6 2 2 5" xfId="29698" xr:uid="{00000000-0005-0000-0000-0000FD730000}"/>
    <cellStyle name="Input 4 2 6 2 2 6" xfId="29699" xr:uid="{00000000-0005-0000-0000-0000FE730000}"/>
    <cellStyle name="Input 4 2 6 2 3" xfId="29700" xr:uid="{00000000-0005-0000-0000-0000FF730000}"/>
    <cellStyle name="Input 4 2 6 2 4" xfId="29701" xr:uid="{00000000-0005-0000-0000-000000740000}"/>
    <cellStyle name="Input 4 2 6 2 5" xfId="29702" xr:uid="{00000000-0005-0000-0000-000001740000}"/>
    <cellStyle name="Input 4 2 6 2 6" xfId="29703" xr:uid="{00000000-0005-0000-0000-000002740000}"/>
    <cellStyle name="Input 4 2 6 3" xfId="29704" xr:uid="{00000000-0005-0000-0000-000003740000}"/>
    <cellStyle name="Input 4 2 6 3 2" xfId="29705" xr:uid="{00000000-0005-0000-0000-000004740000}"/>
    <cellStyle name="Input 4 2 6 3 2 2" xfId="29706" xr:uid="{00000000-0005-0000-0000-000005740000}"/>
    <cellStyle name="Input 4 2 6 3 2 3" xfId="29707" xr:uid="{00000000-0005-0000-0000-000006740000}"/>
    <cellStyle name="Input 4 2 6 3 2 4" xfId="29708" xr:uid="{00000000-0005-0000-0000-000007740000}"/>
    <cellStyle name="Input 4 2 6 3 2 5" xfId="29709" xr:uid="{00000000-0005-0000-0000-000008740000}"/>
    <cellStyle name="Input 4 2 6 3 2 6" xfId="29710" xr:uid="{00000000-0005-0000-0000-000009740000}"/>
    <cellStyle name="Input 4 2 6 3 3" xfId="29711" xr:uid="{00000000-0005-0000-0000-00000A740000}"/>
    <cellStyle name="Input 4 2 6 3 4" xfId="29712" xr:uid="{00000000-0005-0000-0000-00000B740000}"/>
    <cellStyle name="Input 4 2 6 3 5" xfId="29713" xr:uid="{00000000-0005-0000-0000-00000C740000}"/>
    <cellStyle name="Input 4 2 6 3 6" xfId="29714" xr:uid="{00000000-0005-0000-0000-00000D740000}"/>
    <cellStyle name="Input 4 2 6 4" xfId="29715" xr:uid="{00000000-0005-0000-0000-00000E740000}"/>
    <cellStyle name="Input 4 2 6 4 2" xfId="29716" xr:uid="{00000000-0005-0000-0000-00000F740000}"/>
    <cellStyle name="Input 4 2 6 4 3" xfId="29717" xr:uid="{00000000-0005-0000-0000-000010740000}"/>
    <cellStyle name="Input 4 2 6 4 4" xfId="29718" xr:uid="{00000000-0005-0000-0000-000011740000}"/>
    <cellStyle name="Input 4 2 6 4 5" xfId="29719" xr:uid="{00000000-0005-0000-0000-000012740000}"/>
    <cellStyle name="Input 4 2 6 4 6" xfId="29720" xr:uid="{00000000-0005-0000-0000-000013740000}"/>
    <cellStyle name="Input 4 2 6 5" xfId="29721" xr:uid="{00000000-0005-0000-0000-000014740000}"/>
    <cellStyle name="Input 4 2 6 6" xfId="29722" xr:uid="{00000000-0005-0000-0000-000015740000}"/>
    <cellStyle name="Input 4 2 6 7" xfId="29723" xr:uid="{00000000-0005-0000-0000-000016740000}"/>
    <cellStyle name="Input 4 2 6 8" xfId="29724" xr:uid="{00000000-0005-0000-0000-000017740000}"/>
    <cellStyle name="Input 4 2 7" xfId="29725" xr:uid="{00000000-0005-0000-0000-000018740000}"/>
    <cellStyle name="Input 4 2 7 2" xfId="29726" xr:uid="{00000000-0005-0000-0000-000019740000}"/>
    <cellStyle name="Input 4 2 7 2 2" xfId="29727" xr:uid="{00000000-0005-0000-0000-00001A740000}"/>
    <cellStyle name="Input 4 2 7 2 3" xfId="29728" xr:uid="{00000000-0005-0000-0000-00001B740000}"/>
    <cellStyle name="Input 4 2 7 2 4" xfId="29729" xr:uid="{00000000-0005-0000-0000-00001C740000}"/>
    <cellStyle name="Input 4 2 7 2 5" xfId="29730" xr:uid="{00000000-0005-0000-0000-00001D740000}"/>
    <cellStyle name="Input 4 2 7 2 6" xfId="29731" xr:uid="{00000000-0005-0000-0000-00001E740000}"/>
    <cellStyle name="Input 4 2 7 3" xfId="29732" xr:uid="{00000000-0005-0000-0000-00001F740000}"/>
    <cellStyle name="Input 4 2 7 4" xfId="29733" xr:uid="{00000000-0005-0000-0000-000020740000}"/>
    <cellStyle name="Input 4 2 7 5" xfId="29734" xr:uid="{00000000-0005-0000-0000-000021740000}"/>
    <cellStyle name="Input 4 2 7 6" xfId="29735" xr:uid="{00000000-0005-0000-0000-000022740000}"/>
    <cellStyle name="Input 4 2 8" xfId="29736" xr:uid="{00000000-0005-0000-0000-000023740000}"/>
    <cellStyle name="Input 4 2 8 2" xfId="29737" xr:uid="{00000000-0005-0000-0000-000024740000}"/>
    <cellStyle name="Input 4 2 8 2 2" xfId="29738" xr:uid="{00000000-0005-0000-0000-000025740000}"/>
    <cellStyle name="Input 4 2 8 2 3" xfId="29739" xr:uid="{00000000-0005-0000-0000-000026740000}"/>
    <cellStyle name="Input 4 2 8 2 4" xfId="29740" xr:uid="{00000000-0005-0000-0000-000027740000}"/>
    <cellStyle name="Input 4 2 8 2 5" xfId="29741" xr:uid="{00000000-0005-0000-0000-000028740000}"/>
    <cellStyle name="Input 4 2 8 2 6" xfId="29742" xr:uid="{00000000-0005-0000-0000-000029740000}"/>
    <cellStyle name="Input 4 2 8 3" xfId="29743" xr:uid="{00000000-0005-0000-0000-00002A740000}"/>
    <cellStyle name="Input 4 2 8 4" xfId="29744" xr:uid="{00000000-0005-0000-0000-00002B740000}"/>
    <cellStyle name="Input 4 2 8 5" xfId="29745" xr:uid="{00000000-0005-0000-0000-00002C740000}"/>
    <cellStyle name="Input 4 2 8 6" xfId="29746" xr:uid="{00000000-0005-0000-0000-00002D740000}"/>
    <cellStyle name="Input 4 2 9" xfId="29747" xr:uid="{00000000-0005-0000-0000-00002E740000}"/>
    <cellStyle name="Input 4 2 9 2" xfId="29748" xr:uid="{00000000-0005-0000-0000-00002F740000}"/>
    <cellStyle name="Input 4 2 9 3" xfId="29749" xr:uid="{00000000-0005-0000-0000-000030740000}"/>
    <cellStyle name="Input 4 2 9 4" xfId="29750" xr:uid="{00000000-0005-0000-0000-000031740000}"/>
    <cellStyle name="Input 4 2 9 5" xfId="29751" xr:uid="{00000000-0005-0000-0000-000032740000}"/>
    <cellStyle name="Input 4 2 9 6" xfId="29752" xr:uid="{00000000-0005-0000-0000-000033740000}"/>
    <cellStyle name="Input 4 3" xfId="29753" xr:uid="{00000000-0005-0000-0000-000034740000}"/>
    <cellStyle name="Input 4 4" xfId="29754" xr:uid="{00000000-0005-0000-0000-000035740000}"/>
    <cellStyle name="Input 4 4 10" xfId="29755" xr:uid="{00000000-0005-0000-0000-000036740000}"/>
    <cellStyle name="Input 4 4 11" xfId="29756" xr:uid="{00000000-0005-0000-0000-000037740000}"/>
    <cellStyle name="Input 4 4 12" xfId="29757" xr:uid="{00000000-0005-0000-0000-000038740000}"/>
    <cellStyle name="Input 4 4 13" xfId="29758" xr:uid="{00000000-0005-0000-0000-000039740000}"/>
    <cellStyle name="Input 4 4 2" xfId="29759" xr:uid="{00000000-0005-0000-0000-00003A740000}"/>
    <cellStyle name="Input 4 4 2 10" xfId="29760" xr:uid="{00000000-0005-0000-0000-00003B740000}"/>
    <cellStyle name="Input 4 4 2 10 2" xfId="29761" xr:uid="{00000000-0005-0000-0000-00003C740000}"/>
    <cellStyle name="Input 4 4 2 10 3" xfId="29762" xr:uid="{00000000-0005-0000-0000-00003D740000}"/>
    <cellStyle name="Input 4 4 2 10 4" xfId="29763" xr:uid="{00000000-0005-0000-0000-00003E740000}"/>
    <cellStyle name="Input 4 4 2 10 5" xfId="29764" xr:uid="{00000000-0005-0000-0000-00003F740000}"/>
    <cellStyle name="Input 4 4 2 10 6" xfId="29765" xr:uid="{00000000-0005-0000-0000-000040740000}"/>
    <cellStyle name="Input 4 4 2 11" xfId="29766" xr:uid="{00000000-0005-0000-0000-000041740000}"/>
    <cellStyle name="Input 4 4 2 12" xfId="29767" xr:uid="{00000000-0005-0000-0000-000042740000}"/>
    <cellStyle name="Input 4 4 2 13" xfId="29768" xr:uid="{00000000-0005-0000-0000-000043740000}"/>
    <cellStyle name="Input 4 4 2 14" xfId="29769" xr:uid="{00000000-0005-0000-0000-000044740000}"/>
    <cellStyle name="Input 4 4 2 2" xfId="29770" xr:uid="{00000000-0005-0000-0000-000045740000}"/>
    <cellStyle name="Input 4 4 2 2 10" xfId="29771" xr:uid="{00000000-0005-0000-0000-000046740000}"/>
    <cellStyle name="Input 4 4 2 2 11" xfId="29772" xr:uid="{00000000-0005-0000-0000-000047740000}"/>
    <cellStyle name="Input 4 4 2 2 12" xfId="29773" xr:uid="{00000000-0005-0000-0000-000048740000}"/>
    <cellStyle name="Input 4 4 2 2 13" xfId="29774" xr:uid="{00000000-0005-0000-0000-000049740000}"/>
    <cellStyle name="Input 4 4 2 2 2" xfId="29775" xr:uid="{00000000-0005-0000-0000-00004A740000}"/>
    <cellStyle name="Input 4 4 2 2 2 2" xfId="29776" xr:uid="{00000000-0005-0000-0000-00004B740000}"/>
    <cellStyle name="Input 4 4 2 2 2 2 2" xfId="29777" xr:uid="{00000000-0005-0000-0000-00004C740000}"/>
    <cellStyle name="Input 4 4 2 2 2 2 2 2" xfId="29778" xr:uid="{00000000-0005-0000-0000-00004D740000}"/>
    <cellStyle name="Input 4 4 2 2 2 2 2 3" xfId="29779" xr:uid="{00000000-0005-0000-0000-00004E740000}"/>
    <cellStyle name="Input 4 4 2 2 2 2 2 4" xfId="29780" xr:uid="{00000000-0005-0000-0000-00004F740000}"/>
    <cellStyle name="Input 4 4 2 2 2 2 2 5" xfId="29781" xr:uid="{00000000-0005-0000-0000-000050740000}"/>
    <cellStyle name="Input 4 4 2 2 2 2 2 6" xfId="29782" xr:uid="{00000000-0005-0000-0000-000051740000}"/>
    <cellStyle name="Input 4 4 2 2 2 2 3" xfId="29783" xr:uid="{00000000-0005-0000-0000-000052740000}"/>
    <cellStyle name="Input 4 4 2 2 2 2 4" xfId="29784" xr:uid="{00000000-0005-0000-0000-000053740000}"/>
    <cellStyle name="Input 4 4 2 2 2 2 5" xfId="29785" xr:uid="{00000000-0005-0000-0000-000054740000}"/>
    <cellStyle name="Input 4 4 2 2 2 2 6" xfId="29786" xr:uid="{00000000-0005-0000-0000-000055740000}"/>
    <cellStyle name="Input 4 4 2 2 2 3" xfId="29787" xr:uid="{00000000-0005-0000-0000-000056740000}"/>
    <cellStyle name="Input 4 4 2 2 2 3 2" xfId="29788" xr:uid="{00000000-0005-0000-0000-000057740000}"/>
    <cellStyle name="Input 4 4 2 2 2 3 2 2" xfId="29789" xr:uid="{00000000-0005-0000-0000-000058740000}"/>
    <cellStyle name="Input 4 4 2 2 2 3 2 3" xfId="29790" xr:uid="{00000000-0005-0000-0000-000059740000}"/>
    <cellStyle name="Input 4 4 2 2 2 3 2 4" xfId="29791" xr:uid="{00000000-0005-0000-0000-00005A740000}"/>
    <cellStyle name="Input 4 4 2 2 2 3 2 5" xfId="29792" xr:uid="{00000000-0005-0000-0000-00005B740000}"/>
    <cellStyle name="Input 4 4 2 2 2 3 2 6" xfId="29793" xr:uid="{00000000-0005-0000-0000-00005C740000}"/>
    <cellStyle name="Input 4 4 2 2 2 3 3" xfId="29794" xr:uid="{00000000-0005-0000-0000-00005D740000}"/>
    <cellStyle name="Input 4 4 2 2 2 3 4" xfId="29795" xr:uid="{00000000-0005-0000-0000-00005E740000}"/>
    <cellStyle name="Input 4 4 2 2 2 3 5" xfId="29796" xr:uid="{00000000-0005-0000-0000-00005F740000}"/>
    <cellStyle name="Input 4 4 2 2 2 3 6" xfId="29797" xr:uid="{00000000-0005-0000-0000-000060740000}"/>
    <cellStyle name="Input 4 4 2 2 2 4" xfId="29798" xr:uid="{00000000-0005-0000-0000-000061740000}"/>
    <cellStyle name="Input 4 4 2 2 2 4 2" xfId="29799" xr:uid="{00000000-0005-0000-0000-000062740000}"/>
    <cellStyle name="Input 4 4 2 2 2 4 3" xfId="29800" xr:uid="{00000000-0005-0000-0000-000063740000}"/>
    <cellStyle name="Input 4 4 2 2 2 4 4" xfId="29801" xr:uid="{00000000-0005-0000-0000-000064740000}"/>
    <cellStyle name="Input 4 4 2 2 2 4 5" xfId="29802" xr:uid="{00000000-0005-0000-0000-000065740000}"/>
    <cellStyle name="Input 4 4 2 2 2 4 6" xfId="29803" xr:uid="{00000000-0005-0000-0000-000066740000}"/>
    <cellStyle name="Input 4 4 2 2 2 5" xfId="29804" xr:uid="{00000000-0005-0000-0000-000067740000}"/>
    <cellStyle name="Input 4 4 2 2 2 6" xfId="29805" xr:uid="{00000000-0005-0000-0000-000068740000}"/>
    <cellStyle name="Input 4 4 2 2 2 7" xfId="29806" xr:uid="{00000000-0005-0000-0000-000069740000}"/>
    <cellStyle name="Input 4 4 2 2 2 8" xfId="29807" xr:uid="{00000000-0005-0000-0000-00006A740000}"/>
    <cellStyle name="Input 4 4 2 2 3" xfId="29808" xr:uid="{00000000-0005-0000-0000-00006B740000}"/>
    <cellStyle name="Input 4 4 2 2 3 2" xfId="29809" xr:uid="{00000000-0005-0000-0000-00006C740000}"/>
    <cellStyle name="Input 4 4 2 2 3 2 2" xfId="29810" xr:uid="{00000000-0005-0000-0000-00006D740000}"/>
    <cellStyle name="Input 4 4 2 2 3 2 2 2" xfId="29811" xr:uid="{00000000-0005-0000-0000-00006E740000}"/>
    <cellStyle name="Input 4 4 2 2 3 2 2 3" xfId="29812" xr:uid="{00000000-0005-0000-0000-00006F740000}"/>
    <cellStyle name="Input 4 4 2 2 3 2 2 4" xfId="29813" xr:uid="{00000000-0005-0000-0000-000070740000}"/>
    <cellStyle name="Input 4 4 2 2 3 2 2 5" xfId="29814" xr:uid="{00000000-0005-0000-0000-000071740000}"/>
    <cellStyle name="Input 4 4 2 2 3 2 2 6" xfId="29815" xr:uid="{00000000-0005-0000-0000-000072740000}"/>
    <cellStyle name="Input 4 4 2 2 3 2 3" xfId="29816" xr:uid="{00000000-0005-0000-0000-000073740000}"/>
    <cellStyle name="Input 4 4 2 2 3 2 4" xfId="29817" xr:uid="{00000000-0005-0000-0000-000074740000}"/>
    <cellStyle name="Input 4 4 2 2 3 2 5" xfId="29818" xr:uid="{00000000-0005-0000-0000-000075740000}"/>
    <cellStyle name="Input 4 4 2 2 3 2 6" xfId="29819" xr:uid="{00000000-0005-0000-0000-000076740000}"/>
    <cellStyle name="Input 4 4 2 2 3 3" xfId="29820" xr:uid="{00000000-0005-0000-0000-000077740000}"/>
    <cellStyle name="Input 4 4 2 2 3 3 2" xfId="29821" xr:uid="{00000000-0005-0000-0000-000078740000}"/>
    <cellStyle name="Input 4 4 2 2 3 3 2 2" xfId="29822" xr:uid="{00000000-0005-0000-0000-000079740000}"/>
    <cellStyle name="Input 4 4 2 2 3 3 2 3" xfId="29823" xr:uid="{00000000-0005-0000-0000-00007A740000}"/>
    <cellStyle name="Input 4 4 2 2 3 3 2 4" xfId="29824" xr:uid="{00000000-0005-0000-0000-00007B740000}"/>
    <cellStyle name="Input 4 4 2 2 3 3 2 5" xfId="29825" xr:uid="{00000000-0005-0000-0000-00007C740000}"/>
    <cellStyle name="Input 4 4 2 2 3 3 2 6" xfId="29826" xr:uid="{00000000-0005-0000-0000-00007D740000}"/>
    <cellStyle name="Input 4 4 2 2 3 3 3" xfId="29827" xr:uid="{00000000-0005-0000-0000-00007E740000}"/>
    <cellStyle name="Input 4 4 2 2 3 3 4" xfId="29828" xr:uid="{00000000-0005-0000-0000-00007F740000}"/>
    <cellStyle name="Input 4 4 2 2 3 3 5" xfId="29829" xr:uid="{00000000-0005-0000-0000-000080740000}"/>
    <cellStyle name="Input 4 4 2 2 3 3 6" xfId="29830" xr:uid="{00000000-0005-0000-0000-000081740000}"/>
    <cellStyle name="Input 4 4 2 2 3 4" xfId="29831" xr:uid="{00000000-0005-0000-0000-000082740000}"/>
    <cellStyle name="Input 4 4 2 2 3 4 2" xfId="29832" xr:uid="{00000000-0005-0000-0000-000083740000}"/>
    <cellStyle name="Input 4 4 2 2 3 4 3" xfId="29833" xr:uid="{00000000-0005-0000-0000-000084740000}"/>
    <cellStyle name="Input 4 4 2 2 3 4 4" xfId="29834" xr:uid="{00000000-0005-0000-0000-000085740000}"/>
    <cellStyle name="Input 4 4 2 2 3 4 5" xfId="29835" xr:uid="{00000000-0005-0000-0000-000086740000}"/>
    <cellStyle name="Input 4 4 2 2 3 4 6" xfId="29836" xr:uid="{00000000-0005-0000-0000-000087740000}"/>
    <cellStyle name="Input 4 4 2 2 3 5" xfId="29837" xr:uid="{00000000-0005-0000-0000-000088740000}"/>
    <cellStyle name="Input 4 4 2 2 3 6" xfId="29838" xr:uid="{00000000-0005-0000-0000-000089740000}"/>
    <cellStyle name="Input 4 4 2 2 3 7" xfId="29839" xr:uid="{00000000-0005-0000-0000-00008A740000}"/>
    <cellStyle name="Input 4 4 2 2 3 8" xfId="29840" xr:uid="{00000000-0005-0000-0000-00008B740000}"/>
    <cellStyle name="Input 4 4 2 2 4" xfId="29841" xr:uid="{00000000-0005-0000-0000-00008C740000}"/>
    <cellStyle name="Input 4 4 2 2 4 2" xfId="29842" xr:uid="{00000000-0005-0000-0000-00008D740000}"/>
    <cellStyle name="Input 4 4 2 2 4 2 2" xfId="29843" xr:uid="{00000000-0005-0000-0000-00008E740000}"/>
    <cellStyle name="Input 4 4 2 2 4 2 2 2" xfId="29844" xr:uid="{00000000-0005-0000-0000-00008F740000}"/>
    <cellStyle name="Input 4 4 2 2 4 2 2 3" xfId="29845" xr:uid="{00000000-0005-0000-0000-000090740000}"/>
    <cellStyle name="Input 4 4 2 2 4 2 2 4" xfId="29846" xr:uid="{00000000-0005-0000-0000-000091740000}"/>
    <cellStyle name="Input 4 4 2 2 4 2 2 5" xfId="29847" xr:uid="{00000000-0005-0000-0000-000092740000}"/>
    <cellStyle name="Input 4 4 2 2 4 2 2 6" xfId="29848" xr:uid="{00000000-0005-0000-0000-000093740000}"/>
    <cellStyle name="Input 4 4 2 2 4 2 3" xfId="29849" xr:uid="{00000000-0005-0000-0000-000094740000}"/>
    <cellStyle name="Input 4 4 2 2 4 2 4" xfId="29850" xr:uid="{00000000-0005-0000-0000-000095740000}"/>
    <cellStyle name="Input 4 4 2 2 4 2 5" xfId="29851" xr:uid="{00000000-0005-0000-0000-000096740000}"/>
    <cellStyle name="Input 4 4 2 2 4 2 6" xfId="29852" xr:uid="{00000000-0005-0000-0000-000097740000}"/>
    <cellStyle name="Input 4 4 2 2 4 3" xfId="29853" xr:uid="{00000000-0005-0000-0000-000098740000}"/>
    <cellStyle name="Input 4 4 2 2 4 3 2" xfId="29854" xr:uid="{00000000-0005-0000-0000-000099740000}"/>
    <cellStyle name="Input 4 4 2 2 4 3 2 2" xfId="29855" xr:uid="{00000000-0005-0000-0000-00009A740000}"/>
    <cellStyle name="Input 4 4 2 2 4 3 2 3" xfId="29856" xr:uid="{00000000-0005-0000-0000-00009B740000}"/>
    <cellStyle name="Input 4 4 2 2 4 3 2 4" xfId="29857" xr:uid="{00000000-0005-0000-0000-00009C740000}"/>
    <cellStyle name="Input 4 4 2 2 4 3 2 5" xfId="29858" xr:uid="{00000000-0005-0000-0000-00009D740000}"/>
    <cellStyle name="Input 4 4 2 2 4 3 2 6" xfId="29859" xr:uid="{00000000-0005-0000-0000-00009E740000}"/>
    <cellStyle name="Input 4 4 2 2 4 3 3" xfId="29860" xr:uid="{00000000-0005-0000-0000-00009F740000}"/>
    <cellStyle name="Input 4 4 2 2 4 3 4" xfId="29861" xr:uid="{00000000-0005-0000-0000-0000A0740000}"/>
    <cellStyle name="Input 4 4 2 2 4 3 5" xfId="29862" xr:uid="{00000000-0005-0000-0000-0000A1740000}"/>
    <cellStyle name="Input 4 4 2 2 4 3 6" xfId="29863" xr:uid="{00000000-0005-0000-0000-0000A2740000}"/>
    <cellStyle name="Input 4 4 2 2 4 4" xfId="29864" xr:uid="{00000000-0005-0000-0000-0000A3740000}"/>
    <cellStyle name="Input 4 4 2 2 4 4 2" xfId="29865" xr:uid="{00000000-0005-0000-0000-0000A4740000}"/>
    <cellStyle name="Input 4 4 2 2 4 4 3" xfId="29866" xr:uid="{00000000-0005-0000-0000-0000A5740000}"/>
    <cellStyle name="Input 4 4 2 2 4 4 4" xfId="29867" xr:uid="{00000000-0005-0000-0000-0000A6740000}"/>
    <cellStyle name="Input 4 4 2 2 4 4 5" xfId="29868" xr:uid="{00000000-0005-0000-0000-0000A7740000}"/>
    <cellStyle name="Input 4 4 2 2 4 4 6" xfId="29869" xr:uid="{00000000-0005-0000-0000-0000A8740000}"/>
    <cellStyle name="Input 4 4 2 2 4 5" xfId="29870" xr:uid="{00000000-0005-0000-0000-0000A9740000}"/>
    <cellStyle name="Input 4 4 2 2 4 6" xfId="29871" xr:uid="{00000000-0005-0000-0000-0000AA740000}"/>
    <cellStyle name="Input 4 4 2 2 4 7" xfId="29872" xr:uid="{00000000-0005-0000-0000-0000AB740000}"/>
    <cellStyle name="Input 4 4 2 2 4 8" xfId="29873" xr:uid="{00000000-0005-0000-0000-0000AC740000}"/>
    <cellStyle name="Input 4 4 2 2 5" xfId="29874" xr:uid="{00000000-0005-0000-0000-0000AD740000}"/>
    <cellStyle name="Input 4 4 2 2 5 2" xfId="29875" xr:uid="{00000000-0005-0000-0000-0000AE740000}"/>
    <cellStyle name="Input 4 4 2 2 5 2 2" xfId="29876" xr:uid="{00000000-0005-0000-0000-0000AF740000}"/>
    <cellStyle name="Input 4 4 2 2 5 2 2 2" xfId="29877" xr:uid="{00000000-0005-0000-0000-0000B0740000}"/>
    <cellStyle name="Input 4 4 2 2 5 2 2 3" xfId="29878" xr:uid="{00000000-0005-0000-0000-0000B1740000}"/>
    <cellStyle name="Input 4 4 2 2 5 2 2 4" xfId="29879" xr:uid="{00000000-0005-0000-0000-0000B2740000}"/>
    <cellStyle name="Input 4 4 2 2 5 2 2 5" xfId="29880" xr:uid="{00000000-0005-0000-0000-0000B3740000}"/>
    <cellStyle name="Input 4 4 2 2 5 2 2 6" xfId="29881" xr:uid="{00000000-0005-0000-0000-0000B4740000}"/>
    <cellStyle name="Input 4 4 2 2 5 2 3" xfId="29882" xr:uid="{00000000-0005-0000-0000-0000B5740000}"/>
    <cellStyle name="Input 4 4 2 2 5 2 4" xfId="29883" xr:uid="{00000000-0005-0000-0000-0000B6740000}"/>
    <cellStyle name="Input 4 4 2 2 5 2 5" xfId="29884" xr:uid="{00000000-0005-0000-0000-0000B7740000}"/>
    <cellStyle name="Input 4 4 2 2 5 2 6" xfId="29885" xr:uid="{00000000-0005-0000-0000-0000B8740000}"/>
    <cellStyle name="Input 4 4 2 2 5 3" xfId="29886" xr:uid="{00000000-0005-0000-0000-0000B9740000}"/>
    <cellStyle name="Input 4 4 2 2 5 3 2" xfId="29887" xr:uid="{00000000-0005-0000-0000-0000BA740000}"/>
    <cellStyle name="Input 4 4 2 2 5 3 2 2" xfId="29888" xr:uid="{00000000-0005-0000-0000-0000BB740000}"/>
    <cellStyle name="Input 4 4 2 2 5 3 2 3" xfId="29889" xr:uid="{00000000-0005-0000-0000-0000BC740000}"/>
    <cellStyle name="Input 4 4 2 2 5 3 2 4" xfId="29890" xr:uid="{00000000-0005-0000-0000-0000BD740000}"/>
    <cellStyle name="Input 4 4 2 2 5 3 2 5" xfId="29891" xr:uid="{00000000-0005-0000-0000-0000BE740000}"/>
    <cellStyle name="Input 4 4 2 2 5 3 2 6" xfId="29892" xr:uid="{00000000-0005-0000-0000-0000BF740000}"/>
    <cellStyle name="Input 4 4 2 2 5 3 3" xfId="29893" xr:uid="{00000000-0005-0000-0000-0000C0740000}"/>
    <cellStyle name="Input 4 4 2 2 5 3 4" xfId="29894" xr:uid="{00000000-0005-0000-0000-0000C1740000}"/>
    <cellStyle name="Input 4 4 2 2 5 3 5" xfId="29895" xr:uid="{00000000-0005-0000-0000-0000C2740000}"/>
    <cellStyle name="Input 4 4 2 2 5 3 6" xfId="29896" xr:uid="{00000000-0005-0000-0000-0000C3740000}"/>
    <cellStyle name="Input 4 4 2 2 5 4" xfId="29897" xr:uid="{00000000-0005-0000-0000-0000C4740000}"/>
    <cellStyle name="Input 4 4 2 2 5 4 2" xfId="29898" xr:uid="{00000000-0005-0000-0000-0000C5740000}"/>
    <cellStyle name="Input 4 4 2 2 5 4 3" xfId="29899" xr:uid="{00000000-0005-0000-0000-0000C6740000}"/>
    <cellStyle name="Input 4 4 2 2 5 4 4" xfId="29900" xr:uid="{00000000-0005-0000-0000-0000C7740000}"/>
    <cellStyle name="Input 4 4 2 2 5 4 5" xfId="29901" xr:uid="{00000000-0005-0000-0000-0000C8740000}"/>
    <cellStyle name="Input 4 4 2 2 5 4 6" xfId="29902" xr:uid="{00000000-0005-0000-0000-0000C9740000}"/>
    <cellStyle name="Input 4 4 2 2 5 5" xfId="29903" xr:uid="{00000000-0005-0000-0000-0000CA740000}"/>
    <cellStyle name="Input 4 4 2 2 5 6" xfId="29904" xr:uid="{00000000-0005-0000-0000-0000CB740000}"/>
    <cellStyle name="Input 4 4 2 2 5 7" xfId="29905" xr:uid="{00000000-0005-0000-0000-0000CC740000}"/>
    <cellStyle name="Input 4 4 2 2 5 8" xfId="29906" xr:uid="{00000000-0005-0000-0000-0000CD740000}"/>
    <cellStyle name="Input 4 4 2 2 6" xfId="29907" xr:uid="{00000000-0005-0000-0000-0000CE740000}"/>
    <cellStyle name="Input 4 4 2 2 6 2" xfId="29908" xr:uid="{00000000-0005-0000-0000-0000CF740000}"/>
    <cellStyle name="Input 4 4 2 2 6 2 2" xfId="29909" xr:uid="{00000000-0005-0000-0000-0000D0740000}"/>
    <cellStyle name="Input 4 4 2 2 6 2 2 2" xfId="29910" xr:uid="{00000000-0005-0000-0000-0000D1740000}"/>
    <cellStyle name="Input 4 4 2 2 6 2 2 3" xfId="29911" xr:uid="{00000000-0005-0000-0000-0000D2740000}"/>
    <cellStyle name="Input 4 4 2 2 6 2 2 4" xfId="29912" xr:uid="{00000000-0005-0000-0000-0000D3740000}"/>
    <cellStyle name="Input 4 4 2 2 6 2 2 5" xfId="29913" xr:uid="{00000000-0005-0000-0000-0000D4740000}"/>
    <cellStyle name="Input 4 4 2 2 6 2 2 6" xfId="29914" xr:uid="{00000000-0005-0000-0000-0000D5740000}"/>
    <cellStyle name="Input 4 4 2 2 6 2 3" xfId="29915" xr:uid="{00000000-0005-0000-0000-0000D6740000}"/>
    <cellStyle name="Input 4 4 2 2 6 2 4" xfId="29916" xr:uid="{00000000-0005-0000-0000-0000D7740000}"/>
    <cellStyle name="Input 4 4 2 2 6 2 5" xfId="29917" xr:uid="{00000000-0005-0000-0000-0000D8740000}"/>
    <cellStyle name="Input 4 4 2 2 6 2 6" xfId="29918" xr:uid="{00000000-0005-0000-0000-0000D9740000}"/>
    <cellStyle name="Input 4 4 2 2 6 3" xfId="29919" xr:uid="{00000000-0005-0000-0000-0000DA740000}"/>
    <cellStyle name="Input 4 4 2 2 6 3 2" xfId="29920" xr:uid="{00000000-0005-0000-0000-0000DB740000}"/>
    <cellStyle name="Input 4 4 2 2 6 3 2 2" xfId="29921" xr:uid="{00000000-0005-0000-0000-0000DC740000}"/>
    <cellStyle name="Input 4 4 2 2 6 3 2 3" xfId="29922" xr:uid="{00000000-0005-0000-0000-0000DD740000}"/>
    <cellStyle name="Input 4 4 2 2 6 3 2 4" xfId="29923" xr:uid="{00000000-0005-0000-0000-0000DE740000}"/>
    <cellStyle name="Input 4 4 2 2 6 3 2 5" xfId="29924" xr:uid="{00000000-0005-0000-0000-0000DF740000}"/>
    <cellStyle name="Input 4 4 2 2 6 3 2 6" xfId="29925" xr:uid="{00000000-0005-0000-0000-0000E0740000}"/>
    <cellStyle name="Input 4 4 2 2 6 3 3" xfId="29926" xr:uid="{00000000-0005-0000-0000-0000E1740000}"/>
    <cellStyle name="Input 4 4 2 2 6 3 4" xfId="29927" xr:uid="{00000000-0005-0000-0000-0000E2740000}"/>
    <cellStyle name="Input 4 4 2 2 6 3 5" xfId="29928" xr:uid="{00000000-0005-0000-0000-0000E3740000}"/>
    <cellStyle name="Input 4 4 2 2 6 3 6" xfId="29929" xr:uid="{00000000-0005-0000-0000-0000E4740000}"/>
    <cellStyle name="Input 4 4 2 2 6 4" xfId="29930" xr:uid="{00000000-0005-0000-0000-0000E5740000}"/>
    <cellStyle name="Input 4 4 2 2 6 4 2" xfId="29931" xr:uid="{00000000-0005-0000-0000-0000E6740000}"/>
    <cellStyle name="Input 4 4 2 2 6 4 3" xfId="29932" xr:uid="{00000000-0005-0000-0000-0000E7740000}"/>
    <cellStyle name="Input 4 4 2 2 6 4 4" xfId="29933" xr:uid="{00000000-0005-0000-0000-0000E8740000}"/>
    <cellStyle name="Input 4 4 2 2 6 4 5" xfId="29934" xr:uid="{00000000-0005-0000-0000-0000E9740000}"/>
    <cellStyle name="Input 4 4 2 2 6 4 6" xfId="29935" xr:uid="{00000000-0005-0000-0000-0000EA740000}"/>
    <cellStyle name="Input 4 4 2 2 6 5" xfId="29936" xr:uid="{00000000-0005-0000-0000-0000EB740000}"/>
    <cellStyle name="Input 4 4 2 2 6 6" xfId="29937" xr:uid="{00000000-0005-0000-0000-0000EC740000}"/>
    <cellStyle name="Input 4 4 2 2 6 7" xfId="29938" xr:uid="{00000000-0005-0000-0000-0000ED740000}"/>
    <cellStyle name="Input 4 4 2 2 6 8" xfId="29939" xr:uid="{00000000-0005-0000-0000-0000EE740000}"/>
    <cellStyle name="Input 4 4 2 2 7" xfId="29940" xr:uid="{00000000-0005-0000-0000-0000EF740000}"/>
    <cellStyle name="Input 4 4 2 2 7 2" xfId="29941" xr:uid="{00000000-0005-0000-0000-0000F0740000}"/>
    <cellStyle name="Input 4 4 2 2 7 2 2" xfId="29942" xr:uid="{00000000-0005-0000-0000-0000F1740000}"/>
    <cellStyle name="Input 4 4 2 2 7 2 3" xfId="29943" xr:uid="{00000000-0005-0000-0000-0000F2740000}"/>
    <cellStyle name="Input 4 4 2 2 7 2 4" xfId="29944" xr:uid="{00000000-0005-0000-0000-0000F3740000}"/>
    <cellStyle name="Input 4 4 2 2 7 2 5" xfId="29945" xr:uid="{00000000-0005-0000-0000-0000F4740000}"/>
    <cellStyle name="Input 4 4 2 2 7 2 6" xfId="29946" xr:uid="{00000000-0005-0000-0000-0000F5740000}"/>
    <cellStyle name="Input 4 4 2 2 7 3" xfId="29947" xr:uid="{00000000-0005-0000-0000-0000F6740000}"/>
    <cellStyle name="Input 4 4 2 2 7 4" xfId="29948" xr:uid="{00000000-0005-0000-0000-0000F7740000}"/>
    <cellStyle name="Input 4 4 2 2 7 5" xfId="29949" xr:uid="{00000000-0005-0000-0000-0000F8740000}"/>
    <cellStyle name="Input 4 4 2 2 7 6" xfId="29950" xr:uid="{00000000-0005-0000-0000-0000F9740000}"/>
    <cellStyle name="Input 4 4 2 2 8" xfId="29951" xr:uid="{00000000-0005-0000-0000-0000FA740000}"/>
    <cellStyle name="Input 4 4 2 2 8 2" xfId="29952" xr:uid="{00000000-0005-0000-0000-0000FB740000}"/>
    <cellStyle name="Input 4 4 2 2 8 2 2" xfId="29953" xr:uid="{00000000-0005-0000-0000-0000FC740000}"/>
    <cellStyle name="Input 4 4 2 2 8 2 3" xfId="29954" xr:uid="{00000000-0005-0000-0000-0000FD740000}"/>
    <cellStyle name="Input 4 4 2 2 8 2 4" xfId="29955" xr:uid="{00000000-0005-0000-0000-0000FE740000}"/>
    <cellStyle name="Input 4 4 2 2 8 2 5" xfId="29956" xr:uid="{00000000-0005-0000-0000-0000FF740000}"/>
    <cellStyle name="Input 4 4 2 2 8 2 6" xfId="29957" xr:uid="{00000000-0005-0000-0000-000000750000}"/>
    <cellStyle name="Input 4 4 2 2 8 3" xfId="29958" xr:uid="{00000000-0005-0000-0000-000001750000}"/>
    <cellStyle name="Input 4 4 2 2 8 4" xfId="29959" xr:uid="{00000000-0005-0000-0000-000002750000}"/>
    <cellStyle name="Input 4 4 2 2 8 5" xfId="29960" xr:uid="{00000000-0005-0000-0000-000003750000}"/>
    <cellStyle name="Input 4 4 2 2 8 6" xfId="29961" xr:uid="{00000000-0005-0000-0000-000004750000}"/>
    <cellStyle name="Input 4 4 2 2 9" xfId="29962" xr:uid="{00000000-0005-0000-0000-000005750000}"/>
    <cellStyle name="Input 4 4 2 2 9 2" xfId="29963" xr:uid="{00000000-0005-0000-0000-000006750000}"/>
    <cellStyle name="Input 4 4 2 2 9 3" xfId="29964" xr:uid="{00000000-0005-0000-0000-000007750000}"/>
    <cellStyle name="Input 4 4 2 2 9 4" xfId="29965" xr:uid="{00000000-0005-0000-0000-000008750000}"/>
    <cellStyle name="Input 4 4 2 2 9 5" xfId="29966" xr:uid="{00000000-0005-0000-0000-000009750000}"/>
    <cellStyle name="Input 4 4 2 2 9 6" xfId="29967" xr:uid="{00000000-0005-0000-0000-00000A750000}"/>
    <cellStyle name="Input 4 4 2 3" xfId="29968" xr:uid="{00000000-0005-0000-0000-00000B750000}"/>
    <cellStyle name="Input 4 4 2 3 2" xfId="29969" xr:uid="{00000000-0005-0000-0000-00000C750000}"/>
    <cellStyle name="Input 4 4 2 3 2 2" xfId="29970" xr:uid="{00000000-0005-0000-0000-00000D750000}"/>
    <cellStyle name="Input 4 4 2 3 2 2 2" xfId="29971" xr:uid="{00000000-0005-0000-0000-00000E750000}"/>
    <cellStyle name="Input 4 4 2 3 2 2 3" xfId="29972" xr:uid="{00000000-0005-0000-0000-00000F750000}"/>
    <cellStyle name="Input 4 4 2 3 2 2 4" xfId="29973" xr:uid="{00000000-0005-0000-0000-000010750000}"/>
    <cellStyle name="Input 4 4 2 3 2 2 5" xfId="29974" xr:uid="{00000000-0005-0000-0000-000011750000}"/>
    <cellStyle name="Input 4 4 2 3 2 2 6" xfId="29975" xr:uid="{00000000-0005-0000-0000-000012750000}"/>
    <cellStyle name="Input 4 4 2 3 2 3" xfId="29976" xr:uid="{00000000-0005-0000-0000-000013750000}"/>
    <cellStyle name="Input 4 4 2 3 2 4" xfId="29977" xr:uid="{00000000-0005-0000-0000-000014750000}"/>
    <cellStyle name="Input 4 4 2 3 2 5" xfId="29978" xr:uid="{00000000-0005-0000-0000-000015750000}"/>
    <cellStyle name="Input 4 4 2 3 2 6" xfId="29979" xr:uid="{00000000-0005-0000-0000-000016750000}"/>
    <cellStyle name="Input 4 4 2 3 3" xfId="29980" xr:uid="{00000000-0005-0000-0000-000017750000}"/>
    <cellStyle name="Input 4 4 2 3 3 2" xfId="29981" xr:uid="{00000000-0005-0000-0000-000018750000}"/>
    <cellStyle name="Input 4 4 2 3 3 2 2" xfId="29982" xr:uid="{00000000-0005-0000-0000-000019750000}"/>
    <cellStyle name="Input 4 4 2 3 3 2 3" xfId="29983" xr:uid="{00000000-0005-0000-0000-00001A750000}"/>
    <cellStyle name="Input 4 4 2 3 3 2 4" xfId="29984" xr:uid="{00000000-0005-0000-0000-00001B750000}"/>
    <cellStyle name="Input 4 4 2 3 3 2 5" xfId="29985" xr:uid="{00000000-0005-0000-0000-00001C750000}"/>
    <cellStyle name="Input 4 4 2 3 3 2 6" xfId="29986" xr:uid="{00000000-0005-0000-0000-00001D750000}"/>
    <cellStyle name="Input 4 4 2 3 3 3" xfId="29987" xr:uid="{00000000-0005-0000-0000-00001E750000}"/>
    <cellStyle name="Input 4 4 2 3 3 4" xfId="29988" xr:uid="{00000000-0005-0000-0000-00001F750000}"/>
    <cellStyle name="Input 4 4 2 3 3 5" xfId="29989" xr:uid="{00000000-0005-0000-0000-000020750000}"/>
    <cellStyle name="Input 4 4 2 3 3 6" xfId="29990" xr:uid="{00000000-0005-0000-0000-000021750000}"/>
    <cellStyle name="Input 4 4 2 3 4" xfId="29991" xr:uid="{00000000-0005-0000-0000-000022750000}"/>
    <cellStyle name="Input 4 4 2 3 4 2" xfId="29992" xr:uid="{00000000-0005-0000-0000-000023750000}"/>
    <cellStyle name="Input 4 4 2 3 4 3" xfId="29993" xr:uid="{00000000-0005-0000-0000-000024750000}"/>
    <cellStyle name="Input 4 4 2 3 4 4" xfId="29994" xr:uid="{00000000-0005-0000-0000-000025750000}"/>
    <cellStyle name="Input 4 4 2 3 4 5" xfId="29995" xr:uid="{00000000-0005-0000-0000-000026750000}"/>
    <cellStyle name="Input 4 4 2 3 4 6" xfId="29996" xr:uid="{00000000-0005-0000-0000-000027750000}"/>
    <cellStyle name="Input 4 4 2 3 5" xfId="29997" xr:uid="{00000000-0005-0000-0000-000028750000}"/>
    <cellStyle name="Input 4 4 2 3 6" xfId="29998" xr:uid="{00000000-0005-0000-0000-000029750000}"/>
    <cellStyle name="Input 4 4 2 3 7" xfId="29999" xr:uid="{00000000-0005-0000-0000-00002A750000}"/>
    <cellStyle name="Input 4 4 2 3 8" xfId="30000" xr:uid="{00000000-0005-0000-0000-00002B750000}"/>
    <cellStyle name="Input 4 4 2 4" xfId="30001" xr:uid="{00000000-0005-0000-0000-00002C750000}"/>
    <cellStyle name="Input 4 4 2 4 2" xfId="30002" xr:uid="{00000000-0005-0000-0000-00002D750000}"/>
    <cellStyle name="Input 4 4 2 4 2 2" xfId="30003" xr:uid="{00000000-0005-0000-0000-00002E750000}"/>
    <cellStyle name="Input 4 4 2 4 2 2 2" xfId="30004" xr:uid="{00000000-0005-0000-0000-00002F750000}"/>
    <cellStyle name="Input 4 4 2 4 2 2 3" xfId="30005" xr:uid="{00000000-0005-0000-0000-000030750000}"/>
    <cellStyle name="Input 4 4 2 4 2 2 4" xfId="30006" xr:uid="{00000000-0005-0000-0000-000031750000}"/>
    <cellStyle name="Input 4 4 2 4 2 2 5" xfId="30007" xr:uid="{00000000-0005-0000-0000-000032750000}"/>
    <cellStyle name="Input 4 4 2 4 2 2 6" xfId="30008" xr:uid="{00000000-0005-0000-0000-000033750000}"/>
    <cellStyle name="Input 4 4 2 4 2 3" xfId="30009" xr:uid="{00000000-0005-0000-0000-000034750000}"/>
    <cellStyle name="Input 4 4 2 4 2 4" xfId="30010" xr:uid="{00000000-0005-0000-0000-000035750000}"/>
    <cellStyle name="Input 4 4 2 4 2 5" xfId="30011" xr:uid="{00000000-0005-0000-0000-000036750000}"/>
    <cellStyle name="Input 4 4 2 4 2 6" xfId="30012" xr:uid="{00000000-0005-0000-0000-000037750000}"/>
    <cellStyle name="Input 4 4 2 4 3" xfId="30013" xr:uid="{00000000-0005-0000-0000-000038750000}"/>
    <cellStyle name="Input 4 4 2 4 3 2" xfId="30014" xr:uid="{00000000-0005-0000-0000-000039750000}"/>
    <cellStyle name="Input 4 4 2 4 3 2 2" xfId="30015" xr:uid="{00000000-0005-0000-0000-00003A750000}"/>
    <cellStyle name="Input 4 4 2 4 3 2 3" xfId="30016" xr:uid="{00000000-0005-0000-0000-00003B750000}"/>
    <cellStyle name="Input 4 4 2 4 3 2 4" xfId="30017" xr:uid="{00000000-0005-0000-0000-00003C750000}"/>
    <cellStyle name="Input 4 4 2 4 3 2 5" xfId="30018" xr:uid="{00000000-0005-0000-0000-00003D750000}"/>
    <cellStyle name="Input 4 4 2 4 3 2 6" xfId="30019" xr:uid="{00000000-0005-0000-0000-00003E750000}"/>
    <cellStyle name="Input 4 4 2 4 3 3" xfId="30020" xr:uid="{00000000-0005-0000-0000-00003F750000}"/>
    <cellStyle name="Input 4 4 2 4 3 4" xfId="30021" xr:uid="{00000000-0005-0000-0000-000040750000}"/>
    <cellStyle name="Input 4 4 2 4 3 5" xfId="30022" xr:uid="{00000000-0005-0000-0000-000041750000}"/>
    <cellStyle name="Input 4 4 2 4 3 6" xfId="30023" xr:uid="{00000000-0005-0000-0000-000042750000}"/>
    <cellStyle name="Input 4 4 2 4 4" xfId="30024" xr:uid="{00000000-0005-0000-0000-000043750000}"/>
    <cellStyle name="Input 4 4 2 4 4 2" xfId="30025" xr:uid="{00000000-0005-0000-0000-000044750000}"/>
    <cellStyle name="Input 4 4 2 4 4 3" xfId="30026" xr:uid="{00000000-0005-0000-0000-000045750000}"/>
    <cellStyle name="Input 4 4 2 4 4 4" xfId="30027" xr:uid="{00000000-0005-0000-0000-000046750000}"/>
    <cellStyle name="Input 4 4 2 4 4 5" xfId="30028" xr:uid="{00000000-0005-0000-0000-000047750000}"/>
    <cellStyle name="Input 4 4 2 4 4 6" xfId="30029" xr:uid="{00000000-0005-0000-0000-000048750000}"/>
    <cellStyle name="Input 4 4 2 4 5" xfId="30030" xr:uid="{00000000-0005-0000-0000-000049750000}"/>
    <cellStyle name="Input 4 4 2 4 6" xfId="30031" xr:uid="{00000000-0005-0000-0000-00004A750000}"/>
    <cellStyle name="Input 4 4 2 4 7" xfId="30032" xr:uid="{00000000-0005-0000-0000-00004B750000}"/>
    <cellStyle name="Input 4 4 2 4 8" xfId="30033" xr:uid="{00000000-0005-0000-0000-00004C750000}"/>
    <cellStyle name="Input 4 4 2 5" xfId="30034" xr:uid="{00000000-0005-0000-0000-00004D750000}"/>
    <cellStyle name="Input 4 4 2 5 2" xfId="30035" xr:uid="{00000000-0005-0000-0000-00004E750000}"/>
    <cellStyle name="Input 4 4 2 5 2 2" xfId="30036" xr:uid="{00000000-0005-0000-0000-00004F750000}"/>
    <cellStyle name="Input 4 4 2 5 2 2 2" xfId="30037" xr:uid="{00000000-0005-0000-0000-000050750000}"/>
    <cellStyle name="Input 4 4 2 5 2 2 3" xfId="30038" xr:uid="{00000000-0005-0000-0000-000051750000}"/>
    <cellStyle name="Input 4 4 2 5 2 2 4" xfId="30039" xr:uid="{00000000-0005-0000-0000-000052750000}"/>
    <cellStyle name="Input 4 4 2 5 2 2 5" xfId="30040" xr:uid="{00000000-0005-0000-0000-000053750000}"/>
    <cellStyle name="Input 4 4 2 5 2 2 6" xfId="30041" xr:uid="{00000000-0005-0000-0000-000054750000}"/>
    <cellStyle name="Input 4 4 2 5 2 3" xfId="30042" xr:uid="{00000000-0005-0000-0000-000055750000}"/>
    <cellStyle name="Input 4 4 2 5 2 4" xfId="30043" xr:uid="{00000000-0005-0000-0000-000056750000}"/>
    <cellStyle name="Input 4 4 2 5 2 5" xfId="30044" xr:uid="{00000000-0005-0000-0000-000057750000}"/>
    <cellStyle name="Input 4 4 2 5 2 6" xfId="30045" xr:uid="{00000000-0005-0000-0000-000058750000}"/>
    <cellStyle name="Input 4 4 2 5 3" xfId="30046" xr:uid="{00000000-0005-0000-0000-000059750000}"/>
    <cellStyle name="Input 4 4 2 5 3 2" xfId="30047" xr:uid="{00000000-0005-0000-0000-00005A750000}"/>
    <cellStyle name="Input 4 4 2 5 3 2 2" xfId="30048" xr:uid="{00000000-0005-0000-0000-00005B750000}"/>
    <cellStyle name="Input 4 4 2 5 3 2 3" xfId="30049" xr:uid="{00000000-0005-0000-0000-00005C750000}"/>
    <cellStyle name="Input 4 4 2 5 3 2 4" xfId="30050" xr:uid="{00000000-0005-0000-0000-00005D750000}"/>
    <cellStyle name="Input 4 4 2 5 3 2 5" xfId="30051" xr:uid="{00000000-0005-0000-0000-00005E750000}"/>
    <cellStyle name="Input 4 4 2 5 3 2 6" xfId="30052" xr:uid="{00000000-0005-0000-0000-00005F750000}"/>
    <cellStyle name="Input 4 4 2 5 3 3" xfId="30053" xr:uid="{00000000-0005-0000-0000-000060750000}"/>
    <cellStyle name="Input 4 4 2 5 3 4" xfId="30054" xr:uid="{00000000-0005-0000-0000-000061750000}"/>
    <cellStyle name="Input 4 4 2 5 3 5" xfId="30055" xr:uid="{00000000-0005-0000-0000-000062750000}"/>
    <cellStyle name="Input 4 4 2 5 3 6" xfId="30056" xr:uid="{00000000-0005-0000-0000-000063750000}"/>
    <cellStyle name="Input 4 4 2 5 4" xfId="30057" xr:uid="{00000000-0005-0000-0000-000064750000}"/>
    <cellStyle name="Input 4 4 2 5 4 2" xfId="30058" xr:uid="{00000000-0005-0000-0000-000065750000}"/>
    <cellStyle name="Input 4 4 2 5 4 3" xfId="30059" xr:uid="{00000000-0005-0000-0000-000066750000}"/>
    <cellStyle name="Input 4 4 2 5 4 4" xfId="30060" xr:uid="{00000000-0005-0000-0000-000067750000}"/>
    <cellStyle name="Input 4 4 2 5 4 5" xfId="30061" xr:uid="{00000000-0005-0000-0000-000068750000}"/>
    <cellStyle name="Input 4 4 2 5 4 6" xfId="30062" xr:uid="{00000000-0005-0000-0000-000069750000}"/>
    <cellStyle name="Input 4 4 2 5 5" xfId="30063" xr:uid="{00000000-0005-0000-0000-00006A750000}"/>
    <cellStyle name="Input 4 4 2 5 6" xfId="30064" xr:uid="{00000000-0005-0000-0000-00006B750000}"/>
    <cellStyle name="Input 4 4 2 5 7" xfId="30065" xr:uid="{00000000-0005-0000-0000-00006C750000}"/>
    <cellStyle name="Input 4 4 2 5 8" xfId="30066" xr:uid="{00000000-0005-0000-0000-00006D750000}"/>
    <cellStyle name="Input 4 4 2 6" xfId="30067" xr:uid="{00000000-0005-0000-0000-00006E750000}"/>
    <cellStyle name="Input 4 4 2 6 2" xfId="30068" xr:uid="{00000000-0005-0000-0000-00006F750000}"/>
    <cellStyle name="Input 4 4 2 6 2 2" xfId="30069" xr:uid="{00000000-0005-0000-0000-000070750000}"/>
    <cellStyle name="Input 4 4 2 6 2 2 2" xfId="30070" xr:uid="{00000000-0005-0000-0000-000071750000}"/>
    <cellStyle name="Input 4 4 2 6 2 2 3" xfId="30071" xr:uid="{00000000-0005-0000-0000-000072750000}"/>
    <cellStyle name="Input 4 4 2 6 2 2 4" xfId="30072" xr:uid="{00000000-0005-0000-0000-000073750000}"/>
    <cellStyle name="Input 4 4 2 6 2 2 5" xfId="30073" xr:uid="{00000000-0005-0000-0000-000074750000}"/>
    <cellStyle name="Input 4 4 2 6 2 2 6" xfId="30074" xr:uid="{00000000-0005-0000-0000-000075750000}"/>
    <cellStyle name="Input 4 4 2 6 2 3" xfId="30075" xr:uid="{00000000-0005-0000-0000-000076750000}"/>
    <cellStyle name="Input 4 4 2 6 2 4" xfId="30076" xr:uid="{00000000-0005-0000-0000-000077750000}"/>
    <cellStyle name="Input 4 4 2 6 2 5" xfId="30077" xr:uid="{00000000-0005-0000-0000-000078750000}"/>
    <cellStyle name="Input 4 4 2 6 2 6" xfId="30078" xr:uid="{00000000-0005-0000-0000-000079750000}"/>
    <cellStyle name="Input 4 4 2 6 3" xfId="30079" xr:uid="{00000000-0005-0000-0000-00007A750000}"/>
    <cellStyle name="Input 4 4 2 6 3 2" xfId="30080" xr:uid="{00000000-0005-0000-0000-00007B750000}"/>
    <cellStyle name="Input 4 4 2 6 3 2 2" xfId="30081" xr:uid="{00000000-0005-0000-0000-00007C750000}"/>
    <cellStyle name="Input 4 4 2 6 3 2 3" xfId="30082" xr:uid="{00000000-0005-0000-0000-00007D750000}"/>
    <cellStyle name="Input 4 4 2 6 3 2 4" xfId="30083" xr:uid="{00000000-0005-0000-0000-00007E750000}"/>
    <cellStyle name="Input 4 4 2 6 3 2 5" xfId="30084" xr:uid="{00000000-0005-0000-0000-00007F750000}"/>
    <cellStyle name="Input 4 4 2 6 3 2 6" xfId="30085" xr:uid="{00000000-0005-0000-0000-000080750000}"/>
    <cellStyle name="Input 4 4 2 6 3 3" xfId="30086" xr:uid="{00000000-0005-0000-0000-000081750000}"/>
    <cellStyle name="Input 4 4 2 6 3 4" xfId="30087" xr:uid="{00000000-0005-0000-0000-000082750000}"/>
    <cellStyle name="Input 4 4 2 6 3 5" xfId="30088" xr:uid="{00000000-0005-0000-0000-000083750000}"/>
    <cellStyle name="Input 4 4 2 6 3 6" xfId="30089" xr:uid="{00000000-0005-0000-0000-000084750000}"/>
    <cellStyle name="Input 4 4 2 6 4" xfId="30090" xr:uid="{00000000-0005-0000-0000-000085750000}"/>
    <cellStyle name="Input 4 4 2 6 4 2" xfId="30091" xr:uid="{00000000-0005-0000-0000-000086750000}"/>
    <cellStyle name="Input 4 4 2 6 4 3" xfId="30092" xr:uid="{00000000-0005-0000-0000-000087750000}"/>
    <cellStyle name="Input 4 4 2 6 4 4" xfId="30093" xr:uid="{00000000-0005-0000-0000-000088750000}"/>
    <cellStyle name="Input 4 4 2 6 4 5" xfId="30094" xr:uid="{00000000-0005-0000-0000-000089750000}"/>
    <cellStyle name="Input 4 4 2 6 4 6" xfId="30095" xr:uid="{00000000-0005-0000-0000-00008A750000}"/>
    <cellStyle name="Input 4 4 2 6 5" xfId="30096" xr:uid="{00000000-0005-0000-0000-00008B750000}"/>
    <cellStyle name="Input 4 4 2 6 6" xfId="30097" xr:uid="{00000000-0005-0000-0000-00008C750000}"/>
    <cellStyle name="Input 4 4 2 6 7" xfId="30098" xr:uid="{00000000-0005-0000-0000-00008D750000}"/>
    <cellStyle name="Input 4 4 2 6 8" xfId="30099" xr:uid="{00000000-0005-0000-0000-00008E750000}"/>
    <cellStyle name="Input 4 4 2 7" xfId="30100" xr:uid="{00000000-0005-0000-0000-00008F750000}"/>
    <cellStyle name="Input 4 4 2 7 2" xfId="30101" xr:uid="{00000000-0005-0000-0000-000090750000}"/>
    <cellStyle name="Input 4 4 2 7 2 2" xfId="30102" xr:uid="{00000000-0005-0000-0000-000091750000}"/>
    <cellStyle name="Input 4 4 2 7 2 2 2" xfId="30103" xr:uid="{00000000-0005-0000-0000-000092750000}"/>
    <cellStyle name="Input 4 4 2 7 2 2 3" xfId="30104" xr:uid="{00000000-0005-0000-0000-000093750000}"/>
    <cellStyle name="Input 4 4 2 7 2 2 4" xfId="30105" xr:uid="{00000000-0005-0000-0000-000094750000}"/>
    <cellStyle name="Input 4 4 2 7 2 2 5" xfId="30106" xr:uid="{00000000-0005-0000-0000-000095750000}"/>
    <cellStyle name="Input 4 4 2 7 2 2 6" xfId="30107" xr:uid="{00000000-0005-0000-0000-000096750000}"/>
    <cellStyle name="Input 4 4 2 7 2 3" xfId="30108" xr:uid="{00000000-0005-0000-0000-000097750000}"/>
    <cellStyle name="Input 4 4 2 7 2 4" xfId="30109" xr:uid="{00000000-0005-0000-0000-000098750000}"/>
    <cellStyle name="Input 4 4 2 7 2 5" xfId="30110" xr:uid="{00000000-0005-0000-0000-000099750000}"/>
    <cellStyle name="Input 4 4 2 7 2 6" xfId="30111" xr:uid="{00000000-0005-0000-0000-00009A750000}"/>
    <cellStyle name="Input 4 4 2 7 3" xfId="30112" xr:uid="{00000000-0005-0000-0000-00009B750000}"/>
    <cellStyle name="Input 4 4 2 7 3 2" xfId="30113" xr:uid="{00000000-0005-0000-0000-00009C750000}"/>
    <cellStyle name="Input 4 4 2 7 3 2 2" xfId="30114" xr:uid="{00000000-0005-0000-0000-00009D750000}"/>
    <cellStyle name="Input 4 4 2 7 3 2 3" xfId="30115" xr:uid="{00000000-0005-0000-0000-00009E750000}"/>
    <cellStyle name="Input 4 4 2 7 3 2 4" xfId="30116" xr:uid="{00000000-0005-0000-0000-00009F750000}"/>
    <cellStyle name="Input 4 4 2 7 3 2 5" xfId="30117" xr:uid="{00000000-0005-0000-0000-0000A0750000}"/>
    <cellStyle name="Input 4 4 2 7 3 2 6" xfId="30118" xr:uid="{00000000-0005-0000-0000-0000A1750000}"/>
    <cellStyle name="Input 4 4 2 7 3 3" xfId="30119" xr:uid="{00000000-0005-0000-0000-0000A2750000}"/>
    <cellStyle name="Input 4 4 2 7 3 4" xfId="30120" xr:uid="{00000000-0005-0000-0000-0000A3750000}"/>
    <cellStyle name="Input 4 4 2 7 3 5" xfId="30121" xr:uid="{00000000-0005-0000-0000-0000A4750000}"/>
    <cellStyle name="Input 4 4 2 7 3 6" xfId="30122" xr:uid="{00000000-0005-0000-0000-0000A5750000}"/>
    <cellStyle name="Input 4 4 2 7 4" xfId="30123" xr:uid="{00000000-0005-0000-0000-0000A6750000}"/>
    <cellStyle name="Input 4 4 2 7 4 2" xfId="30124" xr:uid="{00000000-0005-0000-0000-0000A7750000}"/>
    <cellStyle name="Input 4 4 2 7 4 3" xfId="30125" xr:uid="{00000000-0005-0000-0000-0000A8750000}"/>
    <cellStyle name="Input 4 4 2 7 4 4" xfId="30126" xr:uid="{00000000-0005-0000-0000-0000A9750000}"/>
    <cellStyle name="Input 4 4 2 7 4 5" xfId="30127" xr:uid="{00000000-0005-0000-0000-0000AA750000}"/>
    <cellStyle name="Input 4 4 2 7 4 6" xfId="30128" xr:uid="{00000000-0005-0000-0000-0000AB750000}"/>
    <cellStyle name="Input 4 4 2 7 5" xfId="30129" xr:uid="{00000000-0005-0000-0000-0000AC750000}"/>
    <cellStyle name="Input 4 4 2 7 6" xfId="30130" xr:uid="{00000000-0005-0000-0000-0000AD750000}"/>
    <cellStyle name="Input 4 4 2 7 7" xfId="30131" xr:uid="{00000000-0005-0000-0000-0000AE750000}"/>
    <cellStyle name="Input 4 4 2 7 8" xfId="30132" xr:uid="{00000000-0005-0000-0000-0000AF750000}"/>
    <cellStyle name="Input 4 4 2 8" xfId="30133" xr:uid="{00000000-0005-0000-0000-0000B0750000}"/>
    <cellStyle name="Input 4 4 2 8 2" xfId="30134" xr:uid="{00000000-0005-0000-0000-0000B1750000}"/>
    <cellStyle name="Input 4 4 2 8 2 2" xfId="30135" xr:uid="{00000000-0005-0000-0000-0000B2750000}"/>
    <cellStyle name="Input 4 4 2 8 2 3" xfId="30136" xr:uid="{00000000-0005-0000-0000-0000B3750000}"/>
    <cellStyle name="Input 4 4 2 8 2 4" xfId="30137" xr:uid="{00000000-0005-0000-0000-0000B4750000}"/>
    <cellStyle name="Input 4 4 2 8 2 5" xfId="30138" xr:uid="{00000000-0005-0000-0000-0000B5750000}"/>
    <cellStyle name="Input 4 4 2 8 2 6" xfId="30139" xr:uid="{00000000-0005-0000-0000-0000B6750000}"/>
    <cellStyle name="Input 4 4 2 8 3" xfId="30140" xr:uid="{00000000-0005-0000-0000-0000B7750000}"/>
    <cellStyle name="Input 4 4 2 8 4" xfId="30141" xr:uid="{00000000-0005-0000-0000-0000B8750000}"/>
    <cellStyle name="Input 4 4 2 8 5" xfId="30142" xr:uid="{00000000-0005-0000-0000-0000B9750000}"/>
    <cellStyle name="Input 4 4 2 8 6" xfId="30143" xr:uid="{00000000-0005-0000-0000-0000BA750000}"/>
    <cellStyle name="Input 4 4 2 9" xfId="30144" xr:uid="{00000000-0005-0000-0000-0000BB750000}"/>
    <cellStyle name="Input 4 4 2 9 2" xfId="30145" xr:uid="{00000000-0005-0000-0000-0000BC750000}"/>
    <cellStyle name="Input 4 4 2 9 2 2" xfId="30146" xr:uid="{00000000-0005-0000-0000-0000BD750000}"/>
    <cellStyle name="Input 4 4 2 9 2 3" xfId="30147" xr:uid="{00000000-0005-0000-0000-0000BE750000}"/>
    <cellStyle name="Input 4 4 2 9 2 4" xfId="30148" xr:uid="{00000000-0005-0000-0000-0000BF750000}"/>
    <cellStyle name="Input 4 4 2 9 2 5" xfId="30149" xr:uid="{00000000-0005-0000-0000-0000C0750000}"/>
    <cellStyle name="Input 4 4 2 9 2 6" xfId="30150" xr:uid="{00000000-0005-0000-0000-0000C1750000}"/>
    <cellStyle name="Input 4 4 2 9 3" xfId="30151" xr:uid="{00000000-0005-0000-0000-0000C2750000}"/>
    <cellStyle name="Input 4 4 2 9 4" xfId="30152" xr:uid="{00000000-0005-0000-0000-0000C3750000}"/>
    <cellStyle name="Input 4 4 2 9 5" xfId="30153" xr:uid="{00000000-0005-0000-0000-0000C4750000}"/>
    <cellStyle name="Input 4 4 2 9 6" xfId="30154" xr:uid="{00000000-0005-0000-0000-0000C5750000}"/>
    <cellStyle name="Input 4 4 3" xfId="30155" xr:uid="{00000000-0005-0000-0000-0000C6750000}"/>
    <cellStyle name="Input 4 4 3 10" xfId="30156" xr:uid="{00000000-0005-0000-0000-0000C7750000}"/>
    <cellStyle name="Input 4 4 3 11" xfId="30157" xr:uid="{00000000-0005-0000-0000-0000C8750000}"/>
    <cellStyle name="Input 4 4 3 12" xfId="30158" xr:uid="{00000000-0005-0000-0000-0000C9750000}"/>
    <cellStyle name="Input 4 4 3 13" xfId="30159" xr:uid="{00000000-0005-0000-0000-0000CA750000}"/>
    <cellStyle name="Input 4 4 3 2" xfId="30160" xr:uid="{00000000-0005-0000-0000-0000CB750000}"/>
    <cellStyle name="Input 4 4 3 2 2" xfId="30161" xr:uid="{00000000-0005-0000-0000-0000CC750000}"/>
    <cellStyle name="Input 4 4 3 2 2 2" xfId="30162" xr:uid="{00000000-0005-0000-0000-0000CD750000}"/>
    <cellStyle name="Input 4 4 3 2 2 2 2" xfId="30163" xr:uid="{00000000-0005-0000-0000-0000CE750000}"/>
    <cellStyle name="Input 4 4 3 2 2 2 3" xfId="30164" xr:uid="{00000000-0005-0000-0000-0000CF750000}"/>
    <cellStyle name="Input 4 4 3 2 2 2 4" xfId="30165" xr:uid="{00000000-0005-0000-0000-0000D0750000}"/>
    <cellStyle name="Input 4 4 3 2 2 2 5" xfId="30166" xr:uid="{00000000-0005-0000-0000-0000D1750000}"/>
    <cellStyle name="Input 4 4 3 2 2 2 6" xfId="30167" xr:uid="{00000000-0005-0000-0000-0000D2750000}"/>
    <cellStyle name="Input 4 4 3 2 2 3" xfId="30168" xr:uid="{00000000-0005-0000-0000-0000D3750000}"/>
    <cellStyle name="Input 4 4 3 2 2 4" xfId="30169" xr:uid="{00000000-0005-0000-0000-0000D4750000}"/>
    <cellStyle name="Input 4 4 3 2 2 5" xfId="30170" xr:uid="{00000000-0005-0000-0000-0000D5750000}"/>
    <cellStyle name="Input 4 4 3 2 2 6" xfId="30171" xr:uid="{00000000-0005-0000-0000-0000D6750000}"/>
    <cellStyle name="Input 4 4 3 2 3" xfId="30172" xr:uid="{00000000-0005-0000-0000-0000D7750000}"/>
    <cellStyle name="Input 4 4 3 2 3 2" xfId="30173" xr:uid="{00000000-0005-0000-0000-0000D8750000}"/>
    <cellStyle name="Input 4 4 3 2 3 2 2" xfId="30174" xr:uid="{00000000-0005-0000-0000-0000D9750000}"/>
    <cellStyle name="Input 4 4 3 2 3 2 3" xfId="30175" xr:uid="{00000000-0005-0000-0000-0000DA750000}"/>
    <cellStyle name="Input 4 4 3 2 3 2 4" xfId="30176" xr:uid="{00000000-0005-0000-0000-0000DB750000}"/>
    <cellStyle name="Input 4 4 3 2 3 2 5" xfId="30177" xr:uid="{00000000-0005-0000-0000-0000DC750000}"/>
    <cellStyle name="Input 4 4 3 2 3 2 6" xfId="30178" xr:uid="{00000000-0005-0000-0000-0000DD750000}"/>
    <cellStyle name="Input 4 4 3 2 3 3" xfId="30179" xr:uid="{00000000-0005-0000-0000-0000DE750000}"/>
    <cellStyle name="Input 4 4 3 2 3 4" xfId="30180" xr:uid="{00000000-0005-0000-0000-0000DF750000}"/>
    <cellStyle name="Input 4 4 3 2 3 5" xfId="30181" xr:uid="{00000000-0005-0000-0000-0000E0750000}"/>
    <cellStyle name="Input 4 4 3 2 3 6" xfId="30182" xr:uid="{00000000-0005-0000-0000-0000E1750000}"/>
    <cellStyle name="Input 4 4 3 2 4" xfId="30183" xr:uid="{00000000-0005-0000-0000-0000E2750000}"/>
    <cellStyle name="Input 4 4 3 2 4 2" xfId="30184" xr:uid="{00000000-0005-0000-0000-0000E3750000}"/>
    <cellStyle name="Input 4 4 3 2 4 3" xfId="30185" xr:uid="{00000000-0005-0000-0000-0000E4750000}"/>
    <cellStyle name="Input 4 4 3 2 4 4" xfId="30186" xr:uid="{00000000-0005-0000-0000-0000E5750000}"/>
    <cellStyle name="Input 4 4 3 2 4 5" xfId="30187" xr:uid="{00000000-0005-0000-0000-0000E6750000}"/>
    <cellStyle name="Input 4 4 3 2 4 6" xfId="30188" xr:uid="{00000000-0005-0000-0000-0000E7750000}"/>
    <cellStyle name="Input 4 4 3 2 5" xfId="30189" xr:uid="{00000000-0005-0000-0000-0000E8750000}"/>
    <cellStyle name="Input 4 4 3 2 6" xfId="30190" xr:uid="{00000000-0005-0000-0000-0000E9750000}"/>
    <cellStyle name="Input 4 4 3 2 7" xfId="30191" xr:uid="{00000000-0005-0000-0000-0000EA750000}"/>
    <cellStyle name="Input 4 4 3 2 8" xfId="30192" xr:uid="{00000000-0005-0000-0000-0000EB750000}"/>
    <cellStyle name="Input 4 4 3 3" xfId="30193" xr:uid="{00000000-0005-0000-0000-0000EC750000}"/>
    <cellStyle name="Input 4 4 3 3 2" xfId="30194" xr:uid="{00000000-0005-0000-0000-0000ED750000}"/>
    <cellStyle name="Input 4 4 3 3 2 2" xfId="30195" xr:uid="{00000000-0005-0000-0000-0000EE750000}"/>
    <cellStyle name="Input 4 4 3 3 2 2 2" xfId="30196" xr:uid="{00000000-0005-0000-0000-0000EF750000}"/>
    <cellStyle name="Input 4 4 3 3 2 2 3" xfId="30197" xr:uid="{00000000-0005-0000-0000-0000F0750000}"/>
    <cellStyle name="Input 4 4 3 3 2 2 4" xfId="30198" xr:uid="{00000000-0005-0000-0000-0000F1750000}"/>
    <cellStyle name="Input 4 4 3 3 2 2 5" xfId="30199" xr:uid="{00000000-0005-0000-0000-0000F2750000}"/>
    <cellStyle name="Input 4 4 3 3 2 2 6" xfId="30200" xr:uid="{00000000-0005-0000-0000-0000F3750000}"/>
    <cellStyle name="Input 4 4 3 3 2 3" xfId="30201" xr:uid="{00000000-0005-0000-0000-0000F4750000}"/>
    <cellStyle name="Input 4 4 3 3 2 4" xfId="30202" xr:uid="{00000000-0005-0000-0000-0000F5750000}"/>
    <cellStyle name="Input 4 4 3 3 2 5" xfId="30203" xr:uid="{00000000-0005-0000-0000-0000F6750000}"/>
    <cellStyle name="Input 4 4 3 3 2 6" xfId="30204" xr:uid="{00000000-0005-0000-0000-0000F7750000}"/>
    <cellStyle name="Input 4 4 3 3 3" xfId="30205" xr:uid="{00000000-0005-0000-0000-0000F8750000}"/>
    <cellStyle name="Input 4 4 3 3 3 2" xfId="30206" xr:uid="{00000000-0005-0000-0000-0000F9750000}"/>
    <cellStyle name="Input 4 4 3 3 3 2 2" xfId="30207" xr:uid="{00000000-0005-0000-0000-0000FA750000}"/>
    <cellStyle name="Input 4 4 3 3 3 2 3" xfId="30208" xr:uid="{00000000-0005-0000-0000-0000FB750000}"/>
    <cellStyle name="Input 4 4 3 3 3 2 4" xfId="30209" xr:uid="{00000000-0005-0000-0000-0000FC750000}"/>
    <cellStyle name="Input 4 4 3 3 3 2 5" xfId="30210" xr:uid="{00000000-0005-0000-0000-0000FD750000}"/>
    <cellStyle name="Input 4 4 3 3 3 2 6" xfId="30211" xr:uid="{00000000-0005-0000-0000-0000FE750000}"/>
    <cellStyle name="Input 4 4 3 3 3 3" xfId="30212" xr:uid="{00000000-0005-0000-0000-0000FF750000}"/>
    <cellStyle name="Input 4 4 3 3 3 4" xfId="30213" xr:uid="{00000000-0005-0000-0000-000000760000}"/>
    <cellStyle name="Input 4 4 3 3 3 5" xfId="30214" xr:uid="{00000000-0005-0000-0000-000001760000}"/>
    <cellStyle name="Input 4 4 3 3 3 6" xfId="30215" xr:uid="{00000000-0005-0000-0000-000002760000}"/>
    <cellStyle name="Input 4 4 3 3 4" xfId="30216" xr:uid="{00000000-0005-0000-0000-000003760000}"/>
    <cellStyle name="Input 4 4 3 3 4 2" xfId="30217" xr:uid="{00000000-0005-0000-0000-000004760000}"/>
    <cellStyle name="Input 4 4 3 3 4 3" xfId="30218" xr:uid="{00000000-0005-0000-0000-000005760000}"/>
    <cellStyle name="Input 4 4 3 3 4 4" xfId="30219" xr:uid="{00000000-0005-0000-0000-000006760000}"/>
    <cellStyle name="Input 4 4 3 3 4 5" xfId="30220" xr:uid="{00000000-0005-0000-0000-000007760000}"/>
    <cellStyle name="Input 4 4 3 3 4 6" xfId="30221" xr:uid="{00000000-0005-0000-0000-000008760000}"/>
    <cellStyle name="Input 4 4 3 3 5" xfId="30222" xr:uid="{00000000-0005-0000-0000-000009760000}"/>
    <cellStyle name="Input 4 4 3 3 6" xfId="30223" xr:uid="{00000000-0005-0000-0000-00000A760000}"/>
    <cellStyle name="Input 4 4 3 3 7" xfId="30224" xr:uid="{00000000-0005-0000-0000-00000B760000}"/>
    <cellStyle name="Input 4 4 3 3 8" xfId="30225" xr:uid="{00000000-0005-0000-0000-00000C760000}"/>
    <cellStyle name="Input 4 4 3 4" xfId="30226" xr:uid="{00000000-0005-0000-0000-00000D760000}"/>
    <cellStyle name="Input 4 4 3 4 2" xfId="30227" xr:uid="{00000000-0005-0000-0000-00000E760000}"/>
    <cellStyle name="Input 4 4 3 4 2 2" xfId="30228" xr:uid="{00000000-0005-0000-0000-00000F760000}"/>
    <cellStyle name="Input 4 4 3 4 2 2 2" xfId="30229" xr:uid="{00000000-0005-0000-0000-000010760000}"/>
    <cellStyle name="Input 4 4 3 4 2 2 3" xfId="30230" xr:uid="{00000000-0005-0000-0000-000011760000}"/>
    <cellStyle name="Input 4 4 3 4 2 2 4" xfId="30231" xr:uid="{00000000-0005-0000-0000-000012760000}"/>
    <cellStyle name="Input 4 4 3 4 2 2 5" xfId="30232" xr:uid="{00000000-0005-0000-0000-000013760000}"/>
    <cellStyle name="Input 4 4 3 4 2 2 6" xfId="30233" xr:uid="{00000000-0005-0000-0000-000014760000}"/>
    <cellStyle name="Input 4 4 3 4 2 3" xfId="30234" xr:uid="{00000000-0005-0000-0000-000015760000}"/>
    <cellStyle name="Input 4 4 3 4 2 4" xfId="30235" xr:uid="{00000000-0005-0000-0000-000016760000}"/>
    <cellStyle name="Input 4 4 3 4 2 5" xfId="30236" xr:uid="{00000000-0005-0000-0000-000017760000}"/>
    <cellStyle name="Input 4 4 3 4 2 6" xfId="30237" xr:uid="{00000000-0005-0000-0000-000018760000}"/>
    <cellStyle name="Input 4 4 3 4 3" xfId="30238" xr:uid="{00000000-0005-0000-0000-000019760000}"/>
    <cellStyle name="Input 4 4 3 4 3 2" xfId="30239" xr:uid="{00000000-0005-0000-0000-00001A760000}"/>
    <cellStyle name="Input 4 4 3 4 3 2 2" xfId="30240" xr:uid="{00000000-0005-0000-0000-00001B760000}"/>
    <cellStyle name="Input 4 4 3 4 3 2 3" xfId="30241" xr:uid="{00000000-0005-0000-0000-00001C760000}"/>
    <cellStyle name="Input 4 4 3 4 3 2 4" xfId="30242" xr:uid="{00000000-0005-0000-0000-00001D760000}"/>
    <cellStyle name="Input 4 4 3 4 3 2 5" xfId="30243" xr:uid="{00000000-0005-0000-0000-00001E760000}"/>
    <cellStyle name="Input 4 4 3 4 3 2 6" xfId="30244" xr:uid="{00000000-0005-0000-0000-00001F760000}"/>
    <cellStyle name="Input 4 4 3 4 3 3" xfId="30245" xr:uid="{00000000-0005-0000-0000-000020760000}"/>
    <cellStyle name="Input 4 4 3 4 3 4" xfId="30246" xr:uid="{00000000-0005-0000-0000-000021760000}"/>
    <cellStyle name="Input 4 4 3 4 3 5" xfId="30247" xr:uid="{00000000-0005-0000-0000-000022760000}"/>
    <cellStyle name="Input 4 4 3 4 3 6" xfId="30248" xr:uid="{00000000-0005-0000-0000-000023760000}"/>
    <cellStyle name="Input 4 4 3 4 4" xfId="30249" xr:uid="{00000000-0005-0000-0000-000024760000}"/>
    <cellStyle name="Input 4 4 3 4 4 2" xfId="30250" xr:uid="{00000000-0005-0000-0000-000025760000}"/>
    <cellStyle name="Input 4 4 3 4 4 3" xfId="30251" xr:uid="{00000000-0005-0000-0000-000026760000}"/>
    <cellStyle name="Input 4 4 3 4 4 4" xfId="30252" xr:uid="{00000000-0005-0000-0000-000027760000}"/>
    <cellStyle name="Input 4 4 3 4 4 5" xfId="30253" xr:uid="{00000000-0005-0000-0000-000028760000}"/>
    <cellStyle name="Input 4 4 3 4 4 6" xfId="30254" xr:uid="{00000000-0005-0000-0000-000029760000}"/>
    <cellStyle name="Input 4 4 3 4 5" xfId="30255" xr:uid="{00000000-0005-0000-0000-00002A760000}"/>
    <cellStyle name="Input 4 4 3 4 6" xfId="30256" xr:uid="{00000000-0005-0000-0000-00002B760000}"/>
    <cellStyle name="Input 4 4 3 4 7" xfId="30257" xr:uid="{00000000-0005-0000-0000-00002C760000}"/>
    <cellStyle name="Input 4 4 3 4 8" xfId="30258" xr:uid="{00000000-0005-0000-0000-00002D760000}"/>
    <cellStyle name="Input 4 4 3 5" xfId="30259" xr:uid="{00000000-0005-0000-0000-00002E760000}"/>
    <cellStyle name="Input 4 4 3 5 2" xfId="30260" xr:uid="{00000000-0005-0000-0000-00002F760000}"/>
    <cellStyle name="Input 4 4 3 5 2 2" xfId="30261" xr:uid="{00000000-0005-0000-0000-000030760000}"/>
    <cellStyle name="Input 4 4 3 5 2 2 2" xfId="30262" xr:uid="{00000000-0005-0000-0000-000031760000}"/>
    <cellStyle name="Input 4 4 3 5 2 2 3" xfId="30263" xr:uid="{00000000-0005-0000-0000-000032760000}"/>
    <cellStyle name="Input 4 4 3 5 2 2 4" xfId="30264" xr:uid="{00000000-0005-0000-0000-000033760000}"/>
    <cellStyle name="Input 4 4 3 5 2 2 5" xfId="30265" xr:uid="{00000000-0005-0000-0000-000034760000}"/>
    <cellStyle name="Input 4 4 3 5 2 2 6" xfId="30266" xr:uid="{00000000-0005-0000-0000-000035760000}"/>
    <cellStyle name="Input 4 4 3 5 2 3" xfId="30267" xr:uid="{00000000-0005-0000-0000-000036760000}"/>
    <cellStyle name="Input 4 4 3 5 2 4" xfId="30268" xr:uid="{00000000-0005-0000-0000-000037760000}"/>
    <cellStyle name="Input 4 4 3 5 2 5" xfId="30269" xr:uid="{00000000-0005-0000-0000-000038760000}"/>
    <cellStyle name="Input 4 4 3 5 2 6" xfId="30270" xr:uid="{00000000-0005-0000-0000-000039760000}"/>
    <cellStyle name="Input 4 4 3 5 3" xfId="30271" xr:uid="{00000000-0005-0000-0000-00003A760000}"/>
    <cellStyle name="Input 4 4 3 5 3 2" xfId="30272" xr:uid="{00000000-0005-0000-0000-00003B760000}"/>
    <cellStyle name="Input 4 4 3 5 3 2 2" xfId="30273" xr:uid="{00000000-0005-0000-0000-00003C760000}"/>
    <cellStyle name="Input 4 4 3 5 3 2 3" xfId="30274" xr:uid="{00000000-0005-0000-0000-00003D760000}"/>
    <cellStyle name="Input 4 4 3 5 3 2 4" xfId="30275" xr:uid="{00000000-0005-0000-0000-00003E760000}"/>
    <cellStyle name="Input 4 4 3 5 3 2 5" xfId="30276" xr:uid="{00000000-0005-0000-0000-00003F760000}"/>
    <cellStyle name="Input 4 4 3 5 3 2 6" xfId="30277" xr:uid="{00000000-0005-0000-0000-000040760000}"/>
    <cellStyle name="Input 4 4 3 5 3 3" xfId="30278" xr:uid="{00000000-0005-0000-0000-000041760000}"/>
    <cellStyle name="Input 4 4 3 5 3 4" xfId="30279" xr:uid="{00000000-0005-0000-0000-000042760000}"/>
    <cellStyle name="Input 4 4 3 5 3 5" xfId="30280" xr:uid="{00000000-0005-0000-0000-000043760000}"/>
    <cellStyle name="Input 4 4 3 5 3 6" xfId="30281" xr:uid="{00000000-0005-0000-0000-000044760000}"/>
    <cellStyle name="Input 4 4 3 5 4" xfId="30282" xr:uid="{00000000-0005-0000-0000-000045760000}"/>
    <cellStyle name="Input 4 4 3 5 4 2" xfId="30283" xr:uid="{00000000-0005-0000-0000-000046760000}"/>
    <cellStyle name="Input 4 4 3 5 4 3" xfId="30284" xr:uid="{00000000-0005-0000-0000-000047760000}"/>
    <cellStyle name="Input 4 4 3 5 4 4" xfId="30285" xr:uid="{00000000-0005-0000-0000-000048760000}"/>
    <cellStyle name="Input 4 4 3 5 4 5" xfId="30286" xr:uid="{00000000-0005-0000-0000-000049760000}"/>
    <cellStyle name="Input 4 4 3 5 4 6" xfId="30287" xr:uid="{00000000-0005-0000-0000-00004A760000}"/>
    <cellStyle name="Input 4 4 3 5 5" xfId="30288" xr:uid="{00000000-0005-0000-0000-00004B760000}"/>
    <cellStyle name="Input 4 4 3 5 6" xfId="30289" xr:uid="{00000000-0005-0000-0000-00004C760000}"/>
    <cellStyle name="Input 4 4 3 5 7" xfId="30290" xr:uid="{00000000-0005-0000-0000-00004D760000}"/>
    <cellStyle name="Input 4 4 3 5 8" xfId="30291" xr:uid="{00000000-0005-0000-0000-00004E760000}"/>
    <cellStyle name="Input 4 4 3 6" xfId="30292" xr:uid="{00000000-0005-0000-0000-00004F760000}"/>
    <cellStyle name="Input 4 4 3 6 2" xfId="30293" xr:uid="{00000000-0005-0000-0000-000050760000}"/>
    <cellStyle name="Input 4 4 3 6 2 2" xfId="30294" xr:uid="{00000000-0005-0000-0000-000051760000}"/>
    <cellStyle name="Input 4 4 3 6 2 2 2" xfId="30295" xr:uid="{00000000-0005-0000-0000-000052760000}"/>
    <cellStyle name="Input 4 4 3 6 2 2 3" xfId="30296" xr:uid="{00000000-0005-0000-0000-000053760000}"/>
    <cellStyle name="Input 4 4 3 6 2 2 4" xfId="30297" xr:uid="{00000000-0005-0000-0000-000054760000}"/>
    <cellStyle name="Input 4 4 3 6 2 2 5" xfId="30298" xr:uid="{00000000-0005-0000-0000-000055760000}"/>
    <cellStyle name="Input 4 4 3 6 2 2 6" xfId="30299" xr:uid="{00000000-0005-0000-0000-000056760000}"/>
    <cellStyle name="Input 4 4 3 6 2 3" xfId="30300" xr:uid="{00000000-0005-0000-0000-000057760000}"/>
    <cellStyle name="Input 4 4 3 6 2 4" xfId="30301" xr:uid="{00000000-0005-0000-0000-000058760000}"/>
    <cellStyle name="Input 4 4 3 6 2 5" xfId="30302" xr:uid="{00000000-0005-0000-0000-000059760000}"/>
    <cellStyle name="Input 4 4 3 6 2 6" xfId="30303" xr:uid="{00000000-0005-0000-0000-00005A760000}"/>
    <cellStyle name="Input 4 4 3 6 3" xfId="30304" xr:uid="{00000000-0005-0000-0000-00005B760000}"/>
    <cellStyle name="Input 4 4 3 6 3 2" xfId="30305" xr:uid="{00000000-0005-0000-0000-00005C760000}"/>
    <cellStyle name="Input 4 4 3 6 3 2 2" xfId="30306" xr:uid="{00000000-0005-0000-0000-00005D760000}"/>
    <cellStyle name="Input 4 4 3 6 3 2 3" xfId="30307" xr:uid="{00000000-0005-0000-0000-00005E760000}"/>
    <cellStyle name="Input 4 4 3 6 3 2 4" xfId="30308" xr:uid="{00000000-0005-0000-0000-00005F760000}"/>
    <cellStyle name="Input 4 4 3 6 3 2 5" xfId="30309" xr:uid="{00000000-0005-0000-0000-000060760000}"/>
    <cellStyle name="Input 4 4 3 6 3 2 6" xfId="30310" xr:uid="{00000000-0005-0000-0000-000061760000}"/>
    <cellStyle name="Input 4 4 3 6 3 3" xfId="30311" xr:uid="{00000000-0005-0000-0000-000062760000}"/>
    <cellStyle name="Input 4 4 3 6 3 4" xfId="30312" xr:uid="{00000000-0005-0000-0000-000063760000}"/>
    <cellStyle name="Input 4 4 3 6 3 5" xfId="30313" xr:uid="{00000000-0005-0000-0000-000064760000}"/>
    <cellStyle name="Input 4 4 3 6 3 6" xfId="30314" xr:uid="{00000000-0005-0000-0000-000065760000}"/>
    <cellStyle name="Input 4 4 3 6 4" xfId="30315" xr:uid="{00000000-0005-0000-0000-000066760000}"/>
    <cellStyle name="Input 4 4 3 6 4 2" xfId="30316" xr:uid="{00000000-0005-0000-0000-000067760000}"/>
    <cellStyle name="Input 4 4 3 6 4 3" xfId="30317" xr:uid="{00000000-0005-0000-0000-000068760000}"/>
    <cellStyle name="Input 4 4 3 6 4 4" xfId="30318" xr:uid="{00000000-0005-0000-0000-000069760000}"/>
    <cellStyle name="Input 4 4 3 6 4 5" xfId="30319" xr:uid="{00000000-0005-0000-0000-00006A760000}"/>
    <cellStyle name="Input 4 4 3 6 4 6" xfId="30320" xr:uid="{00000000-0005-0000-0000-00006B760000}"/>
    <cellStyle name="Input 4 4 3 6 5" xfId="30321" xr:uid="{00000000-0005-0000-0000-00006C760000}"/>
    <cellStyle name="Input 4 4 3 6 6" xfId="30322" xr:uid="{00000000-0005-0000-0000-00006D760000}"/>
    <cellStyle name="Input 4 4 3 6 7" xfId="30323" xr:uid="{00000000-0005-0000-0000-00006E760000}"/>
    <cellStyle name="Input 4 4 3 6 8" xfId="30324" xr:uid="{00000000-0005-0000-0000-00006F760000}"/>
    <cellStyle name="Input 4 4 3 7" xfId="30325" xr:uid="{00000000-0005-0000-0000-000070760000}"/>
    <cellStyle name="Input 4 4 3 7 2" xfId="30326" xr:uid="{00000000-0005-0000-0000-000071760000}"/>
    <cellStyle name="Input 4 4 3 7 2 2" xfId="30327" xr:uid="{00000000-0005-0000-0000-000072760000}"/>
    <cellStyle name="Input 4 4 3 7 2 3" xfId="30328" xr:uid="{00000000-0005-0000-0000-000073760000}"/>
    <cellStyle name="Input 4 4 3 7 2 4" xfId="30329" xr:uid="{00000000-0005-0000-0000-000074760000}"/>
    <cellStyle name="Input 4 4 3 7 2 5" xfId="30330" xr:uid="{00000000-0005-0000-0000-000075760000}"/>
    <cellStyle name="Input 4 4 3 7 2 6" xfId="30331" xr:uid="{00000000-0005-0000-0000-000076760000}"/>
    <cellStyle name="Input 4 4 3 7 3" xfId="30332" xr:uid="{00000000-0005-0000-0000-000077760000}"/>
    <cellStyle name="Input 4 4 3 7 4" xfId="30333" xr:uid="{00000000-0005-0000-0000-000078760000}"/>
    <cellStyle name="Input 4 4 3 7 5" xfId="30334" xr:uid="{00000000-0005-0000-0000-000079760000}"/>
    <cellStyle name="Input 4 4 3 7 6" xfId="30335" xr:uid="{00000000-0005-0000-0000-00007A760000}"/>
    <cellStyle name="Input 4 4 3 8" xfId="30336" xr:uid="{00000000-0005-0000-0000-00007B760000}"/>
    <cellStyle name="Input 4 4 3 8 2" xfId="30337" xr:uid="{00000000-0005-0000-0000-00007C760000}"/>
    <cellStyle name="Input 4 4 3 8 2 2" xfId="30338" xr:uid="{00000000-0005-0000-0000-00007D760000}"/>
    <cellStyle name="Input 4 4 3 8 2 3" xfId="30339" xr:uid="{00000000-0005-0000-0000-00007E760000}"/>
    <cellStyle name="Input 4 4 3 8 2 4" xfId="30340" xr:uid="{00000000-0005-0000-0000-00007F760000}"/>
    <cellStyle name="Input 4 4 3 8 2 5" xfId="30341" xr:uid="{00000000-0005-0000-0000-000080760000}"/>
    <cellStyle name="Input 4 4 3 8 2 6" xfId="30342" xr:uid="{00000000-0005-0000-0000-000081760000}"/>
    <cellStyle name="Input 4 4 3 8 3" xfId="30343" xr:uid="{00000000-0005-0000-0000-000082760000}"/>
    <cellStyle name="Input 4 4 3 8 4" xfId="30344" xr:uid="{00000000-0005-0000-0000-000083760000}"/>
    <cellStyle name="Input 4 4 3 8 5" xfId="30345" xr:uid="{00000000-0005-0000-0000-000084760000}"/>
    <cellStyle name="Input 4 4 3 8 6" xfId="30346" xr:uid="{00000000-0005-0000-0000-000085760000}"/>
    <cellStyle name="Input 4 4 3 9" xfId="30347" xr:uid="{00000000-0005-0000-0000-000086760000}"/>
    <cellStyle name="Input 4 4 3 9 2" xfId="30348" xr:uid="{00000000-0005-0000-0000-000087760000}"/>
    <cellStyle name="Input 4 4 3 9 3" xfId="30349" xr:uid="{00000000-0005-0000-0000-000088760000}"/>
    <cellStyle name="Input 4 4 3 9 4" xfId="30350" xr:uid="{00000000-0005-0000-0000-000089760000}"/>
    <cellStyle name="Input 4 4 3 9 5" xfId="30351" xr:uid="{00000000-0005-0000-0000-00008A760000}"/>
    <cellStyle name="Input 4 4 3 9 6" xfId="30352" xr:uid="{00000000-0005-0000-0000-00008B760000}"/>
    <cellStyle name="Input 4 4 4" xfId="30353" xr:uid="{00000000-0005-0000-0000-00008C760000}"/>
    <cellStyle name="Input 4 4 4 2" xfId="30354" xr:uid="{00000000-0005-0000-0000-00008D760000}"/>
    <cellStyle name="Input 4 4 4 2 2" xfId="30355" xr:uid="{00000000-0005-0000-0000-00008E760000}"/>
    <cellStyle name="Input 4 4 4 2 2 2" xfId="30356" xr:uid="{00000000-0005-0000-0000-00008F760000}"/>
    <cellStyle name="Input 4 4 4 2 2 3" xfId="30357" xr:uid="{00000000-0005-0000-0000-000090760000}"/>
    <cellStyle name="Input 4 4 4 2 2 4" xfId="30358" xr:uid="{00000000-0005-0000-0000-000091760000}"/>
    <cellStyle name="Input 4 4 4 2 2 5" xfId="30359" xr:uid="{00000000-0005-0000-0000-000092760000}"/>
    <cellStyle name="Input 4 4 4 2 2 6" xfId="30360" xr:uid="{00000000-0005-0000-0000-000093760000}"/>
    <cellStyle name="Input 4 4 4 2 3" xfId="30361" xr:uid="{00000000-0005-0000-0000-000094760000}"/>
    <cellStyle name="Input 4 4 4 2 4" xfId="30362" xr:uid="{00000000-0005-0000-0000-000095760000}"/>
    <cellStyle name="Input 4 4 4 2 5" xfId="30363" xr:uid="{00000000-0005-0000-0000-000096760000}"/>
    <cellStyle name="Input 4 4 4 2 6" xfId="30364" xr:uid="{00000000-0005-0000-0000-000097760000}"/>
    <cellStyle name="Input 4 4 4 3" xfId="30365" xr:uid="{00000000-0005-0000-0000-000098760000}"/>
    <cellStyle name="Input 4 4 4 3 2" xfId="30366" xr:uid="{00000000-0005-0000-0000-000099760000}"/>
    <cellStyle name="Input 4 4 4 3 2 2" xfId="30367" xr:uid="{00000000-0005-0000-0000-00009A760000}"/>
    <cellStyle name="Input 4 4 4 3 2 3" xfId="30368" xr:uid="{00000000-0005-0000-0000-00009B760000}"/>
    <cellStyle name="Input 4 4 4 3 2 4" xfId="30369" xr:uid="{00000000-0005-0000-0000-00009C760000}"/>
    <cellStyle name="Input 4 4 4 3 2 5" xfId="30370" xr:uid="{00000000-0005-0000-0000-00009D760000}"/>
    <cellStyle name="Input 4 4 4 3 2 6" xfId="30371" xr:uid="{00000000-0005-0000-0000-00009E760000}"/>
    <cellStyle name="Input 4 4 4 3 3" xfId="30372" xr:uid="{00000000-0005-0000-0000-00009F760000}"/>
    <cellStyle name="Input 4 4 4 3 4" xfId="30373" xr:uid="{00000000-0005-0000-0000-0000A0760000}"/>
    <cellStyle name="Input 4 4 4 3 5" xfId="30374" xr:uid="{00000000-0005-0000-0000-0000A1760000}"/>
    <cellStyle name="Input 4 4 4 3 6" xfId="30375" xr:uid="{00000000-0005-0000-0000-0000A2760000}"/>
    <cellStyle name="Input 4 4 4 4" xfId="30376" xr:uid="{00000000-0005-0000-0000-0000A3760000}"/>
    <cellStyle name="Input 4 4 4 4 2" xfId="30377" xr:uid="{00000000-0005-0000-0000-0000A4760000}"/>
    <cellStyle name="Input 4 4 4 4 3" xfId="30378" xr:uid="{00000000-0005-0000-0000-0000A5760000}"/>
    <cellStyle name="Input 4 4 4 4 4" xfId="30379" xr:uid="{00000000-0005-0000-0000-0000A6760000}"/>
    <cellStyle name="Input 4 4 4 4 5" xfId="30380" xr:uid="{00000000-0005-0000-0000-0000A7760000}"/>
    <cellStyle name="Input 4 4 4 4 6" xfId="30381" xr:uid="{00000000-0005-0000-0000-0000A8760000}"/>
    <cellStyle name="Input 4 4 4 5" xfId="30382" xr:uid="{00000000-0005-0000-0000-0000A9760000}"/>
    <cellStyle name="Input 4 4 4 6" xfId="30383" xr:uid="{00000000-0005-0000-0000-0000AA760000}"/>
    <cellStyle name="Input 4 4 4 7" xfId="30384" xr:uid="{00000000-0005-0000-0000-0000AB760000}"/>
    <cellStyle name="Input 4 4 4 8" xfId="30385" xr:uid="{00000000-0005-0000-0000-0000AC760000}"/>
    <cellStyle name="Input 4 4 5" xfId="30386" xr:uid="{00000000-0005-0000-0000-0000AD760000}"/>
    <cellStyle name="Input 4 4 5 2" xfId="30387" xr:uid="{00000000-0005-0000-0000-0000AE760000}"/>
    <cellStyle name="Input 4 4 5 2 2" xfId="30388" xr:uid="{00000000-0005-0000-0000-0000AF760000}"/>
    <cellStyle name="Input 4 4 5 2 2 2" xfId="30389" xr:uid="{00000000-0005-0000-0000-0000B0760000}"/>
    <cellStyle name="Input 4 4 5 2 2 3" xfId="30390" xr:uid="{00000000-0005-0000-0000-0000B1760000}"/>
    <cellStyle name="Input 4 4 5 2 2 4" xfId="30391" xr:uid="{00000000-0005-0000-0000-0000B2760000}"/>
    <cellStyle name="Input 4 4 5 2 2 5" xfId="30392" xr:uid="{00000000-0005-0000-0000-0000B3760000}"/>
    <cellStyle name="Input 4 4 5 2 2 6" xfId="30393" xr:uid="{00000000-0005-0000-0000-0000B4760000}"/>
    <cellStyle name="Input 4 4 5 2 3" xfId="30394" xr:uid="{00000000-0005-0000-0000-0000B5760000}"/>
    <cellStyle name="Input 4 4 5 2 4" xfId="30395" xr:uid="{00000000-0005-0000-0000-0000B6760000}"/>
    <cellStyle name="Input 4 4 5 2 5" xfId="30396" xr:uid="{00000000-0005-0000-0000-0000B7760000}"/>
    <cellStyle name="Input 4 4 5 2 6" xfId="30397" xr:uid="{00000000-0005-0000-0000-0000B8760000}"/>
    <cellStyle name="Input 4 4 5 3" xfId="30398" xr:uid="{00000000-0005-0000-0000-0000B9760000}"/>
    <cellStyle name="Input 4 4 5 3 2" xfId="30399" xr:uid="{00000000-0005-0000-0000-0000BA760000}"/>
    <cellStyle name="Input 4 4 5 3 2 2" xfId="30400" xr:uid="{00000000-0005-0000-0000-0000BB760000}"/>
    <cellStyle name="Input 4 4 5 3 2 3" xfId="30401" xr:uid="{00000000-0005-0000-0000-0000BC760000}"/>
    <cellStyle name="Input 4 4 5 3 2 4" xfId="30402" xr:uid="{00000000-0005-0000-0000-0000BD760000}"/>
    <cellStyle name="Input 4 4 5 3 2 5" xfId="30403" xr:uid="{00000000-0005-0000-0000-0000BE760000}"/>
    <cellStyle name="Input 4 4 5 3 2 6" xfId="30404" xr:uid="{00000000-0005-0000-0000-0000BF760000}"/>
    <cellStyle name="Input 4 4 5 3 3" xfId="30405" xr:uid="{00000000-0005-0000-0000-0000C0760000}"/>
    <cellStyle name="Input 4 4 5 3 4" xfId="30406" xr:uid="{00000000-0005-0000-0000-0000C1760000}"/>
    <cellStyle name="Input 4 4 5 3 5" xfId="30407" xr:uid="{00000000-0005-0000-0000-0000C2760000}"/>
    <cellStyle name="Input 4 4 5 3 6" xfId="30408" xr:uid="{00000000-0005-0000-0000-0000C3760000}"/>
    <cellStyle name="Input 4 4 5 4" xfId="30409" xr:uid="{00000000-0005-0000-0000-0000C4760000}"/>
    <cellStyle name="Input 4 4 5 4 2" xfId="30410" xr:uid="{00000000-0005-0000-0000-0000C5760000}"/>
    <cellStyle name="Input 4 4 5 4 3" xfId="30411" xr:uid="{00000000-0005-0000-0000-0000C6760000}"/>
    <cellStyle name="Input 4 4 5 4 4" xfId="30412" xr:uid="{00000000-0005-0000-0000-0000C7760000}"/>
    <cellStyle name="Input 4 4 5 4 5" xfId="30413" xr:uid="{00000000-0005-0000-0000-0000C8760000}"/>
    <cellStyle name="Input 4 4 5 4 6" xfId="30414" xr:uid="{00000000-0005-0000-0000-0000C9760000}"/>
    <cellStyle name="Input 4 4 5 5" xfId="30415" xr:uid="{00000000-0005-0000-0000-0000CA760000}"/>
    <cellStyle name="Input 4 4 5 6" xfId="30416" xr:uid="{00000000-0005-0000-0000-0000CB760000}"/>
    <cellStyle name="Input 4 4 5 7" xfId="30417" xr:uid="{00000000-0005-0000-0000-0000CC760000}"/>
    <cellStyle name="Input 4 4 5 8" xfId="30418" xr:uid="{00000000-0005-0000-0000-0000CD760000}"/>
    <cellStyle name="Input 4 4 6" xfId="30419" xr:uid="{00000000-0005-0000-0000-0000CE760000}"/>
    <cellStyle name="Input 4 4 6 2" xfId="30420" xr:uid="{00000000-0005-0000-0000-0000CF760000}"/>
    <cellStyle name="Input 4 4 6 2 2" xfId="30421" xr:uid="{00000000-0005-0000-0000-0000D0760000}"/>
    <cellStyle name="Input 4 4 6 2 2 2" xfId="30422" xr:uid="{00000000-0005-0000-0000-0000D1760000}"/>
    <cellStyle name="Input 4 4 6 2 2 3" xfId="30423" xr:uid="{00000000-0005-0000-0000-0000D2760000}"/>
    <cellStyle name="Input 4 4 6 2 2 4" xfId="30424" xr:uid="{00000000-0005-0000-0000-0000D3760000}"/>
    <cellStyle name="Input 4 4 6 2 2 5" xfId="30425" xr:uid="{00000000-0005-0000-0000-0000D4760000}"/>
    <cellStyle name="Input 4 4 6 2 2 6" xfId="30426" xr:uid="{00000000-0005-0000-0000-0000D5760000}"/>
    <cellStyle name="Input 4 4 6 2 3" xfId="30427" xr:uid="{00000000-0005-0000-0000-0000D6760000}"/>
    <cellStyle name="Input 4 4 6 2 4" xfId="30428" xr:uid="{00000000-0005-0000-0000-0000D7760000}"/>
    <cellStyle name="Input 4 4 6 2 5" xfId="30429" xr:uid="{00000000-0005-0000-0000-0000D8760000}"/>
    <cellStyle name="Input 4 4 6 2 6" xfId="30430" xr:uid="{00000000-0005-0000-0000-0000D9760000}"/>
    <cellStyle name="Input 4 4 6 3" xfId="30431" xr:uid="{00000000-0005-0000-0000-0000DA760000}"/>
    <cellStyle name="Input 4 4 6 3 2" xfId="30432" xr:uid="{00000000-0005-0000-0000-0000DB760000}"/>
    <cellStyle name="Input 4 4 6 3 2 2" xfId="30433" xr:uid="{00000000-0005-0000-0000-0000DC760000}"/>
    <cellStyle name="Input 4 4 6 3 2 3" xfId="30434" xr:uid="{00000000-0005-0000-0000-0000DD760000}"/>
    <cellStyle name="Input 4 4 6 3 2 4" xfId="30435" xr:uid="{00000000-0005-0000-0000-0000DE760000}"/>
    <cellStyle name="Input 4 4 6 3 2 5" xfId="30436" xr:uid="{00000000-0005-0000-0000-0000DF760000}"/>
    <cellStyle name="Input 4 4 6 3 2 6" xfId="30437" xr:uid="{00000000-0005-0000-0000-0000E0760000}"/>
    <cellStyle name="Input 4 4 6 3 3" xfId="30438" xr:uid="{00000000-0005-0000-0000-0000E1760000}"/>
    <cellStyle name="Input 4 4 6 3 4" xfId="30439" xr:uid="{00000000-0005-0000-0000-0000E2760000}"/>
    <cellStyle name="Input 4 4 6 3 5" xfId="30440" xr:uid="{00000000-0005-0000-0000-0000E3760000}"/>
    <cellStyle name="Input 4 4 6 3 6" xfId="30441" xr:uid="{00000000-0005-0000-0000-0000E4760000}"/>
    <cellStyle name="Input 4 4 6 4" xfId="30442" xr:uid="{00000000-0005-0000-0000-0000E5760000}"/>
    <cellStyle name="Input 4 4 6 4 2" xfId="30443" xr:uid="{00000000-0005-0000-0000-0000E6760000}"/>
    <cellStyle name="Input 4 4 6 4 3" xfId="30444" xr:uid="{00000000-0005-0000-0000-0000E7760000}"/>
    <cellStyle name="Input 4 4 6 4 4" xfId="30445" xr:uid="{00000000-0005-0000-0000-0000E8760000}"/>
    <cellStyle name="Input 4 4 6 4 5" xfId="30446" xr:uid="{00000000-0005-0000-0000-0000E9760000}"/>
    <cellStyle name="Input 4 4 6 4 6" xfId="30447" xr:uid="{00000000-0005-0000-0000-0000EA760000}"/>
    <cellStyle name="Input 4 4 6 5" xfId="30448" xr:uid="{00000000-0005-0000-0000-0000EB760000}"/>
    <cellStyle name="Input 4 4 6 6" xfId="30449" xr:uid="{00000000-0005-0000-0000-0000EC760000}"/>
    <cellStyle name="Input 4 4 6 7" xfId="30450" xr:uid="{00000000-0005-0000-0000-0000ED760000}"/>
    <cellStyle name="Input 4 4 6 8" xfId="30451" xr:uid="{00000000-0005-0000-0000-0000EE760000}"/>
    <cellStyle name="Input 4 4 7" xfId="30452" xr:uid="{00000000-0005-0000-0000-0000EF760000}"/>
    <cellStyle name="Input 4 4 7 2" xfId="30453" xr:uid="{00000000-0005-0000-0000-0000F0760000}"/>
    <cellStyle name="Input 4 4 7 2 2" xfId="30454" xr:uid="{00000000-0005-0000-0000-0000F1760000}"/>
    <cellStyle name="Input 4 4 7 2 3" xfId="30455" xr:uid="{00000000-0005-0000-0000-0000F2760000}"/>
    <cellStyle name="Input 4 4 7 2 4" xfId="30456" xr:uid="{00000000-0005-0000-0000-0000F3760000}"/>
    <cellStyle name="Input 4 4 7 2 5" xfId="30457" xr:uid="{00000000-0005-0000-0000-0000F4760000}"/>
    <cellStyle name="Input 4 4 7 2 6" xfId="30458" xr:uid="{00000000-0005-0000-0000-0000F5760000}"/>
    <cellStyle name="Input 4 4 7 3" xfId="30459" xr:uid="{00000000-0005-0000-0000-0000F6760000}"/>
    <cellStyle name="Input 4 4 7 4" xfId="30460" xr:uid="{00000000-0005-0000-0000-0000F7760000}"/>
    <cellStyle name="Input 4 4 7 5" xfId="30461" xr:uid="{00000000-0005-0000-0000-0000F8760000}"/>
    <cellStyle name="Input 4 4 7 6" xfId="30462" xr:uid="{00000000-0005-0000-0000-0000F9760000}"/>
    <cellStyle name="Input 4 4 8" xfId="30463" xr:uid="{00000000-0005-0000-0000-0000FA760000}"/>
    <cellStyle name="Input 4 4 8 2" xfId="30464" xr:uid="{00000000-0005-0000-0000-0000FB760000}"/>
    <cellStyle name="Input 4 4 8 2 2" xfId="30465" xr:uid="{00000000-0005-0000-0000-0000FC760000}"/>
    <cellStyle name="Input 4 4 8 2 3" xfId="30466" xr:uid="{00000000-0005-0000-0000-0000FD760000}"/>
    <cellStyle name="Input 4 4 8 2 4" xfId="30467" xr:uid="{00000000-0005-0000-0000-0000FE760000}"/>
    <cellStyle name="Input 4 4 8 2 5" xfId="30468" xr:uid="{00000000-0005-0000-0000-0000FF760000}"/>
    <cellStyle name="Input 4 4 8 2 6" xfId="30469" xr:uid="{00000000-0005-0000-0000-000000770000}"/>
    <cellStyle name="Input 4 4 8 3" xfId="30470" xr:uid="{00000000-0005-0000-0000-000001770000}"/>
    <cellStyle name="Input 4 4 8 4" xfId="30471" xr:uid="{00000000-0005-0000-0000-000002770000}"/>
    <cellStyle name="Input 4 4 8 5" xfId="30472" xr:uid="{00000000-0005-0000-0000-000003770000}"/>
    <cellStyle name="Input 4 4 8 6" xfId="30473" xr:uid="{00000000-0005-0000-0000-000004770000}"/>
    <cellStyle name="Input 4 4 9" xfId="30474" xr:uid="{00000000-0005-0000-0000-000005770000}"/>
    <cellStyle name="Input 4 4 9 2" xfId="30475" xr:uid="{00000000-0005-0000-0000-000006770000}"/>
    <cellStyle name="Input 4 4 9 3" xfId="30476" xr:uid="{00000000-0005-0000-0000-000007770000}"/>
    <cellStyle name="Input 4 4 9 4" xfId="30477" xr:uid="{00000000-0005-0000-0000-000008770000}"/>
    <cellStyle name="Input 4 4 9 5" xfId="30478" xr:uid="{00000000-0005-0000-0000-000009770000}"/>
    <cellStyle name="Input 4 4 9 6" xfId="30479" xr:uid="{00000000-0005-0000-0000-00000A770000}"/>
    <cellStyle name="Input 5" xfId="30480" xr:uid="{00000000-0005-0000-0000-00000B770000}"/>
    <cellStyle name="Input 5 2" xfId="30481" xr:uid="{00000000-0005-0000-0000-00000C770000}"/>
    <cellStyle name="Input 5 3" xfId="30482" xr:uid="{00000000-0005-0000-0000-00000D770000}"/>
    <cellStyle name="Input 5 3 10" xfId="30483" xr:uid="{00000000-0005-0000-0000-00000E770000}"/>
    <cellStyle name="Input 5 3 11" xfId="30484" xr:uid="{00000000-0005-0000-0000-00000F770000}"/>
    <cellStyle name="Input 5 3 12" xfId="30485" xr:uid="{00000000-0005-0000-0000-000010770000}"/>
    <cellStyle name="Input 5 3 13" xfId="30486" xr:uid="{00000000-0005-0000-0000-000011770000}"/>
    <cellStyle name="Input 5 3 2" xfId="30487" xr:uid="{00000000-0005-0000-0000-000012770000}"/>
    <cellStyle name="Input 5 3 2 10" xfId="30488" xr:uid="{00000000-0005-0000-0000-000013770000}"/>
    <cellStyle name="Input 5 3 2 10 2" xfId="30489" xr:uid="{00000000-0005-0000-0000-000014770000}"/>
    <cellStyle name="Input 5 3 2 10 3" xfId="30490" xr:uid="{00000000-0005-0000-0000-000015770000}"/>
    <cellStyle name="Input 5 3 2 10 4" xfId="30491" xr:uid="{00000000-0005-0000-0000-000016770000}"/>
    <cellStyle name="Input 5 3 2 10 5" xfId="30492" xr:uid="{00000000-0005-0000-0000-000017770000}"/>
    <cellStyle name="Input 5 3 2 10 6" xfId="30493" xr:uid="{00000000-0005-0000-0000-000018770000}"/>
    <cellStyle name="Input 5 3 2 11" xfId="30494" xr:uid="{00000000-0005-0000-0000-000019770000}"/>
    <cellStyle name="Input 5 3 2 12" xfId="30495" xr:uid="{00000000-0005-0000-0000-00001A770000}"/>
    <cellStyle name="Input 5 3 2 13" xfId="30496" xr:uid="{00000000-0005-0000-0000-00001B770000}"/>
    <cellStyle name="Input 5 3 2 14" xfId="30497" xr:uid="{00000000-0005-0000-0000-00001C770000}"/>
    <cellStyle name="Input 5 3 2 2" xfId="30498" xr:uid="{00000000-0005-0000-0000-00001D770000}"/>
    <cellStyle name="Input 5 3 2 2 10" xfId="30499" xr:uid="{00000000-0005-0000-0000-00001E770000}"/>
    <cellStyle name="Input 5 3 2 2 11" xfId="30500" xr:uid="{00000000-0005-0000-0000-00001F770000}"/>
    <cellStyle name="Input 5 3 2 2 12" xfId="30501" xr:uid="{00000000-0005-0000-0000-000020770000}"/>
    <cellStyle name="Input 5 3 2 2 13" xfId="30502" xr:uid="{00000000-0005-0000-0000-000021770000}"/>
    <cellStyle name="Input 5 3 2 2 2" xfId="30503" xr:uid="{00000000-0005-0000-0000-000022770000}"/>
    <cellStyle name="Input 5 3 2 2 2 2" xfId="30504" xr:uid="{00000000-0005-0000-0000-000023770000}"/>
    <cellStyle name="Input 5 3 2 2 2 2 2" xfId="30505" xr:uid="{00000000-0005-0000-0000-000024770000}"/>
    <cellStyle name="Input 5 3 2 2 2 2 2 2" xfId="30506" xr:uid="{00000000-0005-0000-0000-000025770000}"/>
    <cellStyle name="Input 5 3 2 2 2 2 2 3" xfId="30507" xr:uid="{00000000-0005-0000-0000-000026770000}"/>
    <cellStyle name="Input 5 3 2 2 2 2 2 4" xfId="30508" xr:uid="{00000000-0005-0000-0000-000027770000}"/>
    <cellStyle name="Input 5 3 2 2 2 2 2 5" xfId="30509" xr:uid="{00000000-0005-0000-0000-000028770000}"/>
    <cellStyle name="Input 5 3 2 2 2 2 2 6" xfId="30510" xr:uid="{00000000-0005-0000-0000-000029770000}"/>
    <cellStyle name="Input 5 3 2 2 2 2 3" xfId="30511" xr:uid="{00000000-0005-0000-0000-00002A770000}"/>
    <cellStyle name="Input 5 3 2 2 2 2 4" xfId="30512" xr:uid="{00000000-0005-0000-0000-00002B770000}"/>
    <cellStyle name="Input 5 3 2 2 2 2 5" xfId="30513" xr:uid="{00000000-0005-0000-0000-00002C770000}"/>
    <cellStyle name="Input 5 3 2 2 2 2 6" xfId="30514" xr:uid="{00000000-0005-0000-0000-00002D770000}"/>
    <cellStyle name="Input 5 3 2 2 2 3" xfId="30515" xr:uid="{00000000-0005-0000-0000-00002E770000}"/>
    <cellStyle name="Input 5 3 2 2 2 3 2" xfId="30516" xr:uid="{00000000-0005-0000-0000-00002F770000}"/>
    <cellStyle name="Input 5 3 2 2 2 3 2 2" xfId="30517" xr:uid="{00000000-0005-0000-0000-000030770000}"/>
    <cellStyle name="Input 5 3 2 2 2 3 2 3" xfId="30518" xr:uid="{00000000-0005-0000-0000-000031770000}"/>
    <cellStyle name="Input 5 3 2 2 2 3 2 4" xfId="30519" xr:uid="{00000000-0005-0000-0000-000032770000}"/>
    <cellStyle name="Input 5 3 2 2 2 3 2 5" xfId="30520" xr:uid="{00000000-0005-0000-0000-000033770000}"/>
    <cellStyle name="Input 5 3 2 2 2 3 2 6" xfId="30521" xr:uid="{00000000-0005-0000-0000-000034770000}"/>
    <cellStyle name="Input 5 3 2 2 2 3 3" xfId="30522" xr:uid="{00000000-0005-0000-0000-000035770000}"/>
    <cellStyle name="Input 5 3 2 2 2 3 4" xfId="30523" xr:uid="{00000000-0005-0000-0000-000036770000}"/>
    <cellStyle name="Input 5 3 2 2 2 3 5" xfId="30524" xr:uid="{00000000-0005-0000-0000-000037770000}"/>
    <cellStyle name="Input 5 3 2 2 2 3 6" xfId="30525" xr:uid="{00000000-0005-0000-0000-000038770000}"/>
    <cellStyle name="Input 5 3 2 2 2 4" xfId="30526" xr:uid="{00000000-0005-0000-0000-000039770000}"/>
    <cellStyle name="Input 5 3 2 2 2 4 2" xfId="30527" xr:uid="{00000000-0005-0000-0000-00003A770000}"/>
    <cellStyle name="Input 5 3 2 2 2 4 3" xfId="30528" xr:uid="{00000000-0005-0000-0000-00003B770000}"/>
    <cellStyle name="Input 5 3 2 2 2 4 4" xfId="30529" xr:uid="{00000000-0005-0000-0000-00003C770000}"/>
    <cellStyle name="Input 5 3 2 2 2 4 5" xfId="30530" xr:uid="{00000000-0005-0000-0000-00003D770000}"/>
    <cellStyle name="Input 5 3 2 2 2 4 6" xfId="30531" xr:uid="{00000000-0005-0000-0000-00003E770000}"/>
    <cellStyle name="Input 5 3 2 2 2 5" xfId="30532" xr:uid="{00000000-0005-0000-0000-00003F770000}"/>
    <cellStyle name="Input 5 3 2 2 2 6" xfId="30533" xr:uid="{00000000-0005-0000-0000-000040770000}"/>
    <cellStyle name="Input 5 3 2 2 2 7" xfId="30534" xr:uid="{00000000-0005-0000-0000-000041770000}"/>
    <cellStyle name="Input 5 3 2 2 2 8" xfId="30535" xr:uid="{00000000-0005-0000-0000-000042770000}"/>
    <cellStyle name="Input 5 3 2 2 3" xfId="30536" xr:uid="{00000000-0005-0000-0000-000043770000}"/>
    <cellStyle name="Input 5 3 2 2 3 2" xfId="30537" xr:uid="{00000000-0005-0000-0000-000044770000}"/>
    <cellStyle name="Input 5 3 2 2 3 2 2" xfId="30538" xr:uid="{00000000-0005-0000-0000-000045770000}"/>
    <cellStyle name="Input 5 3 2 2 3 2 2 2" xfId="30539" xr:uid="{00000000-0005-0000-0000-000046770000}"/>
    <cellStyle name="Input 5 3 2 2 3 2 2 3" xfId="30540" xr:uid="{00000000-0005-0000-0000-000047770000}"/>
    <cellStyle name="Input 5 3 2 2 3 2 2 4" xfId="30541" xr:uid="{00000000-0005-0000-0000-000048770000}"/>
    <cellStyle name="Input 5 3 2 2 3 2 2 5" xfId="30542" xr:uid="{00000000-0005-0000-0000-000049770000}"/>
    <cellStyle name="Input 5 3 2 2 3 2 2 6" xfId="30543" xr:uid="{00000000-0005-0000-0000-00004A770000}"/>
    <cellStyle name="Input 5 3 2 2 3 2 3" xfId="30544" xr:uid="{00000000-0005-0000-0000-00004B770000}"/>
    <cellStyle name="Input 5 3 2 2 3 2 4" xfId="30545" xr:uid="{00000000-0005-0000-0000-00004C770000}"/>
    <cellStyle name="Input 5 3 2 2 3 2 5" xfId="30546" xr:uid="{00000000-0005-0000-0000-00004D770000}"/>
    <cellStyle name="Input 5 3 2 2 3 2 6" xfId="30547" xr:uid="{00000000-0005-0000-0000-00004E770000}"/>
    <cellStyle name="Input 5 3 2 2 3 3" xfId="30548" xr:uid="{00000000-0005-0000-0000-00004F770000}"/>
    <cellStyle name="Input 5 3 2 2 3 3 2" xfId="30549" xr:uid="{00000000-0005-0000-0000-000050770000}"/>
    <cellStyle name="Input 5 3 2 2 3 3 2 2" xfId="30550" xr:uid="{00000000-0005-0000-0000-000051770000}"/>
    <cellStyle name="Input 5 3 2 2 3 3 2 3" xfId="30551" xr:uid="{00000000-0005-0000-0000-000052770000}"/>
    <cellStyle name="Input 5 3 2 2 3 3 2 4" xfId="30552" xr:uid="{00000000-0005-0000-0000-000053770000}"/>
    <cellStyle name="Input 5 3 2 2 3 3 2 5" xfId="30553" xr:uid="{00000000-0005-0000-0000-000054770000}"/>
    <cellStyle name="Input 5 3 2 2 3 3 2 6" xfId="30554" xr:uid="{00000000-0005-0000-0000-000055770000}"/>
    <cellStyle name="Input 5 3 2 2 3 3 3" xfId="30555" xr:uid="{00000000-0005-0000-0000-000056770000}"/>
    <cellStyle name="Input 5 3 2 2 3 3 4" xfId="30556" xr:uid="{00000000-0005-0000-0000-000057770000}"/>
    <cellStyle name="Input 5 3 2 2 3 3 5" xfId="30557" xr:uid="{00000000-0005-0000-0000-000058770000}"/>
    <cellStyle name="Input 5 3 2 2 3 3 6" xfId="30558" xr:uid="{00000000-0005-0000-0000-000059770000}"/>
    <cellStyle name="Input 5 3 2 2 3 4" xfId="30559" xr:uid="{00000000-0005-0000-0000-00005A770000}"/>
    <cellStyle name="Input 5 3 2 2 3 4 2" xfId="30560" xr:uid="{00000000-0005-0000-0000-00005B770000}"/>
    <cellStyle name="Input 5 3 2 2 3 4 3" xfId="30561" xr:uid="{00000000-0005-0000-0000-00005C770000}"/>
    <cellStyle name="Input 5 3 2 2 3 4 4" xfId="30562" xr:uid="{00000000-0005-0000-0000-00005D770000}"/>
    <cellStyle name="Input 5 3 2 2 3 4 5" xfId="30563" xr:uid="{00000000-0005-0000-0000-00005E770000}"/>
    <cellStyle name="Input 5 3 2 2 3 4 6" xfId="30564" xr:uid="{00000000-0005-0000-0000-00005F770000}"/>
    <cellStyle name="Input 5 3 2 2 3 5" xfId="30565" xr:uid="{00000000-0005-0000-0000-000060770000}"/>
    <cellStyle name="Input 5 3 2 2 3 6" xfId="30566" xr:uid="{00000000-0005-0000-0000-000061770000}"/>
    <cellStyle name="Input 5 3 2 2 3 7" xfId="30567" xr:uid="{00000000-0005-0000-0000-000062770000}"/>
    <cellStyle name="Input 5 3 2 2 3 8" xfId="30568" xr:uid="{00000000-0005-0000-0000-000063770000}"/>
    <cellStyle name="Input 5 3 2 2 4" xfId="30569" xr:uid="{00000000-0005-0000-0000-000064770000}"/>
    <cellStyle name="Input 5 3 2 2 4 2" xfId="30570" xr:uid="{00000000-0005-0000-0000-000065770000}"/>
    <cellStyle name="Input 5 3 2 2 4 2 2" xfId="30571" xr:uid="{00000000-0005-0000-0000-000066770000}"/>
    <cellStyle name="Input 5 3 2 2 4 2 2 2" xfId="30572" xr:uid="{00000000-0005-0000-0000-000067770000}"/>
    <cellStyle name="Input 5 3 2 2 4 2 2 3" xfId="30573" xr:uid="{00000000-0005-0000-0000-000068770000}"/>
    <cellStyle name="Input 5 3 2 2 4 2 2 4" xfId="30574" xr:uid="{00000000-0005-0000-0000-000069770000}"/>
    <cellStyle name="Input 5 3 2 2 4 2 2 5" xfId="30575" xr:uid="{00000000-0005-0000-0000-00006A770000}"/>
    <cellStyle name="Input 5 3 2 2 4 2 2 6" xfId="30576" xr:uid="{00000000-0005-0000-0000-00006B770000}"/>
    <cellStyle name="Input 5 3 2 2 4 2 3" xfId="30577" xr:uid="{00000000-0005-0000-0000-00006C770000}"/>
    <cellStyle name="Input 5 3 2 2 4 2 4" xfId="30578" xr:uid="{00000000-0005-0000-0000-00006D770000}"/>
    <cellStyle name="Input 5 3 2 2 4 2 5" xfId="30579" xr:uid="{00000000-0005-0000-0000-00006E770000}"/>
    <cellStyle name="Input 5 3 2 2 4 2 6" xfId="30580" xr:uid="{00000000-0005-0000-0000-00006F770000}"/>
    <cellStyle name="Input 5 3 2 2 4 3" xfId="30581" xr:uid="{00000000-0005-0000-0000-000070770000}"/>
    <cellStyle name="Input 5 3 2 2 4 3 2" xfId="30582" xr:uid="{00000000-0005-0000-0000-000071770000}"/>
    <cellStyle name="Input 5 3 2 2 4 3 2 2" xfId="30583" xr:uid="{00000000-0005-0000-0000-000072770000}"/>
    <cellStyle name="Input 5 3 2 2 4 3 2 3" xfId="30584" xr:uid="{00000000-0005-0000-0000-000073770000}"/>
    <cellStyle name="Input 5 3 2 2 4 3 2 4" xfId="30585" xr:uid="{00000000-0005-0000-0000-000074770000}"/>
    <cellStyle name="Input 5 3 2 2 4 3 2 5" xfId="30586" xr:uid="{00000000-0005-0000-0000-000075770000}"/>
    <cellStyle name="Input 5 3 2 2 4 3 2 6" xfId="30587" xr:uid="{00000000-0005-0000-0000-000076770000}"/>
    <cellStyle name="Input 5 3 2 2 4 3 3" xfId="30588" xr:uid="{00000000-0005-0000-0000-000077770000}"/>
    <cellStyle name="Input 5 3 2 2 4 3 4" xfId="30589" xr:uid="{00000000-0005-0000-0000-000078770000}"/>
    <cellStyle name="Input 5 3 2 2 4 3 5" xfId="30590" xr:uid="{00000000-0005-0000-0000-000079770000}"/>
    <cellStyle name="Input 5 3 2 2 4 3 6" xfId="30591" xr:uid="{00000000-0005-0000-0000-00007A770000}"/>
    <cellStyle name="Input 5 3 2 2 4 4" xfId="30592" xr:uid="{00000000-0005-0000-0000-00007B770000}"/>
    <cellStyle name="Input 5 3 2 2 4 4 2" xfId="30593" xr:uid="{00000000-0005-0000-0000-00007C770000}"/>
    <cellStyle name="Input 5 3 2 2 4 4 3" xfId="30594" xr:uid="{00000000-0005-0000-0000-00007D770000}"/>
    <cellStyle name="Input 5 3 2 2 4 4 4" xfId="30595" xr:uid="{00000000-0005-0000-0000-00007E770000}"/>
    <cellStyle name="Input 5 3 2 2 4 4 5" xfId="30596" xr:uid="{00000000-0005-0000-0000-00007F770000}"/>
    <cellStyle name="Input 5 3 2 2 4 4 6" xfId="30597" xr:uid="{00000000-0005-0000-0000-000080770000}"/>
    <cellStyle name="Input 5 3 2 2 4 5" xfId="30598" xr:uid="{00000000-0005-0000-0000-000081770000}"/>
    <cellStyle name="Input 5 3 2 2 4 6" xfId="30599" xr:uid="{00000000-0005-0000-0000-000082770000}"/>
    <cellStyle name="Input 5 3 2 2 4 7" xfId="30600" xr:uid="{00000000-0005-0000-0000-000083770000}"/>
    <cellStyle name="Input 5 3 2 2 4 8" xfId="30601" xr:uid="{00000000-0005-0000-0000-000084770000}"/>
    <cellStyle name="Input 5 3 2 2 5" xfId="30602" xr:uid="{00000000-0005-0000-0000-000085770000}"/>
    <cellStyle name="Input 5 3 2 2 5 2" xfId="30603" xr:uid="{00000000-0005-0000-0000-000086770000}"/>
    <cellStyle name="Input 5 3 2 2 5 2 2" xfId="30604" xr:uid="{00000000-0005-0000-0000-000087770000}"/>
    <cellStyle name="Input 5 3 2 2 5 2 2 2" xfId="30605" xr:uid="{00000000-0005-0000-0000-000088770000}"/>
    <cellStyle name="Input 5 3 2 2 5 2 2 3" xfId="30606" xr:uid="{00000000-0005-0000-0000-000089770000}"/>
    <cellStyle name="Input 5 3 2 2 5 2 2 4" xfId="30607" xr:uid="{00000000-0005-0000-0000-00008A770000}"/>
    <cellStyle name="Input 5 3 2 2 5 2 2 5" xfId="30608" xr:uid="{00000000-0005-0000-0000-00008B770000}"/>
    <cellStyle name="Input 5 3 2 2 5 2 2 6" xfId="30609" xr:uid="{00000000-0005-0000-0000-00008C770000}"/>
    <cellStyle name="Input 5 3 2 2 5 2 3" xfId="30610" xr:uid="{00000000-0005-0000-0000-00008D770000}"/>
    <cellStyle name="Input 5 3 2 2 5 2 4" xfId="30611" xr:uid="{00000000-0005-0000-0000-00008E770000}"/>
    <cellStyle name="Input 5 3 2 2 5 2 5" xfId="30612" xr:uid="{00000000-0005-0000-0000-00008F770000}"/>
    <cellStyle name="Input 5 3 2 2 5 2 6" xfId="30613" xr:uid="{00000000-0005-0000-0000-000090770000}"/>
    <cellStyle name="Input 5 3 2 2 5 3" xfId="30614" xr:uid="{00000000-0005-0000-0000-000091770000}"/>
    <cellStyle name="Input 5 3 2 2 5 3 2" xfId="30615" xr:uid="{00000000-0005-0000-0000-000092770000}"/>
    <cellStyle name="Input 5 3 2 2 5 3 2 2" xfId="30616" xr:uid="{00000000-0005-0000-0000-000093770000}"/>
    <cellStyle name="Input 5 3 2 2 5 3 2 3" xfId="30617" xr:uid="{00000000-0005-0000-0000-000094770000}"/>
    <cellStyle name="Input 5 3 2 2 5 3 2 4" xfId="30618" xr:uid="{00000000-0005-0000-0000-000095770000}"/>
    <cellStyle name="Input 5 3 2 2 5 3 2 5" xfId="30619" xr:uid="{00000000-0005-0000-0000-000096770000}"/>
    <cellStyle name="Input 5 3 2 2 5 3 2 6" xfId="30620" xr:uid="{00000000-0005-0000-0000-000097770000}"/>
    <cellStyle name="Input 5 3 2 2 5 3 3" xfId="30621" xr:uid="{00000000-0005-0000-0000-000098770000}"/>
    <cellStyle name="Input 5 3 2 2 5 3 4" xfId="30622" xr:uid="{00000000-0005-0000-0000-000099770000}"/>
    <cellStyle name="Input 5 3 2 2 5 3 5" xfId="30623" xr:uid="{00000000-0005-0000-0000-00009A770000}"/>
    <cellStyle name="Input 5 3 2 2 5 3 6" xfId="30624" xr:uid="{00000000-0005-0000-0000-00009B770000}"/>
    <cellStyle name="Input 5 3 2 2 5 4" xfId="30625" xr:uid="{00000000-0005-0000-0000-00009C770000}"/>
    <cellStyle name="Input 5 3 2 2 5 4 2" xfId="30626" xr:uid="{00000000-0005-0000-0000-00009D770000}"/>
    <cellStyle name="Input 5 3 2 2 5 4 3" xfId="30627" xr:uid="{00000000-0005-0000-0000-00009E770000}"/>
    <cellStyle name="Input 5 3 2 2 5 4 4" xfId="30628" xr:uid="{00000000-0005-0000-0000-00009F770000}"/>
    <cellStyle name="Input 5 3 2 2 5 4 5" xfId="30629" xr:uid="{00000000-0005-0000-0000-0000A0770000}"/>
    <cellStyle name="Input 5 3 2 2 5 4 6" xfId="30630" xr:uid="{00000000-0005-0000-0000-0000A1770000}"/>
    <cellStyle name="Input 5 3 2 2 5 5" xfId="30631" xr:uid="{00000000-0005-0000-0000-0000A2770000}"/>
    <cellStyle name="Input 5 3 2 2 5 6" xfId="30632" xr:uid="{00000000-0005-0000-0000-0000A3770000}"/>
    <cellStyle name="Input 5 3 2 2 5 7" xfId="30633" xr:uid="{00000000-0005-0000-0000-0000A4770000}"/>
    <cellStyle name="Input 5 3 2 2 5 8" xfId="30634" xr:uid="{00000000-0005-0000-0000-0000A5770000}"/>
    <cellStyle name="Input 5 3 2 2 6" xfId="30635" xr:uid="{00000000-0005-0000-0000-0000A6770000}"/>
    <cellStyle name="Input 5 3 2 2 6 2" xfId="30636" xr:uid="{00000000-0005-0000-0000-0000A7770000}"/>
    <cellStyle name="Input 5 3 2 2 6 2 2" xfId="30637" xr:uid="{00000000-0005-0000-0000-0000A8770000}"/>
    <cellStyle name="Input 5 3 2 2 6 2 2 2" xfId="30638" xr:uid="{00000000-0005-0000-0000-0000A9770000}"/>
    <cellStyle name="Input 5 3 2 2 6 2 2 3" xfId="30639" xr:uid="{00000000-0005-0000-0000-0000AA770000}"/>
    <cellStyle name="Input 5 3 2 2 6 2 2 4" xfId="30640" xr:uid="{00000000-0005-0000-0000-0000AB770000}"/>
    <cellStyle name="Input 5 3 2 2 6 2 2 5" xfId="30641" xr:uid="{00000000-0005-0000-0000-0000AC770000}"/>
    <cellStyle name="Input 5 3 2 2 6 2 2 6" xfId="30642" xr:uid="{00000000-0005-0000-0000-0000AD770000}"/>
    <cellStyle name="Input 5 3 2 2 6 2 3" xfId="30643" xr:uid="{00000000-0005-0000-0000-0000AE770000}"/>
    <cellStyle name="Input 5 3 2 2 6 2 4" xfId="30644" xr:uid="{00000000-0005-0000-0000-0000AF770000}"/>
    <cellStyle name="Input 5 3 2 2 6 2 5" xfId="30645" xr:uid="{00000000-0005-0000-0000-0000B0770000}"/>
    <cellStyle name="Input 5 3 2 2 6 2 6" xfId="30646" xr:uid="{00000000-0005-0000-0000-0000B1770000}"/>
    <cellStyle name="Input 5 3 2 2 6 3" xfId="30647" xr:uid="{00000000-0005-0000-0000-0000B2770000}"/>
    <cellStyle name="Input 5 3 2 2 6 3 2" xfId="30648" xr:uid="{00000000-0005-0000-0000-0000B3770000}"/>
    <cellStyle name="Input 5 3 2 2 6 3 2 2" xfId="30649" xr:uid="{00000000-0005-0000-0000-0000B4770000}"/>
    <cellStyle name="Input 5 3 2 2 6 3 2 3" xfId="30650" xr:uid="{00000000-0005-0000-0000-0000B5770000}"/>
    <cellStyle name="Input 5 3 2 2 6 3 2 4" xfId="30651" xr:uid="{00000000-0005-0000-0000-0000B6770000}"/>
    <cellStyle name="Input 5 3 2 2 6 3 2 5" xfId="30652" xr:uid="{00000000-0005-0000-0000-0000B7770000}"/>
    <cellStyle name="Input 5 3 2 2 6 3 2 6" xfId="30653" xr:uid="{00000000-0005-0000-0000-0000B8770000}"/>
    <cellStyle name="Input 5 3 2 2 6 3 3" xfId="30654" xr:uid="{00000000-0005-0000-0000-0000B9770000}"/>
    <cellStyle name="Input 5 3 2 2 6 3 4" xfId="30655" xr:uid="{00000000-0005-0000-0000-0000BA770000}"/>
    <cellStyle name="Input 5 3 2 2 6 3 5" xfId="30656" xr:uid="{00000000-0005-0000-0000-0000BB770000}"/>
    <cellStyle name="Input 5 3 2 2 6 3 6" xfId="30657" xr:uid="{00000000-0005-0000-0000-0000BC770000}"/>
    <cellStyle name="Input 5 3 2 2 6 4" xfId="30658" xr:uid="{00000000-0005-0000-0000-0000BD770000}"/>
    <cellStyle name="Input 5 3 2 2 6 4 2" xfId="30659" xr:uid="{00000000-0005-0000-0000-0000BE770000}"/>
    <cellStyle name="Input 5 3 2 2 6 4 3" xfId="30660" xr:uid="{00000000-0005-0000-0000-0000BF770000}"/>
    <cellStyle name="Input 5 3 2 2 6 4 4" xfId="30661" xr:uid="{00000000-0005-0000-0000-0000C0770000}"/>
    <cellStyle name="Input 5 3 2 2 6 4 5" xfId="30662" xr:uid="{00000000-0005-0000-0000-0000C1770000}"/>
    <cellStyle name="Input 5 3 2 2 6 4 6" xfId="30663" xr:uid="{00000000-0005-0000-0000-0000C2770000}"/>
    <cellStyle name="Input 5 3 2 2 6 5" xfId="30664" xr:uid="{00000000-0005-0000-0000-0000C3770000}"/>
    <cellStyle name="Input 5 3 2 2 6 6" xfId="30665" xr:uid="{00000000-0005-0000-0000-0000C4770000}"/>
    <cellStyle name="Input 5 3 2 2 6 7" xfId="30666" xr:uid="{00000000-0005-0000-0000-0000C5770000}"/>
    <cellStyle name="Input 5 3 2 2 6 8" xfId="30667" xr:uid="{00000000-0005-0000-0000-0000C6770000}"/>
    <cellStyle name="Input 5 3 2 2 7" xfId="30668" xr:uid="{00000000-0005-0000-0000-0000C7770000}"/>
    <cellStyle name="Input 5 3 2 2 7 2" xfId="30669" xr:uid="{00000000-0005-0000-0000-0000C8770000}"/>
    <cellStyle name="Input 5 3 2 2 7 2 2" xfId="30670" xr:uid="{00000000-0005-0000-0000-0000C9770000}"/>
    <cellStyle name="Input 5 3 2 2 7 2 3" xfId="30671" xr:uid="{00000000-0005-0000-0000-0000CA770000}"/>
    <cellStyle name="Input 5 3 2 2 7 2 4" xfId="30672" xr:uid="{00000000-0005-0000-0000-0000CB770000}"/>
    <cellStyle name="Input 5 3 2 2 7 2 5" xfId="30673" xr:uid="{00000000-0005-0000-0000-0000CC770000}"/>
    <cellStyle name="Input 5 3 2 2 7 2 6" xfId="30674" xr:uid="{00000000-0005-0000-0000-0000CD770000}"/>
    <cellStyle name="Input 5 3 2 2 7 3" xfId="30675" xr:uid="{00000000-0005-0000-0000-0000CE770000}"/>
    <cellStyle name="Input 5 3 2 2 7 4" xfId="30676" xr:uid="{00000000-0005-0000-0000-0000CF770000}"/>
    <cellStyle name="Input 5 3 2 2 7 5" xfId="30677" xr:uid="{00000000-0005-0000-0000-0000D0770000}"/>
    <cellStyle name="Input 5 3 2 2 7 6" xfId="30678" xr:uid="{00000000-0005-0000-0000-0000D1770000}"/>
    <cellStyle name="Input 5 3 2 2 8" xfId="30679" xr:uid="{00000000-0005-0000-0000-0000D2770000}"/>
    <cellStyle name="Input 5 3 2 2 8 2" xfId="30680" xr:uid="{00000000-0005-0000-0000-0000D3770000}"/>
    <cellStyle name="Input 5 3 2 2 8 2 2" xfId="30681" xr:uid="{00000000-0005-0000-0000-0000D4770000}"/>
    <cellStyle name="Input 5 3 2 2 8 2 3" xfId="30682" xr:uid="{00000000-0005-0000-0000-0000D5770000}"/>
    <cellStyle name="Input 5 3 2 2 8 2 4" xfId="30683" xr:uid="{00000000-0005-0000-0000-0000D6770000}"/>
    <cellStyle name="Input 5 3 2 2 8 2 5" xfId="30684" xr:uid="{00000000-0005-0000-0000-0000D7770000}"/>
    <cellStyle name="Input 5 3 2 2 8 2 6" xfId="30685" xr:uid="{00000000-0005-0000-0000-0000D8770000}"/>
    <cellStyle name="Input 5 3 2 2 8 3" xfId="30686" xr:uid="{00000000-0005-0000-0000-0000D9770000}"/>
    <cellStyle name="Input 5 3 2 2 8 4" xfId="30687" xr:uid="{00000000-0005-0000-0000-0000DA770000}"/>
    <cellStyle name="Input 5 3 2 2 8 5" xfId="30688" xr:uid="{00000000-0005-0000-0000-0000DB770000}"/>
    <cellStyle name="Input 5 3 2 2 8 6" xfId="30689" xr:uid="{00000000-0005-0000-0000-0000DC770000}"/>
    <cellStyle name="Input 5 3 2 2 9" xfId="30690" xr:uid="{00000000-0005-0000-0000-0000DD770000}"/>
    <cellStyle name="Input 5 3 2 2 9 2" xfId="30691" xr:uid="{00000000-0005-0000-0000-0000DE770000}"/>
    <cellStyle name="Input 5 3 2 2 9 3" xfId="30692" xr:uid="{00000000-0005-0000-0000-0000DF770000}"/>
    <cellStyle name="Input 5 3 2 2 9 4" xfId="30693" xr:uid="{00000000-0005-0000-0000-0000E0770000}"/>
    <cellStyle name="Input 5 3 2 2 9 5" xfId="30694" xr:uid="{00000000-0005-0000-0000-0000E1770000}"/>
    <cellStyle name="Input 5 3 2 2 9 6" xfId="30695" xr:uid="{00000000-0005-0000-0000-0000E2770000}"/>
    <cellStyle name="Input 5 3 2 3" xfId="30696" xr:uid="{00000000-0005-0000-0000-0000E3770000}"/>
    <cellStyle name="Input 5 3 2 3 2" xfId="30697" xr:uid="{00000000-0005-0000-0000-0000E4770000}"/>
    <cellStyle name="Input 5 3 2 3 2 2" xfId="30698" xr:uid="{00000000-0005-0000-0000-0000E5770000}"/>
    <cellStyle name="Input 5 3 2 3 2 2 2" xfId="30699" xr:uid="{00000000-0005-0000-0000-0000E6770000}"/>
    <cellStyle name="Input 5 3 2 3 2 2 3" xfId="30700" xr:uid="{00000000-0005-0000-0000-0000E7770000}"/>
    <cellStyle name="Input 5 3 2 3 2 2 4" xfId="30701" xr:uid="{00000000-0005-0000-0000-0000E8770000}"/>
    <cellStyle name="Input 5 3 2 3 2 2 5" xfId="30702" xr:uid="{00000000-0005-0000-0000-0000E9770000}"/>
    <cellStyle name="Input 5 3 2 3 2 2 6" xfId="30703" xr:uid="{00000000-0005-0000-0000-0000EA770000}"/>
    <cellStyle name="Input 5 3 2 3 2 3" xfId="30704" xr:uid="{00000000-0005-0000-0000-0000EB770000}"/>
    <cellStyle name="Input 5 3 2 3 2 4" xfId="30705" xr:uid="{00000000-0005-0000-0000-0000EC770000}"/>
    <cellStyle name="Input 5 3 2 3 2 5" xfId="30706" xr:uid="{00000000-0005-0000-0000-0000ED770000}"/>
    <cellStyle name="Input 5 3 2 3 2 6" xfId="30707" xr:uid="{00000000-0005-0000-0000-0000EE770000}"/>
    <cellStyle name="Input 5 3 2 3 3" xfId="30708" xr:uid="{00000000-0005-0000-0000-0000EF770000}"/>
    <cellStyle name="Input 5 3 2 3 3 2" xfId="30709" xr:uid="{00000000-0005-0000-0000-0000F0770000}"/>
    <cellStyle name="Input 5 3 2 3 3 2 2" xfId="30710" xr:uid="{00000000-0005-0000-0000-0000F1770000}"/>
    <cellStyle name="Input 5 3 2 3 3 2 3" xfId="30711" xr:uid="{00000000-0005-0000-0000-0000F2770000}"/>
    <cellStyle name="Input 5 3 2 3 3 2 4" xfId="30712" xr:uid="{00000000-0005-0000-0000-0000F3770000}"/>
    <cellStyle name="Input 5 3 2 3 3 2 5" xfId="30713" xr:uid="{00000000-0005-0000-0000-0000F4770000}"/>
    <cellStyle name="Input 5 3 2 3 3 2 6" xfId="30714" xr:uid="{00000000-0005-0000-0000-0000F5770000}"/>
    <cellStyle name="Input 5 3 2 3 3 3" xfId="30715" xr:uid="{00000000-0005-0000-0000-0000F6770000}"/>
    <cellStyle name="Input 5 3 2 3 3 4" xfId="30716" xr:uid="{00000000-0005-0000-0000-0000F7770000}"/>
    <cellStyle name="Input 5 3 2 3 3 5" xfId="30717" xr:uid="{00000000-0005-0000-0000-0000F8770000}"/>
    <cellStyle name="Input 5 3 2 3 3 6" xfId="30718" xr:uid="{00000000-0005-0000-0000-0000F9770000}"/>
    <cellStyle name="Input 5 3 2 3 4" xfId="30719" xr:uid="{00000000-0005-0000-0000-0000FA770000}"/>
    <cellStyle name="Input 5 3 2 3 4 2" xfId="30720" xr:uid="{00000000-0005-0000-0000-0000FB770000}"/>
    <cellStyle name="Input 5 3 2 3 4 3" xfId="30721" xr:uid="{00000000-0005-0000-0000-0000FC770000}"/>
    <cellStyle name="Input 5 3 2 3 4 4" xfId="30722" xr:uid="{00000000-0005-0000-0000-0000FD770000}"/>
    <cellStyle name="Input 5 3 2 3 4 5" xfId="30723" xr:uid="{00000000-0005-0000-0000-0000FE770000}"/>
    <cellStyle name="Input 5 3 2 3 4 6" xfId="30724" xr:uid="{00000000-0005-0000-0000-0000FF770000}"/>
    <cellStyle name="Input 5 3 2 3 5" xfId="30725" xr:uid="{00000000-0005-0000-0000-000000780000}"/>
    <cellStyle name="Input 5 3 2 3 6" xfId="30726" xr:uid="{00000000-0005-0000-0000-000001780000}"/>
    <cellStyle name="Input 5 3 2 3 7" xfId="30727" xr:uid="{00000000-0005-0000-0000-000002780000}"/>
    <cellStyle name="Input 5 3 2 3 8" xfId="30728" xr:uid="{00000000-0005-0000-0000-000003780000}"/>
    <cellStyle name="Input 5 3 2 4" xfId="30729" xr:uid="{00000000-0005-0000-0000-000004780000}"/>
    <cellStyle name="Input 5 3 2 4 2" xfId="30730" xr:uid="{00000000-0005-0000-0000-000005780000}"/>
    <cellStyle name="Input 5 3 2 4 2 2" xfId="30731" xr:uid="{00000000-0005-0000-0000-000006780000}"/>
    <cellStyle name="Input 5 3 2 4 2 2 2" xfId="30732" xr:uid="{00000000-0005-0000-0000-000007780000}"/>
    <cellStyle name="Input 5 3 2 4 2 2 3" xfId="30733" xr:uid="{00000000-0005-0000-0000-000008780000}"/>
    <cellStyle name="Input 5 3 2 4 2 2 4" xfId="30734" xr:uid="{00000000-0005-0000-0000-000009780000}"/>
    <cellStyle name="Input 5 3 2 4 2 2 5" xfId="30735" xr:uid="{00000000-0005-0000-0000-00000A780000}"/>
    <cellStyle name="Input 5 3 2 4 2 2 6" xfId="30736" xr:uid="{00000000-0005-0000-0000-00000B780000}"/>
    <cellStyle name="Input 5 3 2 4 2 3" xfId="30737" xr:uid="{00000000-0005-0000-0000-00000C780000}"/>
    <cellStyle name="Input 5 3 2 4 2 4" xfId="30738" xr:uid="{00000000-0005-0000-0000-00000D780000}"/>
    <cellStyle name="Input 5 3 2 4 2 5" xfId="30739" xr:uid="{00000000-0005-0000-0000-00000E780000}"/>
    <cellStyle name="Input 5 3 2 4 2 6" xfId="30740" xr:uid="{00000000-0005-0000-0000-00000F780000}"/>
    <cellStyle name="Input 5 3 2 4 3" xfId="30741" xr:uid="{00000000-0005-0000-0000-000010780000}"/>
    <cellStyle name="Input 5 3 2 4 3 2" xfId="30742" xr:uid="{00000000-0005-0000-0000-000011780000}"/>
    <cellStyle name="Input 5 3 2 4 3 2 2" xfId="30743" xr:uid="{00000000-0005-0000-0000-000012780000}"/>
    <cellStyle name="Input 5 3 2 4 3 2 3" xfId="30744" xr:uid="{00000000-0005-0000-0000-000013780000}"/>
    <cellStyle name="Input 5 3 2 4 3 2 4" xfId="30745" xr:uid="{00000000-0005-0000-0000-000014780000}"/>
    <cellStyle name="Input 5 3 2 4 3 2 5" xfId="30746" xr:uid="{00000000-0005-0000-0000-000015780000}"/>
    <cellStyle name="Input 5 3 2 4 3 2 6" xfId="30747" xr:uid="{00000000-0005-0000-0000-000016780000}"/>
    <cellStyle name="Input 5 3 2 4 3 3" xfId="30748" xr:uid="{00000000-0005-0000-0000-000017780000}"/>
    <cellStyle name="Input 5 3 2 4 3 4" xfId="30749" xr:uid="{00000000-0005-0000-0000-000018780000}"/>
    <cellStyle name="Input 5 3 2 4 3 5" xfId="30750" xr:uid="{00000000-0005-0000-0000-000019780000}"/>
    <cellStyle name="Input 5 3 2 4 3 6" xfId="30751" xr:uid="{00000000-0005-0000-0000-00001A780000}"/>
    <cellStyle name="Input 5 3 2 4 4" xfId="30752" xr:uid="{00000000-0005-0000-0000-00001B780000}"/>
    <cellStyle name="Input 5 3 2 4 4 2" xfId="30753" xr:uid="{00000000-0005-0000-0000-00001C780000}"/>
    <cellStyle name="Input 5 3 2 4 4 3" xfId="30754" xr:uid="{00000000-0005-0000-0000-00001D780000}"/>
    <cellStyle name="Input 5 3 2 4 4 4" xfId="30755" xr:uid="{00000000-0005-0000-0000-00001E780000}"/>
    <cellStyle name="Input 5 3 2 4 4 5" xfId="30756" xr:uid="{00000000-0005-0000-0000-00001F780000}"/>
    <cellStyle name="Input 5 3 2 4 4 6" xfId="30757" xr:uid="{00000000-0005-0000-0000-000020780000}"/>
    <cellStyle name="Input 5 3 2 4 5" xfId="30758" xr:uid="{00000000-0005-0000-0000-000021780000}"/>
    <cellStyle name="Input 5 3 2 4 6" xfId="30759" xr:uid="{00000000-0005-0000-0000-000022780000}"/>
    <cellStyle name="Input 5 3 2 4 7" xfId="30760" xr:uid="{00000000-0005-0000-0000-000023780000}"/>
    <cellStyle name="Input 5 3 2 4 8" xfId="30761" xr:uid="{00000000-0005-0000-0000-000024780000}"/>
    <cellStyle name="Input 5 3 2 5" xfId="30762" xr:uid="{00000000-0005-0000-0000-000025780000}"/>
    <cellStyle name="Input 5 3 2 5 2" xfId="30763" xr:uid="{00000000-0005-0000-0000-000026780000}"/>
    <cellStyle name="Input 5 3 2 5 2 2" xfId="30764" xr:uid="{00000000-0005-0000-0000-000027780000}"/>
    <cellStyle name="Input 5 3 2 5 2 2 2" xfId="30765" xr:uid="{00000000-0005-0000-0000-000028780000}"/>
    <cellStyle name="Input 5 3 2 5 2 2 3" xfId="30766" xr:uid="{00000000-0005-0000-0000-000029780000}"/>
    <cellStyle name="Input 5 3 2 5 2 2 4" xfId="30767" xr:uid="{00000000-0005-0000-0000-00002A780000}"/>
    <cellStyle name="Input 5 3 2 5 2 2 5" xfId="30768" xr:uid="{00000000-0005-0000-0000-00002B780000}"/>
    <cellStyle name="Input 5 3 2 5 2 2 6" xfId="30769" xr:uid="{00000000-0005-0000-0000-00002C780000}"/>
    <cellStyle name="Input 5 3 2 5 2 3" xfId="30770" xr:uid="{00000000-0005-0000-0000-00002D780000}"/>
    <cellStyle name="Input 5 3 2 5 2 4" xfId="30771" xr:uid="{00000000-0005-0000-0000-00002E780000}"/>
    <cellStyle name="Input 5 3 2 5 2 5" xfId="30772" xr:uid="{00000000-0005-0000-0000-00002F780000}"/>
    <cellStyle name="Input 5 3 2 5 2 6" xfId="30773" xr:uid="{00000000-0005-0000-0000-000030780000}"/>
    <cellStyle name="Input 5 3 2 5 3" xfId="30774" xr:uid="{00000000-0005-0000-0000-000031780000}"/>
    <cellStyle name="Input 5 3 2 5 3 2" xfId="30775" xr:uid="{00000000-0005-0000-0000-000032780000}"/>
    <cellStyle name="Input 5 3 2 5 3 2 2" xfId="30776" xr:uid="{00000000-0005-0000-0000-000033780000}"/>
    <cellStyle name="Input 5 3 2 5 3 2 3" xfId="30777" xr:uid="{00000000-0005-0000-0000-000034780000}"/>
    <cellStyle name="Input 5 3 2 5 3 2 4" xfId="30778" xr:uid="{00000000-0005-0000-0000-000035780000}"/>
    <cellStyle name="Input 5 3 2 5 3 2 5" xfId="30779" xr:uid="{00000000-0005-0000-0000-000036780000}"/>
    <cellStyle name="Input 5 3 2 5 3 2 6" xfId="30780" xr:uid="{00000000-0005-0000-0000-000037780000}"/>
    <cellStyle name="Input 5 3 2 5 3 3" xfId="30781" xr:uid="{00000000-0005-0000-0000-000038780000}"/>
    <cellStyle name="Input 5 3 2 5 3 4" xfId="30782" xr:uid="{00000000-0005-0000-0000-000039780000}"/>
    <cellStyle name="Input 5 3 2 5 3 5" xfId="30783" xr:uid="{00000000-0005-0000-0000-00003A780000}"/>
    <cellStyle name="Input 5 3 2 5 3 6" xfId="30784" xr:uid="{00000000-0005-0000-0000-00003B780000}"/>
    <cellStyle name="Input 5 3 2 5 4" xfId="30785" xr:uid="{00000000-0005-0000-0000-00003C780000}"/>
    <cellStyle name="Input 5 3 2 5 4 2" xfId="30786" xr:uid="{00000000-0005-0000-0000-00003D780000}"/>
    <cellStyle name="Input 5 3 2 5 4 3" xfId="30787" xr:uid="{00000000-0005-0000-0000-00003E780000}"/>
    <cellStyle name="Input 5 3 2 5 4 4" xfId="30788" xr:uid="{00000000-0005-0000-0000-00003F780000}"/>
    <cellStyle name="Input 5 3 2 5 4 5" xfId="30789" xr:uid="{00000000-0005-0000-0000-000040780000}"/>
    <cellStyle name="Input 5 3 2 5 4 6" xfId="30790" xr:uid="{00000000-0005-0000-0000-000041780000}"/>
    <cellStyle name="Input 5 3 2 5 5" xfId="30791" xr:uid="{00000000-0005-0000-0000-000042780000}"/>
    <cellStyle name="Input 5 3 2 5 6" xfId="30792" xr:uid="{00000000-0005-0000-0000-000043780000}"/>
    <cellStyle name="Input 5 3 2 5 7" xfId="30793" xr:uid="{00000000-0005-0000-0000-000044780000}"/>
    <cellStyle name="Input 5 3 2 5 8" xfId="30794" xr:uid="{00000000-0005-0000-0000-000045780000}"/>
    <cellStyle name="Input 5 3 2 6" xfId="30795" xr:uid="{00000000-0005-0000-0000-000046780000}"/>
    <cellStyle name="Input 5 3 2 6 2" xfId="30796" xr:uid="{00000000-0005-0000-0000-000047780000}"/>
    <cellStyle name="Input 5 3 2 6 2 2" xfId="30797" xr:uid="{00000000-0005-0000-0000-000048780000}"/>
    <cellStyle name="Input 5 3 2 6 2 2 2" xfId="30798" xr:uid="{00000000-0005-0000-0000-000049780000}"/>
    <cellStyle name="Input 5 3 2 6 2 2 3" xfId="30799" xr:uid="{00000000-0005-0000-0000-00004A780000}"/>
    <cellStyle name="Input 5 3 2 6 2 2 4" xfId="30800" xr:uid="{00000000-0005-0000-0000-00004B780000}"/>
    <cellStyle name="Input 5 3 2 6 2 2 5" xfId="30801" xr:uid="{00000000-0005-0000-0000-00004C780000}"/>
    <cellStyle name="Input 5 3 2 6 2 2 6" xfId="30802" xr:uid="{00000000-0005-0000-0000-00004D780000}"/>
    <cellStyle name="Input 5 3 2 6 2 3" xfId="30803" xr:uid="{00000000-0005-0000-0000-00004E780000}"/>
    <cellStyle name="Input 5 3 2 6 2 4" xfId="30804" xr:uid="{00000000-0005-0000-0000-00004F780000}"/>
    <cellStyle name="Input 5 3 2 6 2 5" xfId="30805" xr:uid="{00000000-0005-0000-0000-000050780000}"/>
    <cellStyle name="Input 5 3 2 6 2 6" xfId="30806" xr:uid="{00000000-0005-0000-0000-000051780000}"/>
    <cellStyle name="Input 5 3 2 6 3" xfId="30807" xr:uid="{00000000-0005-0000-0000-000052780000}"/>
    <cellStyle name="Input 5 3 2 6 3 2" xfId="30808" xr:uid="{00000000-0005-0000-0000-000053780000}"/>
    <cellStyle name="Input 5 3 2 6 3 2 2" xfId="30809" xr:uid="{00000000-0005-0000-0000-000054780000}"/>
    <cellStyle name="Input 5 3 2 6 3 2 3" xfId="30810" xr:uid="{00000000-0005-0000-0000-000055780000}"/>
    <cellStyle name="Input 5 3 2 6 3 2 4" xfId="30811" xr:uid="{00000000-0005-0000-0000-000056780000}"/>
    <cellStyle name="Input 5 3 2 6 3 2 5" xfId="30812" xr:uid="{00000000-0005-0000-0000-000057780000}"/>
    <cellStyle name="Input 5 3 2 6 3 2 6" xfId="30813" xr:uid="{00000000-0005-0000-0000-000058780000}"/>
    <cellStyle name="Input 5 3 2 6 3 3" xfId="30814" xr:uid="{00000000-0005-0000-0000-000059780000}"/>
    <cellStyle name="Input 5 3 2 6 3 4" xfId="30815" xr:uid="{00000000-0005-0000-0000-00005A780000}"/>
    <cellStyle name="Input 5 3 2 6 3 5" xfId="30816" xr:uid="{00000000-0005-0000-0000-00005B780000}"/>
    <cellStyle name="Input 5 3 2 6 3 6" xfId="30817" xr:uid="{00000000-0005-0000-0000-00005C780000}"/>
    <cellStyle name="Input 5 3 2 6 4" xfId="30818" xr:uid="{00000000-0005-0000-0000-00005D780000}"/>
    <cellStyle name="Input 5 3 2 6 4 2" xfId="30819" xr:uid="{00000000-0005-0000-0000-00005E780000}"/>
    <cellStyle name="Input 5 3 2 6 4 3" xfId="30820" xr:uid="{00000000-0005-0000-0000-00005F780000}"/>
    <cellStyle name="Input 5 3 2 6 4 4" xfId="30821" xr:uid="{00000000-0005-0000-0000-000060780000}"/>
    <cellStyle name="Input 5 3 2 6 4 5" xfId="30822" xr:uid="{00000000-0005-0000-0000-000061780000}"/>
    <cellStyle name="Input 5 3 2 6 4 6" xfId="30823" xr:uid="{00000000-0005-0000-0000-000062780000}"/>
    <cellStyle name="Input 5 3 2 6 5" xfId="30824" xr:uid="{00000000-0005-0000-0000-000063780000}"/>
    <cellStyle name="Input 5 3 2 6 6" xfId="30825" xr:uid="{00000000-0005-0000-0000-000064780000}"/>
    <cellStyle name="Input 5 3 2 6 7" xfId="30826" xr:uid="{00000000-0005-0000-0000-000065780000}"/>
    <cellStyle name="Input 5 3 2 6 8" xfId="30827" xr:uid="{00000000-0005-0000-0000-000066780000}"/>
    <cellStyle name="Input 5 3 2 7" xfId="30828" xr:uid="{00000000-0005-0000-0000-000067780000}"/>
    <cellStyle name="Input 5 3 2 7 2" xfId="30829" xr:uid="{00000000-0005-0000-0000-000068780000}"/>
    <cellStyle name="Input 5 3 2 7 2 2" xfId="30830" xr:uid="{00000000-0005-0000-0000-000069780000}"/>
    <cellStyle name="Input 5 3 2 7 2 2 2" xfId="30831" xr:uid="{00000000-0005-0000-0000-00006A780000}"/>
    <cellStyle name="Input 5 3 2 7 2 2 3" xfId="30832" xr:uid="{00000000-0005-0000-0000-00006B780000}"/>
    <cellStyle name="Input 5 3 2 7 2 2 4" xfId="30833" xr:uid="{00000000-0005-0000-0000-00006C780000}"/>
    <cellStyle name="Input 5 3 2 7 2 2 5" xfId="30834" xr:uid="{00000000-0005-0000-0000-00006D780000}"/>
    <cellStyle name="Input 5 3 2 7 2 2 6" xfId="30835" xr:uid="{00000000-0005-0000-0000-00006E780000}"/>
    <cellStyle name="Input 5 3 2 7 2 3" xfId="30836" xr:uid="{00000000-0005-0000-0000-00006F780000}"/>
    <cellStyle name="Input 5 3 2 7 2 4" xfId="30837" xr:uid="{00000000-0005-0000-0000-000070780000}"/>
    <cellStyle name="Input 5 3 2 7 2 5" xfId="30838" xr:uid="{00000000-0005-0000-0000-000071780000}"/>
    <cellStyle name="Input 5 3 2 7 2 6" xfId="30839" xr:uid="{00000000-0005-0000-0000-000072780000}"/>
    <cellStyle name="Input 5 3 2 7 3" xfId="30840" xr:uid="{00000000-0005-0000-0000-000073780000}"/>
    <cellStyle name="Input 5 3 2 7 3 2" xfId="30841" xr:uid="{00000000-0005-0000-0000-000074780000}"/>
    <cellStyle name="Input 5 3 2 7 3 2 2" xfId="30842" xr:uid="{00000000-0005-0000-0000-000075780000}"/>
    <cellStyle name="Input 5 3 2 7 3 2 3" xfId="30843" xr:uid="{00000000-0005-0000-0000-000076780000}"/>
    <cellStyle name="Input 5 3 2 7 3 2 4" xfId="30844" xr:uid="{00000000-0005-0000-0000-000077780000}"/>
    <cellStyle name="Input 5 3 2 7 3 2 5" xfId="30845" xr:uid="{00000000-0005-0000-0000-000078780000}"/>
    <cellStyle name="Input 5 3 2 7 3 2 6" xfId="30846" xr:uid="{00000000-0005-0000-0000-000079780000}"/>
    <cellStyle name="Input 5 3 2 7 3 3" xfId="30847" xr:uid="{00000000-0005-0000-0000-00007A780000}"/>
    <cellStyle name="Input 5 3 2 7 3 4" xfId="30848" xr:uid="{00000000-0005-0000-0000-00007B780000}"/>
    <cellStyle name="Input 5 3 2 7 3 5" xfId="30849" xr:uid="{00000000-0005-0000-0000-00007C780000}"/>
    <cellStyle name="Input 5 3 2 7 3 6" xfId="30850" xr:uid="{00000000-0005-0000-0000-00007D780000}"/>
    <cellStyle name="Input 5 3 2 7 4" xfId="30851" xr:uid="{00000000-0005-0000-0000-00007E780000}"/>
    <cellStyle name="Input 5 3 2 7 4 2" xfId="30852" xr:uid="{00000000-0005-0000-0000-00007F780000}"/>
    <cellStyle name="Input 5 3 2 7 4 3" xfId="30853" xr:uid="{00000000-0005-0000-0000-000080780000}"/>
    <cellStyle name="Input 5 3 2 7 4 4" xfId="30854" xr:uid="{00000000-0005-0000-0000-000081780000}"/>
    <cellStyle name="Input 5 3 2 7 4 5" xfId="30855" xr:uid="{00000000-0005-0000-0000-000082780000}"/>
    <cellStyle name="Input 5 3 2 7 4 6" xfId="30856" xr:uid="{00000000-0005-0000-0000-000083780000}"/>
    <cellStyle name="Input 5 3 2 7 5" xfId="30857" xr:uid="{00000000-0005-0000-0000-000084780000}"/>
    <cellStyle name="Input 5 3 2 7 6" xfId="30858" xr:uid="{00000000-0005-0000-0000-000085780000}"/>
    <cellStyle name="Input 5 3 2 7 7" xfId="30859" xr:uid="{00000000-0005-0000-0000-000086780000}"/>
    <cellStyle name="Input 5 3 2 7 8" xfId="30860" xr:uid="{00000000-0005-0000-0000-000087780000}"/>
    <cellStyle name="Input 5 3 2 8" xfId="30861" xr:uid="{00000000-0005-0000-0000-000088780000}"/>
    <cellStyle name="Input 5 3 2 8 2" xfId="30862" xr:uid="{00000000-0005-0000-0000-000089780000}"/>
    <cellStyle name="Input 5 3 2 8 2 2" xfId="30863" xr:uid="{00000000-0005-0000-0000-00008A780000}"/>
    <cellStyle name="Input 5 3 2 8 2 3" xfId="30864" xr:uid="{00000000-0005-0000-0000-00008B780000}"/>
    <cellStyle name="Input 5 3 2 8 2 4" xfId="30865" xr:uid="{00000000-0005-0000-0000-00008C780000}"/>
    <cellStyle name="Input 5 3 2 8 2 5" xfId="30866" xr:uid="{00000000-0005-0000-0000-00008D780000}"/>
    <cellStyle name="Input 5 3 2 8 2 6" xfId="30867" xr:uid="{00000000-0005-0000-0000-00008E780000}"/>
    <cellStyle name="Input 5 3 2 8 3" xfId="30868" xr:uid="{00000000-0005-0000-0000-00008F780000}"/>
    <cellStyle name="Input 5 3 2 8 4" xfId="30869" xr:uid="{00000000-0005-0000-0000-000090780000}"/>
    <cellStyle name="Input 5 3 2 8 5" xfId="30870" xr:uid="{00000000-0005-0000-0000-000091780000}"/>
    <cellStyle name="Input 5 3 2 8 6" xfId="30871" xr:uid="{00000000-0005-0000-0000-000092780000}"/>
    <cellStyle name="Input 5 3 2 9" xfId="30872" xr:uid="{00000000-0005-0000-0000-000093780000}"/>
    <cellStyle name="Input 5 3 2 9 2" xfId="30873" xr:uid="{00000000-0005-0000-0000-000094780000}"/>
    <cellStyle name="Input 5 3 2 9 2 2" xfId="30874" xr:uid="{00000000-0005-0000-0000-000095780000}"/>
    <cellStyle name="Input 5 3 2 9 2 3" xfId="30875" xr:uid="{00000000-0005-0000-0000-000096780000}"/>
    <cellStyle name="Input 5 3 2 9 2 4" xfId="30876" xr:uid="{00000000-0005-0000-0000-000097780000}"/>
    <cellStyle name="Input 5 3 2 9 2 5" xfId="30877" xr:uid="{00000000-0005-0000-0000-000098780000}"/>
    <cellStyle name="Input 5 3 2 9 2 6" xfId="30878" xr:uid="{00000000-0005-0000-0000-000099780000}"/>
    <cellStyle name="Input 5 3 2 9 3" xfId="30879" xr:uid="{00000000-0005-0000-0000-00009A780000}"/>
    <cellStyle name="Input 5 3 2 9 4" xfId="30880" xr:uid="{00000000-0005-0000-0000-00009B780000}"/>
    <cellStyle name="Input 5 3 2 9 5" xfId="30881" xr:uid="{00000000-0005-0000-0000-00009C780000}"/>
    <cellStyle name="Input 5 3 2 9 6" xfId="30882" xr:uid="{00000000-0005-0000-0000-00009D780000}"/>
    <cellStyle name="Input 5 3 3" xfId="30883" xr:uid="{00000000-0005-0000-0000-00009E780000}"/>
    <cellStyle name="Input 5 3 3 10" xfId="30884" xr:uid="{00000000-0005-0000-0000-00009F780000}"/>
    <cellStyle name="Input 5 3 3 11" xfId="30885" xr:uid="{00000000-0005-0000-0000-0000A0780000}"/>
    <cellStyle name="Input 5 3 3 12" xfId="30886" xr:uid="{00000000-0005-0000-0000-0000A1780000}"/>
    <cellStyle name="Input 5 3 3 13" xfId="30887" xr:uid="{00000000-0005-0000-0000-0000A2780000}"/>
    <cellStyle name="Input 5 3 3 2" xfId="30888" xr:uid="{00000000-0005-0000-0000-0000A3780000}"/>
    <cellStyle name="Input 5 3 3 2 2" xfId="30889" xr:uid="{00000000-0005-0000-0000-0000A4780000}"/>
    <cellStyle name="Input 5 3 3 2 2 2" xfId="30890" xr:uid="{00000000-0005-0000-0000-0000A5780000}"/>
    <cellStyle name="Input 5 3 3 2 2 2 2" xfId="30891" xr:uid="{00000000-0005-0000-0000-0000A6780000}"/>
    <cellStyle name="Input 5 3 3 2 2 2 3" xfId="30892" xr:uid="{00000000-0005-0000-0000-0000A7780000}"/>
    <cellStyle name="Input 5 3 3 2 2 2 4" xfId="30893" xr:uid="{00000000-0005-0000-0000-0000A8780000}"/>
    <cellStyle name="Input 5 3 3 2 2 2 5" xfId="30894" xr:uid="{00000000-0005-0000-0000-0000A9780000}"/>
    <cellStyle name="Input 5 3 3 2 2 2 6" xfId="30895" xr:uid="{00000000-0005-0000-0000-0000AA780000}"/>
    <cellStyle name="Input 5 3 3 2 2 3" xfId="30896" xr:uid="{00000000-0005-0000-0000-0000AB780000}"/>
    <cellStyle name="Input 5 3 3 2 2 4" xfId="30897" xr:uid="{00000000-0005-0000-0000-0000AC780000}"/>
    <cellStyle name="Input 5 3 3 2 2 5" xfId="30898" xr:uid="{00000000-0005-0000-0000-0000AD780000}"/>
    <cellStyle name="Input 5 3 3 2 2 6" xfId="30899" xr:uid="{00000000-0005-0000-0000-0000AE780000}"/>
    <cellStyle name="Input 5 3 3 2 3" xfId="30900" xr:uid="{00000000-0005-0000-0000-0000AF780000}"/>
    <cellStyle name="Input 5 3 3 2 3 2" xfId="30901" xr:uid="{00000000-0005-0000-0000-0000B0780000}"/>
    <cellStyle name="Input 5 3 3 2 3 2 2" xfId="30902" xr:uid="{00000000-0005-0000-0000-0000B1780000}"/>
    <cellStyle name="Input 5 3 3 2 3 2 3" xfId="30903" xr:uid="{00000000-0005-0000-0000-0000B2780000}"/>
    <cellStyle name="Input 5 3 3 2 3 2 4" xfId="30904" xr:uid="{00000000-0005-0000-0000-0000B3780000}"/>
    <cellStyle name="Input 5 3 3 2 3 2 5" xfId="30905" xr:uid="{00000000-0005-0000-0000-0000B4780000}"/>
    <cellStyle name="Input 5 3 3 2 3 2 6" xfId="30906" xr:uid="{00000000-0005-0000-0000-0000B5780000}"/>
    <cellStyle name="Input 5 3 3 2 3 3" xfId="30907" xr:uid="{00000000-0005-0000-0000-0000B6780000}"/>
    <cellStyle name="Input 5 3 3 2 3 4" xfId="30908" xr:uid="{00000000-0005-0000-0000-0000B7780000}"/>
    <cellStyle name="Input 5 3 3 2 3 5" xfId="30909" xr:uid="{00000000-0005-0000-0000-0000B8780000}"/>
    <cellStyle name="Input 5 3 3 2 3 6" xfId="30910" xr:uid="{00000000-0005-0000-0000-0000B9780000}"/>
    <cellStyle name="Input 5 3 3 2 4" xfId="30911" xr:uid="{00000000-0005-0000-0000-0000BA780000}"/>
    <cellStyle name="Input 5 3 3 2 4 2" xfId="30912" xr:uid="{00000000-0005-0000-0000-0000BB780000}"/>
    <cellStyle name="Input 5 3 3 2 4 3" xfId="30913" xr:uid="{00000000-0005-0000-0000-0000BC780000}"/>
    <cellStyle name="Input 5 3 3 2 4 4" xfId="30914" xr:uid="{00000000-0005-0000-0000-0000BD780000}"/>
    <cellStyle name="Input 5 3 3 2 4 5" xfId="30915" xr:uid="{00000000-0005-0000-0000-0000BE780000}"/>
    <cellStyle name="Input 5 3 3 2 4 6" xfId="30916" xr:uid="{00000000-0005-0000-0000-0000BF780000}"/>
    <cellStyle name="Input 5 3 3 2 5" xfId="30917" xr:uid="{00000000-0005-0000-0000-0000C0780000}"/>
    <cellStyle name="Input 5 3 3 2 6" xfId="30918" xr:uid="{00000000-0005-0000-0000-0000C1780000}"/>
    <cellStyle name="Input 5 3 3 2 7" xfId="30919" xr:uid="{00000000-0005-0000-0000-0000C2780000}"/>
    <cellStyle name="Input 5 3 3 2 8" xfId="30920" xr:uid="{00000000-0005-0000-0000-0000C3780000}"/>
    <cellStyle name="Input 5 3 3 3" xfId="30921" xr:uid="{00000000-0005-0000-0000-0000C4780000}"/>
    <cellStyle name="Input 5 3 3 3 2" xfId="30922" xr:uid="{00000000-0005-0000-0000-0000C5780000}"/>
    <cellStyle name="Input 5 3 3 3 2 2" xfId="30923" xr:uid="{00000000-0005-0000-0000-0000C6780000}"/>
    <cellStyle name="Input 5 3 3 3 2 2 2" xfId="30924" xr:uid="{00000000-0005-0000-0000-0000C7780000}"/>
    <cellStyle name="Input 5 3 3 3 2 2 3" xfId="30925" xr:uid="{00000000-0005-0000-0000-0000C8780000}"/>
    <cellStyle name="Input 5 3 3 3 2 2 4" xfId="30926" xr:uid="{00000000-0005-0000-0000-0000C9780000}"/>
    <cellStyle name="Input 5 3 3 3 2 2 5" xfId="30927" xr:uid="{00000000-0005-0000-0000-0000CA780000}"/>
    <cellStyle name="Input 5 3 3 3 2 2 6" xfId="30928" xr:uid="{00000000-0005-0000-0000-0000CB780000}"/>
    <cellStyle name="Input 5 3 3 3 2 3" xfId="30929" xr:uid="{00000000-0005-0000-0000-0000CC780000}"/>
    <cellStyle name="Input 5 3 3 3 2 4" xfId="30930" xr:uid="{00000000-0005-0000-0000-0000CD780000}"/>
    <cellStyle name="Input 5 3 3 3 2 5" xfId="30931" xr:uid="{00000000-0005-0000-0000-0000CE780000}"/>
    <cellStyle name="Input 5 3 3 3 2 6" xfId="30932" xr:uid="{00000000-0005-0000-0000-0000CF780000}"/>
    <cellStyle name="Input 5 3 3 3 3" xfId="30933" xr:uid="{00000000-0005-0000-0000-0000D0780000}"/>
    <cellStyle name="Input 5 3 3 3 3 2" xfId="30934" xr:uid="{00000000-0005-0000-0000-0000D1780000}"/>
    <cellStyle name="Input 5 3 3 3 3 2 2" xfId="30935" xr:uid="{00000000-0005-0000-0000-0000D2780000}"/>
    <cellStyle name="Input 5 3 3 3 3 2 3" xfId="30936" xr:uid="{00000000-0005-0000-0000-0000D3780000}"/>
    <cellStyle name="Input 5 3 3 3 3 2 4" xfId="30937" xr:uid="{00000000-0005-0000-0000-0000D4780000}"/>
    <cellStyle name="Input 5 3 3 3 3 2 5" xfId="30938" xr:uid="{00000000-0005-0000-0000-0000D5780000}"/>
    <cellStyle name="Input 5 3 3 3 3 2 6" xfId="30939" xr:uid="{00000000-0005-0000-0000-0000D6780000}"/>
    <cellStyle name="Input 5 3 3 3 3 3" xfId="30940" xr:uid="{00000000-0005-0000-0000-0000D7780000}"/>
    <cellStyle name="Input 5 3 3 3 3 4" xfId="30941" xr:uid="{00000000-0005-0000-0000-0000D8780000}"/>
    <cellStyle name="Input 5 3 3 3 3 5" xfId="30942" xr:uid="{00000000-0005-0000-0000-0000D9780000}"/>
    <cellStyle name="Input 5 3 3 3 3 6" xfId="30943" xr:uid="{00000000-0005-0000-0000-0000DA780000}"/>
    <cellStyle name="Input 5 3 3 3 4" xfId="30944" xr:uid="{00000000-0005-0000-0000-0000DB780000}"/>
    <cellStyle name="Input 5 3 3 3 4 2" xfId="30945" xr:uid="{00000000-0005-0000-0000-0000DC780000}"/>
    <cellStyle name="Input 5 3 3 3 4 3" xfId="30946" xr:uid="{00000000-0005-0000-0000-0000DD780000}"/>
    <cellStyle name="Input 5 3 3 3 4 4" xfId="30947" xr:uid="{00000000-0005-0000-0000-0000DE780000}"/>
    <cellStyle name="Input 5 3 3 3 4 5" xfId="30948" xr:uid="{00000000-0005-0000-0000-0000DF780000}"/>
    <cellStyle name="Input 5 3 3 3 4 6" xfId="30949" xr:uid="{00000000-0005-0000-0000-0000E0780000}"/>
    <cellStyle name="Input 5 3 3 3 5" xfId="30950" xr:uid="{00000000-0005-0000-0000-0000E1780000}"/>
    <cellStyle name="Input 5 3 3 3 6" xfId="30951" xr:uid="{00000000-0005-0000-0000-0000E2780000}"/>
    <cellStyle name="Input 5 3 3 3 7" xfId="30952" xr:uid="{00000000-0005-0000-0000-0000E3780000}"/>
    <cellStyle name="Input 5 3 3 3 8" xfId="30953" xr:uid="{00000000-0005-0000-0000-0000E4780000}"/>
    <cellStyle name="Input 5 3 3 4" xfId="30954" xr:uid="{00000000-0005-0000-0000-0000E5780000}"/>
    <cellStyle name="Input 5 3 3 4 2" xfId="30955" xr:uid="{00000000-0005-0000-0000-0000E6780000}"/>
    <cellStyle name="Input 5 3 3 4 2 2" xfId="30956" xr:uid="{00000000-0005-0000-0000-0000E7780000}"/>
    <cellStyle name="Input 5 3 3 4 2 2 2" xfId="30957" xr:uid="{00000000-0005-0000-0000-0000E8780000}"/>
    <cellStyle name="Input 5 3 3 4 2 2 3" xfId="30958" xr:uid="{00000000-0005-0000-0000-0000E9780000}"/>
    <cellStyle name="Input 5 3 3 4 2 2 4" xfId="30959" xr:uid="{00000000-0005-0000-0000-0000EA780000}"/>
    <cellStyle name="Input 5 3 3 4 2 2 5" xfId="30960" xr:uid="{00000000-0005-0000-0000-0000EB780000}"/>
    <cellStyle name="Input 5 3 3 4 2 2 6" xfId="30961" xr:uid="{00000000-0005-0000-0000-0000EC780000}"/>
    <cellStyle name="Input 5 3 3 4 2 3" xfId="30962" xr:uid="{00000000-0005-0000-0000-0000ED780000}"/>
    <cellStyle name="Input 5 3 3 4 2 4" xfId="30963" xr:uid="{00000000-0005-0000-0000-0000EE780000}"/>
    <cellStyle name="Input 5 3 3 4 2 5" xfId="30964" xr:uid="{00000000-0005-0000-0000-0000EF780000}"/>
    <cellStyle name="Input 5 3 3 4 2 6" xfId="30965" xr:uid="{00000000-0005-0000-0000-0000F0780000}"/>
    <cellStyle name="Input 5 3 3 4 3" xfId="30966" xr:uid="{00000000-0005-0000-0000-0000F1780000}"/>
    <cellStyle name="Input 5 3 3 4 3 2" xfId="30967" xr:uid="{00000000-0005-0000-0000-0000F2780000}"/>
    <cellStyle name="Input 5 3 3 4 3 2 2" xfId="30968" xr:uid="{00000000-0005-0000-0000-0000F3780000}"/>
    <cellStyle name="Input 5 3 3 4 3 2 3" xfId="30969" xr:uid="{00000000-0005-0000-0000-0000F4780000}"/>
    <cellStyle name="Input 5 3 3 4 3 2 4" xfId="30970" xr:uid="{00000000-0005-0000-0000-0000F5780000}"/>
    <cellStyle name="Input 5 3 3 4 3 2 5" xfId="30971" xr:uid="{00000000-0005-0000-0000-0000F6780000}"/>
    <cellStyle name="Input 5 3 3 4 3 2 6" xfId="30972" xr:uid="{00000000-0005-0000-0000-0000F7780000}"/>
    <cellStyle name="Input 5 3 3 4 3 3" xfId="30973" xr:uid="{00000000-0005-0000-0000-0000F8780000}"/>
    <cellStyle name="Input 5 3 3 4 3 4" xfId="30974" xr:uid="{00000000-0005-0000-0000-0000F9780000}"/>
    <cellStyle name="Input 5 3 3 4 3 5" xfId="30975" xr:uid="{00000000-0005-0000-0000-0000FA780000}"/>
    <cellStyle name="Input 5 3 3 4 3 6" xfId="30976" xr:uid="{00000000-0005-0000-0000-0000FB780000}"/>
    <cellStyle name="Input 5 3 3 4 4" xfId="30977" xr:uid="{00000000-0005-0000-0000-0000FC780000}"/>
    <cellStyle name="Input 5 3 3 4 4 2" xfId="30978" xr:uid="{00000000-0005-0000-0000-0000FD780000}"/>
    <cellStyle name="Input 5 3 3 4 4 3" xfId="30979" xr:uid="{00000000-0005-0000-0000-0000FE780000}"/>
    <cellStyle name="Input 5 3 3 4 4 4" xfId="30980" xr:uid="{00000000-0005-0000-0000-0000FF780000}"/>
    <cellStyle name="Input 5 3 3 4 4 5" xfId="30981" xr:uid="{00000000-0005-0000-0000-000000790000}"/>
    <cellStyle name="Input 5 3 3 4 4 6" xfId="30982" xr:uid="{00000000-0005-0000-0000-000001790000}"/>
    <cellStyle name="Input 5 3 3 4 5" xfId="30983" xr:uid="{00000000-0005-0000-0000-000002790000}"/>
    <cellStyle name="Input 5 3 3 4 6" xfId="30984" xr:uid="{00000000-0005-0000-0000-000003790000}"/>
    <cellStyle name="Input 5 3 3 4 7" xfId="30985" xr:uid="{00000000-0005-0000-0000-000004790000}"/>
    <cellStyle name="Input 5 3 3 4 8" xfId="30986" xr:uid="{00000000-0005-0000-0000-000005790000}"/>
    <cellStyle name="Input 5 3 3 5" xfId="30987" xr:uid="{00000000-0005-0000-0000-000006790000}"/>
    <cellStyle name="Input 5 3 3 5 2" xfId="30988" xr:uid="{00000000-0005-0000-0000-000007790000}"/>
    <cellStyle name="Input 5 3 3 5 2 2" xfId="30989" xr:uid="{00000000-0005-0000-0000-000008790000}"/>
    <cellStyle name="Input 5 3 3 5 2 2 2" xfId="30990" xr:uid="{00000000-0005-0000-0000-000009790000}"/>
    <cellStyle name="Input 5 3 3 5 2 2 3" xfId="30991" xr:uid="{00000000-0005-0000-0000-00000A790000}"/>
    <cellStyle name="Input 5 3 3 5 2 2 4" xfId="30992" xr:uid="{00000000-0005-0000-0000-00000B790000}"/>
    <cellStyle name="Input 5 3 3 5 2 2 5" xfId="30993" xr:uid="{00000000-0005-0000-0000-00000C790000}"/>
    <cellStyle name="Input 5 3 3 5 2 2 6" xfId="30994" xr:uid="{00000000-0005-0000-0000-00000D790000}"/>
    <cellStyle name="Input 5 3 3 5 2 3" xfId="30995" xr:uid="{00000000-0005-0000-0000-00000E790000}"/>
    <cellStyle name="Input 5 3 3 5 2 4" xfId="30996" xr:uid="{00000000-0005-0000-0000-00000F790000}"/>
    <cellStyle name="Input 5 3 3 5 2 5" xfId="30997" xr:uid="{00000000-0005-0000-0000-000010790000}"/>
    <cellStyle name="Input 5 3 3 5 2 6" xfId="30998" xr:uid="{00000000-0005-0000-0000-000011790000}"/>
    <cellStyle name="Input 5 3 3 5 3" xfId="30999" xr:uid="{00000000-0005-0000-0000-000012790000}"/>
    <cellStyle name="Input 5 3 3 5 3 2" xfId="31000" xr:uid="{00000000-0005-0000-0000-000013790000}"/>
    <cellStyle name="Input 5 3 3 5 3 2 2" xfId="31001" xr:uid="{00000000-0005-0000-0000-000014790000}"/>
    <cellStyle name="Input 5 3 3 5 3 2 3" xfId="31002" xr:uid="{00000000-0005-0000-0000-000015790000}"/>
    <cellStyle name="Input 5 3 3 5 3 2 4" xfId="31003" xr:uid="{00000000-0005-0000-0000-000016790000}"/>
    <cellStyle name="Input 5 3 3 5 3 2 5" xfId="31004" xr:uid="{00000000-0005-0000-0000-000017790000}"/>
    <cellStyle name="Input 5 3 3 5 3 2 6" xfId="31005" xr:uid="{00000000-0005-0000-0000-000018790000}"/>
    <cellStyle name="Input 5 3 3 5 3 3" xfId="31006" xr:uid="{00000000-0005-0000-0000-000019790000}"/>
    <cellStyle name="Input 5 3 3 5 3 4" xfId="31007" xr:uid="{00000000-0005-0000-0000-00001A790000}"/>
    <cellStyle name="Input 5 3 3 5 3 5" xfId="31008" xr:uid="{00000000-0005-0000-0000-00001B790000}"/>
    <cellStyle name="Input 5 3 3 5 3 6" xfId="31009" xr:uid="{00000000-0005-0000-0000-00001C790000}"/>
    <cellStyle name="Input 5 3 3 5 4" xfId="31010" xr:uid="{00000000-0005-0000-0000-00001D790000}"/>
    <cellStyle name="Input 5 3 3 5 4 2" xfId="31011" xr:uid="{00000000-0005-0000-0000-00001E790000}"/>
    <cellStyle name="Input 5 3 3 5 4 3" xfId="31012" xr:uid="{00000000-0005-0000-0000-00001F790000}"/>
    <cellStyle name="Input 5 3 3 5 4 4" xfId="31013" xr:uid="{00000000-0005-0000-0000-000020790000}"/>
    <cellStyle name="Input 5 3 3 5 4 5" xfId="31014" xr:uid="{00000000-0005-0000-0000-000021790000}"/>
    <cellStyle name="Input 5 3 3 5 4 6" xfId="31015" xr:uid="{00000000-0005-0000-0000-000022790000}"/>
    <cellStyle name="Input 5 3 3 5 5" xfId="31016" xr:uid="{00000000-0005-0000-0000-000023790000}"/>
    <cellStyle name="Input 5 3 3 5 6" xfId="31017" xr:uid="{00000000-0005-0000-0000-000024790000}"/>
    <cellStyle name="Input 5 3 3 5 7" xfId="31018" xr:uid="{00000000-0005-0000-0000-000025790000}"/>
    <cellStyle name="Input 5 3 3 5 8" xfId="31019" xr:uid="{00000000-0005-0000-0000-000026790000}"/>
    <cellStyle name="Input 5 3 3 6" xfId="31020" xr:uid="{00000000-0005-0000-0000-000027790000}"/>
    <cellStyle name="Input 5 3 3 6 2" xfId="31021" xr:uid="{00000000-0005-0000-0000-000028790000}"/>
    <cellStyle name="Input 5 3 3 6 2 2" xfId="31022" xr:uid="{00000000-0005-0000-0000-000029790000}"/>
    <cellStyle name="Input 5 3 3 6 2 2 2" xfId="31023" xr:uid="{00000000-0005-0000-0000-00002A790000}"/>
    <cellStyle name="Input 5 3 3 6 2 2 3" xfId="31024" xr:uid="{00000000-0005-0000-0000-00002B790000}"/>
    <cellStyle name="Input 5 3 3 6 2 2 4" xfId="31025" xr:uid="{00000000-0005-0000-0000-00002C790000}"/>
    <cellStyle name="Input 5 3 3 6 2 2 5" xfId="31026" xr:uid="{00000000-0005-0000-0000-00002D790000}"/>
    <cellStyle name="Input 5 3 3 6 2 2 6" xfId="31027" xr:uid="{00000000-0005-0000-0000-00002E790000}"/>
    <cellStyle name="Input 5 3 3 6 2 3" xfId="31028" xr:uid="{00000000-0005-0000-0000-00002F790000}"/>
    <cellStyle name="Input 5 3 3 6 2 4" xfId="31029" xr:uid="{00000000-0005-0000-0000-000030790000}"/>
    <cellStyle name="Input 5 3 3 6 2 5" xfId="31030" xr:uid="{00000000-0005-0000-0000-000031790000}"/>
    <cellStyle name="Input 5 3 3 6 2 6" xfId="31031" xr:uid="{00000000-0005-0000-0000-000032790000}"/>
    <cellStyle name="Input 5 3 3 6 3" xfId="31032" xr:uid="{00000000-0005-0000-0000-000033790000}"/>
    <cellStyle name="Input 5 3 3 6 3 2" xfId="31033" xr:uid="{00000000-0005-0000-0000-000034790000}"/>
    <cellStyle name="Input 5 3 3 6 3 2 2" xfId="31034" xr:uid="{00000000-0005-0000-0000-000035790000}"/>
    <cellStyle name="Input 5 3 3 6 3 2 3" xfId="31035" xr:uid="{00000000-0005-0000-0000-000036790000}"/>
    <cellStyle name="Input 5 3 3 6 3 2 4" xfId="31036" xr:uid="{00000000-0005-0000-0000-000037790000}"/>
    <cellStyle name="Input 5 3 3 6 3 2 5" xfId="31037" xr:uid="{00000000-0005-0000-0000-000038790000}"/>
    <cellStyle name="Input 5 3 3 6 3 2 6" xfId="31038" xr:uid="{00000000-0005-0000-0000-000039790000}"/>
    <cellStyle name="Input 5 3 3 6 3 3" xfId="31039" xr:uid="{00000000-0005-0000-0000-00003A790000}"/>
    <cellStyle name="Input 5 3 3 6 3 4" xfId="31040" xr:uid="{00000000-0005-0000-0000-00003B790000}"/>
    <cellStyle name="Input 5 3 3 6 3 5" xfId="31041" xr:uid="{00000000-0005-0000-0000-00003C790000}"/>
    <cellStyle name="Input 5 3 3 6 3 6" xfId="31042" xr:uid="{00000000-0005-0000-0000-00003D790000}"/>
    <cellStyle name="Input 5 3 3 6 4" xfId="31043" xr:uid="{00000000-0005-0000-0000-00003E790000}"/>
    <cellStyle name="Input 5 3 3 6 4 2" xfId="31044" xr:uid="{00000000-0005-0000-0000-00003F790000}"/>
    <cellStyle name="Input 5 3 3 6 4 3" xfId="31045" xr:uid="{00000000-0005-0000-0000-000040790000}"/>
    <cellStyle name="Input 5 3 3 6 4 4" xfId="31046" xr:uid="{00000000-0005-0000-0000-000041790000}"/>
    <cellStyle name="Input 5 3 3 6 4 5" xfId="31047" xr:uid="{00000000-0005-0000-0000-000042790000}"/>
    <cellStyle name="Input 5 3 3 6 4 6" xfId="31048" xr:uid="{00000000-0005-0000-0000-000043790000}"/>
    <cellStyle name="Input 5 3 3 6 5" xfId="31049" xr:uid="{00000000-0005-0000-0000-000044790000}"/>
    <cellStyle name="Input 5 3 3 6 6" xfId="31050" xr:uid="{00000000-0005-0000-0000-000045790000}"/>
    <cellStyle name="Input 5 3 3 6 7" xfId="31051" xr:uid="{00000000-0005-0000-0000-000046790000}"/>
    <cellStyle name="Input 5 3 3 6 8" xfId="31052" xr:uid="{00000000-0005-0000-0000-000047790000}"/>
    <cellStyle name="Input 5 3 3 7" xfId="31053" xr:uid="{00000000-0005-0000-0000-000048790000}"/>
    <cellStyle name="Input 5 3 3 7 2" xfId="31054" xr:uid="{00000000-0005-0000-0000-000049790000}"/>
    <cellStyle name="Input 5 3 3 7 2 2" xfId="31055" xr:uid="{00000000-0005-0000-0000-00004A790000}"/>
    <cellStyle name="Input 5 3 3 7 2 3" xfId="31056" xr:uid="{00000000-0005-0000-0000-00004B790000}"/>
    <cellStyle name="Input 5 3 3 7 2 4" xfId="31057" xr:uid="{00000000-0005-0000-0000-00004C790000}"/>
    <cellStyle name="Input 5 3 3 7 2 5" xfId="31058" xr:uid="{00000000-0005-0000-0000-00004D790000}"/>
    <cellStyle name="Input 5 3 3 7 2 6" xfId="31059" xr:uid="{00000000-0005-0000-0000-00004E790000}"/>
    <cellStyle name="Input 5 3 3 7 3" xfId="31060" xr:uid="{00000000-0005-0000-0000-00004F790000}"/>
    <cellStyle name="Input 5 3 3 7 4" xfId="31061" xr:uid="{00000000-0005-0000-0000-000050790000}"/>
    <cellStyle name="Input 5 3 3 7 5" xfId="31062" xr:uid="{00000000-0005-0000-0000-000051790000}"/>
    <cellStyle name="Input 5 3 3 7 6" xfId="31063" xr:uid="{00000000-0005-0000-0000-000052790000}"/>
    <cellStyle name="Input 5 3 3 8" xfId="31064" xr:uid="{00000000-0005-0000-0000-000053790000}"/>
    <cellStyle name="Input 5 3 3 8 2" xfId="31065" xr:uid="{00000000-0005-0000-0000-000054790000}"/>
    <cellStyle name="Input 5 3 3 8 2 2" xfId="31066" xr:uid="{00000000-0005-0000-0000-000055790000}"/>
    <cellStyle name="Input 5 3 3 8 2 3" xfId="31067" xr:uid="{00000000-0005-0000-0000-000056790000}"/>
    <cellStyle name="Input 5 3 3 8 2 4" xfId="31068" xr:uid="{00000000-0005-0000-0000-000057790000}"/>
    <cellStyle name="Input 5 3 3 8 2 5" xfId="31069" xr:uid="{00000000-0005-0000-0000-000058790000}"/>
    <cellStyle name="Input 5 3 3 8 2 6" xfId="31070" xr:uid="{00000000-0005-0000-0000-000059790000}"/>
    <cellStyle name="Input 5 3 3 8 3" xfId="31071" xr:uid="{00000000-0005-0000-0000-00005A790000}"/>
    <cellStyle name="Input 5 3 3 8 4" xfId="31072" xr:uid="{00000000-0005-0000-0000-00005B790000}"/>
    <cellStyle name="Input 5 3 3 8 5" xfId="31073" xr:uid="{00000000-0005-0000-0000-00005C790000}"/>
    <cellStyle name="Input 5 3 3 8 6" xfId="31074" xr:uid="{00000000-0005-0000-0000-00005D790000}"/>
    <cellStyle name="Input 5 3 3 9" xfId="31075" xr:uid="{00000000-0005-0000-0000-00005E790000}"/>
    <cellStyle name="Input 5 3 3 9 2" xfId="31076" xr:uid="{00000000-0005-0000-0000-00005F790000}"/>
    <cellStyle name="Input 5 3 3 9 3" xfId="31077" xr:uid="{00000000-0005-0000-0000-000060790000}"/>
    <cellStyle name="Input 5 3 3 9 4" xfId="31078" xr:uid="{00000000-0005-0000-0000-000061790000}"/>
    <cellStyle name="Input 5 3 3 9 5" xfId="31079" xr:uid="{00000000-0005-0000-0000-000062790000}"/>
    <cellStyle name="Input 5 3 3 9 6" xfId="31080" xr:uid="{00000000-0005-0000-0000-000063790000}"/>
    <cellStyle name="Input 5 3 4" xfId="31081" xr:uid="{00000000-0005-0000-0000-000064790000}"/>
    <cellStyle name="Input 5 3 4 2" xfId="31082" xr:uid="{00000000-0005-0000-0000-000065790000}"/>
    <cellStyle name="Input 5 3 4 2 2" xfId="31083" xr:uid="{00000000-0005-0000-0000-000066790000}"/>
    <cellStyle name="Input 5 3 4 2 2 2" xfId="31084" xr:uid="{00000000-0005-0000-0000-000067790000}"/>
    <cellStyle name="Input 5 3 4 2 2 3" xfId="31085" xr:uid="{00000000-0005-0000-0000-000068790000}"/>
    <cellStyle name="Input 5 3 4 2 2 4" xfId="31086" xr:uid="{00000000-0005-0000-0000-000069790000}"/>
    <cellStyle name="Input 5 3 4 2 2 5" xfId="31087" xr:uid="{00000000-0005-0000-0000-00006A790000}"/>
    <cellStyle name="Input 5 3 4 2 2 6" xfId="31088" xr:uid="{00000000-0005-0000-0000-00006B790000}"/>
    <cellStyle name="Input 5 3 4 2 3" xfId="31089" xr:uid="{00000000-0005-0000-0000-00006C790000}"/>
    <cellStyle name="Input 5 3 4 2 4" xfId="31090" xr:uid="{00000000-0005-0000-0000-00006D790000}"/>
    <cellStyle name="Input 5 3 4 2 5" xfId="31091" xr:uid="{00000000-0005-0000-0000-00006E790000}"/>
    <cellStyle name="Input 5 3 4 2 6" xfId="31092" xr:uid="{00000000-0005-0000-0000-00006F790000}"/>
    <cellStyle name="Input 5 3 4 3" xfId="31093" xr:uid="{00000000-0005-0000-0000-000070790000}"/>
    <cellStyle name="Input 5 3 4 3 2" xfId="31094" xr:uid="{00000000-0005-0000-0000-000071790000}"/>
    <cellStyle name="Input 5 3 4 3 2 2" xfId="31095" xr:uid="{00000000-0005-0000-0000-000072790000}"/>
    <cellStyle name="Input 5 3 4 3 2 3" xfId="31096" xr:uid="{00000000-0005-0000-0000-000073790000}"/>
    <cellStyle name="Input 5 3 4 3 2 4" xfId="31097" xr:uid="{00000000-0005-0000-0000-000074790000}"/>
    <cellStyle name="Input 5 3 4 3 2 5" xfId="31098" xr:uid="{00000000-0005-0000-0000-000075790000}"/>
    <cellStyle name="Input 5 3 4 3 2 6" xfId="31099" xr:uid="{00000000-0005-0000-0000-000076790000}"/>
    <cellStyle name="Input 5 3 4 3 3" xfId="31100" xr:uid="{00000000-0005-0000-0000-000077790000}"/>
    <cellStyle name="Input 5 3 4 3 4" xfId="31101" xr:uid="{00000000-0005-0000-0000-000078790000}"/>
    <cellStyle name="Input 5 3 4 3 5" xfId="31102" xr:uid="{00000000-0005-0000-0000-000079790000}"/>
    <cellStyle name="Input 5 3 4 3 6" xfId="31103" xr:uid="{00000000-0005-0000-0000-00007A790000}"/>
    <cellStyle name="Input 5 3 4 4" xfId="31104" xr:uid="{00000000-0005-0000-0000-00007B790000}"/>
    <cellStyle name="Input 5 3 4 4 2" xfId="31105" xr:uid="{00000000-0005-0000-0000-00007C790000}"/>
    <cellStyle name="Input 5 3 4 4 3" xfId="31106" xr:uid="{00000000-0005-0000-0000-00007D790000}"/>
    <cellStyle name="Input 5 3 4 4 4" xfId="31107" xr:uid="{00000000-0005-0000-0000-00007E790000}"/>
    <cellStyle name="Input 5 3 4 4 5" xfId="31108" xr:uid="{00000000-0005-0000-0000-00007F790000}"/>
    <cellStyle name="Input 5 3 4 4 6" xfId="31109" xr:uid="{00000000-0005-0000-0000-000080790000}"/>
    <cellStyle name="Input 5 3 4 5" xfId="31110" xr:uid="{00000000-0005-0000-0000-000081790000}"/>
    <cellStyle name="Input 5 3 4 6" xfId="31111" xr:uid="{00000000-0005-0000-0000-000082790000}"/>
    <cellStyle name="Input 5 3 4 7" xfId="31112" xr:uid="{00000000-0005-0000-0000-000083790000}"/>
    <cellStyle name="Input 5 3 4 8" xfId="31113" xr:uid="{00000000-0005-0000-0000-000084790000}"/>
    <cellStyle name="Input 5 3 5" xfId="31114" xr:uid="{00000000-0005-0000-0000-000085790000}"/>
    <cellStyle name="Input 5 3 5 2" xfId="31115" xr:uid="{00000000-0005-0000-0000-000086790000}"/>
    <cellStyle name="Input 5 3 5 2 2" xfId="31116" xr:uid="{00000000-0005-0000-0000-000087790000}"/>
    <cellStyle name="Input 5 3 5 2 2 2" xfId="31117" xr:uid="{00000000-0005-0000-0000-000088790000}"/>
    <cellStyle name="Input 5 3 5 2 2 3" xfId="31118" xr:uid="{00000000-0005-0000-0000-000089790000}"/>
    <cellStyle name="Input 5 3 5 2 2 4" xfId="31119" xr:uid="{00000000-0005-0000-0000-00008A790000}"/>
    <cellStyle name="Input 5 3 5 2 2 5" xfId="31120" xr:uid="{00000000-0005-0000-0000-00008B790000}"/>
    <cellStyle name="Input 5 3 5 2 2 6" xfId="31121" xr:uid="{00000000-0005-0000-0000-00008C790000}"/>
    <cellStyle name="Input 5 3 5 2 3" xfId="31122" xr:uid="{00000000-0005-0000-0000-00008D790000}"/>
    <cellStyle name="Input 5 3 5 2 4" xfId="31123" xr:uid="{00000000-0005-0000-0000-00008E790000}"/>
    <cellStyle name="Input 5 3 5 2 5" xfId="31124" xr:uid="{00000000-0005-0000-0000-00008F790000}"/>
    <cellStyle name="Input 5 3 5 2 6" xfId="31125" xr:uid="{00000000-0005-0000-0000-000090790000}"/>
    <cellStyle name="Input 5 3 5 3" xfId="31126" xr:uid="{00000000-0005-0000-0000-000091790000}"/>
    <cellStyle name="Input 5 3 5 3 2" xfId="31127" xr:uid="{00000000-0005-0000-0000-000092790000}"/>
    <cellStyle name="Input 5 3 5 3 2 2" xfId="31128" xr:uid="{00000000-0005-0000-0000-000093790000}"/>
    <cellStyle name="Input 5 3 5 3 2 3" xfId="31129" xr:uid="{00000000-0005-0000-0000-000094790000}"/>
    <cellStyle name="Input 5 3 5 3 2 4" xfId="31130" xr:uid="{00000000-0005-0000-0000-000095790000}"/>
    <cellStyle name="Input 5 3 5 3 2 5" xfId="31131" xr:uid="{00000000-0005-0000-0000-000096790000}"/>
    <cellStyle name="Input 5 3 5 3 2 6" xfId="31132" xr:uid="{00000000-0005-0000-0000-000097790000}"/>
    <cellStyle name="Input 5 3 5 3 3" xfId="31133" xr:uid="{00000000-0005-0000-0000-000098790000}"/>
    <cellStyle name="Input 5 3 5 3 4" xfId="31134" xr:uid="{00000000-0005-0000-0000-000099790000}"/>
    <cellStyle name="Input 5 3 5 3 5" xfId="31135" xr:uid="{00000000-0005-0000-0000-00009A790000}"/>
    <cellStyle name="Input 5 3 5 3 6" xfId="31136" xr:uid="{00000000-0005-0000-0000-00009B790000}"/>
    <cellStyle name="Input 5 3 5 4" xfId="31137" xr:uid="{00000000-0005-0000-0000-00009C790000}"/>
    <cellStyle name="Input 5 3 5 4 2" xfId="31138" xr:uid="{00000000-0005-0000-0000-00009D790000}"/>
    <cellStyle name="Input 5 3 5 4 3" xfId="31139" xr:uid="{00000000-0005-0000-0000-00009E790000}"/>
    <cellStyle name="Input 5 3 5 4 4" xfId="31140" xr:uid="{00000000-0005-0000-0000-00009F790000}"/>
    <cellStyle name="Input 5 3 5 4 5" xfId="31141" xr:uid="{00000000-0005-0000-0000-0000A0790000}"/>
    <cellStyle name="Input 5 3 5 4 6" xfId="31142" xr:uid="{00000000-0005-0000-0000-0000A1790000}"/>
    <cellStyle name="Input 5 3 5 5" xfId="31143" xr:uid="{00000000-0005-0000-0000-0000A2790000}"/>
    <cellStyle name="Input 5 3 5 6" xfId="31144" xr:uid="{00000000-0005-0000-0000-0000A3790000}"/>
    <cellStyle name="Input 5 3 5 7" xfId="31145" xr:uid="{00000000-0005-0000-0000-0000A4790000}"/>
    <cellStyle name="Input 5 3 5 8" xfId="31146" xr:uid="{00000000-0005-0000-0000-0000A5790000}"/>
    <cellStyle name="Input 5 3 6" xfId="31147" xr:uid="{00000000-0005-0000-0000-0000A6790000}"/>
    <cellStyle name="Input 5 3 6 2" xfId="31148" xr:uid="{00000000-0005-0000-0000-0000A7790000}"/>
    <cellStyle name="Input 5 3 6 2 2" xfId="31149" xr:uid="{00000000-0005-0000-0000-0000A8790000}"/>
    <cellStyle name="Input 5 3 6 2 2 2" xfId="31150" xr:uid="{00000000-0005-0000-0000-0000A9790000}"/>
    <cellStyle name="Input 5 3 6 2 2 3" xfId="31151" xr:uid="{00000000-0005-0000-0000-0000AA790000}"/>
    <cellStyle name="Input 5 3 6 2 2 4" xfId="31152" xr:uid="{00000000-0005-0000-0000-0000AB790000}"/>
    <cellStyle name="Input 5 3 6 2 2 5" xfId="31153" xr:uid="{00000000-0005-0000-0000-0000AC790000}"/>
    <cellStyle name="Input 5 3 6 2 2 6" xfId="31154" xr:uid="{00000000-0005-0000-0000-0000AD790000}"/>
    <cellStyle name="Input 5 3 6 2 3" xfId="31155" xr:uid="{00000000-0005-0000-0000-0000AE790000}"/>
    <cellStyle name="Input 5 3 6 2 4" xfId="31156" xr:uid="{00000000-0005-0000-0000-0000AF790000}"/>
    <cellStyle name="Input 5 3 6 2 5" xfId="31157" xr:uid="{00000000-0005-0000-0000-0000B0790000}"/>
    <cellStyle name="Input 5 3 6 2 6" xfId="31158" xr:uid="{00000000-0005-0000-0000-0000B1790000}"/>
    <cellStyle name="Input 5 3 6 3" xfId="31159" xr:uid="{00000000-0005-0000-0000-0000B2790000}"/>
    <cellStyle name="Input 5 3 6 3 2" xfId="31160" xr:uid="{00000000-0005-0000-0000-0000B3790000}"/>
    <cellStyle name="Input 5 3 6 3 2 2" xfId="31161" xr:uid="{00000000-0005-0000-0000-0000B4790000}"/>
    <cellStyle name="Input 5 3 6 3 2 3" xfId="31162" xr:uid="{00000000-0005-0000-0000-0000B5790000}"/>
    <cellStyle name="Input 5 3 6 3 2 4" xfId="31163" xr:uid="{00000000-0005-0000-0000-0000B6790000}"/>
    <cellStyle name="Input 5 3 6 3 2 5" xfId="31164" xr:uid="{00000000-0005-0000-0000-0000B7790000}"/>
    <cellStyle name="Input 5 3 6 3 2 6" xfId="31165" xr:uid="{00000000-0005-0000-0000-0000B8790000}"/>
    <cellStyle name="Input 5 3 6 3 3" xfId="31166" xr:uid="{00000000-0005-0000-0000-0000B9790000}"/>
    <cellStyle name="Input 5 3 6 3 4" xfId="31167" xr:uid="{00000000-0005-0000-0000-0000BA790000}"/>
    <cellStyle name="Input 5 3 6 3 5" xfId="31168" xr:uid="{00000000-0005-0000-0000-0000BB790000}"/>
    <cellStyle name="Input 5 3 6 3 6" xfId="31169" xr:uid="{00000000-0005-0000-0000-0000BC790000}"/>
    <cellStyle name="Input 5 3 6 4" xfId="31170" xr:uid="{00000000-0005-0000-0000-0000BD790000}"/>
    <cellStyle name="Input 5 3 6 4 2" xfId="31171" xr:uid="{00000000-0005-0000-0000-0000BE790000}"/>
    <cellStyle name="Input 5 3 6 4 3" xfId="31172" xr:uid="{00000000-0005-0000-0000-0000BF790000}"/>
    <cellStyle name="Input 5 3 6 4 4" xfId="31173" xr:uid="{00000000-0005-0000-0000-0000C0790000}"/>
    <cellStyle name="Input 5 3 6 4 5" xfId="31174" xr:uid="{00000000-0005-0000-0000-0000C1790000}"/>
    <cellStyle name="Input 5 3 6 4 6" xfId="31175" xr:uid="{00000000-0005-0000-0000-0000C2790000}"/>
    <cellStyle name="Input 5 3 6 5" xfId="31176" xr:uid="{00000000-0005-0000-0000-0000C3790000}"/>
    <cellStyle name="Input 5 3 6 6" xfId="31177" xr:uid="{00000000-0005-0000-0000-0000C4790000}"/>
    <cellStyle name="Input 5 3 6 7" xfId="31178" xr:uid="{00000000-0005-0000-0000-0000C5790000}"/>
    <cellStyle name="Input 5 3 6 8" xfId="31179" xr:uid="{00000000-0005-0000-0000-0000C6790000}"/>
    <cellStyle name="Input 5 3 7" xfId="31180" xr:uid="{00000000-0005-0000-0000-0000C7790000}"/>
    <cellStyle name="Input 5 3 7 2" xfId="31181" xr:uid="{00000000-0005-0000-0000-0000C8790000}"/>
    <cellStyle name="Input 5 3 7 2 2" xfId="31182" xr:uid="{00000000-0005-0000-0000-0000C9790000}"/>
    <cellStyle name="Input 5 3 7 2 3" xfId="31183" xr:uid="{00000000-0005-0000-0000-0000CA790000}"/>
    <cellStyle name="Input 5 3 7 2 4" xfId="31184" xr:uid="{00000000-0005-0000-0000-0000CB790000}"/>
    <cellStyle name="Input 5 3 7 2 5" xfId="31185" xr:uid="{00000000-0005-0000-0000-0000CC790000}"/>
    <cellStyle name="Input 5 3 7 2 6" xfId="31186" xr:uid="{00000000-0005-0000-0000-0000CD790000}"/>
    <cellStyle name="Input 5 3 7 3" xfId="31187" xr:uid="{00000000-0005-0000-0000-0000CE790000}"/>
    <cellStyle name="Input 5 3 7 4" xfId="31188" xr:uid="{00000000-0005-0000-0000-0000CF790000}"/>
    <cellStyle name="Input 5 3 7 5" xfId="31189" xr:uid="{00000000-0005-0000-0000-0000D0790000}"/>
    <cellStyle name="Input 5 3 7 6" xfId="31190" xr:uid="{00000000-0005-0000-0000-0000D1790000}"/>
    <cellStyle name="Input 5 3 8" xfId="31191" xr:uid="{00000000-0005-0000-0000-0000D2790000}"/>
    <cellStyle name="Input 5 3 8 2" xfId="31192" xr:uid="{00000000-0005-0000-0000-0000D3790000}"/>
    <cellStyle name="Input 5 3 8 2 2" xfId="31193" xr:uid="{00000000-0005-0000-0000-0000D4790000}"/>
    <cellStyle name="Input 5 3 8 2 3" xfId="31194" xr:uid="{00000000-0005-0000-0000-0000D5790000}"/>
    <cellStyle name="Input 5 3 8 2 4" xfId="31195" xr:uid="{00000000-0005-0000-0000-0000D6790000}"/>
    <cellStyle name="Input 5 3 8 2 5" xfId="31196" xr:uid="{00000000-0005-0000-0000-0000D7790000}"/>
    <cellStyle name="Input 5 3 8 2 6" xfId="31197" xr:uid="{00000000-0005-0000-0000-0000D8790000}"/>
    <cellStyle name="Input 5 3 8 3" xfId="31198" xr:uid="{00000000-0005-0000-0000-0000D9790000}"/>
    <cellStyle name="Input 5 3 8 4" xfId="31199" xr:uid="{00000000-0005-0000-0000-0000DA790000}"/>
    <cellStyle name="Input 5 3 8 5" xfId="31200" xr:uid="{00000000-0005-0000-0000-0000DB790000}"/>
    <cellStyle name="Input 5 3 8 6" xfId="31201" xr:uid="{00000000-0005-0000-0000-0000DC790000}"/>
    <cellStyle name="Input 5 3 9" xfId="31202" xr:uid="{00000000-0005-0000-0000-0000DD790000}"/>
    <cellStyle name="Input 5 3 9 2" xfId="31203" xr:uid="{00000000-0005-0000-0000-0000DE790000}"/>
    <cellStyle name="Input 5 3 9 3" xfId="31204" xr:uid="{00000000-0005-0000-0000-0000DF790000}"/>
    <cellStyle name="Input 5 3 9 4" xfId="31205" xr:uid="{00000000-0005-0000-0000-0000E0790000}"/>
    <cellStyle name="Input 5 3 9 5" xfId="31206" xr:uid="{00000000-0005-0000-0000-0000E1790000}"/>
    <cellStyle name="Input 5 3 9 6" xfId="31207" xr:uid="{00000000-0005-0000-0000-0000E2790000}"/>
    <cellStyle name="Input 6" xfId="31208" xr:uid="{00000000-0005-0000-0000-0000E3790000}"/>
    <cellStyle name="Input 6 2" xfId="31209" xr:uid="{00000000-0005-0000-0000-0000E4790000}"/>
    <cellStyle name="Input 6 2 10" xfId="31210" xr:uid="{00000000-0005-0000-0000-0000E5790000}"/>
    <cellStyle name="Input 6 2 11" xfId="31211" xr:uid="{00000000-0005-0000-0000-0000E6790000}"/>
    <cellStyle name="Input 6 2 12" xfId="31212" xr:uid="{00000000-0005-0000-0000-0000E7790000}"/>
    <cellStyle name="Input 6 2 13" xfId="31213" xr:uid="{00000000-0005-0000-0000-0000E8790000}"/>
    <cellStyle name="Input 6 2 2" xfId="31214" xr:uid="{00000000-0005-0000-0000-0000E9790000}"/>
    <cellStyle name="Input 6 2 2 10" xfId="31215" xr:uid="{00000000-0005-0000-0000-0000EA790000}"/>
    <cellStyle name="Input 6 2 2 10 2" xfId="31216" xr:uid="{00000000-0005-0000-0000-0000EB790000}"/>
    <cellStyle name="Input 6 2 2 10 3" xfId="31217" xr:uid="{00000000-0005-0000-0000-0000EC790000}"/>
    <cellStyle name="Input 6 2 2 10 4" xfId="31218" xr:uid="{00000000-0005-0000-0000-0000ED790000}"/>
    <cellStyle name="Input 6 2 2 10 5" xfId="31219" xr:uid="{00000000-0005-0000-0000-0000EE790000}"/>
    <cellStyle name="Input 6 2 2 10 6" xfId="31220" xr:uid="{00000000-0005-0000-0000-0000EF790000}"/>
    <cellStyle name="Input 6 2 2 11" xfId="31221" xr:uid="{00000000-0005-0000-0000-0000F0790000}"/>
    <cellStyle name="Input 6 2 2 12" xfId="31222" xr:uid="{00000000-0005-0000-0000-0000F1790000}"/>
    <cellStyle name="Input 6 2 2 13" xfId="31223" xr:uid="{00000000-0005-0000-0000-0000F2790000}"/>
    <cellStyle name="Input 6 2 2 14" xfId="31224" xr:uid="{00000000-0005-0000-0000-0000F3790000}"/>
    <cellStyle name="Input 6 2 2 2" xfId="31225" xr:uid="{00000000-0005-0000-0000-0000F4790000}"/>
    <cellStyle name="Input 6 2 2 2 10" xfId="31226" xr:uid="{00000000-0005-0000-0000-0000F5790000}"/>
    <cellStyle name="Input 6 2 2 2 11" xfId="31227" xr:uid="{00000000-0005-0000-0000-0000F6790000}"/>
    <cellStyle name="Input 6 2 2 2 12" xfId="31228" xr:uid="{00000000-0005-0000-0000-0000F7790000}"/>
    <cellStyle name="Input 6 2 2 2 13" xfId="31229" xr:uid="{00000000-0005-0000-0000-0000F8790000}"/>
    <cellStyle name="Input 6 2 2 2 2" xfId="31230" xr:uid="{00000000-0005-0000-0000-0000F9790000}"/>
    <cellStyle name="Input 6 2 2 2 2 2" xfId="31231" xr:uid="{00000000-0005-0000-0000-0000FA790000}"/>
    <cellStyle name="Input 6 2 2 2 2 2 2" xfId="31232" xr:uid="{00000000-0005-0000-0000-0000FB790000}"/>
    <cellStyle name="Input 6 2 2 2 2 2 2 2" xfId="31233" xr:uid="{00000000-0005-0000-0000-0000FC790000}"/>
    <cellStyle name="Input 6 2 2 2 2 2 2 3" xfId="31234" xr:uid="{00000000-0005-0000-0000-0000FD790000}"/>
    <cellStyle name="Input 6 2 2 2 2 2 2 4" xfId="31235" xr:uid="{00000000-0005-0000-0000-0000FE790000}"/>
    <cellStyle name="Input 6 2 2 2 2 2 2 5" xfId="31236" xr:uid="{00000000-0005-0000-0000-0000FF790000}"/>
    <cellStyle name="Input 6 2 2 2 2 2 2 6" xfId="31237" xr:uid="{00000000-0005-0000-0000-0000007A0000}"/>
    <cellStyle name="Input 6 2 2 2 2 2 3" xfId="31238" xr:uid="{00000000-0005-0000-0000-0000017A0000}"/>
    <cellStyle name="Input 6 2 2 2 2 2 4" xfId="31239" xr:uid="{00000000-0005-0000-0000-0000027A0000}"/>
    <cellStyle name="Input 6 2 2 2 2 2 5" xfId="31240" xr:uid="{00000000-0005-0000-0000-0000037A0000}"/>
    <cellStyle name="Input 6 2 2 2 2 2 6" xfId="31241" xr:uid="{00000000-0005-0000-0000-0000047A0000}"/>
    <cellStyle name="Input 6 2 2 2 2 3" xfId="31242" xr:uid="{00000000-0005-0000-0000-0000057A0000}"/>
    <cellStyle name="Input 6 2 2 2 2 3 2" xfId="31243" xr:uid="{00000000-0005-0000-0000-0000067A0000}"/>
    <cellStyle name="Input 6 2 2 2 2 3 2 2" xfId="31244" xr:uid="{00000000-0005-0000-0000-0000077A0000}"/>
    <cellStyle name="Input 6 2 2 2 2 3 2 3" xfId="31245" xr:uid="{00000000-0005-0000-0000-0000087A0000}"/>
    <cellStyle name="Input 6 2 2 2 2 3 2 4" xfId="31246" xr:uid="{00000000-0005-0000-0000-0000097A0000}"/>
    <cellStyle name="Input 6 2 2 2 2 3 2 5" xfId="31247" xr:uid="{00000000-0005-0000-0000-00000A7A0000}"/>
    <cellStyle name="Input 6 2 2 2 2 3 2 6" xfId="31248" xr:uid="{00000000-0005-0000-0000-00000B7A0000}"/>
    <cellStyle name="Input 6 2 2 2 2 3 3" xfId="31249" xr:uid="{00000000-0005-0000-0000-00000C7A0000}"/>
    <cellStyle name="Input 6 2 2 2 2 3 4" xfId="31250" xr:uid="{00000000-0005-0000-0000-00000D7A0000}"/>
    <cellStyle name="Input 6 2 2 2 2 3 5" xfId="31251" xr:uid="{00000000-0005-0000-0000-00000E7A0000}"/>
    <cellStyle name="Input 6 2 2 2 2 3 6" xfId="31252" xr:uid="{00000000-0005-0000-0000-00000F7A0000}"/>
    <cellStyle name="Input 6 2 2 2 2 4" xfId="31253" xr:uid="{00000000-0005-0000-0000-0000107A0000}"/>
    <cellStyle name="Input 6 2 2 2 2 4 2" xfId="31254" xr:uid="{00000000-0005-0000-0000-0000117A0000}"/>
    <cellStyle name="Input 6 2 2 2 2 4 3" xfId="31255" xr:uid="{00000000-0005-0000-0000-0000127A0000}"/>
    <cellStyle name="Input 6 2 2 2 2 4 4" xfId="31256" xr:uid="{00000000-0005-0000-0000-0000137A0000}"/>
    <cellStyle name="Input 6 2 2 2 2 4 5" xfId="31257" xr:uid="{00000000-0005-0000-0000-0000147A0000}"/>
    <cellStyle name="Input 6 2 2 2 2 4 6" xfId="31258" xr:uid="{00000000-0005-0000-0000-0000157A0000}"/>
    <cellStyle name="Input 6 2 2 2 2 5" xfId="31259" xr:uid="{00000000-0005-0000-0000-0000167A0000}"/>
    <cellStyle name="Input 6 2 2 2 2 6" xfId="31260" xr:uid="{00000000-0005-0000-0000-0000177A0000}"/>
    <cellStyle name="Input 6 2 2 2 2 7" xfId="31261" xr:uid="{00000000-0005-0000-0000-0000187A0000}"/>
    <cellStyle name="Input 6 2 2 2 2 8" xfId="31262" xr:uid="{00000000-0005-0000-0000-0000197A0000}"/>
    <cellStyle name="Input 6 2 2 2 3" xfId="31263" xr:uid="{00000000-0005-0000-0000-00001A7A0000}"/>
    <cellStyle name="Input 6 2 2 2 3 2" xfId="31264" xr:uid="{00000000-0005-0000-0000-00001B7A0000}"/>
    <cellStyle name="Input 6 2 2 2 3 2 2" xfId="31265" xr:uid="{00000000-0005-0000-0000-00001C7A0000}"/>
    <cellStyle name="Input 6 2 2 2 3 2 2 2" xfId="31266" xr:uid="{00000000-0005-0000-0000-00001D7A0000}"/>
    <cellStyle name="Input 6 2 2 2 3 2 2 3" xfId="31267" xr:uid="{00000000-0005-0000-0000-00001E7A0000}"/>
    <cellStyle name="Input 6 2 2 2 3 2 2 4" xfId="31268" xr:uid="{00000000-0005-0000-0000-00001F7A0000}"/>
    <cellStyle name="Input 6 2 2 2 3 2 2 5" xfId="31269" xr:uid="{00000000-0005-0000-0000-0000207A0000}"/>
    <cellStyle name="Input 6 2 2 2 3 2 2 6" xfId="31270" xr:uid="{00000000-0005-0000-0000-0000217A0000}"/>
    <cellStyle name="Input 6 2 2 2 3 2 3" xfId="31271" xr:uid="{00000000-0005-0000-0000-0000227A0000}"/>
    <cellStyle name="Input 6 2 2 2 3 2 4" xfId="31272" xr:uid="{00000000-0005-0000-0000-0000237A0000}"/>
    <cellStyle name="Input 6 2 2 2 3 2 5" xfId="31273" xr:uid="{00000000-0005-0000-0000-0000247A0000}"/>
    <cellStyle name="Input 6 2 2 2 3 2 6" xfId="31274" xr:uid="{00000000-0005-0000-0000-0000257A0000}"/>
    <cellStyle name="Input 6 2 2 2 3 3" xfId="31275" xr:uid="{00000000-0005-0000-0000-0000267A0000}"/>
    <cellStyle name="Input 6 2 2 2 3 3 2" xfId="31276" xr:uid="{00000000-0005-0000-0000-0000277A0000}"/>
    <cellStyle name="Input 6 2 2 2 3 3 2 2" xfId="31277" xr:uid="{00000000-0005-0000-0000-0000287A0000}"/>
    <cellStyle name="Input 6 2 2 2 3 3 2 3" xfId="31278" xr:uid="{00000000-0005-0000-0000-0000297A0000}"/>
    <cellStyle name="Input 6 2 2 2 3 3 2 4" xfId="31279" xr:uid="{00000000-0005-0000-0000-00002A7A0000}"/>
    <cellStyle name="Input 6 2 2 2 3 3 2 5" xfId="31280" xr:uid="{00000000-0005-0000-0000-00002B7A0000}"/>
    <cellStyle name="Input 6 2 2 2 3 3 2 6" xfId="31281" xr:uid="{00000000-0005-0000-0000-00002C7A0000}"/>
    <cellStyle name="Input 6 2 2 2 3 3 3" xfId="31282" xr:uid="{00000000-0005-0000-0000-00002D7A0000}"/>
    <cellStyle name="Input 6 2 2 2 3 3 4" xfId="31283" xr:uid="{00000000-0005-0000-0000-00002E7A0000}"/>
    <cellStyle name="Input 6 2 2 2 3 3 5" xfId="31284" xr:uid="{00000000-0005-0000-0000-00002F7A0000}"/>
    <cellStyle name="Input 6 2 2 2 3 3 6" xfId="31285" xr:uid="{00000000-0005-0000-0000-0000307A0000}"/>
    <cellStyle name="Input 6 2 2 2 3 4" xfId="31286" xr:uid="{00000000-0005-0000-0000-0000317A0000}"/>
    <cellStyle name="Input 6 2 2 2 3 4 2" xfId="31287" xr:uid="{00000000-0005-0000-0000-0000327A0000}"/>
    <cellStyle name="Input 6 2 2 2 3 4 3" xfId="31288" xr:uid="{00000000-0005-0000-0000-0000337A0000}"/>
    <cellStyle name="Input 6 2 2 2 3 4 4" xfId="31289" xr:uid="{00000000-0005-0000-0000-0000347A0000}"/>
    <cellStyle name="Input 6 2 2 2 3 4 5" xfId="31290" xr:uid="{00000000-0005-0000-0000-0000357A0000}"/>
    <cellStyle name="Input 6 2 2 2 3 4 6" xfId="31291" xr:uid="{00000000-0005-0000-0000-0000367A0000}"/>
    <cellStyle name="Input 6 2 2 2 3 5" xfId="31292" xr:uid="{00000000-0005-0000-0000-0000377A0000}"/>
    <cellStyle name="Input 6 2 2 2 3 6" xfId="31293" xr:uid="{00000000-0005-0000-0000-0000387A0000}"/>
    <cellStyle name="Input 6 2 2 2 3 7" xfId="31294" xr:uid="{00000000-0005-0000-0000-0000397A0000}"/>
    <cellStyle name="Input 6 2 2 2 3 8" xfId="31295" xr:uid="{00000000-0005-0000-0000-00003A7A0000}"/>
    <cellStyle name="Input 6 2 2 2 4" xfId="31296" xr:uid="{00000000-0005-0000-0000-00003B7A0000}"/>
    <cellStyle name="Input 6 2 2 2 4 2" xfId="31297" xr:uid="{00000000-0005-0000-0000-00003C7A0000}"/>
    <cellStyle name="Input 6 2 2 2 4 2 2" xfId="31298" xr:uid="{00000000-0005-0000-0000-00003D7A0000}"/>
    <cellStyle name="Input 6 2 2 2 4 2 2 2" xfId="31299" xr:uid="{00000000-0005-0000-0000-00003E7A0000}"/>
    <cellStyle name="Input 6 2 2 2 4 2 2 3" xfId="31300" xr:uid="{00000000-0005-0000-0000-00003F7A0000}"/>
    <cellStyle name="Input 6 2 2 2 4 2 2 4" xfId="31301" xr:uid="{00000000-0005-0000-0000-0000407A0000}"/>
    <cellStyle name="Input 6 2 2 2 4 2 2 5" xfId="31302" xr:uid="{00000000-0005-0000-0000-0000417A0000}"/>
    <cellStyle name="Input 6 2 2 2 4 2 2 6" xfId="31303" xr:uid="{00000000-0005-0000-0000-0000427A0000}"/>
    <cellStyle name="Input 6 2 2 2 4 2 3" xfId="31304" xr:uid="{00000000-0005-0000-0000-0000437A0000}"/>
    <cellStyle name="Input 6 2 2 2 4 2 4" xfId="31305" xr:uid="{00000000-0005-0000-0000-0000447A0000}"/>
    <cellStyle name="Input 6 2 2 2 4 2 5" xfId="31306" xr:uid="{00000000-0005-0000-0000-0000457A0000}"/>
    <cellStyle name="Input 6 2 2 2 4 2 6" xfId="31307" xr:uid="{00000000-0005-0000-0000-0000467A0000}"/>
    <cellStyle name="Input 6 2 2 2 4 3" xfId="31308" xr:uid="{00000000-0005-0000-0000-0000477A0000}"/>
    <cellStyle name="Input 6 2 2 2 4 3 2" xfId="31309" xr:uid="{00000000-0005-0000-0000-0000487A0000}"/>
    <cellStyle name="Input 6 2 2 2 4 3 2 2" xfId="31310" xr:uid="{00000000-0005-0000-0000-0000497A0000}"/>
    <cellStyle name="Input 6 2 2 2 4 3 2 3" xfId="31311" xr:uid="{00000000-0005-0000-0000-00004A7A0000}"/>
    <cellStyle name="Input 6 2 2 2 4 3 2 4" xfId="31312" xr:uid="{00000000-0005-0000-0000-00004B7A0000}"/>
    <cellStyle name="Input 6 2 2 2 4 3 2 5" xfId="31313" xr:uid="{00000000-0005-0000-0000-00004C7A0000}"/>
    <cellStyle name="Input 6 2 2 2 4 3 2 6" xfId="31314" xr:uid="{00000000-0005-0000-0000-00004D7A0000}"/>
    <cellStyle name="Input 6 2 2 2 4 3 3" xfId="31315" xr:uid="{00000000-0005-0000-0000-00004E7A0000}"/>
    <cellStyle name="Input 6 2 2 2 4 3 4" xfId="31316" xr:uid="{00000000-0005-0000-0000-00004F7A0000}"/>
    <cellStyle name="Input 6 2 2 2 4 3 5" xfId="31317" xr:uid="{00000000-0005-0000-0000-0000507A0000}"/>
    <cellStyle name="Input 6 2 2 2 4 3 6" xfId="31318" xr:uid="{00000000-0005-0000-0000-0000517A0000}"/>
    <cellStyle name="Input 6 2 2 2 4 4" xfId="31319" xr:uid="{00000000-0005-0000-0000-0000527A0000}"/>
    <cellStyle name="Input 6 2 2 2 4 4 2" xfId="31320" xr:uid="{00000000-0005-0000-0000-0000537A0000}"/>
    <cellStyle name="Input 6 2 2 2 4 4 3" xfId="31321" xr:uid="{00000000-0005-0000-0000-0000547A0000}"/>
    <cellStyle name="Input 6 2 2 2 4 4 4" xfId="31322" xr:uid="{00000000-0005-0000-0000-0000557A0000}"/>
    <cellStyle name="Input 6 2 2 2 4 4 5" xfId="31323" xr:uid="{00000000-0005-0000-0000-0000567A0000}"/>
    <cellStyle name="Input 6 2 2 2 4 4 6" xfId="31324" xr:uid="{00000000-0005-0000-0000-0000577A0000}"/>
    <cellStyle name="Input 6 2 2 2 4 5" xfId="31325" xr:uid="{00000000-0005-0000-0000-0000587A0000}"/>
    <cellStyle name="Input 6 2 2 2 4 6" xfId="31326" xr:uid="{00000000-0005-0000-0000-0000597A0000}"/>
    <cellStyle name="Input 6 2 2 2 4 7" xfId="31327" xr:uid="{00000000-0005-0000-0000-00005A7A0000}"/>
    <cellStyle name="Input 6 2 2 2 4 8" xfId="31328" xr:uid="{00000000-0005-0000-0000-00005B7A0000}"/>
    <cellStyle name="Input 6 2 2 2 5" xfId="31329" xr:uid="{00000000-0005-0000-0000-00005C7A0000}"/>
    <cellStyle name="Input 6 2 2 2 5 2" xfId="31330" xr:uid="{00000000-0005-0000-0000-00005D7A0000}"/>
    <cellStyle name="Input 6 2 2 2 5 2 2" xfId="31331" xr:uid="{00000000-0005-0000-0000-00005E7A0000}"/>
    <cellStyle name="Input 6 2 2 2 5 2 2 2" xfId="31332" xr:uid="{00000000-0005-0000-0000-00005F7A0000}"/>
    <cellStyle name="Input 6 2 2 2 5 2 2 3" xfId="31333" xr:uid="{00000000-0005-0000-0000-0000607A0000}"/>
    <cellStyle name="Input 6 2 2 2 5 2 2 4" xfId="31334" xr:uid="{00000000-0005-0000-0000-0000617A0000}"/>
    <cellStyle name="Input 6 2 2 2 5 2 2 5" xfId="31335" xr:uid="{00000000-0005-0000-0000-0000627A0000}"/>
    <cellStyle name="Input 6 2 2 2 5 2 2 6" xfId="31336" xr:uid="{00000000-0005-0000-0000-0000637A0000}"/>
    <cellStyle name="Input 6 2 2 2 5 2 3" xfId="31337" xr:uid="{00000000-0005-0000-0000-0000647A0000}"/>
    <cellStyle name="Input 6 2 2 2 5 2 4" xfId="31338" xr:uid="{00000000-0005-0000-0000-0000657A0000}"/>
    <cellStyle name="Input 6 2 2 2 5 2 5" xfId="31339" xr:uid="{00000000-0005-0000-0000-0000667A0000}"/>
    <cellStyle name="Input 6 2 2 2 5 2 6" xfId="31340" xr:uid="{00000000-0005-0000-0000-0000677A0000}"/>
    <cellStyle name="Input 6 2 2 2 5 3" xfId="31341" xr:uid="{00000000-0005-0000-0000-0000687A0000}"/>
    <cellStyle name="Input 6 2 2 2 5 3 2" xfId="31342" xr:uid="{00000000-0005-0000-0000-0000697A0000}"/>
    <cellStyle name="Input 6 2 2 2 5 3 2 2" xfId="31343" xr:uid="{00000000-0005-0000-0000-00006A7A0000}"/>
    <cellStyle name="Input 6 2 2 2 5 3 2 3" xfId="31344" xr:uid="{00000000-0005-0000-0000-00006B7A0000}"/>
    <cellStyle name="Input 6 2 2 2 5 3 2 4" xfId="31345" xr:uid="{00000000-0005-0000-0000-00006C7A0000}"/>
    <cellStyle name="Input 6 2 2 2 5 3 2 5" xfId="31346" xr:uid="{00000000-0005-0000-0000-00006D7A0000}"/>
    <cellStyle name="Input 6 2 2 2 5 3 2 6" xfId="31347" xr:uid="{00000000-0005-0000-0000-00006E7A0000}"/>
    <cellStyle name="Input 6 2 2 2 5 3 3" xfId="31348" xr:uid="{00000000-0005-0000-0000-00006F7A0000}"/>
    <cellStyle name="Input 6 2 2 2 5 3 4" xfId="31349" xr:uid="{00000000-0005-0000-0000-0000707A0000}"/>
    <cellStyle name="Input 6 2 2 2 5 3 5" xfId="31350" xr:uid="{00000000-0005-0000-0000-0000717A0000}"/>
    <cellStyle name="Input 6 2 2 2 5 3 6" xfId="31351" xr:uid="{00000000-0005-0000-0000-0000727A0000}"/>
    <cellStyle name="Input 6 2 2 2 5 4" xfId="31352" xr:uid="{00000000-0005-0000-0000-0000737A0000}"/>
    <cellStyle name="Input 6 2 2 2 5 4 2" xfId="31353" xr:uid="{00000000-0005-0000-0000-0000747A0000}"/>
    <cellStyle name="Input 6 2 2 2 5 4 3" xfId="31354" xr:uid="{00000000-0005-0000-0000-0000757A0000}"/>
    <cellStyle name="Input 6 2 2 2 5 4 4" xfId="31355" xr:uid="{00000000-0005-0000-0000-0000767A0000}"/>
    <cellStyle name="Input 6 2 2 2 5 4 5" xfId="31356" xr:uid="{00000000-0005-0000-0000-0000777A0000}"/>
    <cellStyle name="Input 6 2 2 2 5 4 6" xfId="31357" xr:uid="{00000000-0005-0000-0000-0000787A0000}"/>
    <cellStyle name="Input 6 2 2 2 5 5" xfId="31358" xr:uid="{00000000-0005-0000-0000-0000797A0000}"/>
    <cellStyle name="Input 6 2 2 2 5 6" xfId="31359" xr:uid="{00000000-0005-0000-0000-00007A7A0000}"/>
    <cellStyle name="Input 6 2 2 2 5 7" xfId="31360" xr:uid="{00000000-0005-0000-0000-00007B7A0000}"/>
    <cellStyle name="Input 6 2 2 2 5 8" xfId="31361" xr:uid="{00000000-0005-0000-0000-00007C7A0000}"/>
    <cellStyle name="Input 6 2 2 2 6" xfId="31362" xr:uid="{00000000-0005-0000-0000-00007D7A0000}"/>
    <cellStyle name="Input 6 2 2 2 6 2" xfId="31363" xr:uid="{00000000-0005-0000-0000-00007E7A0000}"/>
    <cellStyle name="Input 6 2 2 2 6 2 2" xfId="31364" xr:uid="{00000000-0005-0000-0000-00007F7A0000}"/>
    <cellStyle name="Input 6 2 2 2 6 2 2 2" xfId="31365" xr:uid="{00000000-0005-0000-0000-0000807A0000}"/>
    <cellStyle name="Input 6 2 2 2 6 2 2 3" xfId="31366" xr:uid="{00000000-0005-0000-0000-0000817A0000}"/>
    <cellStyle name="Input 6 2 2 2 6 2 2 4" xfId="31367" xr:uid="{00000000-0005-0000-0000-0000827A0000}"/>
    <cellStyle name="Input 6 2 2 2 6 2 2 5" xfId="31368" xr:uid="{00000000-0005-0000-0000-0000837A0000}"/>
    <cellStyle name="Input 6 2 2 2 6 2 2 6" xfId="31369" xr:uid="{00000000-0005-0000-0000-0000847A0000}"/>
    <cellStyle name="Input 6 2 2 2 6 2 3" xfId="31370" xr:uid="{00000000-0005-0000-0000-0000857A0000}"/>
    <cellStyle name="Input 6 2 2 2 6 2 4" xfId="31371" xr:uid="{00000000-0005-0000-0000-0000867A0000}"/>
    <cellStyle name="Input 6 2 2 2 6 2 5" xfId="31372" xr:uid="{00000000-0005-0000-0000-0000877A0000}"/>
    <cellStyle name="Input 6 2 2 2 6 2 6" xfId="31373" xr:uid="{00000000-0005-0000-0000-0000887A0000}"/>
    <cellStyle name="Input 6 2 2 2 6 3" xfId="31374" xr:uid="{00000000-0005-0000-0000-0000897A0000}"/>
    <cellStyle name="Input 6 2 2 2 6 3 2" xfId="31375" xr:uid="{00000000-0005-0000-0000-00008A7A0000}"/>
    <cellStyle name="Input 6 2 2 2 6 3 2 2" xfId="31376" xr:uid="{00000000-0005-0000-0000-00008B7A0000}"/>
    <cellStyle name="Input 6 2 2 2 6 3 2 3" xfId="31377" xr:uid="{00000000-0005-0000-0000-00008C7A0000}"/>
    <cellStyle name="Input 6 2 2 2 6 3 2 4" xfId="31378" xr:uid="{00000000-0005-0000-0000-00008D7A0000}"/>
    <cellStyle name="Input 6 2 2 2 6 3 2 5" xfId="31379" xr:uid="{00000000-0005-0000-0000-00008E7A0000}"/>
    <cellStyle name="Input 6 2 2 2 6 3 2 6" xfId="31380" xr:uid="{00000000-0005-0000-0000-00008F7A0000}"/>
    <cellStyle name="Input 6 2 2 2 6 3 3" xfId="31381" xr:uid="{00000000-0005-0000-0000-0000907A0000}"/>
    <cellStyle name="Input 6 2 2 2 6 3 4" xfId="31382" xr:uid="{00000000-0005-0000-0000-0000917A0000}"/>
    <cellStyle name="Input 6 2 2 2 6 3 5" xfId="31383" xr:uid="{00000000-0005-0000-0000-0000927A0000}"/>
    <cellStyle name="Input 6 2 2 2 6 3 6" xfId="31384" xr:uid="{00000000-0005-0000-0000-0000937A0000}"/>
    <cellStyle name="Input 6 2 2 2 6 4" xfId="31385" xr:uid="{00000000-0005-0000-0000-0000947A0000}"/>
    <cellStyle name="Input 6 2 2 2 6 4 2" xfId="31386" xr:uid="{00000000-0005-0000-0000-0000957A0000}"/>
    <cellStyle name="Input 6 2 2 2 6 4 3" xfId="31387" xr:uid="{00000000-0005-0000-0000-0000967A0000}"/>
    <cellStyle name="Input 6 2 2 2 6 4 4" xfId="31388" xr:uid="{00000000-0005-0000-0000-0000977A0000}"/>
    <cellStyle name="Input 6 2 2 2 6 4 5" xfId="31389" xr:uid="{00000000-0005-0000-0000-0000987A0000}"/>
    <cellStyle name="Input 6 2 2 2 6 4 6" xfId="31390" xr:uid="{00000000-0005-0000-0000-0000997A0000}"/>
    <cellStyle name="Input 6 2 2 2 6 5" xfId="31391" xr:uid="{00000000-0005-0000-0000-00009A7A0000}"/>
    <cellStyle name="Input 6 2 2 2 6 6" xfId="31392" xr:uid="{00000000-0005-0000-0000-00009B7A0000}"/>
    <cellStyle name="Input 6 2 2 2 6 7" xfId="31393" xr:uid="{00000000-0005-0000-0000-00009C7A0000}"/>
    <cellStyle name="Input 6 2 2 2 6 8" xfId="31394" xr:uid="{00000000-0005-0000-0000-00009D7A0000}"/>
    <cellStyle name="Input 6 2 2 2 7" xfId="31395" xr:uid="{00000000-0005-0000-0000-00009E7A0000}"/>
    <cellStyle name="Input 6 2 2 2 7 2" xfId="31396" xr:uid="{00000000-0005-0000-0000-00009F7A0000}"/>
    <cellStyle name="Input 6 2 2 2 7 2 2" xfId="31397" xr:uid="{00000000-0005-0000-0000-0000A07A0000}"/>
    <cellStyle name="Input 6 2 2 2 7 2 3" xfId="31398" xr:uid="{00000000-0005-0000-0000-0000A17A0000}"/>
    <cellStyle name="Input 6 2 2 2 7 2 4" xfId="31399" xr:uid="{00000000-0005-0000-0000-0000A27A0000}"/>
    <cellStyle name="Input 6 2 2 2 7 2 5" xfId="31400" xr:uid="{00000000-0005-0000-0000-0000A37A0000}"/>
    <cellStyle name="Input 6 2 2 2 7 2 6" xfId="31401" xr:uid="{00000000-0005-0000-0000-0000A47A0000}"/>
    <cellStyle name="Input 6 2 2 2 7 3" xfId="31402" xr:uid="{00000000-0005-0000-0000-0000A57A0000}"/>
    <cellStyle name="Input 6 2 2 2 7 4" xfId="31403" xr:uid="{00000000-0005-0000-0000-0000A67A0000}"/>
    <cellStyle name="Input 6 2 2 2 7 5" xfId="31404" xr:uid="{00000000-0005-0000-0000-0000A77A0000}"/>
    <cellStyle name="Input 6 2 2 2 7 6" xfId="31405" xr:uid="{00000000-0005-0000-0000-0000A87A0000}"/>
    <cellStyle name="Input 6 2 2 2 8" xfId="31406" xr:uid="{00000000-0005-0000-0000-0000A97A0000}"/>
    <cellStyle name="Input 6 2 2 2 8 2" xfId="31407" xr:uid="{00000000-0005-0000-0000-0000AA7A0000}"/>
    <cellStyle name="Input 6 2 2 2 8 2 2" xfId="31408" xr:uid="{00000000-0005-0000-0000-0000AB7A0000}"/>
    <cellStyle name="Input 6 2 2 2 8 2 3" xfId="31409" xr:uid="{00000000-0005-0000-0000-0000AC7A0000}"/>
    <cellStyle name="Input 6 2 2 2 8 2 4" xfId="31410" xr:uid="{00000000-0005-0000-0000-0000AD7A0000}"/>
    <cellStyle name="Input 6 2 2 2 8 2 5" xfId="31411" xr:uid="{00000000-0005-0000-0000-0000AE7A0000}"/>
    <cellStyle name="Input 6 2 2 2 8 2 6" xfId="31412" xr:uid="{00000000-0005-0000-0000-0000AF7A0000}"/>
    <cellStyle name="Input 6 2 2 2 8 3" xfId="31413" xr:uid="{00000000-0005-0000-0000-0000B07A0000}"/>
    <cellStyle name="Input 6 2 2 2 8 4" xfId="31414" xr:uid="{00000000-0005-0000-0000-0000B17A0000}"/>
    <cellStyle name="Input 6 2 2 2 8 5" xfId="31415" xr:uid="{00000000-0005-0000-0000-0000B27A0000}"/>
    <cellStyle name="Input 6 2 2 2 8 6" xfId="31416" xr:uid="{00000000-0005-0000-0000-0000B37A0000}"/>
    <cellStyle name="Input 6 2 2 2 9" xfId="31417" xr:uid="{00000000-0005-0000-0000-0000B47A0000}"/>
    <cellStyle name="Input 6 2 2 2 9 2" xfId="31418" xr:uid="{00000000-0005-0000-0000-0000B57A0000}"/>
    <cellStyle name="Input 6 2 2 2 9 3" xfId="31419" xr:uid="{00000000-0005-0000-0000-0000B67A0000}"/>
    <cellStyle name="Input 6 2 2 2 9 4" xfId="31420" xr:uid="{00000000-0005-0000-0000-0000B77A0000}"/>
    <cellStyle name="Input 6 2 2 2 9 5" xfId="31421" xr:uid="{00000000-0005-0000-0000-0000B87A0000}"/>
    <cellStyle name="Input 6 2 2 2 9 6" xfId="31422" xr:uid="{00000000-0005-0000-0000-0000B97A0000}"/>
    <cellStyle name="Input 6 2 2 3" xfId="31423" xr:uid="{00000000-0005-0000-0000-0000BA7A0000}"/>
    <cellStyle name="Input 6 2 2 3 2" xfId="31424" xr:uid="{00000000-0005-0000-0000-0000BB7A0000}"/>
    <cellStyle name="Input 6 2 2 3 2 2" xfId="31425" xr:uid="{00000000-0005-0000-0000-0000BC7A0000}"/>
    <cellStyle name="Input 6 2 2 3 2 2 2" xfId="31426" xr:uid="{00000000-0005-0000-0000-0000BD7A0000}"/>
    <cellStyle name="Input 6 2 2 3 2 2 3" xfId="31427" xr:uid="{00000000-0005-0000-0000-0000BE7A0000}"/>
    <cellStyle name="Input 6 2 2 3 2 2 4" xfId="31428" xr:uid="{00000000-0005-0000-0000-0000BF7A0000}"/>
    <cellStyle name="Input 6 2 2 3 2 2 5" xfId="31429" xr:uid="{00000000-0005-0000-0000-0000C07A0000}"/>
    <cellStyle name="Input 6 2 2 3 2 2 6" xfId="31430" xr:uid="{00000000-0005-0000-0000-0000C17A0000}"/>
    <cellStyle name="Input 6 2 2 3 2 3" xfId="31431" xr:uid="{00000000-0005-0000-0000-0000C27A0000}"/>
    <cellStyle name="Input 6 2 2 3 2 4" xfId="31432" xr:uid="{00000000-0005-0000-0000-0000C37A0000}"/>
    <cellStyle name="Input 6 2 2 3 2 5" xfId="31433" xr:uid="{00000000-0005-0000-0000-0000C47A0000}"/>
    <cellStyle name="Input 6 2 2 3 2 6" xfId="31434" xr:uid="{00000000-0005-0000-0000-0000C57A0000}"/>
    <cellStyle name="Input 6 2 2 3 3" xfId="31435" xr:uid="{00000000-0005-0000-0000-0000C67A0000}"/>
    <cellStyle name="Input 6 2 2 3 3 2" xfId="31436" xr:uid="{00000000-0005-0000-0000-0000C77A0000}"/>
    <cellStyle name="Input 6 2 2 3 3 2 2" xfId="31437" xr:uid="{00000000-0005-0000-0000-0000C87A0000}"/>
    <cellStyle name="Input 6 2 2 3 3 2 3" xfId="31438" xr:uid="{00000000-0005-0000-0000-0000C97A0000}"/>
    <cellStyle name="Input 6 2 2 3 3 2 4" xfId="31439" xr:uid="{00000000-0005-0000-0000-0000CA7A0000}"/>
    <cellStyle name="Input 6 2 2 3 3 2 5" xfId="31440" xr:uid="{00000000-0005-0000-0000-0000CB7A0000}"/>
    <cellStyle name="Input 6 2 2 3 3 2 6" xfId="31441" xr:uid="{00000000-0005-0000-0000-0000CC7A0000}"/>
    <cellStyle name="Input 6 2 2 3 3 3" xfId="31442" xr:uid="{00000000-0005-0000-0000-0000CD7A0000}"/>
    <cellStyle name="Input 6 2 2 3 3 4" xfId="31443" xr:uid="{00000000-0005-0000-0000-0000CE7A0000}"/>
    <cellStyle name="Input 6 2 2 3 3 5" xfId="31444" xr:uid="{00000000-0005-0000-0000-0000CF7A0000}"/>
    <cellStyle name="Input 6 2 2 3 3 6" xfId="31445" xr:uid="{00000000-0005-0000-0000-0000D07A0000}"/>
    <cellStyle name="Input 6 2 2 3 4" xfId="31446" xr:uid="{00000000-0005-0000-0000-0000D17A0000}"/>
    <cellStyle name="Input 6 2 2 3 4 2" xfId="31447" xr:uid="{00000000-0005-0000-0000-0000D27A0000}"/>
    <cellStyle name="Input 6 2 2 3 4 3" xfId="31448" xr:uid="{00000000-0005-0000-0000-0000D37A0000}"/>
    <cellStyle name="Input 6 2 2 3 4 4" xfId="31449" xr:uid="{00000000-0005-0000-0000-0000D47A0000}"/>
    <cellStyle name="Input 6 2 2 3 4 5" xfId="31450" xr:uid="{00000000-0005-0000-0000-0000D57A0000}"/>
    <cellStyle name="Input 6 2 2 3 4 6" xfId="31451" xr:uid="{00000000-0005-0000-0000-0000D67A0000}"/>
    <cellStyle name="Input 6 2 2 3 5" xfId="31452" xr:uid="{00000000-0005-0000-0000-0000D77A0000}"/>
    <cellStyle name="Input 6 2 2 3 6" xfId="31453" xr:uid="{00000000-0005-0000-0000-0000D87A0000}"/>
    <cellStyle name="Input 6 2 2 3 7" xfId="31454" xr:uid="{00000000-0005-0000-0000-0000D97A0000}"/>
    <cellStyle name="Input 6 2 2 3 8" xfId="31455" xr:uid="{00000000-0005-0000-0000-0000DA7A0000}"/>
    <cellStyle name="Input 6 2 2 4" xfId="31456" xr:uid="{00000000-0005-0000-0000-0000DB7A0000}"/>
    <cellStyle name="Input 6 2 2 4 2" xfId="31457" xr:uid="{00000000-0005-0000-0000-0000DC7A0000}"/>
    <cellStyle name="Input 6 2 2 4 2 2" xfId="31458" xr:uid="{00000000-0005-0000-0000-0000DD7A0000}"/>
    <cellStyle name="Input 6 2 2 4 2 2 2" xfId="31459" xr:uid="{00000000-0005-0000-0000-0000DE7A0000}"/>
    <cellStyle name="Input 6 2 2 4 2 2 3" xfId="31460" xr:uid="{00000000-0005-0000-0000-0000DF7A0000}"/>
    <cellStyle name="Input 6 2 2 4 2 2 4" xfId="31461" xr:uid="{00000000-0005-0000-0000-0000E07A0000}"/>
    <cellStyle name="Input 6 2 2 4 2 2 5" xfId="31462" xr:uid="{00000000-0005-0000-0000-0000E17A0000}"/>
    <cellStyle name="Input 6 2 2 4 2 2 6" xfId="31463" xr:uid="{00000000-0005-0000-0000-0000E27A0000}"/>
    <cellStyle name="Input 6 2 2 4 2 3" xfId="31464" xr:uid="{00000000-0005-0000-0000-0000E37A0000}"/>
    <cellStyle name="Input 6 2 2 4 2 4" xfId="31465" xr:uid="{00000000-0005-0000-0000-0000E47A0000}"/>
    <cellStyle name="Input 6 2 2 4 2 5" xfId="31466" xr:uid="{00000000-0005-0000-0000-0000E57A0000}"/>
    <cellStyle name="Input 6 2 2 4 2 6" xfId="31467" xr:uid="{00000000-0005-0000-0000-0000E67A0000}"/>
    <cellStyle name="Input 6 2 2 4 3" xfId="31468" xr:uid="{00000000-0005-0000-0000-0000E77A0000}"/>
    <cellStyle name="Input 6 2 2 4 3 2" xfId="31469" xr:uid="{00000000-0005-0000-0000-0000E87A0000}"/>
    <cellStyle name="Input 6 2 2 4 3 2 2" xfId="31470" xr:uid="{00000000-0005-0000-0000-0000E97A0000}"/>
    <cellStyle name="Input 6 2 2 4 3 2 3" xfId="31471" xr:uid="{00000000-0005-0000-0000-0000EA7A0000}"/>
    <cellStyle name="Input 6 2 2 4 3 2 4" xfId="31472" xr:uid="{00000000-0005-0000-0000-0000EB7A0000}"/>
    <cellStyle name="Input 6 2 2 4 3 2 5" xfId="31473" xr:uid="{00000000-0005-0000-0000-0000EC7A0000}"/>
    <cellStyle name="Input 6 2 2 4 3 2 6" xfId="31474" xr:uid="{00000000-0005-0000-0000-0000ED7A0000}"/>
    <cellStyle name="Input 6 2 2 4 3 3" xfId="31475" xr:uid="{00000000-0005-0000-0000-0000EE7A0000}"/>
    <cellStyle name="Input 6 2 2 4 3 4" xfId="31476" xr:uid="{00000000-0005-0000-0000-0000EF7A0000}"/>
    <cellStyle name="Input 6 2 2 4 3 5" xfId="31477" xr:uid="{00000000-0005-0000-0000-0000F07A0000}"/>
    <cellStyle name="Input 6 2 2 4 3 6" xfId="31478" xr:uid="{00000000-0005-0000-0000-0000F17A0000}"/>
    <cellStyle name="Input 6 2 2 4 4" xfId="31479" xr:uid="{00000000-0005-0000-0000-0000F27A0000}"/>
    <cellStyle name="Input 6 2 2 4 4 2" xfId="31480" xr:uid="{00000000-0005-0000-0000-0000F37A0000}"/>
    <cellStyle name="Input 6 2 2 4 4 3" xfId="31481" xr:uid="{00000000-0005-0000-0000-0000F47A0000}"/>
    <cellStyle name="Input 6 2 2 4 4 4" xfId="31482" xr:uid="{00000000-0005-0000-0000-0000F57A0000}"/>
    <cellStyle name="Input 6 2 2 4 4 5" xfId="31483" xr:uid="{00000000-0005-0000-0000-0000F67A0000}"/>
    <cellStyle name="Input 6 2 2 4 4 6" xfId="31484" xr:uid="{00000000-0005-0000-0000-0000F77A0000}"/>
    <cellStyle name="Input 6 2 2 4 5" xfId="31485" xr:uid="{00000000-0005-0000-0000-0000F87A0000}"/>
    <cellStyle name="Input 6 2 2 4 6" xfId="31486" xr:uid="{00000000-0005-0000-0000-0000F97A0000}"/>
    <cellStyle name="Input 6 2 2 4 7" xfId="31487" xr:uid="{00000000-0005-0000-0000-0000FA7A0000}"/>
    <cellStyle name="Input 6 2 2 4 8" xfId="31488" xr:uid="{00000000-0005-0000-0000-0000FB7A0000}"/>
    <cellStyle name="Input 6 2 2 5" xfId="31489" xr:uid="{00000000-0005-0000-0000-0000FC7A0000}"/>
    <cellStyle name="Input 6 2 2 5 2" xfId="31490" xr:uid="{00000000-0005-0000-0000-0000FD7A0000}"/>
    <cellStyle name="Input 6 2 2 5 2 2" xfId="31491" xr:uid="{00000000-0005-0000-0000-0000FE7A0000}"/>
    <cellStyle name="Input 6 2 2 5 2 2 2" xfId="31492" xr:uid="{00000000-0005-0000-0000-0000FF7A0000}"/>
    <cellStyle name="Input 6 2 2 5 2 2 3" xfId="31493" xr:uid="{00000000-0005-0000-0000-0000007B0000}"/>
    <cellStyle name="Input 6 2 2 5 2 2 4" xfId="31494" xr:uid="{00000000-0005-0000-0000-0000017B0000}"/>
    <cellStyle name="Input 6 2 2 5 2 2 5" xfId="31495" xr:uid="{00000000-0005-0000-0000-0000027B0000}"/>
    <cellStyle name="Input 6 2 2 5 2 2 6" xfId="31496" xr:uid="{00000000-0005-0000-0000-0000037B0000}"/>
    <cellStyle name="Input 6 2 2 5 2 3" xfId="31497" xr:uid="{00000000-0005-0000-0000-0000047B0000}"/>
    <cellStyle name="Input 6 2 2 5 2 4" xfId="31498" xr:uid="{00000000-0005-0000-0000-0000057B0000}"/>
    <cellStyle name="Input 6 2 2 5 2 5" xfId="31499" xr:uid="{00000000-0005-0000-0000-0000067B0000}"/>
    <cellStyle name="Input 6 2 2 5 2 6" xfId="31500" xr:uid="{00000000-0005-0000-0000-0000077B0000}"/>
    <cellStyle name="Input 6 2 2 5 3" xfId="31501" xr:uid="{00000000-0005-0000-0000-0000087B0000}"/>
    <cellStyle name="Input 6 2 2 5 3 2" xfId="31502" xr:uid="{00000000-0005-0000-0000-0000097B0000}"/>
    <cellStyle name="Input 6 2 2 5 3 2 2" xfId="31503" xr:uid="{00000000-0005-0000-0000-00000A7B0000}"/>
    <cellStyle name="Input 6 2 2 5 3 2 3" xfId="31504" xr:uid="{00000000-0005-0000-0000-00000B7B0000}"/>
    <cellStyle name="Input 6 2 2 5 3 2 4" xfId="31505" xr:uid="{00000000-0005-0000-0000-00000C7B0000}"/>
    <cellStyle name="Input 6 2 2 5 3 2 5" xfId="31506" xr:uid="{00000000-0005-0000-0000-00000D7B0000}"/>
    <cellStyle name="Input 6 2 2 5 3 2 6" xfId="31507" xr:uid="{00000000-0005-0000-0000-00000E7B0000}"/>
    <cellStyle name="Input 6 2 2 5 3 3" xfId="31508" xr:uid="{00000000-0005-0000-0000-00000F7B0000}"/>
    <cellStyle name="Input 6 2 2 5 3 4" xfId="31509" xr:uid="{00000000-0005-0000-0000-0000107B0000}"/>
    <cellStyle name="Input 6 2 2 5 3 5" xfId="31510" xr:uid="{00000000-0005-0000-0000-0000117B0000}"/>
    <cellStyle name="Input 6 2 2 5 3 6" xfId="31511" xr:uid="{00000000-0005-0000-0000-0000127B0000}"/>
    <cellStyle name="Input 6 2 2 5 4" xfId="31512" xr:uid="{00000000-0005-0000-0000-0000137B0000}"/>
    <cellStyle name="Input 6 2 2 5 4 2" xfId="31513" xr:uid="{00000000-0005-0000-0000-0000147B0000}"/>
    <cellStyle name="Input 6 2 2 5 4 3" xfId="31514" xr:uid="{00000000-0005-0000-0000-0000157B0000}"/>
    <cellStyle name="Input 6 2 2 5 4 4" xfId="31515" xr:uid="{00000000-0005-0000-0000-0000167B0000}"/>
    <cellStyle name="Input 6 2 2 5 4 5" xfId="31516" xr:uid="{00000000-0005-0000-0000-0000177B0000}"/>
    <cellStyle name="Input 6 2 2 5 4 6" xfId="31517" xr:uid="{00000000-0005-0000-0000-0000187B0000}"/>
    <cellStyle name="Input 6 2 2 5 5" xfId="31518" xr:uid="{00000000-0005-0000-0000-0000197B0000}"/>
    <cellStyle name="Input 6 2 2 5 6" xfId="31519" xr:uid="{00000000-0005-0000-0000-00001A7B0000}"/>
    <cellStyle name="Input 6 2 2 5 7" xfId="31520" xr:uid="{00000000-0005-0000-0000-00001B7B0000}"/>
    <cellStyle name="Input 6 2 2 5 8" xfId="31521" xr:uid="{00000000-0005-0000-0000-00001C7B0000}"/>
    <cellStyle name="Input 6 2 2 6" xfId="31522" xr:uid="{00000000-0005-0000-0000-00001D7B0000}"/>
    <cellStyle name="Input 6 2 2 6 2" xfId="31523" xr:uid="{00000000-0005-0000-0000-00001E7B0000}"/>
    <cellStyle name="Input 6 2 2 6 2 2" xfId="31524" xr:uid="{00000000-0005-0000-0000-00001F7B0000}"/>
    <cellStyle name="Input 6 2 2 6 2 2 2" xfId="31525" xr:uid="{00000000-0005-0000-0000-0000207B0000}"/>
    <cellStyle name="Input 6 2 2 6 2 2 3" xfId="31526" xr:uid="{00000000-0005-0000-0000-0000217B0000}"/>
    <cellStyle name="Input 6 2 2 6 2 2 4" xfId="31527" xr:uid="{00000000-0005-0000-0000-0000227B0000}"/>
    <cellStyle name="Input 6 2 2 6 2 2 5" xfId="31528" xr:uid="{00000000-0005-0000-0000-0000237B0000}"/>
    <cellStyle name="Input 6 2 2 6 2 2 6" xfId="31529" xr:uid="{00000000-0005-0000-0000-0000247B0000}"/>
    <cellStyle name="Input 6 2 2 6 2 3" xfId="31530" xr:uid="{00000000-0005-0000-0000-0000257B0000}"/>
    <cellStyle name="Input 6 2 2 6 2 4" xfId="31531" xr:uid="{00000000-0005-0000-0000-0000267B0000}"/>
    <cellStyle name="Input 6 2 2 6 2 5" xfId="31532" xr:uid="{00000000-0005-0000-0000-0000277B0000}"/>
    <cellStyle name="Input 6 2 2 6 2 6" xfId="31533" xr:uid="{00000000-0005-0000-0000-0000287B0000}"/>
    <cellStyle name="Input 6 2 2 6 3" xfId="31534" xr:uid="{00000000-0005-0000-0000-0000297B0000}"/>
    <cellStyle name="Input 6 2 2 6 3 2" xfId="31535" xr:uid="{00000000-0005-0000-0000-00002A7B0000}"/>
    <cellStyle name="Input 6 2 2 6 3 2 2" xfId="31536" xr:uid="{00000000-0005-0000-0000-00002B7B0000}"/>
    <cellStyle name="Input 6 2 2 6 3 2 3" xfId="31537" xr:uid="{00000000-0005-0000-0000-00002C7B0000}"/>
    <cellStyle name="Input 6 2 2 6 3 2 4" xfId="31538" xr:uid="{00000000-0005-0000-0000-00002D7B0000}"/>
    <cellStyle name="Input 6 2 2 6 3 2 5" xfId="31539" xr:uid="{00000000-0005-0000-0000-00002E7B0000}"/>
    <cellStyle name="Input 6 2 2 6 3 2 6" xfId="31540" xr:uid="{00000000-0005-0000-0000-00002F7B0000}"/>
    <cellStyle name="Input 6 2 2 6 3 3" xfId="31541" xr:uid="{00000000-0005-0000-0000-0000307B0000}"/>
    <cellStyle name="Input 6 2 2 6 3 4" xfId="31542" xr:uid="{00000000-0005-0000-0000-0000317B0000}"/>
    <cellStyle name="Input 6 2 2 6 3 5" xfId="31543" xr:uid="{00000000-0005-0000-0000-0000327B0000}"/>
    <cellStyle name="Input 6 2 2 6 3 6" xfId="31544" xr:uid="{00000000-0005-0000-0000-0000337B0000}"/>
    <cellStyle name="Input 6 2 2 6 4" xfId="31545" xr:uid="{00000000-0005-0000-0000-0000347B0000}"/>
    <cellStyle name="Input 6 2 2 6 4 2" xfId="31546" xr:uid="{00000000-0005-0000-0000-0000357B0000}"/>
    <cellStyle name="Input 6 2 2 6 4 3" xfId="31547" xr:uid="{00000000-0005-0000-0000-0000367B0000}"/>
    <cellStyle name="Input 6 2 2 6 4 4" xfId="31548" xr:uid="{00000000-0005-0000-0000-0000377B0000}"/>
    <cellStyle name="Input 6 2 2 6 4 5" xfId="31549" xr:uid="{00000000-0005-0000-0000-0000387B0000}"/>
    <cellStyle name="Input 6 2 2 6 4 6" xfId="31550" xr:uid="{00000000-0005-0000-0000-0000397B0000}"/>
    <cellStyle name="Input 6 2 2 6 5" xfId="31551" xr:uid="{00000000-0005-0000-0000-00003A7B0000}"/>
    <cellStyle name="Input 6 2 2 6 6" xfId="31552" xr:uid="{00000000-0005-0000-0000-00003B7B0000}"/>
    <cellStyle name="Input 6 2 2 6 7" xfId="31553" xr:uid="{00000000-0005-0000-0000-00003C7B0000}"/>
    <cellStyle name="Input 6 2 2 6 8" xfId="31554" xr:uid="{00000000-0005-0000-0000-00003D7B0000}"/>
    <cellStyle name="Input 6 2 2 7" xfId="31555" xr:uid="{00000000-0005-0000-0000-00003E7B0000}"/>
    <cellStyle name="Input 6 2 2 7 2" xfId="31556" xr:uid="{00000000-0005-0000-0000-00003F7B0000}"/>
    <cellStyle name="Input 6 2 2 7 2 2" xfId="31557" xr:uid="{00000000-0005-0000-0000-0000407B0000}"/>
    <cellStyle name="Input 6 2 2 7 2 2 2" xfId="31558" xr:uid="{00000000-0005-0000-0000-0000417B0000}"/>
    <cellStyle name="Input 6 2 2 7 2 2 3" xfId="31559" xr:uid="{00000000-0005-0000-0000-0000427B0000}"/>
    <cellStyle name="Input 6 2 2 7 2 2 4" xfId="31560" xr:uid="{00000000-0005-0000-0000-0000437B0000}"/>
    <cellStyle name="Input 6 2 2 7 2 2 5" xfId="31561" xr:uid="{00000000-0005-0000-0000-0000447B0000}"/>
    <cellStyle name="Input 6 2 2 7 2 2 6" xfId="31562" xr:uid="{00000000-0005-0000-0000-0000457B0000}"/>
    <cellStyle name="Input 6 2 2 7 2 3" xfId="31563" xr:uid="{00000000-0005-0000-0000-0000467B0000}"/>
    <cellStyle name="Input 6 2 2 7 2 4" xfId="31564" xr:uid="{00000000-0005-0000-0000-0000477B0000}"/>
    <cellStyle name="Input 6 2 2 7 2 5" xfId="31565" xr:uid="{00000000-0005-0000-0000-0000487B0000}"/>
    <cellStyle name="Input 6 2 2 7 2 6" xfId="31566" xr:uid="{00000000-0005-0000-0000-0000497B0000}"/>
    <cellStyle name="Input 6 2 2 7 3" xfId="31567" xr:uid="{00000000-0005-0000-0000-00004A7B0000}"/>
    <cellStyle name="Input 6 2 2 7 3 2" xfId="31568" xr:uid="{00000000-0005-0000-0000-00004B7B0000}"/>
    <cellStyle name="Input 6 2 2 7 3 2 2" xfId="31569" xr:uid="{00000000-0005-0000-0000-00004C7B0000}"/>
    <cellStyle name="Input 6 2 2 7 3 2 3" xfId="31570" xr:uid="{00000000-0005-0000-0000-00004D7B0000}"/>
    <cellStyle name="Input 6 2 2 7 3 2 4" xfId="31571" xr:uid="{00000000-0005-0000-0000-00004E7B0000}"/>
    <cellStyle name="Input 6 2 2 7 3 2 5" xfId="31572" xr:uid="{00000000-0005-0000-0000-00004F7B0000}"/>
    <cellStyle name="Input 6 2 2 7 3 2 6" xfId="31573" xr:uid="{00000000-0005-0000-0000-0000507B0000}"/>
    <cellStyle name="Input 6 2 2 7 3 3" xfId="31574" xr:uid="{00000000-0005-0000-0000-0000517B0000}"/>
    <cellStyle name="Input 6 2 2 7 3 4" xfId="31575" xr:uid="{00000000-0005-0000-0000-0000527B0000}"/>
    <cellStyle name="Input 6 2 2 7 3 5" xfId="31576" xr:uid="{00000000-0005-0000-0000-0000537B0000}"/>
    <cellStyle name="Input 6 2 2 7 3 6" xfId="31577" xr:uid="{00000000-0005-0000-0000-0000547B0000}"/>
    <cellStyle name="Input 6 2 2 7 4" xfId="31578" xr:uid="{00000000-0005-0000-0000-0000557B0000}"/>
    <cellStyle name="Input 6 2 2 7 4 2" xfId="31579" xr:uid="{00000000-0005-0000-0000-0000567B0000}"/>
    <cellStyle name="Input 6 2 2 7 4 3" xfId="31580" xr:uid="{00000000-0005-0000-0000-0000577B0000}"/>
    <cellStyle name="Input 6 2 2 7 4 4" xfId="31581" xr:uid="{00000000-0005-0000-0000-0000587B0000}"/>
    <cellStyle name="Input 6 2 2 7 4 5" xfId="31582" xr:uid="{00000000-0005-0000-0000-0000597B0000}"/>
    <cellStyle name="Input 6 2 2 7 4 6" xfId="31583" xr:uid="{00000000-0005-0000-0000-00005A7B0000}"/>
    <cellStyle name="Input 6 2 2 7 5" xfId="31584" xr:uid="{00000000-0005-0000-0000-00005B7B0000}"/>
    <cellStyle name="Input 6 2 2 7 6" xfId="31585" xr:uid="{00000000-0005-0000-0000-00005C7B0000}"/>
    <cellStyle name="Input 6 2 2 7 7" xfId="31586" xr:uid="{00000000-0005-0000-0000-00005D7B0000}"/>
    <cellStyle name="Input 6 2 2 7 8" xfId="31587" xr:uid="{00000000-0005-0000-0000-00005E7B0000}"/>
    <cellStyle name="Input 6 2 2 8" xfId="31588" xr:uid="{00000000-0005-0000-0000-00005F7B0000}"/>
    <cellStyle name="Input 6 2 2 8 2" xfId="31589" xr:uid="{00000000-0005-0000-0000-0000607B0000}"/>
    <cellStyle name="Input 6 2 2 8 2 2" xfId="31590" xr:uid="{00000000-0005-0000-0000-0000617B0000}"/>
    <cellStyle name="Input 6 2 2 8 2 3" xfId="31591" xr:uid="{00000000-0005-0000-0000-0000627B0000}"/>
    <cellStyle name="Input 6 2 2 8 2 4" xfId="31592" xr:uid="{00000000-0005-0000-0000-0000637B0000}"/>
    <cellStyle name="Input 6 2 2 8 2 5" xfId="31593" xr:uid="{00000000-0005-0000-0000-0000647B0000}"/>
    <cellStyle name="Input 6 2 2 8 2 6" xfId="31594" xr:uid="{00000000-0005-0000-0000-0000657B0000}"/>
    <cellStyle name="Input 6 2 2 8 3" xfId="31595" xr:uid="{00000000-0005-0000-0000-0000667B0000}"/>
    <cellStyle name="Input 6 2 2 8 4" xfId="31596" xr:uid="{00000000-0005-0000-0000-0000677B0000}"/>
    <cellStyle name="Input 6 2 2 8 5" xfId="31597" xr:uid="{00000000-0005-0000-0000-0000687B0000}"/>
    <cellStyle name="Input 6 2 2 8 6" xfId="31598" xr:uid="{00000000-0005-0000-0000-0000697B0000}"/>
    <cellStyle name="Input 6 2 2 9" xfId="31599" xr:uid="{00000000-0005-0000-0000-00006A7B0000}"/>
    <cellStyle name="Input 6 2 2 9 2" xfId="31600" xr:uid="{00000000-0005-0000-0000-00006B7B0000}"/>
    <cellStyle name="Input 6 2 2 9 2 2" xfId="31601" xr:uid="{00000000-0005-0000-0000-00006C7B0000}"/>
    <cellStyle name="Input 6 2 2 9 2 3" xfId="31602" xr:uid="{00000000-0005-0000-0000-00006D7B0000}"/>
    <cellStyle name="Input 6 2 2 9 2 4" xfId="31603" xr:uid="{00000000-0005-0000-0000-00006E7B0000}"/>
    <cellStyle name="Input 6 2 2 9 2 5" xfId="31604" xr:uid="{00000000-0005-0000-0000-00006F7B0000}"/>
    <cellStyle name="Input 6 2 2 9 2 6" xfId="31605" xr:uid="{00000000-0005-0000-0000-0000707B0000}"/>
    <cellStyle name="Input 6 2 2 9 3" xfId="31606" xr:uid="{00000000-0005-0000-0000-0000717B0000}"/>
    <cellStyle name="Input 6 2 2 9 4" xfId="31607" xr:uid="{00000000-0005-0000-0000-0000727B0000}"/>
    <cellStyle name="Input 6 2 2 9 5" xfId="31608" xr:uid="{00000000-0005-0000-0000-0000737B0000}"/>
    <cellStyle name="Input 6 2 2 9 6" xfId="31609" xr:uid="{00000000-0005-0000-0000-0000747B0000}"/>
    <cellStyle name="Input 6 2 3" xfId="31610" xr:uid="{00000000-0005-0000-0000-0000757B0000}"/>
    <cellStyle name="Input 6 2 3 10" xfId="31611" xr:uid="{00000000-0005-0000-0000-0000767B0000}"/>
    <cellStyle name="Input 6 2 3 11" xfId="31612" xr:uid="{00000000-0005-0000-0000-0000777B0000}"/>
    <cellStyle name="Input 6 2 3 12" xfId="31613" xr:uid="{00000000-0005-0000-0000-0000787B0000}"/>
    <cellStyle name="Input 6 2 3 13" xfId="31614" xr:uid="{00000000-0005-0000-0000-0000797B0000}"/>
    <cellStyle name="Input 6 2 3 2" xfId="31615" xr:uid="{00000000-0005-0000-0000-00007A7B0000}"/>
    <cellStyle name="Input 6 2 3 2 2" xfId="31616" xr:uid="{00000000-0005-0000-0000-00007B7B0000}"/>
    <cellStyle name="Input 6 2 3 2 2 2" xfId="31617" xr:uid="{00000000-0005-0000-0000-00007C7B0000}"/>
    <cellStyle name="Input 6 2 3 2 2 2 2" xfId="31618" xr:uid="{00000000-0005-0000-0000-00007D7B0000}"/>
    <cellStyle name="Input 6 2 3 2 2 2 3" xfId="31619" xr:uid="{00000000-0005-0000-0000-00007E7B0000}"/>
    <cellStyle name="Input 6 2 3 2 2 2 4" xfId="31620" xr:uid="{00000000-0005-0000-0000-00007F7B0000}"/>
    <cellStyle name="Input 6 2 3 2 2 2 5" xfId="31621" xr:uid="{00000000-0005-0000-0000-0000807B0000}"/>
    <cellStyle name="Input 6 2 3 2 2 2 6" xfId="31622" xr:uid="{00000000-0005-0000-0000-0000817B0000}"/>
    <cellStyle name="Input 6 2 3 2 2 3" xfId="31623" xr:uid="{00000000-0005-0000-0000-0000827B0000}"/>
    <cellStyle name="Input 6 2 3 2 2 4" xfId="31624" xr:uid="{00000000-0005-0000-0000-0000837B0000}"/>
    <cellStyle name="Input 6 2 3 2 2 5" xfId="31625" xr:uid="{00000000-0005-0000-0000-0000847B0000}"/>
    <cellStyle name="Input 6 2 3 2 2 6" xfId="31626" xr:uid="{00000000-0005-0000-0000-0000857B0000}"/>
    <cellStyle name="Input 6 2 3 2 3" xfId="31627" xr:uid="{00000000-0005-0000-0000-0000867B0000}"/>
    <cellStyle name="Input 6 2 3 2 3 2" xfId="31628" xr:uid="{00000000-0005-0000-0000-0000877B0000}"/>
    <cellStyle name="Input 6 2 3 2 3 2 2" xfId="31629" xr:uid="{00000000-0005-0000-0000-0000887B0000}"/>
    <cellStyle name="Input 6 2 3 2 3 2 3" xfId="31630" xr:uid="{00000000-0005-0000-0000-0000897B0000}"/>
    <cellStyle name="Input 6 2 3 2 3 2 4" xfId="31631" xr:uid="{00000000-0005-0000-0000-00008A7B0000}"/>
    <cellStyle name="Input 6 2 3 2 3 2 5" xfId="31632" xr:uid="{00000000-0005-0000-0000-00008B7B0000}"/>
    <cellStyle name="Input 6 2 3 2 3 2 6" xfId="31633" xr:uid="{00000000-0005-0000-0000-00008C7B0000}"/>
    <cellStyle name="Input 6 2 3 2 3 3" xfId="31634" xr:uid="{00000000-0005-0000-0000-00008D7B0000}"/>
    <cellStyle name="Input 6 2 3 2 3 4" xfId="31635" xr:uid="{00000000-0005-0000-0000-00008E7B0000}"/>
    <cellStyle name="Input 6 2 3 2 3 5" xfId="31636" xr:uid="{00000000-0005-0000-0000-00008F7B0000}"/>
    <cellStyle name="Input 6 2 3 2 3 6" xfId="31637" xr:uid="{00000000-0005-0000-0000-0000907B0000}"/>
    <cellStyle name="Input 6 2 3 2 4" xfId="31638" xr:uid="{00000000-0005-0000-0000-0000917B0000}"/>
    <cellStyle name="Input 6 2 3 2 4 2" xfId="31639" xr:uid="{00000000-0005-0000-0000-0000927B0000}"/>
    <cellStyle name="Input 6 2 3 2 4 3" xfId="31640" xr:uid="{00000000-0005-0000-0000-0000937B0000}"/>
    <cellStyle name="Input 6 2 3 2 4 4" xfId="31641" xr:uid="{00000000-0005-0000-0000-0000947B0000}"/>
    <cellStyle name="Input 6 2 3 2 4 5" xfId="31642" xr:uid="{00000000-0005-0000-0000-0000957B0000}"/>
    <cellStyle name="Input 6 2 3 2 4 6" xfId="31643" xr:uid="{00000000-0005-0000-0000-0000967B0000}"/>
    <cellStyle name="Input 6 2 3 2 5" xfId="31644" xr:uid="{00000000-0005-0000-0000-0000977B0000}"/>
    <cellStyle name="Input 6 2 3 2 6" xfId="31645" xr:uid="{00000000-0005-0000-0000-0000987B0000}"/>
    <cellStyle name="Input 6 2 3 2 7" xfId="31646" xr:uid="{00000000-0005-0000-0000-0000997B0000}"/>
    <cellStyle name="Input 6 2 3 2 8" xfId="31647" xr:uid="{00000000-0005-0000-0000-00009A7B0000}"/>
    <cellStyle name="Input 6 2 3 3" xfId="31648" xr:uid="{00000000-0005-0000-0000-00009B7B0000}"/>
    <cellStyle name="Input 6 2 3 3 2" xfId="31649" xr:uid="{00000000-0005-0000-0000-00009C7B0000}"/>
    <cellStyle name="Input 6 2 3 3 2 2" xfId="31650" xr:uid="{00000000-0005-0000-0000-00009D7B0000}"/>
    <cellStyle name="Input 6 2 3 3 2 2 2" xfId="31651" xr:uid="{00000000-0005-0000-0000-00009E7B0000}"/>
    <cellStyle name="Input 6 2 3 3 2 2 3" xfId="31652" xr:uid="{00000000-0005-0000-0000-00009F7B0000}"/>
    <cellStyle name="Input 6 2 3 3 2 2 4" xfId="31653" xr:uid="{00000000-0005-0000-0000-0000A07B0000}"/>
    <cellStyle name="Input 6 2 3 3 2 2 5" xfId="31654" xr:uid="{00000000-0005-0000-0000-0000A17B0000}"/>
    <cellStyle name="Input 6 2 3 3 2 2 6" xfId="31655" xr:uid="{00000000-0005-0000-0000-0000A27B0000}"/>
    <cellStyle name="Input 6 2 3 3 2 3" xfId="31656" xr:uid="{00000000-0005-0000-0000-0000A37B0000}"/>
    <cellStyle name="Input 6 2 3 3 2 4" xfId="31657" xr:uid="{00000000-0005-0000-0000-0000A47B0000}"/>
    <cellStyle name="Input 6 2 3 3 2 5" xfId="31658" xr:uid="{00000000-0005-0000-0000-0000A57B0000}"/>
    <cellStyle name="Input 6 2 3 3 2 6" xfId="31659" xr:uid="{00000000-0005-0000-0000-0000A67B0000}"/>
    <cellStyle name="Input 6 2 3 3 3" xfId="31660" xr:uid="{00000000-0005-0000-0000-0000A77B0000}"/>
    <cellStyle name="Input 6 2 3 3 3 2" xfId="31661" xr:uid="{00000000-0005-0000-0000-0000A87B0000}"/>
    <cellStyle name="Input 6 2 3 3 3 2 2" xfId="31662" xr:uid="{00000000-0005-0000-0000-0000A97B0000}"/>
    <cellStyle name="Input 6 2 3 3 3 2 3" xfId="31663" xr:uid="{00000000-0005-0000-0000-0000AA7B0000}"/>
    <cellStyle name="Input 6 2 3 3 3 2 4" xfId="31664" xr:uid="{00000000-0005-0000-0000-0000AB7B0000}"/>
    <cellStyle name="Input 6 2 3 3 3 2 5" xfId="31665" xr:uid="{00000000-0005-0000-0000-0000AC7B0000}"/>
    <cellStyle name="Input 6 2 3 3 3 2 6" xfId="31666" xr:uid="{00000000-0005-0000-0000-0000AD7B0000}"/>
    <cellStyle name="Input 6 2 3 3 3 3" xfId="31667" xr:uid="{00000000-0005-0000-0000-0000AE7B0000}"/>
    <cellStyle name="Input 6 2 3 3 3 4" xfId="31668" xr:uid="{00000000-0005-0000-0000-0000AF7B0000}"/>
    <cellStyle name="Input 6 2 3 3 3 5" xfId="31669" xr:uid="{00000000-0005-0000-0000-0000B07B0000}"/>
    <cellStyle name="Input 6 2 3 3 3 6" xfId="31670" xr:uid="{00000000-0005-0000-0000-0000B17B0000}"/>
    <cellStyle name="Input 6 2 3 3 4" xfId="31671" xr:uid="{00000000-0005-0000-0000-0000B27B0000}"/>
    <cellStyle name="Input 6 2 3 3 4 2" xfId="31672" xr:uid="{00000000-0005-0000-0000-0000B37B0000}"/>
    <cellStyle name="Input 6 2 3 3 4 3" xfId="31673" xr:uid="{00000000-0005-0000-0000-0000B47B0000}"/>
    <cellStyle name="Input 6 2 3 3 4 4" xfId="31674" xr:uid="{00000000-0005-0000-0000-0000B57B0000}"/>
    <cellStyle name="Input 6 2 3 3 4 5" xfId="31675" xr:uid="{00000000-0005-0000-0000-0000B67B0000}"/>
    <cellStyle name="Input 6 2 3 3 4 6" xfId="31676" xr:uid="{00000000-0005-0000-0000-0000B77B0000}"/>
    <cellStyle name="Input 6 2 3 3 5" xfId="31677" xr:uid="{00000000-0005-0000-0000-0000B87B0000}"/>
    <cellStyle name="Input 6 2 3 3 6" xfId="31678" xr:uid="{00000000-0005-0000-0000-0000B97B0000}"/>
    <cellStyle name="Input 6 2 3 3 7" xfId="31679" xr:uid="{00000000-0005-0000-0000-0000BA7B0000}"/>
    <cellStyle name="Input 6 2 3 3 8" xfId="31680" xr:uid="{00000000-0005-0000-0000-0000BB7B0000}"/>
    <cellStyle name="Input 6 2 3 4" xfId="31681" xr:uid="{00000000-0005-0000-0000-0000BC7B0000}"/>
    <cellStyle name="Input 6 2 3 4 2" xfId="31682" xr:uid="{00000000-0005-0000-0000-0000BD7B0000}"/>
    <cellStyle name="Input 6 2 3 4 2 2" xfId="31683" xr:uid="{00000000-0005-0000-0000-0000BE7B0000}"/>
    <cellStyle name="Input 6 2 3 4 2 2 2" xfId="31684" xr:uid="{00000000-0005-0000-0000-0000BF7B0000}"/>
    <cellStyle name="Input 6 2 3 4 2 2 3" xfId="31685" xr:uid="{00000000-0005-0000-0000-0000C07B0000}"/>
    <cellStyle name="Input 6 2 3 4 2 2 4" xfId="31686" xr:uid="{00000000-0005-0000-0000-0000C17B0000}"/>
    <cellStyle name="Input 6 2 3 4 2 2 5" xfId="31687" xr:uid="{00000000-0005-0000-0000-0000C27B0000}"/>
    <cellStyle name="Input 6 2 3 4 2 2 6" xfId="31688" xr:uid="{00000000-0005-0000-0000-0000C37B0000}"/>
    <cellStyle name="Input 6 2 3 4 2 3" xfId="31689" xr:uid="{00000000-0005-0000-0000-0000C47B0000}"/>
    <cellStyle name="Input 6 2 3 4 2 4" xfId="31690" xr:uid="{00000000-0005-0000-0000-0000C57B0000}"/>
    <cellStyle name="Input 6 2 3 4 2 5" xfId="31691" xr:uid="{00000000-0005-0000-0000-0000C67B0000}"/>
    <cellStyle name="Input 6 2 3 4 2 6" xfId="31692" xr:uid="{00000000-0005-0000-0000-0000C77B0000}"/>
    <cellStyle name="Input 6 2 3 4 3" xfId="31693" xr:uid="{00000000-0005-0000-0000-0000C87B0000}"/>
    <cellStyle name="Input 6 2 3 4 3 2" xfId="31694" xr:uid="{00000000-0005-0000-0000-0000C97B0000}"/>
    <cellStyle name="Input 6 2 3 4 3 2 2" xfId="31695" xr:uid="{00000000-0005-0000-0000-0000CA7B0000}"/>
    <cellStyle name="Input 6 2 3 4 3 2 3" xfId="31696" xr:uid="{00000000-0005-0000-0000-0000CB7B0000}"/>
    <cellStyle name="Input 6 2 3 4 3 2 4" xfId="31697" xr:uid="{00000000-0005-0000-0000-0000CC7B0000}"/>
    <cellStyle name="Input 6 2 3 4 3 2 5" xfId="31698" xr:uid="{00000000-0005-0000-0000-0000CD7B0000}"/>
    <cellStyle name="Input 6 2 3 4 3 2 6" xfId="31699" xr:uid="{00000000-0005-0000-0000-0000CE7B0000}"/>
    <cellStyle name="Input 6 2 3 4 3 3" xfId="31700" xr:uid="{00000000-0005-0000-0000-0000CF7B0000}"/>
    <cellStyle name="Input 6 2 3 4 3 4" xfId="31701" xr:uid="{00000000-0005-0000-0000-0000D07B0000}"/>
    <cellStyle name="Input 6 2 3 4 3 5" xfId="31702" xr:uid="{00000000-0005-0000-0000-0000D17B0000}"/>
    <cellStyle name="Input 6 2 3 4 3 6" xfId="31703" xr:uid="{00000000-0005-0000-0000-0000D27B0000}"/>
    <cellStyle name="Input 6 2 3 4 4" xfId="31704" xr:uid="{00000000-0005-0000-0000-0000D37B0000}"/>
    <cellStyle name="Input 6 2 3 4 4 2" xfId="31705" xr:uid="{00000000-0005-0000-0000-0000D47B0000}"/>
    <cellStyle name="Input 6 2 3 4 4 3" xfId="31706" xr:uid="{00000000-0005-0000-0000-0000D57B0000}"/>
    <cellStyle name="Input 6 2 3 4 4 4" xfId="31707" xr:uid="{00000000-0005-0000-0000-0000D67B0000}"/>
    <cellStyle name="Input 6 2 3 4 4 5" xfId="31708" xr:uid="{00000000-0005-0000-0000-0000D77B0000}"/>
    <cellStyle name="Input 6 2 3 4 4 6" xfId="31709" xr:uid="{00000000-0005-0000-0000-0000D87B0000}"/>
    <cellStyle name="Input 6 2 3 4 5" xfId="31710" xr:uid="{00000000-0005-0000-0000-0000D97B0000}"/>
    <cellStyle name="Input 6 2 3 4 6" xfId="31711" xr:uid="{00000000-0005-0000-0000-0000DA7B0000}"/>
    <cellStyle name="Input 6 2 3 4 7" xfId="31712" xr:uid="{00000000-0005-0000-0000-0000DB7B0000}"/>
    <cellStyle name="Input 6 2 3 4 8" xfId="31713" xr:uid="{00000000-0005-0000-0000-0000DC7B0000}"/>
    <cellStyle name="Input 6 2 3 5" xfId="31714" xr:uid="{00000000-0005-0000-0000-0000DD7B0000}"/>
    <cellStyle name="Input 6 2 3 5 2" xfId="31715" xr:uid="{00000000-0005-0000-0000-0000DE7B0000}"/>
    <cellStyle name="Input 6 2 3 5 2 2" xfId="31716" xr:uid="{00000000-0005-0000-0000-0000DF7B0000}"/>
    <cellStyle name="Input 6 2 3 5 2 2 2" xfId="31717" xr:uid="{00000000-0005-0000-0000-0000E07B0000}"/>
    <cellStyle name="Input 6 2 3 5 2 2 3" xfId="31718" xr:uid="{00000000-0005-0000-0000-0000E17B0000}"/>
    <cellStyle name="Input 6 2 3 5 2 2 4" xfId="31719" xr:uid="{00000000-0005-0000-0000-0000E27B0000}"/>
    <cellStyle name="Input 6 2 3 5 2 2 5" xfId="31720" xr:uid="{00000000-0005-0000-0000-0000E37B0000}"/>
    <cellStyle name="Input 6 2 3 5 2 2 6" xfId="31721" xr:uid="{00000000-0005-0000-0000-0000E47B0000}"/>
    <cellStyle name="Input 6 2 3 5 2 3" xfId="31722" xr:uid="{00000000-0005-0000-0000-0000E57B0000}"/>
    <cellStyle name="Input 6 2 3 5 2 4" xfId="31723" xr:uid="{00000000-0005-0000-0000-0000E67B0000}"/>
    <cellStyle name="Input 6 2 3 5 2 5" xfId="31724" xr:uid="{00000000-0005-0000-0000-0000E77B0000}"/>
    <cellStyle name="Input 6 2 3 5 2 6" xfId="31725" xr:uid="{00000000-0005-0000-0000-0000E87B0000}"/>
    <cellStyle name="Input 6 2 3 5 3" xfId="31726" xr:uid="{00000000-0005-0000-0000-0000E97B0000}"/>
    <cellStyle name="Input 6 2 3 5 3 2" xfId="31727" xr:uid="{00000000-0005-0000-0000-0000EA7B0000}"/>
    <cellStyle name="Input 6 2 3 5 3 2 2" xfId="31728" xr:uid="{00000000-0005-0000-0000-0000EB7B0000}"/>
    <cellStyle name="Input 6 2 3 5 3 2 3" xfId="31729" xr:uid="{00000000-0005-0000-0000-0000EC7B0000}"/>
    <cellStyle name="Input 6 2 3 5 3 2 4" xfId="31730" xr:uid="{00000000-0005-0000-0000-0000ED7B0000}"/>
    <cellStyle name="Input 6 2 3 5 3 2 5" xfId="31731" xr:uid="{00000000-0005-0000-0000-0000EE7B0000}"/>
    <cellStyle name="Input 6 2 3 5 3 2 6" xfId="31732" xr:uid="{00000000-0005-0000-0000-0000EF7B0000}"/>
    <cellStyle name="Input 6 2 3 5 3 3" xfId="31733" xr:uid="{00000000-0005-0000-0000-0000F07B0000}"/>
    <cellStyle name="Input 6 2 3 5 3 4" xfId="31734" xr:uid="{00000000-0005-0000-0000-0000F17B0000}"/>
    <cellStyle name="Input 6 2 3 5 3 5" xfId="31735" xr:uid="{00000000-0005-0000-0000-0000F27B0000}"/>
    <cellStyle name="Input 6 2 3 5 3 6" xfId="31736" xr:uid="{00000000-0005-0000-0000-0000F37B0000}"/>
    <cellStyle name="Input 6 2 3 5 4" xfId="31737" xr:uid="{00000000-0005-0000-0000-0000F47B0000}"/>
    <cellStyle name="Input 6 2 3 5 4 2" xfId="31738" xr:uid="{00000000-0005-0000-0000-0000F57B0000}"/>
    <cellStyle name="Input 6 2 3 5 4 3" xfId="31739" xr:uid="{00000000-0005-0000-0000-0000F67B0000}"/>
    <cellStyle name="Input 6 2 3 5 4 4" xfId="31740" xr:uid="{00000000-0005-0000-0000-0000F77B0000}"/>
    <cellStyle name="Input 6 2 3 5 4 5" xfId="31741" xr:uid="{00000000-0005-0000-0000-0000F87B0000}"/>
    <cellStyle name="Input 6 2 3 5 4 6" xfId="31742" xr:uid="{00000000-0005-0000-0000-0000F97B0000}"/>
    <cellStyle name="Input 6 2 3 5 5" xfId="31743" xr:uid="{00000000-0005-0000-0000-0000FA7B0000}"/>
    <cellStyle name="Input 6 2 3 5 6" xfId="31744" xr:uid="{00000000-0005-0000-0000-0000FB7B0000}"/>
    <cellStyle name="Input 6 2 3 5 7" xfId="31745" xr:uid="{00000000-0005-0000-0000-0000FC7B0000}"/>
    <cellStyle name="Input 6 2 3 5 8" xfId="31746" xr:uid="{00000000-0005-0000-0000-0000FD7B0000}"/>
    <cellStyle name="Input 6 2 3 6" xfId="31747" xr:uid="{00000000-0005-0000-0000-0000FE7B0000}"/>
    <cellStyle name="Input 6 2 3 6 2" xfId="31748" xr:uid="{00000000-0005-0000-0000-0000FF7B0000}"/>
    <cellStyle name="Input 6 2 3 6 2 2" xfId="31749" xr:uid="{00000000-0005-0000-0000-0000007C0000}"/>
    <cellStyle name="Input 6 2 3 6 2 2 2" xfId="31750" xr:uid="{00000000-0005-0000-0000-0000017C0000}"/>
    <cellStyle name="Input 6 2 3 6 2 2 3" xfId="31751" xr:uid="{00000000-0005-0000-0000-0000027C0000}"/>
    <cellStyle name="Input 6 2 3 6 2 2 4" xfId="31752" xr:uid="{00000000-0005-0000-0000-0000037C0000}"/>
    <cellStyle name="Input 6 2 3 6 2 2 5" xfId="31753" xr:uid="{00000000-0005-0000-0000-0000047C0000}"/>
    <cellStyle name="Input 6 2 3 6 2 2 6" xfId="31754" xr:uid="{00000000-0005-0000-0000-0000057C0000}"/>
    <cellStyle name="Input 6 2 3 6 2 3" xfId="31755" xr:uid="{00000000-0005-0000-0000-0000067C0000}"/>
    <cellStyle name="Input 6 2 3 6 2 4" xfId="31756" xr:uid="{00000000-0005-0000-0000-0000077C0000}"/>
    <cellStyle name="Input 6 2 3 6 2 5" xfId="31757" xr:uid="{00000000-0005-0000-0000-0000087C0000}"/>
    <cellStyle name="Input 6 2 3 6 2 6" xfId="31758" xr:uid="{00000000-0005-0000-0000-0000097C0000}"/>
    <cellStyle name="Input 6 2 3 6 3" xfId="31759" xr:uid="{00000000-0005-0000-0000-00000A7C0000}"/>
    <cellStyle name="Input 6 2 3 6 3 2" xfId="31760" xr:uid="{00000000-0005-0000-0000-00000B7C0000}"/>
    <cellStyle name="Input 6 2 3 6 3 2 2" xfId="31761" xr:uid="{00000000-0005-0000-0000-00000C7C0000}"/>
    <cellStyle name="Input 6 2 3 6 3 2 3" xfId="31762" xr:uid="{00000000-0005-0000-0000-00000D7C0000}"/>
    <cellStyle name="Input 6 2 3 6 3 2 4" xfId="31763" xr:uid="{00000000-0005-0000-0000-00000E7C0000}"/>
    <cellStyle name="Input 6 2 3 6 3 2 5" xfId="31764" xr:uid="{00000000-0005-0000-0000-00000F7C0000}"/>
    <cellStyle name="Input 6 2 3 6 3 2 6" xfId="31765" xr:uid="{00000000-0005-0000-0000-0000107C0000}"/>
    <cellStyle name="Input 6 2 3 6 3 3" xfId="31766" xr:uid="{00000000-0005-0000-0000-0000117C0000}"/>
    <cellStyle name="Input 6 2 3 6 3 4" xfId="31767" xr:uid="{00000000-0005-0000-0000-0000127C0000}"/>
    <cellStyle name="Input 6 2 3 6 3 5" xfId="31768" xr:uid="{00000000-0005-0000-0000-0000137C0000}"/>
    <cellStyle name="Input 6 2 3 6 3 6" xfId="31769" xr:uid="{00000000-0005-0000-0000-0000147C0000}"/>
    <cellStyle name="Input 6 2 3 6 4" xfId="31770" xr:uid="{00000000-0005-0000-0000-0000157C0000}"/>
    <cellStyle name="Input 6 2 3 6 4 2" xfId="31771" xr:uid="{00000000-0005-0000-0000-0000167C0000}"/>
    <cellStyle name="Input 6 2 3 6 4 3" xfId="31772" xr:uid="{00000000-0005-0000-0000-0000177C0000}"/>
    <cellStyle name="Input 6 2 3 6 4 4" xfId="31773" xr:uid="{00000000-0005-0000-0000-0000187C0000}"/>
    <cellStyle name="Input 6 2 3 6 4 5" xfId="31774" xr:uid="{00000000-0005-0000-0000-0000197C0000}"/>
    <cellStyle name="Input 6 2 3 6 4 6" xfId="31775" xr:uid="{00000000-0005-0000-0000-00001A7C0000}"/>
    <cellStyle name="Input 6 2 3 6 5" xfId="31776" xr:uid="{00000000-0005-0000-0000-00001B7C0000}"/>
    <cellStyle name="Input 6 2 3 6 6" xfId="31777" xr:uid="{00000000-0005-0000-0000-00001C7C0000}"/>
    <cellStyle name="Input 6 2 3 6 7" xfId="31778" xr:uid="{00000000-0005-0000-0000-00001D7C0000}"/>
    <cellStyle name="Input 6 2 3 6 8" xfId="31779" xr:uid="{00000000-0005-0000-0000-00001E7C0000}"/>
    <cellStyle name="Input 6 2 3 7" xfId="31780" xr:uid="{00000000-0005-0000-0000-00001F7C0000}"/>
    <cellStyle name="Input 6 2 3 7 2" xfId="31781" xr:uid="{00000000-0005-0000-0000-0000207C0000}"/>
    <cellStyle name="Input 6 2 3 7 2 2" xfId="31782" xr:uid="{00000000-0005-0000-0000-0000217C0000}"/>
    <cellStyle name="Input 6 2 3 7 2 3" xfId="31783" xr:uid="{00000000-0005-0000-0000-0000227C0000}"/>
    <cellStyle name="Input 6 2 3 7 2 4" xfId="31784" xr:uid="{00000000-0005-0000-0000-0000237C0000}"/>
    <cellStyle name="Input 6 2 3 7 2 5" xfId="31785" xr:uid="{00000000-0005-0000-0000-0000247C0000}"/>
    <cellStyle name="Input 6 2 3 7 2 6" xfId="31786" xr:uid="{00000000-0005-0000-0000-0000257C0000}"/>
    <cellStyle name="Input 6 2 3 7 3" xfId="31787" xr:uid="{00000000-0005-0000-0000-0000267C0000}"/>
    <cellStyle name="Input 6 2 3 7 4" xfId="31788" xr:uid="{00000000-0005-0000-0000-0000277C0000}"/>
    <cellStyle name="Input 6 2 3 7 5" xfId="31789" xr:uid="{00000000-0005-0000-0000-0000287C0000}"/>
    <cellStyle name="Input 6 2 3 7 6" xfId="31790" xr:uid="{00000000-0005-0000-0000-0000297C0000}"/>
    <cellStyle name="Input 6 2 3 8" xfId="31791" xr:uid="{00000000-0005-0000-0000-00002A7C0000}"/>
    <cellStyle name="Input 6 2 3 8 2" xfId="31792" xr:uid="{00000000-0005-0000-0000-00002B7C0000}"/>
    <cellStyle name="Input 6 2 3 8 2 2" xfId="31793" xr:uid="{00000000-0005-0000-0000-00002C7C0000}"/>
    <cellStyle name="Input 6 2 3 8 2 3" xfId="31794" xr:uid="{00000000-0005-0000-0000-00002D7C0000}"/>
    <cellStyle name="Input 6 2 3 8 2 4" xfId="31795" xr:uid="{00000000-0005-0000-0000-00002E7C0000}"/>
    <cellStyle name="Input 6 2 3 8 2 5" xfId="31796" xr:uid="{00000000-0005-0000-0000-00002F7C0000}"/>
    <cellStyle name="Input 6 2 3 8 2 6" xfId="31797" xr:uid="{00000000-0005-0000-0000-0000307C0000}"/>
    <cellStyle name="Input 6 2 3 8 3" xfId="31798" xr:uid="{00000000-0005-0000-0000-0000317C0000}"/>
    <cellStyle name="Input 6 2 3 8 4" xfId="31799" xr:uid="{00000000-0005-0000-0000-0000327C0000}"/>
    <cellStyle name="Input 6 2 3 8 5" xfId="31800" xr:uid="{00000000-0005-0000-0000-0000337C0000}"/>
    <cellStyle name="Input 6 2 3 8 6" xfId="31801" xr:uid="{00000000-0005-0000-0000-0000347C0000}"/>
    <cellStyle name="Input 6 2 3 9" xfId="31802" xr:uid="{00000000-0005-0000-0000-0000357C0000}"/>
    <cellStyle name="Input 6 2 3 9 2" xfId="31803" xr:uid="{00000000-0005-0000-0000-0000367C0000}"/>
    <cellStyle name="Input 6 2 3 9 3" xfId="31804" xr:uid="{00000000-0005-0000-0000-0000377C0000}"/>
    <cellStyle name="Input 6 2 3 9 4" xfId="31805" xr:uid="{00000000-0005-0000-0000-0000387C0000}"/>
    <cellStyle name="Input 6 2 3 9 5" xfId="31806" xr:uid="{00000000-0005-0000-0000-0000397C0000}"/>
    <cellStyle name="Input 6 2 3 9 6" xfId="31807" xr:uid="{00000000-0005-0000-0000-00003A7C0000}"/>
    <cellStyle name="Input 6 2 4" xfId="31808" xr:uid="{00000000-0005-0000-0000-00003B7C0000}"/>
    <cellStyle name="Input 6 2 4 2" xfId="31809" xr:uid="{00000000-0005-0000-0000-00003C7C0000}"/>
    <cellStyle name="Input 6 2 4 2 2" xfId="31810" xr:uid="{00000000-0005-0000-0000-00003D7C0000}"/>
    <cellStyle name="Input 6 2 4 2 2 2" xfId="31811" xr:uid="{00000000-0005-0000-0000-00003E7C0000}"/>
    <cellStyle name="Input 6 2 4 2 2 3" xfId="31812" xr:uid="{00000000-0005-0000-0000-00003F7C0000}"/>
    <cellStyle name="Input 6 2 4 2 2 4" xfId="31813" xr:uid="{00000000-0005-0000-0000-0000407C0000}"/>
    <cellStyle name="Input 6 2 4 2 2 5" xfId="31814" xr:uid="{00000000-0005-0000-0000-0000417C0000}"/>
    <cellStyle name="Input 6 2 4 2 2 6" xfId="31815" xr:uid="{00000000-0005-0000-0000-0000427C0000}"/>
    <cellStyle name="Input 6 2 4 2 3" xfId="31816" xr:uid="{00000000-0005-0000-0000-0000437C0000}"/>
    <cellStyle name="Input 6 2 4 2 4" xfId="31817" xr:uid="{00000000-0005-0000-0000-0000447C0000}"/>
    <cellStyle name="Input 6 2 4 2 5" xfId="31818" xr:uid="{00000000-0005-0000-0000-0000457C0000}"/>
    <cellStyle name="Input 6 2 4 2 6" xfId="31819" xr:uid="{00000000-0005-0000-0000-0000467C0000}"/>
    <cellStyle name="Input 6 2 4 3" xfId="31820" xr:uid="{00000000-0005-0000-0000-0000477C0000}"/>
    <cellStyle name="Input 6 2 4 3 2" xfId="31821" xr:uid="{00000000-0005-0000-0000-0000487C0000}"/>
    <cellStyle name="Input 6 2 4 3 2 2" xfId="31822" xr:uid="{00000000-0005-0000-0000-0000497C0000}"/>
    <cellStyle name="Input 6 2 4 3 2 3" xfId="31823" xr:uid="{00000000-0005-0000-0000-00004A7C0000}"/>
    <cellStyle name="Input 6 2 4 3 2 4" xfId="31824" xr:uid="{00000000-0005-0000-0000-00004B7C0000}"/>
    <cellStyle name="Input 6 2 4 3 2 5" xfId="31825" xr:uid="{00000000-0005-0000-0000-00004C7C0000}"/>
    <cellStyle name="Input 6 2 4 3 2 6" xfId="31826" xr:uid="{00000000-0005-0000-0000-00004D7C0000}"/>
    <cellStyle name="Input 6 2 4 3 3" xfId="31827" xr:uid="{00000000-0005-0000-0000-00004E7C0000}"/>
    <cellStyle name="Input 6 2 4 3 4" xfId="31828" xr:uid="{00000000-0005-0000-0000-00004F7C0000}"/>
    <cellStyle name="Input 6 2 4 3 5" xfId="31829" xr:uid="{00000000-0005-0000-0000-0000507C0000}"/>
    <cellStyle name="Input 6 2 4 3 6" xfId="31830" xr:uid="{00000000-0005-0000-0000-0000517C0000}"/>
    <cellStyle name="Input 6 2 4 4" xfId="31831" xr:uid="{00000000-0005-0000-0000-0000527C0000}"/>
    <cellStyle name="Input 6 2 4 4 2" xfId="31832" xr:uid="{00000000-0005-0000-0000-0000537C0000}"/>
    <cellStyle name="Input 6 2 4 4 3" xfId="31833" xr:uid="{00000000-0005-0000-0000-0000547C0000}"/>
    <cellStyle name="Input 6 2 4 4 4" xfId="31834" xr:uid="{00000000-0005-0000-0000-0000557C0000}"/>
    <cellStyle name="Input 6 2 4 4 5" xfId="31835" xr:uid="{00000000-0005-0000-0000-0000567C0000}"/>
    <cellStyle name="Input 6 2 4 4 6" xfId="31836" xr:uid="{00000000-0005-0000-0000-0000577C0000}"/>
    <cellStyle name="Input 6 2 4 5" xfId="31837" xr:uid="{00000000-0005-0000-0000-0000587C0000}"/>
    <cellStyle name="Input 6 2 4 6" xfId="31838" xr:uid="{00000000-0005-0000-0000-0000597C0000}"/>
    <cellStyle name="Input 6 2 4 7" xfId="31839" xr:uid="{00000000-0005-0000-0000-00005A7C0000}"/>
    <cellStyle name="Input 6 2 4 8" xfId="31840" xr:uid="{00000000-0005-0000-0000-00005B7C0000}"/>
    <cellStyle name="Input 6 2 5" xfId="31841" xr:uid="{00000000-0005-0000-0000-00005C7C0000}"/>
    <cellStyle name="Input 6 2 5 2" xfId="31842" xr:uid="{00000000-0005-0000-0000-00005D7C0000}"/>
    <cellStyle name="Input 6 2 5 2 2" xfId="31843" xr:uid="{00000000-0005-0000-0000-00005E7C0000}"/>
    <cellStyle name="Input 6 2 5 2 2 2" xfId="31844" xr:uid="{00000000-0005-0000-0000-00005F7C0000}"/>
    <cellStyle name="Input 6 2 5 2 2 3" xfId="31845" xr:uid="{00000000-0005-0000-0000-0000607C0000}"/>
    <cellStyle name="Input 6 2 5 2 2 4" xfId="31846" xr:uid="{00000000-0005-0000-0000-0000617C0000}"/>
    <cellStyle name="Input 6 2 5 2 2 5" xfId="31847" xr:uid="{00000000-0005-0000-0000-0000627C0000}"/>
    <cellStyle name="Input 6 2 5 2 2 6" xfId="31848" xr:uid="{00000000-0005-0000-0000-0000637C0000}"/>
    <cellStyle name="Input 6 2 5 2 3" xfId="31849" xr:uid="{00000000-0005-0000-0000-0000647C0000}"/>
    <cellStyle name="Input 6 2 5 2 4" xfId="31850" xr:uid="{00000000-0005-0000-0000-0000657C0000}"/>
    <cellStyle name="Input 6 2 5 2 5" xfId="31851" xr:uid="{00000000-0005-0000-0000-0000667C0000}"/>
    <cellStyle name="Input 6 2 5 2 6" xfId="31852" xr:uid="{00000000-0005-0000-0000-0000677C0000}"/>
    <cellStyle name="Input 6 2 5 3" xfId="31853" xr:uid="{00000000-0005-0000-0000-0000687C0000}"/>
    <cellStyle name="Input 6 2 5 3 2" xfId="31854" xr:uid="{00000000-0005-0000-0000-0000697C0000}"/>
    <cellStyle name="Input 6 2 5 3 2 2" xfId="31855" xr:uid="{00000000-0005-0000-0000-00006A7C0000}"/>
    <cellStyle name="Input 6 2 5 3 2 3" xfId="31856" xr:uid="{00000000-0005-0000-0000-00006B7C0000}"/>
    <cellStyle name="Input 6 2 5 3 2 4" xfId="31857" xr:uid="{00000000-0005-0000-0000-00006C7C0000}"/>
    <cellStyle name="Input 6 2 5 3 2 5" xfId="31858" xr:uid="{00000000-0005-0000-0000-00006D7C0000}"/>
    <cellStyle name="Input 6 2 5 3 2 6" xfId="31859" xr:uid="{00000000-0005-0000-0000-00006E7C0000}"/>
    <cellStyle name="Input 6 2 5 3 3" xfId="31860" xr:uid="{00000000-0005-0000-0000-00006F7C0000}"/>
    <cellStyle name="Input 6 2 5 3 4" xfId="31861" xr:uid="{00000000-0005-0000-0000-0000707C0000}"/>
    <cellStyle name="Input 6 2 5 3 5" xfId="31862" xr:uid="{00000000-0005-0000-0000-0000717C0000}"/>
    <cellStyle name="Input 6 2 5 3 6" xfId="31863" xr:uid="{00000000-0005-0000-0000-0000727C0000}"/>
    <cellStyle name="Input 6 2 5 4" xfId="31864" xr:uid="{00000000-0005-0000-0000-0000737C0000}"/>
    <cellStyle name="Input 6 2 5 4 2" xfId="31865" xr:uid="{00000000-0005-0000-0000-0000747C0000}"/>
    <cellStyle name="Input 6 2 5 4 3" xfId="31866" xr:uid="{00000000-0005-0000-0000-0000757C0000}"/>
    <cellStyle name="Input 6 2 5 4 4" xfId="31867" xr:uid="{00000000-0005-0000-0000-0000767C0000}"/>
    <cellStyle name="Input 6 2 5 4 5" xfId="31868" xr:uid="{00000000-0005-0000-0000-0000777C0000}"/>
    <cellStyle name="Input 6 2 5 4 6" xfId="31869" xr:uid="{00000000-0005-0000-0000-0000787C0000}"/>
    <cellStyle name="Input 6 2 5 5" xfId="31870" xr:uid="{00000000-0005-0000-0000-0000797C0000}"/>
    <cellStyle name="Input 6 2 5 6" xfId="31871" xr:uid="{00000000-0005-0000-0000-00007A7C0000}"/>
    <cellStyle name="Input 6 2 5 7" xfId="31872" xr:uid="{00000000-0005-0000-0000-00007B7C0000}"/>
    <cellStyle name="Input 6 2 5 8" xfId="31873" xr:uid="{00000000-0005-0000-0000-00007C7C0000}"/>
    <cellStyle name="Input 6 2 6" xfId="31874" xr:uid="{00000000-0005-0000-0000-00007D7C0000}"/>
    <cellStyle name="Input 6 2 6 2" xfId="31875" xr:uid="{00000000-0005-0000-0000-00007E7C0000}"/>
    <cellStyle name="Input 6 2 6 2 2" xfId="31876" xr:uid="{00000000-0005-0000-0000-00007F7C0000}"/>
    <cellStyle name="Input 6 2 6 2 2 2" xfId="31877" xr:uid="{00000000-0005-0000-0000-0000807C0000}"/>
    <cellStyle name="Input 6 2 6 2 2 3" xfId="31878" xr:uid="{00000000-0005-0000-0000-0000817C0000}"/>
    <cellStyle name="Input 6 2 6 2 2 4" xfId="31879" xr:uid="{00000000-0005-0000-0000-0000827C0000}"/>
    <cellStyle name="Input 6 2 6 2 2 5" xfId="31880" xr:uid="{00000000-0005-0000-0000-0000837C0000}"/>
    <cellStyle name="Input 6 2 6 2 2 6" xfId="31881" xr:uid="{00000000-0005-0000-0000-0000847C0000}"/>
    <cellStyle name="Input 6 2 6 2 3" xfId="31882" xr:uid="{00000000-0005-0000-0000-0000857C0000}"/>
    <cellStyle name="Input 6 2 6 2 4" xfId="31883" xr:uid="{00000000-0005-0000-0000-0000867C0000}"/>
    <cellStyle name="Input 6 2 6 2 5" xfId="31884" xr:uid="{00000000-0005-0000-0000-0000877C0000}"/>
    <cellStyle name="Input 6 2 6 2 6" xfId="31885" xr:uid="{00000000-0005-0000-0000-0000887C0000}"/>
    <cellStyle name="Input 6 2 6 3" xfId="31886" xr:uid="{00000000-0005-0000-0000-0000897C0000}"/>
    <cellStyle name="Input 6 2 6 3 2" xfId="31887" xr:uid="{00000000-0005-0000-0000-00008A7C0000}"/>
    <cellStyle name="Input 6 2 6 3 2 2" xfId="31888" xr:uid="{00000000-0005-0000-0000-00008B7C0000}"/>
    <cellStyle name="Input 6 2 6 3 2 3" xfId="31889" xr:uid="{00000000-0005-0000-0000-00008C7C0000}"/>
    <cellStyle name="Input 6 2 6 3 2 4" xfId="31890" xr:uid="{00000000-0005-0000-0000-00008D7C0000}"/>
    <cellStyle name="Input 6 2 6 3 2 5" xfId="31891" xr:uid="{00000000-0005-0000-0000-00008E7C0000}"/>
    <cellStyle name="Input 6 2 6 3 2 6" xfId="31892" xr:uid="{00000000-0005-0000-0000-00008F7C0000}"/>
    <cellStyle name="Input 6 2 6 3 3" xfId="31893" xr:uid="{00000000-0005-0000-0000-0000907C0000}"/>
    <cellStyle name="Input 6 2 6 3 4" xfId="31894" xr:uid="{00000000-0005-0000-0000-0000917C0000}"/>
    <cellStyle name="Input 6 2 6 3 5" xfId="31895" xr:uid="{00000000-0005-0000-0000-0000927C0000}"/>
    <cellStyle name="Input 6 2 6 3 6" xfId="31896" xr:uid="{00000000-0005-0000-0000-0000937C0000}"/>
    <cellStyle name="Input 6 2 6 4" xfId="31897" xr:uid="{00000000-0005-0000-0000-0000947C0000}"/>
    <cellStyle name="Input 6 2 6 4 2" xfId="31898" xr:uid="{00000000-0005-0000-0000-0000957C0000}"/>
    <cellStyle name="Input 6 2 6 4 3" xfId="31899" xr:uid="{00000000-0005-0000-0000-0000967C0000}"/>
    <cellStyle name="Input 6 2 6 4 4" xfId="31900" xr:uid="{00000000-0005-0000-0000-0000977C0000}"/>
    <cellStyle name="Input 6 2 6 4 5" xfId="31901" xr:uid="{00000000-0005-0000-0000-0000987C0000}"/>
    <cellStyle name="Input 6 2 6 4 6" xfId="31902" xr:uid="{00000000-0005-0000-0000-0000997C0000}"/>
    <cellStyle name="Input 6 2 6 5" xfId="31903" xr:uid="{00000000-0005-0000-0000-00009A7C0000}"/>
    <cellStyle name="Input 6 2 6 6" xfId="31904" xr:uid="{00000000-0005-0000-0000-00009B7C0000}"/>
    <cellStyle name="Input 6 2 6 7" xfId="31905" xr:uid="{00000000-0005-0000-0000-00009C7C0000}"/>
    <cellStyle name="Input 6 2 6 8" xfId="31906" xr:uid="{00000000-0005-0000-0000-00009D7C0000}"/>
    <cellStyle name="Input 6 2 7" xfId="31907" xr:uid="{00000000-0005-0000-0000-00009E7C0000}"/>
    <cellStyle name="Input 6 2 7 2" xfId="31908" xr:uid="{00000000-0005-0000-0000-00009F7C0000}"/>
    <cellStyle name="Input 6 2 7 2 2" xfId="31909" xr:uid="{00000000-0005-0000-0000-0000A07C0000}"/>
    <cellStyle name="Input 6 2 7 2 3" xfId="31910" xr:uid="{00000000-0005-0000-0000-0000A17C0000}"/>
    <cellStyle name="Input 6 2 7 2 4" xfId="31911" xr:uid="{00000000-0005-0000-0000-0000A27C0000}"/>
    <cellStyle name="Input 6 2 7 2 5" xfId="31912" xr:uid="{00000000-0005-0000-0000-0000A37C0000}"/>
    <cellStyle name="Input 6 2 7 2 6" xfId="31913" xr:uid="{00000000-0005-0000-0000-0000A47C0000}"/>
    <cellStyle name="Input 6 2 7 3" xfId="31914" xr:uid="{00000000-0005-0000-0000-0000A57C0000}"/>
    <cellStyle name="Input 6 2 7 4" xfId="31915" xr:uid="{00000000-0005-0000-0000-0000A67C0000}"/>
    <cellStyle name="Input 6 2 7 5" xfId="31916" xr:uid="{00000000-0005-0000-0000-0000A77C0000}"/>
    <cellStyle name="Input 6 2 7 6" xfId="31917" xr:uid="{00000000-0005-0000-0000-0000A87C0000}"/>
    <cellStyle name="Input 6 2 8" xfId="31918" xr:uid="{00000000-0005-0000-0000-0000A97C0000}"/>
    <cellStyle name="Input 6 2 8 2" xfId="31919" xr:uid="{00000000-0005-0000-0000-0000AA7C0000}"/>
    <cellStyle name="Input 6 2 8 2 2" xfId="31920" xr:uid="{00000000-0005-0000-0000-0000AB7C0000}"/>
    <cellStyle name="Input 6 2 8 2 3" xfId="31921" xr:uid="{00000000-0005-0000-0000-0000AC7C0000}"/>
    <cellStyle name="Input 6 2 8 2 4" xfId="31922" xr:uid="{00000000-0005-0000-0000-0000AD7C0000}"/>
    <cellStyle name="Input 6 2 8 2 5" xfId="31923" xr:uid="{00000000-0005-0000-0000-0000AE7C0000}"/>
    <cellStyle name="Input 6 2 8 2 6" xfId="31924" xr:uid="{00000000-0005-0000-0000-0000AF7C0000}"/>
    <cellStyle name="Input 6 2 8 3" xfId="31925" xr:uid="{00000000-0005-0000-0000-0000B07C0000}"/>
    <cellStyle name="Input 6 2 8 4" xfId="31926" xr:uid="{00000000-0005-0000-0000-0000B17C0000}"/>
    <cellStyle name="Input 6 2 8 5" xfId="31927" xr:uid="{00000000-0005-0000-0000-0000B27C0000}"/>
    <cellStyle name="Input 6 2 8 6" xfId="31928" xr:uid="{00000000-0005-0000-0000-0000B37C0000}"/>
    <cellStyle name="Input 6 2 9" xfId="31929" xr:uid="{00000000-0005-0000-0000-0000B47C0000}"/>
    <cellStyle name="Input 6 2 9 2" xfId="31930" xr:uid="{00000000-0005-0000-0000-0000B57C0000}"/>
    <cellStyle name="Input 6 2 9 3" xfId="31931" xr:uid="{00000000-0005-0000-0000-0000B67C0000}"/>
    <cellStyle name="Input 6 2 9 4" xfId="31932" xr:uid="{00000000-0005-0000-0000-0000B77C0000}"/>
    <cellStyle name="Input 6 2 9 5" xfId="31933" xr:uid="{00000000-0005-0000-0000-0000B87C0000}"/>
    <cellStyle name="Input 6 2 9 6" xfId="31934" xr:uid="{00000000-0005-0000-0000-0000B97C0000}"/>
    <cellStyle name="Input 7" xfId="31935" xr:uid="{00000000-0005-0000-0000-0000BA7C0000}"/>
    <cellStyle name="Input 7 2" xfId="31936" xr:uid="{00000000-0005-0000-0000-0000BB7C0000}"/>
    <cellStyle name="Input 7 2 10" xfId="31937" xr:uid="{00000000-0005-0000-0000-0000BC7C0000}"/>
    <cellStyle name="Input 7 2 11" xfId="31938" xr:uid="{00000000-0005-0000-0000-0000BD7C0000}"/>
    <cellStyle name="Input 7 2 12" xfId="31939" xr:uid="{00000000-0005-0000-0000-0000BE7C0000}"/>
    <cellStyle name="Input 7 2 13" xfId="31940" xr:uid="{00000000-0005-0000-0000-0000BF7C0000}"/>
    <cellStyle name="Input 7 2 2" xfId="31941" xr:uid="{00000000-0005-0000-0000-0000C07C0000}"/>
    <cellStyle name="Input 7 2 2 10" xfId="31942" xr:uid="{00000000-0005-0000-0000-0000C17C0000}"/>
    <cellStyle name="Input 7 2 2 10 2" xfId="31943" xr:uid="{00000000-0005-0000-0000-0000C27C0000}"/>
    <cellStyle name="Input 7 2 2 10 3" xfId="31944" xr:uid="{00000000-0005-0000-0000-0000C37C0000}"/>
    <cellStyle name="Input 7 2 2 10 4" xfId="31945" xr:uid="{00000000-0005-0000-0000-0000C47C0000}"/>
    <cellStyle name="Input 7 2 2 10 5" xfId="31946" xr:uid="{00000000-0005-0000-0000-0000C57C0000}"/>
    <cellStyle name="Input 7 2 2 10 6" xfId="31947" xr:uid="{00000000-0005-0000-0000-0000C67C0000}"/>
    <cellStyle name="Input 7 2 2 11" xfId="31948" xr:uid="{00000000-0005-0000-0000-0000C77C0000}"/>
    <cellStyle name="Input 7 2 2 12" xfId="31949" xr:uid="{00000000-0005-0000-0000-0000C87C0000}"/>
    <cellStyle name="Input 7 2 2 13" xfId="31950" xr:uid="{00000000-0005-0000-0000-0000C97C0000}"/>
    <cellStyle name="Input 7 2 2 14" xfId="31951" xr:uid="{00000000-0005-0000-0000-0000CA7C0000}"/>
    <cellStyle name="Input 7 2 2 2" xfId="31952" xr:uid="{00000000-0005-0000-0000-0000CB7C0000}"/>
    <cellStyle name="Input 7 2 2 2 10" xfId="31953" xr:uid="{00000000-0005-0000-0000-0000CC7C0000}"/>
    <cellStyle name="Input 7 2 2 2 11" xfId="31954" xr:uid="{00000000-0005-0000-0000-0000CD7C0000}"/>
    <cellStyle name="Input 7 2 2 2 12" xfId="31955" xr:uid="{00000000-0005-0000-0000-0000CE7C0000}"/>
    <cellStyle name="Input 7 2 2 2 13" xfId="31956" xr:uid="{00000000-0005-0000-0000-0000CF7C0000}"/>
    <cellStyle name="Input 7 2 2 2 2" xfId="31957" xr:uid="{00000000-0005-0000-0000-0000D07C0000}"/>
    <cellStyle name="Input 7 2 2 2 2 2" xfId="31958" xr:uid="{00000000-0005-0000-0000-0000D17C0000}"/>
    <cellStyle name="Input 7 2 2 2 2 2 2" xfId="31959" xr:uid="{00000000-0005-0000-0000-0000D27C0000}"/>
    <cellStyle name="Input 7 2 2 2 2 2 2 2" xfId="31960" xr:uid="{00000000-0005-0000-0000-0000D37C0000}"/>
    <cellStyle name="Input 7 2 2 2 2 2 2 3" xfId="31961" xr:uid="{00000000-0005-0000-0000-0000D47C0000}"/>
    <cellStyle name="Input 7 2 2 2 2 2 2 4" xfId="31962" xr:uid="{00000000-0005-0000-0000-0000D57C0000}"/>
    <cellStyle name="Input 7 2 2 2 2 2 2 5" xfId="31963" xr:uid="{00000000-0005-0000-0000-0000D67C0000}"/>
    <cellStyle name="Input 7 2 2 2 2 2 2 6" xfId="31964" xr:uid="{00000000-0005-0000-0000-0000D77C0000}"/>
    <cellStyle name="Input 7 2 2 2 2 2 3" xfId="31965" xr:uid="{00000000-0005-0000-0000-0000D87C0000}"/>
    <cellStyle name="Input 7 2 2 2 2 2 4" xfId="31966" xr:uid="{00000000-0005-0000-0000-0000D97C0000}"/>
    <cellStyle name="Input 7 2 2 2 2 2 5" xfId="31967" xr:uid="{00000000-0005-0000-0000-0000DA7C0000}"/>
    <cellStyle name="Input 7 2 2 2 2 2 6" xfId="31968" xr:uid="{00000000-0005-0000-0000-0000DB7C0000}"/>
    <cellStyle name="Input 7 2 2 2 2 3" xfId="31969" xr:uid="{00000000-0005-0000-0000-0000DC7C0000}"/>
    <cellStyle name="Input 7 2 2 2 2 3 2" xfId="31970" xr:uid="{00000000-0005-0000-0000-0000DD7C0000}"/>
    <cellStyle name="Input 7 2 2 2 2 3 2 2" xfId="31971" xr:uid="{00000000-0005-0000-0000-0000DE7C0000}"/>
    <cellStyle name="Input 7 2 2 2 2 3 2 3" xfId="31972" xr:uid="{00000000-0005-0000-0000-0000DF7C0000}"/>
    <cellStyle name="Input 7 2 2 2 2 3 2 4" xfId="31973" xr:uid="{00000000-0005-0000-0000-0000E07C0000}"/>
    <cellStyle name="Input 7 2 2 2 2 3 2 5" xfId="31974" xr:uid="{00000000-0005-0000-0000-0000E17C0000}"/>
    <cellStyle name="Input 7 2 2 2 2 3 2 6" xfId="31975" xr:uid="{00000000-0005-0000-0000-0000E27C0000}"/>
    <cellStyle name="Input 7 2 2 2 2 3 3" xfId="31976" xr:uid="{00000000-0005-0000-0000-0000E37C0000}"/>
    <cellStyle name="Input 7 2 2 2 2 3 4" xfId="31977" xr:uid="{00000000-0005-0000-0000-0000E47C0000}"/>
    <cellStyle name="Input 7 2 2 2 2 3 5" xfId="31978" xr:uid="{00000000-0005-0000-0000-0000E57C0000}"/>
    <cellStyle name="Input 7 2 2 2 2 3 6" xfId="31979" xr:uid="{00000000-0005-0000-0000-0000E67C0000}"/>
    <cellStyle name="Input 7 2 2 2 2 4" xfId="31980" xr:uid="{00000000-0005-0000-0000-0000E77C0000}"/>
    <cellStyle name="Input 7 2 2 2 2 4 2" xfId="31981" xr:uid="{00000000-0005-0000-0000-0000E87C0000}"/>
    <cellStyle name="Input 7 2 2 2 2 4 3" xfId="31982" xr:uid="{00000000-0005-0000-0000-0000E97C0000}"/>
    <cellStyle name="Input 7 2 2 2 2 4 4" xfId="31983" xr:uid="{00000000-0005-0000-0000-0000EA7C0000}"/>
    <cellStyle name="Input 7 2 2 2 2 4 5" xfId="31984" xr:uid="{00000000-0005-0000-0000-0000EB7C0000}"/>
    <cellStyle name="Input 7 2 2 2 2 4 6" xfId="31985" xr:uid="{00000000-0005-0000-0000-0000EC7C0000}"/>
    <cellStyle name="Input 7 2 2 2 2 5" xfId="31986" xr:uid="{00000000-0005-0000-0000-0000ED7C0000}"/>
    <cellStyle name="Input 7 2 2 2 2 6" xfId="31987" xr:uid="{00000000-0005-0000-0000-0000EE7C0000}"/>
    <cellStyle name="Input 7 2 2 2 2 7" xfId="31988" xr:uid="{00000000-0005-0000-0000-0000EF7C0000}"/>
    <cellStyle name="Input 7 2 2 2 2 8" xfId="31989" xr:uid="{00000000-0005-0000-0000-0000F07C0000}"/>
    <cellStyle name="Input 7 2 2 2 3" xfId="31990" xr:uid="{00000000-0005-0000-0000-0000F17C0000}"/>
    <cellStyle name="Input 7 2 2 2 3 2" xfId="31991" xr:uid="{00000000-0005-0000-0000-0000F27C0000}"/>
    <cellStyle name="Input 7 2 2 2 3 2 2" xfId="31992" xr:uid="{00000000-0005-0000-0000-0000F37C0000}"/>
    <cellStyle name="Input 7 2 2 2 3 2 2 2" xfId="31993" xr:uid="{00000000-0005-0000-0000-0000F47C0000}"/>
    <cellStyle name="Input 7 2 2 2 3 2 2 3" xfId="31994" xr:uid="{00000000-0005-0000-0000-0000F57C0000}"/>
    <cellStyle name="Input 7 2 2 2 3 2 2 4" xfId="31995" xr:uid="{00000000-0005-0000-0000-0000F67C0000}"/>
    <cellStyle name="Input 7 2 2 2 3 2 2 5" xfId="31996" xr:uid="{00000000-0005-0000-0000-0000F77C0000}"/>
    <cellStyle name="Input 7 2 2 2 3 2 2 6" xfId="31997" xr:uid="{00000000-0005-0000-0000-0000F87C0000}"/>
    <cellStyle name="Input 7 2 2 2 3 2 3" xfId="31998" xr:uid="{00000000-0005-0000-0000-0000F97C0000}"/>
    <cellStyle name="Input 7 2 2 2 3 2 4" xfId="31999" xr:uid="{00000000-0005-0000-0000-0000FA7C0000}"/>
    <cellStyle name="Input 7 2 2 2 3 2 5" xfId="32000" xr:uid="{00000000-0005-0000-0000-0000FB7C0000}"/>
    <cellStyle name="Input 7 2 2 2 3 2 6" xfId="32001" xr:uid="{00000000-0005-0000-0000-0000FC7C0000}"/>
    <cellStyle name="Input 7 2 2 2 3 3" xfId="32002" xr:uid="{00000000-0005-0000-0000-0000FD7C0000}"/>
    <cellStyle name="Input 7 2 2 2 3 3 2" xfId="32003" xr:uid="{00000000-0005-0000-0000-0000FE7C0000}"/>
    <cellStyle name="Input 7 2 2 2 3 3 2 2" xfId="32004" xr:uid="{00000000-0005-0000-0000-0000FF7C0000}"/>
    <cellStyle name="Input 7 2 2 2 3 3 2 3" xfId="32005" xr:uid="{00000000-0005-0000-0000-0000007D0000}"/>
    <cellStyle name="Input 7 2 2 2 3 3 2 4" xfId="32006" xr:uid="{00000000-0005-0000-0000-0000017D0000}"/>
    <cellStyle name="Input 7 2 2 2 3 3 2 5" xfId="32007" xr:uid="{00000000-0005-0000-0000-0000027D0000}"/>
    <cellStyle name="Input 7 2 2 2 3 3 2 6" xfId="32008" xr:uid="{00000000-0005-0000-0000-0000037D0000}"/>
    <cellStyle name="Input 7 2 2 2 3 3 3" xfId="32009" xr:uid="{00000000-0005-0000-0000-0000047D0000}"/>
    <cellStyle name="Input 7 2 2 2 3 3 4" xfId="32010" xr:uid="{00000000-0005-0000-0000-0000057D0000}"/>
    <cellStyle name="Input 7 2 2 2 3 3 5" xfId="32011" xr:uid="{00000000-0005-0000-0000-0000067D0000}"/>
    <cellStyle name="Input 7 2 2 2 3 3 6" xfId="32012" xr:uid="{00000000-0005-0000-0000-0000077D0000}"/>
    <cellStyle name="Input 7 2 2 2 3 4" xfId="32013" xr:uid="{00000000-0005-0000-0000-0000087D0000}"/>
    <cellStyle name="Input 7 2 2 2 3 4 2" xfId="32014" xr:uid="{00000000-0005-0000-0000-0000097D0000}"/>
    <cellStyle name="Input 7 2 2 2 3 4 3" xfId="32015" xr:uid="{00000000-0005-0000-0000-00000A7D0000}"/>
    <cellStyle name="Input 7 2 2 2 3 4 4" xfId="32016" xr:uid="{00000000-0005-0000-0000-00000B7D0000}"/>
    <cellStyle name="Input 7 2 2 2 3 4 5" xfId="32017" xr:uid="{00000000-0005-0000-0000-00000C7D0000}"/>
    <cellStyle name="Input 7 2 2 2 3 4 6" xfId="32018" xr:uid="{00000000-0005-0000-0000-00000D7D0000}"/>
    <cellStyle name="Input 7 2 2 2 3 5" xfId="32019" xr:uid="{00000000-0005-0000-0000-00000E7D0000}"/>
    <cellStyle name="Input 7 2 2 2 3 6" xfId="32020" xr:uid="{00000000-0005-0000-0000-00000F7D0000}"/>
    <cellStyle name="Input 7 2 2 2 3 7" xfId="32021" xr:uid="{00000000-0005-0000-0000-0000107D0000}"/>
    <cellStyle name="Input 7 2 2 2 3 8" xfId="32022" xr:uid="{00000000-0005-0000-0000-0000117D0000}"/>
    <cellStyle name="Input 7 2 2 2 4" xfId="32023" xr:uid="{00000000-0005-0000-0000-0000127D0000}"/>
    <cellStyle name="Input 7 2 2 2 4 2" xfId="32024" xr:uid="{00000000-0005-0000-0000-0000137D0000}"/>
    <cellStyle name="Input 7 2 2 2 4 2 2" xfId="32025" xr:uid="{00000000-0005-0000-0000-0000147D0000}"/>
    <cellStyle name="Input 7 2 2 2 4 2 2 2" xfId="32026" xr:uid="{00000000-0005-0000-0000-0000157D0000}"/>
    <cellStyle name="Input 7 2 2 2 4 2 2 3" xfId="32027" xr:uid="{00000000-0005-0000-0000-0000167D0000}"/>
    <cellStyle name="Input 7 2 2 2 4 2 2 4" xfId="32028" xr:uid="{00000000-0005-0000-0000-0000177D0000}"/>
    <cellStyle name="Input 7 2 2 2 4 2 2 5" xfId="32029" xr:uid="{00000000-0005-0000-0000-0000187D0000}"/>
    <cellStyle name="Input 7 2 2 2 4 2 2 6" xfId="32030" xr:uid="{00000000-0005-0000-0000-0000197D0000}"/>
    <cellStyle name="Input 7 2 2 2 4 2 3" xfId="32031" xr:uid="{00000000-0005-0000-0000-00001A7D0000}"/>
    <cellStyle name="Input 7 2 2 2 4 2 4" xfId="32032" xr:uid="{00000000-0005-0000-0000-00001B7D0000}"/>
    <cellStyle name="Input 7 2 2 2 4 2 5" xfId="32033" xr:uid="{00000000-0005-0000-0000-00001C7D0000}"/>
    <cellStyle name="Input 7 2 2 2 4 2 6" xfId="32034" xr:uid="{00000000-0005-0000-0000-00001D7D0000}"/>
    <cellStyle name="Input 7 2 2 2 4 3" xfId="32035" xr:uid="{00000000-0005-0000-0000-00001E7D0000}"/>
    <cellStyle name="Input 7 2 2 2 4 3 2" xfId="32036" xr:uid="{00000000-0005-0000-0000-00001F7D0000}"/>
    <cellStyle name="Input 7 2 2 2 4 3 2 2" xfId="32037" xr:uid="{00000000-0005-0000-0000-0000207D0000}"/>
    <cellStyle name="Input 7 2 2 2 4 3 2 3" xfId="32038" xr:uid="{00000000-0005-0000-0000-0000217D0000}"/>
    <cellStyle name="Input 7 2 2 2 4 3 2 4" xfId="32039" xr:uid="{00000000-0005-0000-0000-0000227D0000}"/>
    <cellStyle name="Input 7 2 2 2 4 3 2 5" xfId="32040" xr:uid="{00000000-0005-0000-0000-0000237D0000}"/>
    <cellStyle name="Input 7 2 2 2 4 3 2 6" xfId="32041" xr:uid="{00000000-0005-0000-0000-0000247D0000}"/>
    <cellStyle name="Input 7 2 2 2 4 3 3" xfId="32042" xr:uid="{00000000-0005-0000-0000-0000257D0000}"/>
    <cellStyle name="Input 7 2 2 2 4 3 4" xfId="32043" xr:uid="{00000000-0005-0000-0000-0000267D0000}"/>
    <cellStyle name="Input 7 2 2 2 4 3 5" xfId="32044" xr:uid="{00000000-0005-0000-0000-0000277D0000}"/>
    <cellStyle name="Input 7 2 2 2 4 3 6" xfId="32045" xr:uid="{00000000-0005-0000-0000-0000287D0000}"/>
    <cellStyle name="Input 7 2 2 2 4 4" xfId="32046" xr:uid="{00000000-0005-0000-0000-0000297D0000}"/>
    <cellStyle name="Input 7 2 2 2 4 4 2" xfId="32047" xr:uid="{00000000-0005-0000-0000-00002A7D0000}"/>
    <cellStyle name="Input 7 2 2 2 4 4 3" xfId="32048" xr:uid="{00000000-0005-0000-0000-00002B7D0000}"/>
    <cellStyle name="Input 7 2 2 2 4 4 4" xfId="32049" xr:uid="{00000000-0005-0000-0000-00002C7D0000}"/>
    <cellStyle name="Input 7 2 2 2 4 4 5" xfId="32050" xr:uid="{00000000-0005-0000-0000-00002D7D0000}"/>
    <cellStyle name="Input 7 2 2 2 4 4 6" xfId="32051" xr:uid="{00000000-0005-0000-0000-00002E7D0000}"/>
    <cellStyle name="Input 7 2 2 2 4 5" xfId="32052" xr:uid="{00000000-0005-0000-0000-00002F7D0000}"/>
    <cellStyle name="Input 7 2 2 2 4 6" xfId="32053" xr:uid="{00000000-0005-0000-0000-0000307D0000}"/>
    <cellStyle name="Input 7 2 2 2 4 7" xfId="32054" xr:uid="{00000000-0005-0000-0000-0000317D0000}"/>
    <cellStyle name="Input 7 2 2 2 4 8" xfId="32055" xr:uid="{00000000-0005-0000-0000-0000327D0000}"/>
    <cellStyle name="Input 7 2 2 2 5" xfId="32056" xr:uid="{00000000-0005-0000-0000-0000337D0000}"/>
    <cellStyle name="Input 7 2 2 2 5 2" xfId="32057" xr:uid="{00000000-0005-0000-0000-0000347D0000}"/>
    <cellStyle name="Input 7 2 2 2 5 2 2" xfId="32058" xr:uid="{00000000-0005-0000-0000-0000357D0000}"/>
    <cellStyle name="Input 7 2 2 2 5 2 2 2" xfId="32059" xr:uid="{00000000-0005-0000-0000-0000367D0000}"/>
    <cellStyle name="Input 7 2 2 2 5 2 2 3" xfId="32060" xr:uid="{00000000-0005-0000-0000-0000377D0000}"/>
    <cellStyle name="Input 7 2 2 2 5 2 2 4" xfId="32061" xr:uid="{00000000-0005-0000-0000-0000387D0000}"/>
    <cellStyle name="Input 7 2 2 2 5 2 2 5" xfId="32062" xr:uid="{00000000-0005-0000-0000-0000397D0000}"/>
    <cellStyle name="Input 7 2 2 2 5 2 2 6" xfId="32063" xr:uid="{00000000-0005-0000-0000-00003A7D0000}"/>
    <cellStyle name="Input 7 2 2 2 5 2 3" xfId="32064" xr:uid="{00000000-0005-0000-0000-00003B7D0000}"/>
    <cellStyle name="Input 7 2 2 2 5 2 4" xfId="32065" xr:uid="{00000000-0005-0000-0000-00003C7D0000}"/>
    <cellStyle name="Input 7 2 2 2 5 2 5" xfId="32066" xr:uid="{00000000-0005-0000-0000-00003D7D0000}"/>
    <cellStyle name="Input 7 2 2 2 5 2 6" xfId="32067" xr:uid="{00000000-0005-0000-0000-00003E7D0000}"/>
    <cellStyle name="Input 7 2 2 2 5 3" xfId="32068" xr:uid="{00000000-0005-0000-0000-00003F7D0000}"/>
    <cellStyle name="Input 7 2 2 2 5 3 2" xfId="32069" xr:uid="{00000000-0005-0000-0000-0000407D0000}"/>
    <cellStyle name="Input 7 2 2 2 5 3 2 2" xfId="32070" xr:uid="{00000000-0005-0000-0000-0000417D0000}"/>
    <cellStyle name="Input 7 2 2 2 5 3 2 3" xfId="32071" xr:uid="{00000000-0005-0000-0000-0000427D0000}"/>
    <cellStyle name="Input 7 2 2 2 5 3 2 4" xfId="32072" xr:uid="{00000000-0005-0000-0000-0000437D0000}"/>
    <cellStyle name="Input 7 2 2 2 5 3 2 5" xfId="32073" xr:uid="{00000000-0005-0000-0000-0000447D0000}"/>
    <cellStyle name="Input 7 2 2 2 5 3 2 6" xfId="32074" xr:uid="{00000000-0005-0000-0000-0000457D0000}"/>
    <cellStyle name="Input 7 2 2 2 5 3 3" xfId="32075" xr:uid="{00000000-0005-0000-0000-0000467D0000}"/>
    <cellStyle name="Input 7 2 2 2 5 3 4" xfId="32076" xr:uid="{00000000-0005-0000-0000-0000477D0000}"/>
    <cellStyle name="Input 7 2 2 2 5 3 5" xfId="32077" xr:uid="{00000000-0005-0000-0000-0000487D0000}"/>
    <cellStyle name="Input 7 2 2 2 5 3 6" xfId="32078" xr:uid="{00000000-0005-0000-0000-0000497D0000}"/>
    <cellStyle name="Input 7 2 2 2 5 4" xfId="32079" xr:uid="{00000000-0005-0000-0000-00004A7D0000}"/>
    <cellStyle name="Input 7 2 2 2 5 4 2" xfId="32080" xr:uid="{00000000-0005-0000-0000-00004B7D0000}"/>
    <cellStyle name="Input 7 2 2 2 5 4 3" xfId="32081" xr:uid="{00000000-0005-0000-0000-00004C7D0000}"/>
    <cellStyle name="Input 7 2 2 2 5 4 4" xfId="32082" xr:uid="{00000000-0005-0000-0000-00004D7D0000}"/>
    <cellStyle name="Input 7 2 2 2 5 4 5" xfId="32083" xr:uid="{00000000-0005-0000-0000-00004E7D0000}"/>
    <cellStyle name="Input 7 2 2 2 5 4 6" xfId="32084" xr:uid="{00000000-0005-0000-0000-00004F7D0000}"/>
    <cellStyle name="Input 7 2 2 2 5 5" xfId="32085" xr:uid="{00000000-0005-0000-0000-0000507D0000}"/>
    <cellStyle name="Input 7 2 2 2 5 6" xfId="32086" xr:uid="{00000000-0005-0000-0000-0000517D0000}"/>
    <cellStyle name="Input 7 2 2 2 5 7" xfId="32087" xr:uid="{00000000-0005-0000-0000-0000527D0000}"/>
    <cellStyle name="Input 7 2 2 2 5 8" xfId="32088" xr:uid="{00000000-0005-0000-0000-0000537D0000}"/>
    <cellStyle name="Input 7 2 2 2 6" xfId="32089" xr:uid="{00000000-0005-0000-0000-0000547D0000}"/>
    <cellStyle name="Input 7 2 2 2 6 2" xfId="32090" xr:uid="{00000000-0005-0000-0000-0000557D0000}"/>
    <cellStyle name="Input 7 2 2 2 6 2 2" xfId="32091" xr:uid="{00000000-0005-0000-0000-0000567D0000}"/>
    <cellStyle name="Input 7 2 2 2 6 2 2 2" xfId="32092" xr:uid="{00000000-0005-0000-0000-0000577D0000}"/>
    <cellStyle name="Input 7 2 2 2 6 2 2 3" xfId="32093" xr:uid="{00000000-0005-0000-0000-0000587D0000}"/>
    <cellStyle name="Input 7 2 2 2 6 2 2 4" xfId="32094" xr:uid="{00000000-0005-0000-0000-0000597D0000}"/>
    <cellStyle name="Input 7 2 2 2 6 2 2 5" xfId="32095" xr:uid="{00000000-0005-0000-0000-00005A7D0000}"/>
    <cellStyle name="Input 7 2 2 2 6 2 2 6" xfId="32096" xr:uid="{00000000-0005-0000-0000-00005B7D0000}"/>
    <cellStyle name="Input 7 2 2 2 6 2 3" xfId="32097" xr:uid="{00000000-0005-0000-0000-00005C7D0000}"/>
    <cellStyle name="Input 7 2 2 2 6 2 4" xfId="32098" xr:uid="{00000000-0005-0000-0000-00005D7D0000}"/>
    <cellStyle name="Input 7 2 2 2 6 2 5" xfId="32099" xr:uid="{00000000-0005-0000-0000-00005E7D0000}"/>
    <cellStyle name="Input 7 2 2 2 6 2 6" xfId="32100" xr:uid="{00000000-0005-0000-0000-00005F7D0000}"/>
    <cellStyle name="Input 7 2 2 2 6 3" xfId="32101" xr:uid="{00000000-0005-0000-0000-0000607D0000}"/>
    <cellStyle name="Input 7 2 2 2 6 3 2" xfId="32102" xr:uid="{00000000-0005-0000-0000-0000617D0000}"/>
    <cellStyle name="Input 7 2 2 2 6 3 2 2" xfId="32103" xr:uid="{00000000-0005-0000-0000-0000627D0000}"/>
    <cellStyle name="Input 7 2 2 2 6 3 2 3" xfId="32104" xr:uid="{00000000-0005-0000-0000-0000637D0000}"/>
    <cellStyle name="Input 7 2 2 2 6 3 2 4" xfId="32105" xr:uid="{00000000-0005-0000-0000-0000647D0000}"/>
    <cellStyle name="Input 7 2 2 2 6 3 2 5" xfId="32106" xr:uid="{00000000-0005-0000-0000-0000657D0000}"/>
    <cellStyle name="Input 7 2 2 2 6 3 2 6" xfId="32107" xr:uid="{00000000-0005-0000-0000-0000667D0000}"/>
    <cellStyle name="Input 7 2 2 2 6 3 3" xfId="32108" xr:uid="{00000000-0005-0000-0000-0000677D0000}"/>
    <cellStyle name="Input 7 2 2 2 6 3 4" xfId="32109" xr:uid="{00000000-0005-0000-0000-0000687D0000}"/>
    <cellStyle name="Input 7 2 2 2 6 3 5" xfId="32110" xr:uid="{00000000-0005-0000-0000-0000697D0000}"/>
    <cellStyle name="Input 7 2 2 2 6 3 6" xfId="32111" xr:uid="{00000000-0005-0000-0000-00006A7D0000}"/>
    <cellStyle name="Input 7 2 2 2 6 4" xfId="32112" xr:uid="{00000000-0005-0000-0000-00006B7D0000}"/>
    <cellStyle name="Input 7 2 2 2 6 4 2" xfId="32113" xr:uid="{00000000-0005-0000-0000-00006C7D0000}"/>
    <cellStyle name="Input 7 2 2 2 6 4 3" xfId="32114" xr:uid="{00000000-0005-0000-0000-00006D7D0000}"/>
    <cellStyle name="Input 7 2 2 2 6 4 4" xfId="32115" xr:uid="{00000000-0005-0000-0000-00006E7D0000}"/>
    <cellStyle name="Input 7 2 2 2 6 4 5" xfId="32116" xr:uid="{00000000-0005-0000-0000-00006F7D0000}"/>
    <cellStyle name="Input 7 2 2 2 6 4 6" xfId="32117" xr:uid="{00000000-0005-0000-0000-0000707D0000}"/>
    <cellStyle name="Input 7 2 2 2 6 5" xfId="32118" xr:uid="{00000000-0005-0000-0000-0000717D0000}"/>
    <cellStyle name="Input 7 2 2 2 6 6" xfId="32119" xr:uid="{00000000-0005-0000-0000-0000727D0000}"/>
    <cellStyle name="Input 7 2 2 2 6 7" xfId="32120" xr:uid="{00000000-0005-0000-0000-0000737D0000}"/>
    <cellStyle name="Input 7 2 2 2 6 8" xfId="32121" xr:uid="{00000000-0005-0000-0000-0000747D0000}"/>
    <cellStyle name="Input 7 2 2 2 7" xfId="32122" xr:uid="{00000000-0005-0000-0000-0000757D0000}"/>
    <cellStyle name="Input 7 2 2 2 7 2" xfId="32123" xr:uid="{00000000-0005-0000-0000-0000767D0000}"/>
    <cellStyle name="Input 7 2 2 2 7 2 2" xfId="32124" xr:uid="{00000000-0005-0000-0000-0000777D0000}"/>
    <cellStyle name="Input 7 2 2 2 7 2 3" xfId="32125" xr:uid="{00000000-0005-0000-0000-0000787D0000}"/>
    <cellStyle name="Input 7 2 2 2 7 2 4" xfId="32126" xr:uid="{00000000-0005-0000-0000-0000797D0000}"/>
    <cellStyle name="Input 7 2 2 2 7 2 5" xfId="32127" xr:uid="{00000000-0005-0000-0000-00007A7D0000}"/>
    <cellStyle name="Input 7 2 2 2 7 2 6" xfId="32128" xr:uid="{00000000-0005-0000-0000-00007B7D0000}"/>
    <cellStyle name="Input 7 2 2 2 7 3" xfId="32129" xr:uid="{00000000-0005-0000-0000-00007C7D0000}"/>
    <cellStyle name="Input 7 2 2 2 7 4" xfId="32130" xr:uid="{00000000-0005-0000-0000-00007D7D0000}"/>
    <cellStyle name="Input 7 2 2 2 7 5" xfId="32131" xr:uid="{00000000-0005-0000-0000-00007E7D0000}"/>
    <cellStyle name="Input 7 2 2 2 7 6" xfId="32132" xr:uid="{00000000-0005-0000-0000-00007F7D0000}"/>
    <cellStyle name="Input 7 2 2 2 8" xfId="32133" xr:uid="{00000000-0005-0000-0000-0000807D0000}"/>
    <cellStyle name="Input 7 2 2 2 8 2" xfId="32134" xr:uid="{00000000-0005-0000-0000-0000817D0000}"/>
    <cellStyle name="Input 7 2 2 2 8 2 2" xfId="32135" xr:uid="{00000000-0005-0000-0000-0000827D0000}"/>
    <cellStyle name="Input 7 2 2 2 8 2 3" xfId="32136" xr:uid="{00000000-0005-0000-0000-0000837D0000}"/>
    <cellStyle name="Input 7 2 2 2 8 2 4" xfId="32137" xr:uid="{00000000-0005-0000-0000-0000847D0000}"/>
    <cellStyle name="Input 7 2 2 2 8 2 5" xfId="32138" xr:uid="{00000000-0005-0000-0000-0000857D0000}"/>
    <cellStyle name="Input 7 2 2 2 8 2 6" xfId="32139" xr:uid="{00000000-0005-0000-0000-0000867D0000}"/>
    <cellStyle name="Input 7 2 2 2 8 3" xfId="32140" xr:uid="{00000000-0005-0000-0000-0000877D0000}"/>
    <cellStyle name="Input 7 2 2 2 8 4" xfId="32141" xr:uid="{00000000-0005-0000-0000-0000887D0000}"/>
    <cellStyle name="Input 7 2 2 2 8 5" xfId="32142" xr:uid="{00000000-0005-0000-0000-0000897D0000}"/>
    <cellStyle name="Input 7 2 2 2 8 6" xfId="32143" xr:uid="{00000000-0005-0000-0000-00008A7D0000}"/>
    <cellStyle name="Input 7 2 2 2 9" xfId="32144" xr:uid="{00000000-0005-0000-0000-00008B7D0000}"/>
    <cellStyle name="Input 7 2 2 2 9 2" xfId="32145" xr:uid="{00000000-0005-0000-0000-00008C7D0000}"/>
    <cellStyle name="Input 7 2 2 2 9 3" xfId="32146" xr:uid="{00000000-0005-0000-0000-00008D7D0000}"/>
    <cellStyle name="Input 7 2 2 2 9 4" xfId="32147" xr:uid="{00000000-0005-0000-0000-00008E7D0000}"/>
    <cellStyle name="Input 7 2 2 2 9 5" xfId="32148" xr:uid="{00000000-0005-0000-0000-00008F7D0000}"/>
    <cellStyle name="Input 7 2 2 2 9 6" xfId="32149" xr:uid="{00000000-0005-0000-0000-0000907D0000}"/>
    <cellStyle name="Input 7 2 2 3" xfId="32150" xr:uid="{00000000-0005-0000-0000-0000917D0000}"/>
    <cellStyle name="Input 7 2 2 3 2" xfId="32151" xr:uid="{00000000-0005-0000-0000-0000927D0000}"/>
    <cellStyle name="Input 7 2 2 3 2 2" xfId="32152" xr:uid="{00000000-0005-0000-0000-0000937D0000}"/>
    <cellStyle name="Input 7 2 2 3 2 2 2" xfId="32153" xr:uid="{00000000-0005-0000-0000-0000947D0000}"/>
    <cellStyle name="Input 7 2 2 3 2 2 3" xfId="32154" xr:uid="{00000000-0005-0000-0000-0000957D0000}"/>
    <cellStyle name="Input 7 2 2 3 2 2 4" xfId="32155" xr:uid="{00000000-0005-0000-0000-0000967D0000}"/>
    <cellStyle name="Input 7 2 2 3 2 2 5" xfId="32156" xr:uid="{00000000-0005-0000-0000-0000977D0000}"/>
    <cellStyle name="Input 7 2 2 3 2 2 6" xfId="32157" xr:uid="{00000000-0005-0000-0000-0000987D0000}"/>
    <cellStyle name="Input 7 2 2 3 2 3" xfId="32158" xr:uid="{00000000-0005-0000-0000-0000997D0000}"/>
    <cellStyle name="Input 7 2 2 3 2 4" xfId="32159" xr:uid="{00000000-0005-0000-0000-00009A7D0000}"/>
    <cellStyle name="Input 7 2 2 3 2 5" xfId="32160" xr:uid="{00000000-0005-0000-0000-00009B7D0000}"/>
    <cellStyle name="Input 7 2 2 3 2 6" xfId="32161" xr:uid="{00000000-0005-0000-0000-00009C7D0000}"/>
    <cellStyle name="Input 7 2 2 3 3" xfId="32162" xr:uid="{00000000-0005-0000-0000-00009D7D0000}"/>
    <cellStyle name="Input 7 2 2 3 3 2" xfId="32163" xr:uid="{00000000-0005-0000-0000-00009E7D0000}"/>
    <cellStyle name="Input 7 2 2 3 3 2 2" xfId="32164" xr:uid="{00000000-0005-0000-0000-00009F7D0000}"/>
    <cellStyle name="Input 7 2 2 3 3 2 3" xfId="32165" xr:uid="{00000000-0005-0000-0000-0000A07D0000}"/>
    <cellStyle name="Input 7 2 2 3 3 2 4" xfId="32166" xr:uid="{00000000-0005-0000-0000-0000A17D0000}"/>
    <cellStyle name="Input 7 2 2 3 3 2 5" xfId="32167" xr:uid="{00000000-0005-0000-0000-0000A27D0000}"/>
    <cellStyle name="Input 7 2 2 3 3 2 6" xfId="32168" xr:uid="{00000000-0005-0000-0000-0000A37D0000}"/>
    <cellStyle name="Input 7 2 2 3 3 3" xfId="32169" xr:uid="{00000000-0005-0000-0000-0000A47D0000}"/>
    <cellStyle name="Input 7 2 2 3 3 4" xfId="32170" xr:uid="{00000000-0005-0000-0000-0000A57D0000}"/>
    <cellStyle name="Input 7 2 2 3 3 5" xfId="32171" xr:uid="{00000000-0005-0000-0000-0000A67D0000}"/>
    <cellStyle name="Input 7 2 2 3 3 6" xfId="32172" xr:uid="{00000000-0005-0000-0000-0000A77D0000}"/>
    <cellStyle name="Input 7 2 2 3 4" xfId="32173" xr:uid="{00000000-0005-0000-0000-0000A87D0000}"/>
    <cellStyle name="Input 7 2 2 3 4 2" xfId="32174" xr:uid="{00000000-0005-0000-0000-0000A97D0000}"/>
    <cellStyle name="Input 7 2 2 3 4 3" xfId="32175" xr:uid="{00000000-0005-0000-0000-0000AA7D0000}"/>
    <cellStyle name="Input 7 2 2 3 4 4" xfId="32176" xr:uid="{00000000-0005-0000-0000-0000AB7D0000}"/>
    <cellStyle name="Input 7 2 2 3 4 5" xfId="32177" xr:uid="{00000000-0005-0000-0000-0000AC7D0000}"/>
    <cellStyle name="Input 7 2 2 3 4 6" xfId="32178" xr:uid="{00000000-0005-0000-0000-0000AD7D0000}"/>
    <cellStyle name="Input 7 2 2 3 5" xfId="32179" xr:uid="{00000000-0005-0000-0000-0000AE7D0000}"/>
    <cellStyle name="Input 7 2 2 3 6" xfId="32180" xr:uid="{00000000-0005-0000-0000-0000AF7D0000}"/>
    <cellStyle name="Input 7 2 2 3 7" xfId="32181" xr:uid="{00000000-0005-0000-0000-0000B07D0000}"/>
    <cellStyle name="Input 7 2 2 3 8" xfId="32182" xr:uid="{00000000-0005-0000-0000-0000B17D0000}"/>
    <cellStyle name="Input 7 2 2 4" xfId="32183" xr:uid="{00000000-0005-0000-0000-0000B27D0000}"/>
    <cellStyle name="Input 7 2 2 4 2" xfId="32184" xr:uid="{00000000-0005-0000-0000-0000B37D0000}"/>
    <cellStyle name="Input 7 2 2 4 2 2" xfId="32185" xr:uid="{00000000-0005-0000-0000-0000B47D0000}"/>
    <cellStyle name="Input 7 2 2 4 2 2 2" xfId="32186" xr:uid="{00000000-0005-0000-0000-0000B57D0000}"/>
    <cellStyle name="Input 7 2 2 4 2 2 3" xfId="32187" xr:uid="{00000000-0005-0000-0000-0000B67D0000}"/>
    <cellStyle name="Input 7 2 2 4 2 2 4" xfId="32188" xr:uid="{00000000-0005-0000-0000-0000B77D0000}"/>
    <cellStyle name="Input 7 2 2 4 2 2 5" xfId="32189" xr:uid="{00000000-0005-0000-0000-0000B87D0000}"/>
    <cellStyle name="Input 7 2 2 4 2 2 6" xfId="32190" xr:uid="{00000000-0005-0000-0000-0000B97D0000}"/>
    <cellStyle name="Input 7 2 2 4 2 3" xfId="32191" xr:uid="{00000000-0005-0000-0000-0000BA7D0000}"/>
    <cellStyle name="Input 7 2 2 4 2 4" xfId="32192" xr:uid="{00000000-0005-0000-0000-0000BB7D0000}"/>
    <cellStyle name="Input 7 2 2 4 2 5" xfId="32193" xr:uid="{00000000-0005-0000-0000-0000BC7D0000}"/>
    <cellStyle name="Input 7 2 2 4 2 6" xfId="32194" xr:uid="{00000000-0005-0000-0000-0000BD7D0000}"/>
    <cellStyle name="Input 7 2 2 4 3" xfId="32195" xr:uid="{00000000-0005-0000-0000-0000BE7D0000}"/>
    <cellStyle name="Input 7 2 2 4 3 2" xfId="32196" xr:uid="{00000000-0005-0000-0000-0000BF7D0000}"/>
    <cellStyle name="Input 7 2 2 4 3 2 2" xfId="32197" xr:uid="{00000000-0005-0000-0000-0000C07D0000}"/>
    <cellStyle name="Input 7 2 2 4 3 2 3" xfId="32198" xr:uid="{00000000-0005-0000-0000-0000C17D0000}"/>
    <cellStyle name="Input 7 2 2 4 3 2 4" xfId="32199" xr:uid="{00000000-0005-0000-0000-0000C27D0000}"/>
    <cellStyle name="Input 7 2 2 4 3 2 5" xfId="32200" xr:uid="{00000000-0005-0000-0000-0000C37D0000}"/>
    <cellStyle name="Input 7 2 2 4 3 2 6" xfId="32201" xr:uid="{00000000-0005-0000-0000-0000C47D0000}"/>
    <cellStyle name="Input 7 2 2 4 3 3" xfId="32202" xr:uid="{00000000-0005-0000-0000-0000C57D0000}"/>
    <cellStyle name="Input 7 2 2 4 3 4" xfId="32203" xr:uid="{00000000-0005-0000-0000-0000C67D0000}"/>
    <cellStyle name="Input 7 2 2 4 3 5" xfId="32204" xr:uid="{00000000-0005-0000-0000-0000C77D0000}"/>
    <cellStyle name="Input 7 2 2 4 3 6" xfId="32205" xr:uid="{00000000-0005-0000-0000-0000C87D0000}"/>
    <cellStyle name="Input 7 2 2 4 4" xfId="32206" xr:uid="{00000000-0005-0000-0000-0000C97D0000}"/>
    <cellStyle name="Input 7 2 2 4 4 2" xfId="32207" xr:uid="{00000000-0005-0000-0000-0000CA7D0000}"/>
    <cellStyle name="Input 7 2 2 4 4 3" xfId="32208" xr:uid="{00000000-0005-0000-0000-0000CB7D0000}"/>
    <cellStyle name="Input 7 2 2 4 4 4" xfId="32209" xr:uid="{00000000-0005-0000-0000-0000CC7D0000}"/>
    <cellStyle name="Input 7 2 2 4 4 5" xfId="32210" xr:uid="{00000000-0005-0000-0000-0000CD7D0000}"/>
    <cellStyle name="Input 7 2 2 4 4 6" xfId="32211" xr:uid="{00000000-0005-0000-0000-0000CE7D0000}"/>
    <cellStyle name="Input 7 2 2 4 5" xfId="32212" xr:uid="{00000000-0005-0000-0000-0000CF7D0000}"/>
    <cellStyle name="Input 7 2 2 4 6" xfId="32213" xr:uid="{00000000-0005-0000-0000-0000D07D0000}"/>
    <cellStyle name="Input 7 2 2 4 7" xfId="32214" xr:uid="{00000000-0005-0000-0000-0000D17D0000}"/>
    <cellStyle name="Input 7 2 2 4 8" xfId="32215" xr:uid="{00000000-0005-0000-0000-0000D27D0000}"/>
    <cellStyle name="Input 7 2 2 5" xfId="32216" xr:uid="{00000000-0005-0000-0000-0000D37D0000}"/>
    <cellStyle name="Input 7 2 2 5 2" xfId="32217" xr:uid="{00000000-0005-0000-0000-0000D47D0000}"/>
    <cellStyle name="Input 7 2 2 5 2 2" xfId="32218" xr:uid="{00000000-0005-0000-0000-0000D57D0000}"/>
    <cellStyle name="Input 7 2 2 5 2 2 2" xfId="32219" xr:uid="{00000000-0005-0000-0000-0000D67D0000}"/>
    <cellStyle name="Input 7 2 2 5 2 2 3" xfId="32220" xr:uid="{00000000-0005-0000-0000-0000D77D0000}"/>
    <cellStyle name="Input 7 2 2 5 2 2 4" xfId="32221" xr:uid="{00000000-0005-0000-0000-0000D87D0000}"/>
    <cellStyle name="Input 7 2 2 5 2 2 5" xfId="32222" xr:uid="{00000000-0005-0000-0000-0000D97D0000}"/>
    <cellStyle name="Input 7 2 2 5 2 2 6" xfId="32223" xr:uid="{00000000-0005-0000-0000-0000DA7D0000}"/>
    <cellStyle name="Input 7 2 2 5 2 3" xfId="32224" xr:uid="{00000000-0005-0000-0000-0000DB7D0000}"/>
    <cellStyle name="Input 7 2 2 5 2 4" xfId="32225" xr:uid="{00000000-0005-0000-0000-0000DC7D0000}"/>
    <cellStyle name="Input 7 2 2 5 2 5" xfId="32226" xr:uid="{00000000-0005-0000-0000-0000DD7D0000}"/>
    <cellStyle name="Input 7 2 2 5 2 6" xfId="32227" xr:uid="{00000000-0005-0000-0000-0000DE7D0000}"/>
    <cellStyle name="Input 7 2 2 5 3" xfId="32228" xr:uid="{00000000-0005-0000-0000-0000DF7D0000}"/>
    <cellStyle name="Input 7 2 2 5 3 2" xfId="32229" xr:uid="{00000000-0005-0000-0000-0000E07D0000}"/>
    <cellStyle name="Input 7 2 2 5 3 2 2" xfId="32230" xr:uid="{00000000-0005-0000-0000-0000E17D0000}"/>
    <cellStyle name="Input 7 2 2 5 3 2 3" xfId="32231" xr:uid="{00000000-0005-0000-0000-0000E27D0000}"/>
    <cellStyle name="Input 7 2 2 5 3 2 4" xfId="32232" xr:uid="{00000000-0005-0000-0000-0000E37D0000}"/>
    <cellStyle name="Input 7 2 2 5 3 2 5" xfId="32233" xr:uid="{00000000-0005-0000-0000-0000E47D0000}"/>
    <cellStyle name="Input 7 2 2 5 3 2 6" xfId="32234" xr:uid="{00000000-0005-0000-0000-0000E57D0000}"/>
    <cellStyle name="Input 7 2 2 5 3 3" xfId="32235" xr:uid="{00000000-0005-0000-0000-0000E67D0000}"/>
    <cellStyle name="Input 7 2 2 5 3 4" xfId="32236" xr:uid="{00000000-0005-0000-0000-0000E77D0000}"/>
    <cellStyle name="Input 7 2 2 5 3 5" xfId="32237" xr:uid="{00000000-0005-0000-0000-0000E87D0000}"/>
    <cellStyle name="Input 7 2 2 5 3 6" xfId="32238" xr:uid="{00000000-0005-0000-0000-0000E97D0000}"/>
    <cellStyle name="Input 7 2 2 5 4" xfId="32239" xr:uid="{00000000-0005-0000-0000-0000EA7D0000}"/>
    <cellStyle name="Input 7 2 2 5 4 2" xfId="32240" xr:uid="{00000000-0005-0000-0000-0000EB7D0000}"/>
    <cellStyle name="Input 7 2 2 5 4 3" xfId="32241" xr:uid="{00000000-0005-0000-0000-0000EC7D0000}"/>
    <cellStyle name="Input 7 2 2 5 4 4" xfId="32242" xr:uid="{00000000-0005-0000-0000-0000ED7D0000}"/>
    <cellStyle name="Input 7 2 2 5 4 5" xfId="32243" xr:uid="{00000000-0005-0000-0000-0000EE7D0000}"/>
    <cellStyle name="Input 7 2 2 5 4 6" xfId="32244" xr:uid="{00000000-0005-0000-0000-0000EF7D0000}"/>
    <cellStyle name="Input 7 2 2 5 5" xfId="32245" xr:uid="{00000000-0005-0000-0000-0000F07D0000}"/>
    <cellStyle name="Input 7 2 2 5 6" xfId="32246" xr:uid="{00000000-0005-0000-0000-0000F17D0000}"/>
    <cellStyle name="Input 7 2 2 5 7" xfId="32247" xr:uid="{00000000-0005-0000-0000-0000F27D0000}"/>
    <cellStyle name="Input 7 2 2 5 8" xfId="32248" xr:uid="{00000000-0005-0000-0000-0000F37D0000}"/>
    <cellStyle name="Input 7 2 2 6" xfId="32249" xr:uid="{00000000-0005-0000-0000-0000F47D0000}"/>
    <cellStyle name="Input 7 2 2 6 2" xfId="32250" xr:uid="{00000000-0005-0000-0000-0000F57D0000}"/>
    <cellStyle name="Input 7 2 2 6 2 2" xfId="32251" xr:uid="{00000000-0005-0000-0000-0000F67D0000}"/>
    <cellStyle name="Input 7 2 2 6 2 2 2" xfId="32252" xr:uid="{00000000-0005-0000-0000-0000F77D0000}"/>
    <cellStyle name="Input 7 2 2 6 2 2 3" xfId="32253" xr:uid="{00000000-0005-0000-0000-0000F87D0000}"/>
    <cellStyle name="Input 7 2 2 6 2 2 4" xfId="32254" xr:uid="{00000000-0005-0000-0000-0000F97D0000}"/>
    <cellStyle name="Input 7 2 2 6 2 2 5" xfId="32255" xr:uid="{00000000-0005-0000-0000-0000FA7D0000}"/>
    <cellStyle name="Input 7 2 2 6 2 2 6" xfId="32256" xr:uid="{00000000-0005-0000-0000-0000FB7D0000}"/>
    <cellStyle name="Input 7 2 2 6 2 3" xfId="32257" xr:uid="{00000000-0005-0000-0000-0000FC7D0000}"/>
    <cellStyle name="Input 7 2 2 6 2 4" xfId="32258" xr:uid="{00000000-0005-0000-0000-0000FD7D0000}"/>
    <cellStyle name="Input 7 2 2 6 2 5" xfId="32259" xr:uid="{00000000-0005-0000-0000-0000FE7D0000}"/>
    <cellStyle name="Input 7 2 2 6 2 6" xfId="32260" xr:uid="{00000000-0005-0000-0000-0000FF7D0000}"/>
    <cellStyle name="Input 7 2 2 6 3" xfId="32261" xr:uid="{00000000-0005-0000-0000-0000007E0000}"/>
    <cellStyle name="Input 7 2 2 6 3 2" xfId="32262" xr:uid="{00000000-0005-0000-0000-0000017E0000}"/>
    <cellStyle name="Input 7 2 2 6 3 2 2" xfId="32263" xr:uid="{00000000-0005-0000-0000-0000027E0000}"/>
    <cellStyle name="Input 7 2 2 6 3 2 3" xfId="32264" xr:uid="{00000000-0005-0000-0000-0000037E0000}"/>
    <cellStyle name="Input 7 2 2 6 3 2 4" xfId="32265" xr:uid="{00000000-0005-0000-0000-0000047E0000}"/>
    <cellStyle name="Input 7 2 2 6 3 2 5" xfId="32266" xr:uid="{00000000-0005-0000-0000-0000057E0000}"/>
    <cellStyle name="Input 7 2 2 6 3 2 6" xfId="32267" xr:uid="{00000000-0005-0000-0000-0000067E0000}"/>
    <cellStyle name="Input 7 2 2 6 3 3" xfId="32268" xr:uid="{00000000-0005-0000-0000-0000077E0000}"/>
    <cellStyle name="Input 7 2 2 6 3 4" xfId="32269" xr:uid="{00000000-0005-0000-0000-0000087E0000}"/>
    <cellStyle name="Input 7 2 2 6 3 5" xfId="32270" xr:uid="{00000000-0005-0000-0000-0000097E0000}"/>
    <cellStyle name="Input 7 2 2 6 3 6" xfId="32271" xr:uid="{00000000-0005-0000-0000-00000A7E0000}"/>
    <cellStyle name="Input 7 2 2 6 4" xfId="32272" xr:uid="{00000000-0005-0000-0000-00000B7E0000}"/>
    <cellStyle name="Input 7 2 2 6 4 2" xfId="32273" xr:uid="{00000000-0005-0000-0000-00000C7E0000}"/>
    <cellStyle name="Input 7 2 2 6 4 3" xfId="32274" xr:uid="{00000000-0005-0000-0000-00000D7E0000}"/>
    <cellStyle name="Input 7 2 2 6 4 4" xfId="32275" xr:uid="{00000000-0005-0000-0000-00000E7E0000}"/>
    <cellStyle name="Input 7 2 2 6 4 5" xfId="32276" xr:uid="{00000000-0005-0000-0000-00000F7E0000}"/>
    <cellStyle name="Input 7 2 2 6 4 6" xfId="32277" xr:uid="{00000000-0005-0000-0000-0000107E0000}"/>
    <cellStyle name="Input 7 2 2 6 5" xfId="32278" xr:uid="{00000000-0005-0000-0000-0000117E0000}"/>
    <cellStyle name="Input 7 2 2 6 6" xfId="32279" xr:uid="{00000000-0005-0000-0000-0000127E0000}"/>
    <cellStyle name="Input 7 2 2 6 7" xfId="32280" xr:uid="{00000000-0005-0000-0000-0000137E0000}"/>
    <cellStyle name="Input 7 2 2 6 8" xfId="32281" xr:uid="{00000000-0005-0000-0000-0000147E0000}"/>
    <cellStyle name="Input 7 2 2 7" xfId="32282" xr:uid="{00000000-0005-0000-0000-0000157E0000}"/>
    <cellStyle name="Input 7 2 2 7 2" xfId="32283" xr:uid="{00000000-0005-0000-0000-0000167E0000}"/>
    <cellStyle name="Input 7 2 2 7 2 2" xfId="32284" xr:uid="{00000000-0005-0000-0000-0000177E0000}"/>
    <cellStyle name="Input 7 2 2 7 2 2 2" xfId="32285" xr:uid="{00000000-0005-0000-0000-0000187E0000}"/>
    <cellStyle name="Input 7 2 2 7 2 2 3" xfId="32286" xr:uid="{00000000-0005-0000-0000-0000197E0000}"/>
    <cellStyle name="Input 7 2 2 7 2 2 4" xfId="32287" xr:uid="{00000000-0005-0000-0000-00001A7E0000}"/>
    <cellStyle name="Input 7 2 2 7 2 2 5" xfId="32288" xr:uid="{00000000-0005-0000-0000-00001B7E0000}"/>
    <cellStyle name="Input 7 2 2 7 2 2 6" xfId="32289" xr:uid="{00000000-0005-0000-0000-00001C7E0000}"/>
    <cellStyle name="Input 7 2 2 7 2 3" xfId="32290" xr:uid="{00000000-0005-0000-0000-00001D7E0000}"/>
    <cellStyle name="Input 7 2 2 7 2 4" xfId="32291" xr:uid="{00000000-0005-0000-0000-00001E7E0000}"/>
    <cellStyle name="Input 7 2 2 7 2 5" xfId="32292" xr:uid="{00000000-0005-0000-0000-00001F7E0000}"/>
    <cellStyle name="Input 7 2 2 7 2 6" xfId="32293" xr:uid="{00000000-0005-0000-0000-0000207E0000}"/>
    <cellStyle name="Input 7 2 2 7 3" xfId="32294" xr:uid="{00000000-0005-0000-0000-0000217E0000}"/>
    <cellStyle name="Input 7 2 2 7 3 2" xfId="32295" xr:uid="{00000000-0005-0000-0000-0000227E0000}"/>
    <cellStyle name="Input 7 2 2 7 3 2 2" xfId="32296" xr:uid="{00000000-0005-0000-0000-0000237E0000}"/>
    <cellStyle name="Input 7 2 2 7 3 2 3" xfId="32297" xr:uid="{00000000-0005-0000-0000-0000247E0000}"/>
    <cellStyle name="Input 7 2 2 7 3 2 4" xfId="32298" xr:uid="{00000000-0005-0000-0000-0000257E0000}"/>
    <cellStyle name="Input 7 2 2 7 3 2 5" xfId="32299" xr:uid="{00000000-0005-0000-0000-0000267E0000}"/>
    <cellStyle name="Input 7 2 2 7 3 2 6" xfId="32300" xr:uid="{00000000-0005-0000-0000-0000277E0000}"/>
    <cellStyle name="Input 7 2 2 7 3 3" xfId="32301" xr:uid="{00000000-0005-0000-0000-0000287E0000}"/>
    <cellStyle name="Input 7 2 2 7 3 4" xfId="32302" xr:uid="{00000000-0005-0000-0000-0000297E0000}"/>
    <cellStyle name="Input 7 2 2 7 3 5" xfId="32303" xr:uid="{00000000-0005-0000-0000-00002A7E0000}"/>
    <cellStyle name="Input 7 2 2 7 3 6" xfId="32304" xr:uid="{00000000-0005-0000-0000-00002B7E0000}"/>
    <cellStyle name="Input 7 2 2 7 4" xfId="32305" xr:uid="{00000000-0005-0000-0000-00002C7E0000}"/>
    <cellStyle name="Input 7 2 2 7 4 2" xfId="32306" xr:uid="{00000000-0005-0000-0000-00002D7E0000}"/>
    <cellStyle name="Input 7 2 2 7 4 3" xfId="32307" xr:uid="{00000000-0005-0000-0000-00002E7E0000}"/>
    <cellStyle name="Input 7 2 2 7 4 4" xfId="32308" xr:uid="{00000000-0005-0000-0000-00002F7E0000}"/>
    <cellStyle name="Input 7 2 2 7 4 5" xfId="32309" xr:uid="{00000000-0005-0000-0000-0000307E0000}"/>
    <cellStyle name="Input 7 2 2 7 4 6" xfId="32310" xr:uid="{00000000-0005-0000-0000-0000317E0000}"/>
    <cellStyle name="Input 7 2 2 7 5" xfId="32311" xr:uid="{00000000-0005-0000-0000-0000327E0000}"/>
    <cellStyle name="Input 7 2 2 7 6" xfId="32312" xr:uid="{00000000-0005-0000-0000-0000337E0000}"/>
    <cellStyle name="Input 7 2 2 7 7" xfId="32313" xr:uid="{00000000-0005-0000-0000-0000347E0000}"/>
    <cellStyle name="Input 7 2 2 7 8" xfId="32314" xr:uid="{00000000-0005-0000-0000-0000357E0000}"/>
    <cellStyle name="Input 7 2 2 8" xfId="32315" xr:uid="{00000000-0005-0000-0000-0000367E0000}"/>
    <cellStyle name="Input 7 2 2 8 2" xfId="32316" xr:uid="{00000000-0005-0000-0000-0000377E0000}"/>
    <cellStyle name="Input 7 2 2 8 2 2" xfId="32317" xr:uid="{00000000-0005-0000-0000-0000387E0000}"/>
    <cellStyle name="Input 7 2 2 8 2 3" xfId="32318" xr:uid="{00000000-0005-0000-0000-0000397E0000}"/>
    <cellStyle name="Input 7 2 2 8 2 4" xfId="32319" xr:uid="{00000000-0005-0000-0000-00003A7E0000}"/>
    <cellStyle name="Input 7 2 2 8 2 5" xfId="32320" xr:uid="{00000000-0005-0000-0000-00003B7E0000}"/>
    <cellStyle name="Input 7 2 2 8 2 6" xfId="32321" xr:uid="{00000000-0005-0000-0000-00003C7E0000}"/>
    <cellStyle name="Input 7 2 2 8 3" xfId="32322" xr:uid="{00000000-0005-0000-0000-00003D7E0000}"/>
    <cellStyle name="Input 7 2 2 8 4" xfId="32323" xr:uid="{00000000-0005-0000-0000-00003E7E0000}"/>
    <cellStyle name="Input 7 2 2 8 5" xfId="32324" xr:uid="{00000000-0005-0000-0000-00003F7E0000}"/>
    <cellStyle name="Input 7 2 2 8 6" xfId="32325" xr:uid="{00000000-0005-0000-0000-0000407E0000}"/>
    <cellStyle name="Input 7 2 2 9" xfId="32326" xr:uid="{00000000-0005-0000-0000-0000417E0000}"/>
    <cellStyle name="Input 7 2 2 9 2" xfId="32327" xr:uid="{00000000-0005-0000-0000-0000427E0000}"/>
    <cellStyle name="Input 7 2 2 9 2 2" xfId="32328" xr:uid="{00000000-0005-0000-0000-0000437E0000}"/>
    <cellStyle name="Input 7 2 2 9 2 3" xfId="32329" xr:uid="{00000000-0005-0000-0000-0000447E0000}"/>
    <cellStyle name="Input 7 2 2 9 2 4" xfId="32330" xr:uid="{00000000-0005-0000-0000-0000457E0000}"/>
    <cellStyle name="Input 7 2 2 9 2 5" xfId="32331" xr:uid="{00000000-0005-0000-0000-0000467E0000}"/>
    <cellStyle name="Input 7 2 2 9 2 6" xfId="32332" xr:uid="{00000000-0005-0000-0000-0000477E0000}"/>
    <cellStyle name="Input 7 2 2 9 3" xfId="32333" xr:uid="{00000000-0005-0000-0000-0000487E0000}"/>
    <cellStyle name="Input 7 2 2 9 4" xfId="32334" xr:uid="{00000000-0005-0000-0000-0000497E0000}"/>
    <cellStyle name="Input 7 2 2 9 5" xfId="32335" xr:uid="{00000000-0005-0000-0000-00004A7E0000}"/>
    <cellStyle name="Input 7 2 2 9 6" xfId="32336" xr:uid="{00000000-0005-0000-0000-00004B7E0000}"/>
    <cellStyle name="Input 7 2 3" xfId="32337" xr:uid="{00000000-0005-0000-0000-00004C7E0000}"/>
    <cellStyle name="Input 7 2 3 10" xfId="32338" xr:uid="{00000000-0005-0000-0000-00004D7E0000}"/>
    <cellStyle name="Input 7 2 3 11" xfId="32339" xr:uid="{00000000-0005-0000-0000-00004E7E0000}"/>
    <cellStyle name="Input 7 2 3 12" xfId="32340" xr:uid="{00000000-0005-0000-0000-00004F7E0000}"/>
    <cellStyle name="Input 7 2 3 13" xfId="32341" xr:uid="{00000000-0005-0000-0000-0000507E0000}"/>
    <cellStyle name="Input 7 2 3 2" xfId="32342" xr:uid="{00000000-0005-0000-0000-0000517E0000}"/>
    <cellStyle name="Input 7 2 3 2 2" xfId="32343" xr:uid="{00000000-0005-0000-0000-0000527E0000}"/>
    <cellStyle name="Input 7 2 3 2 2 2" xfId="32344" xr:uid="{00000000-0005-0000-0000-0000537E0000}"/>
    <cellStyle name="Input 7 2 3 2 2 2 2" xfId="32345" xr:uid="{00000000-0005-0000-0000-0000547E0000}"/>
    <cellStyle name="Input 7 2 3 2 2 2 3" xfId="32346" xr:uid="{00000000-0005-0000-0000-0000557E0000}"/>
    <cellStyle name="Input 7 2 3 2 2 2 4" xfId="32347" xr:uid="{00000000-0005-0000-0000-0000567E0000}"/>
    <cellStyle name="Input 7 2 3 2 2 2 5" xfId="32348" xr:uid="{00000000-0005-0000-0000-0000577E0000}"/>
    <cellStyle name="Input 7 2 3 2 2 2 6" xfId="32349" xr:uid="{00000000-0005-0000-0000-0000587E0000}"/>
    <cellStyle name="Input 7 2 3 2 2 3" xfId="32350" xr:uid="{00000000-0005-0000-0000-0000597E0000}"/>
    <cellStyle name="Input 7 2 3 2 2 4" xfId="32351" xr:uid="{00000000-0005-0000-0000-00005A7E0000}"/>
    <cellStyle name="Input 7 2 3 2 2 5" xfId="32352" xr:uid="{00000000-0005-0000-0000-00005B7E0000}"/>
    <cellStyle name="Input 7 2 3 2 2 6" xfId="32353" xr:uid="{00000000-0005-0000-0000-00005C7E0000}"/>
    <cellStyle name="Input 7 2 3 2 3" xfId="32354" xr:uid="{00000000-0005-0000-0000-00005D7E0000}"/>
    <cellStyle name="Input 7 2 3 2 3 2" xfId="32355" xr:uid="{00000000-0005-0000-0000-00005E7E0000}"/>
    <cellStyle name="Input 7 2 3 2 3 2 2" xfId="32356" xr:uid="{00000000-0005-0000-0000-00005F7E0000}"/>
    <cellStyle name="Input 7 2 3 2 3 2 3" xfId="32357" xr:uid="{00000000-0005-0000-0000-0000607E0000}"/>
    <cellStyle name="Input 7 2 3 2 3 2 4" xfId="32358" xr:uid="{00000000-0005-0000-0000-0000617E0000}"/>
    <cellStyle name="Input 7 2 3 2 3 2 5" xfId="32359" xr:uid="{00000000-0005-0000-0000-0000627E0000}"/>
    <cellStyle name="Input 7 2 3 2 3 2 6" xfId="32360" xr:uid="{00000000-0005-0000-0000-0000637E0000}"/>
    <cellStyle name="Input 7 2 3 2 3 3" xfId="32361" xr:uid="{00000000-0005-0000-0000-0000647E0000}"/>
    <cellStyle name="Input 7 2 3 2 3 4" xfId="32362" xr:uid="{00000000-0005-0000-0000-0000657E0000}"/>
    <cellStyle name="Input 7 2 3 2 3 5" xfId="32363" xr:uid="{00000000-0005-0000-0000-0000667E0000}"/>
    <cellStyle name="Input 7 2 3 2 3 6" xfId="32364" xr:uid="{00000000-0005-0000-0000-0000677E0000}"/>
    <cellStyle name="Input 7 2 3 2 4" xfId="32365" xr:uid="{00000000-0005-0000-0000-0000687E0000}"/>
    <cellStyle name="Input 7 2 3 2 4 2" xfId="32366" xr:uid="{00000000-0005-0000-0000-0000697E0000}"/>
    <cellStyle name="Input 7 2 3 2 4 3" xfId="32367" xr:uid="{00000000-0005-0000-0000-00006A7E0000}"/>
    <cellStyle name="Input 7 2 3 2 4 4" xfId="32368" xr:uid="{00000000-0005-0000-0000-00006B7E0000}"/>
    <cellStyle name="Input 7 2 3 2 4 5" xfId="32369" xr:uid="{00000000-0005-0000-0000-00006C7E0000}"/>
    <cellStyle name="Input 7 2 3 2 4 6" xfId="32370" xr:uid="{00000000-0005-0000-0000-00006D7E0000}"/>
    <cellStyle name="Input 7 2 3 2 5" xfId="32371" xr:uid="{00000000-0005-0000-0000-00006E7E0000}"/>
    <cellStyle name="Input 7 2 3 2 6" xfId="32372" xr:uid="{00000000-0005-0000-0000-00006F7E0000}"/>
    <cellStyle name="Input 7 2 3 2 7" xfId="32373" xr:uid="{00000000-0005-0000-0000-0000707E0000}"/>
    <cellStyle name="Input 7 2 3 2 8" xfId="32374" xr:uid="{00000000-0005-0000-0000-0000717E0000}"/>
    <cellStyle name="Input 7 2 3 3" xfId="32375" xr:uid="{00000000-0005-0000-0000-0000727E0000}"/>
    <cellStyle name="Input 7 2 3 3 2" xfId="32376" xr:uid="{00000000-0005-0000-0000-0000737E0000}"/>
    <cellStyle name="Input 7 2 3 3 2 2" xfId="32377" xr:uid="{00000000-0005-0000-0000-0000747E0000}"/>
    <cellStyle name="Input 7 2 3 3 2 2 2" xfId="32378" xr:uid="{00000000-0005-0000-0000-0000757E0000}"/>
    <cellStyle name="Input 7 2 3 3 2 2 3" xfId="32379" xr:uid="{00000000-0005-0000-0000-0000767E0000}"/>
    <cellStyle name="Input 7 2 3 3 2 2 4" xfId="32380" xr:uid="{00000000-0005-0000-0000-0000777E0000}"/>
    <cellStyle name="Input 7 2 3 3 2 2 5" xfId="32381" xr:uid="{00000000-0005-0000-0000-0000787E0000}"/>
    <cellStyle name="Input 7 2 3 3 2 2 6" xfId="32382" xr:uid="{00000000-0005-0000-0000-0000797E0000}"/>
    <cellStyle name="Input 7 2 3 3 2 3" xfId="32383" xr:uid="{00000000-0005-0000-0000-00007A7E0000}"/>
    <cellStyle name="Input 7 2 3 3 2 4" xfId="32384" xr:uid="{00000000-0005-0000-0000-00007B7E0000}"/>
    <cellStyle name="Input 7 2 3 3 2 5" xfId="32385" xr:uid="{00000000-0005-0000-0000-00007C7E0000}"/>
    <cellStyle name="Input 7 2 3 3 2 6" xfId="32386" xr:uid="{00000000-0005-0000-0000-00007D7E0000}"/>
    <cellStyle name="Input 7 2 3 3 3" xfId="32387" xr:uid="{00000000-0005-0000-0000-00007E7E0000}"/>
    <cellStyle name="Input 7 2 3 3 3 2" xfId="32388" xr:uid="{00000000-0005-0000-0000-00007F7E0000}"/>
    <cellStyle name="Input 7 2 3 3 3 2 2" xfId="32389" xr:uid="{00000000-0005-0000-0000-0000807E0000}"/>
    <cellStyle name="Input 7 2 3 3 3 2 3" xfId="32390" xr:uid="{00000000-0005-0000-0000-0000817E0000}"/>
    <cellStyle name="Input 7 2 3 3 3 2 4" xfId="32391" xr:uid="{00000000-0005-0000-0000-0000827E0000}"/>
    <cellStyle name="Input 7 2 3 3 3 2 5" xfId="32392" xr:uid="{00000000-0005-0000-0000-0000837E0000}"/>
    <cellStyle name="Input 7 2 3 3 3 2 6" xfId="32393" xr:uid="{00000000-0005-0000-0000-0000847E0000}"/>
    <cellStyle name="Input 7 2 3 3 3 3" xfId="32394" xr:uid="{00000000-0005-0000-0000-0000857E0000}"/>
    <cellStyle name="Input 7 2 3 3 3 4" xfId="32395" xr:uid="{00000000-0005-0000-0000-0000867E0000}"/>
    <cellStyle name="Input 7 2 3 3 3 5" xfId="32396" xr:uid="{00000000-0005-0000-0000-0000877E0000}"/>
    <cellStyle name="Input 7 2 3 3 3 6" xfId="32397" xr:uid="{00000000-0005-0000-0000-0000887E0000}"/>
    <cellStyle name="Input 7 2 3 3 4" xfId="32398" xr:uid="{00000000-0005-0000-0000-0000897E0000}"/>
    <cellStyle name="Input 7 2 3 3 4 2" xfId="32399" xr:uid="{00000000-0005-0000-0000-00008A7E0000}"/>
    <cellStyle name="Input 7 2 3 3 4 3" xfId="32400" xr:uid="{00000000-0005-0000-0000-00008B7E0000}"/>
    <cellStyle name="Input 7 2 3 3 4 4" xfId="32401" xr:uid="{00000000-0005-0000-0000-00008C7E0000}"/>
    <cellStyle name="Input 7 2 3 3 4 5" xfId="32402" xr:uid="{00000000-0005-0000-0000-00008D7E0000}"/>
    <cellStyle name="Input 7 2 3 3 4 6" xfId="32403" xr:uid="{00000000-0005-0000-0000-00008E7E0000}"/>
    <cellStyle name="Input 7 2 3 3 5" xfId="32404" xr:uid="{00000000-0005-0000-0000-00008F7E0000}"/>
    <cellStyle name="Input 7 2 3 3 6" xfId="32405" xr:uid="{00000000-0005-0000-0000-0000907E0000}"/>
    <cellStyle name="Input 7 2 3 3 7" xfId="32406" xr:uid="{00000000-0005-0000-0000-0000917E0000}"/>
    <cellStyle name="Input 7 2 3 3 8" xfId="32407" xr:uid="{00000000-0005-0000-0000-0000927E0000}"/>
    <cellStyle name="Input 7 2 3 4" xfId="32408" xr:uid="{00000000-0005-0000-0000-0000937E0000}"/>
    <cellStyle name="Input 7 2 3 4 2" xfId="32409" xr:uid="{00000000-0005-0000-0000-0000947E0000}"/>
    <cellStyle name="Input 7 2 3 4 2 2" xfId="32410" xr:uid="{00000000-0005-0000-0000-0000957E0000}"/>
    <cellStyle name="Input 7 2 3 4 2 2 2" xfId="32411" xr:uid="{00000000-0005-0000-0000-0000967E0000}"/>
    <cellStyle name="Input 7 2 3 4 2 2 3" xfId="32412" xr:uid="{00000000-0005-0000-0000-0000977E0000}"/>
    <cellStyle name="Input 7 2 3 4 2 2 4" xfId="32413" xr:uid="{00000000-0005-0000-0000-0000987E0000}"/>
    <cellStyle name="Input 7 2 3 4 2 2 5" xfId="32414" xr:uid="{00000000-0005-0000-0000-0000997E0000}"/>
    <cellStyle name="Input 7 2 3 4 2 2 6" xfId="32415" xr:uid="{00000000-0005-0000-0000-00009A7E0000}"/>
    <cellStyle name="Input 7 2 3 4 2 3" xfId="32416" xr:uid="{00000000-0005-0000-0000-00009B7E0000}"/>
    <cellStyle name="Input 7 2 3 4 2 4" xfId="32417" xr:uid="{00000000-0005-0000-0000-00009C7E0000}"/>
    <cellStyle name="Input 7 2 3 4 2 5" xfId="32418" xr:uid="{00000000-0005-0000-0000-00009D7E0000}"/>
    <cellStyle name="Input 7 2 3 4 2 6" xfId="32419" xr:uid="{00000000-0005-0000-0000-00009E7E0000}"/>
    <cellStyle name="Input 7 2 3 4 3" xfId="32420" xr:uid="{00000000-0005-0000-0000-00009F7E0000}"/>
    <cellStyle name="Input 7 2 3 4 3 2" xfId="32421" xr:uid="{00000000-0005-0000-0000-0000A07E0000}"/>
    <cellStyle name="Input 7 2 3 4 3 2 2" xfId="32422" xr:uid="{00000000-0005-0000-0000-0000A17E0000}"/>
    <cellStyle name="Input 7 2 3 4 3 2 3" xfId="32423" xr:uid="{00000000-0005-0000-0000-0000A27E0000}"/>
    <cellStyle name="Input 7 2 3 4 3 2 4" xfId="32424" xr:uid="{00000000-0005-0000-0000-0000A37E0000}"/>
    <cellStyle name="Input 7 2 3 4 3 2 5" xfId="32425" xr:uid="{00000000-0005-0000-0000-0000A47E0000}"/>
    <cellStyle name="Input 7 2 3 4 3 2 6" xfId="32426" xr:uid="{00000000-0005-0000-0000-0000A57E0000}"/>
    <cellStyle name="Input 7 2 3 4 3 3" xfId="32427" xr:uid="{00000000-0005-0000-0000-0000A67E0000}"/>
    <cellStyle name="Input 7 2 3 4 3 4" xfId="32428" xr:uid="{00000000-0005-0000-0000-0000A77E0000}"/>
    <cellStyle name="Input 7 2 3 4 3 5" xfId="32429" xr:uid="{00000000-0005-0000-0000-0000A87E0000}"/>
    <cellStyle name="Input 7 2 3 4 3 6" xfId="32430" xr:uid="{00000000-0005-0000-0000-0000A97E0000}"/>
    <cellStyle name="Input 7 2 3 4 4" xfId="32431" xr:uid="{00000000-0005-0000-0000-0000AA7E0000}"/>
    <cellStyle name="Input 7 2 3 4 4 2" xfId="32432" xr:uid="{00000000-0005-0000-0000-0000AB7E0000}"/>
    <cellStyle name="Input 7 2 3 4 4 3" xfId="32433" xr:uid="{00000000-0005-0000-0000-0000AC7E0000}"/>
    <cellStyle name="Input 7 2 3 4 4 4" xfId="32434" xr:uid="{00000000-0005-0000-0000-0000AD7E0000}"/>
    <cellStyle name="Input 7 2 3 4 4 5" xfId="32435" xr:uid="{00000000-0005-0000-0000-0000AE7E0000}"/>
    <cellStyle name="Input 7 2 3 4 4 6" xfId="32436" xr:uid="{00000000-0005-0000-0000-0000AF7E0000}"/>
    <cellStyle name="Input 7 2 3 4 5" xfId="32437" xr:uid="{00000000-0005-0000-0000-0000B07E0000}"/>
    <cellStyle name="Input 7 2 3 4 6" xfId="32438" xr:uid="{00000000-0005-0000-0000-0000B17E0000}"/>
    <cellStyle name="Input 7 2 3 4 7" xfId="32439" xr:uid="{00000000-0005-0000-0000-0000B27E0000}"/>
    <cellStyle name="Input 7 2 3 4 8" xfId="32440" xr:uid="{00000000-0005-0000-0000-0000B37E0000}"/>
    <cellStyle name="Input 7 2 3 5" xfId="32441" xr:uid="{00000000-0005-0000-0000-0000B47E0000}"/>
    <cellStyle name="Input 7 2 3 5 2" xfId="32442" xr:uid="{00000000-0005-0000-0000-0000B57E0000}"/>
    <cellStyle name="Input 7 2 3 5 2 2" xfId="32443" xr:uid="{00000000-0005-0000-0000-0000B67E0000}"/>
    <cellStyle name="Input 7 2 3 5 2 2 2" xfId="32444" xr:uid="{00000000-0005-0000-0000-0000B77E0000}"/>
    <cellStyle name="Input 7 2 3 5 2 2 3" xfId="32445" xr:uid="{00000000-0005-0000-0000-0000B87E0000}"/>
    <cellStyle name="Input 7 2 3 5 2 2 4" xfId="32446" xr:uid="{00000000-0005-0000-0000-0000B97E0000}"/>
    <cellStyle name="Input 7 2 3 5 2 2 5" xfId="32447" xr:uid="{00000000-0005-0000-0000-0000BA7E0000}"/>
    <cellStyle name="Input 7 2 3 5 2 2 6" xfId="32448" xr:uid="{00000000-0005-0000-0000-0000BB7E0000}"/>
    <cellStyle name="Input 7 2 3 5 2 3" xfId="32449" xr:uid="{00000000-0005-0000-0000-0000BC7E0000}"/>
    <cellStyle name="Input 7 2 3 5 2 4" xfId="32450" xr:uid="{00000000-0005-0000-0000-0000BD7E0000}"/>
    <cellStyle name="Input 7 2 3 5 2 5" xfId="32451" xr:uid="{00000000-0005-0000-0000-0000BE7E0000}"/>
    <cellStyle name="Input 7 2 3 5 2 6" xfId="32452" xr:uid="{00000000-0005-0000-0000-0000BF7E0000}"/>
    <cellStyle name="Input 7 2 3 5 3" xfId="32453" xr:uid="{00000000-0005-0000-0000-0000C07E0000}"/>
    <cellStyle name="Input 7 2 3 5 3 2" xfId="32454" xr:uid="{00000000-0005-0000-0000-0000C17E0000}"/>
    <cellStyle name="Input 7 2 3 5 3 2 2" xfId="32455" xr:uid="{00000000-0005-0000-0000-0000C27E0000}"/>
    <cellStyle name="Input 7 2 3 5 3 2 3" xfId="32456" xr:uid="{00000000-0005-0000-0000-0000C37E0000}"/>
    <cellStyle name="Input 7 2 3 5 3 2 4" xfId="32457" xr:uid="{00000000-0005-0000-0000-0000C47E0000}"/>
    <cellStyle name="Input 7 2 3 5 3 2 5" xfId="32458" xr:uid="{00000000-0005-0000-0000-0000C57E0000}"/>
    <cellStyle name="Input 7 2 3 5 3 2 6" xfId="32459" xr:uid="{00000000-0005-0000-0000-0000C67E0000}"/>
    <cellStyle name="Input 7 2 3 5 3 3" xfId="32460" xr:uid="{00000000-0005-0000-0000-0000C77E0000}"/>
    <cellStyle name="Input 7 2 3 5 3 4" xfId="32461" xr:uid="{00000000-0005-0000-0000-0000C87E0000}"/>
    <cellStyle name="Input 7 2 3 5 3 5" xfId="32462" xr:uid="{00000000-0005-0000-0000-0000C97E0000}"/>
    <cellStyle name="Input 7 2 3 5 3 6" xfId="32463" xr:uid="{00000000-0005-0000-0000-0000CA7E0000}"/>
    <cellStyle name="Input 7 2 3 5 4" xfId="32464" xr:uid="{00000000-0005-0000-0000-0000CB7E0000}"/>
    <cellStyle name="Input 7 2 3 5 4 2" xfId="32465" xr:uid="{00000000-0005-0000-0000-0000CC7E0000}"/>
    <cellStyle name="Input 7 2 3 5 4 3" xfId="32466" xr:uid="{00000000-0005-0000-0000-0000CD7E0000}"/>
    <cellStyle name="Input 7 2 3 5 4 4" xfId="32467" xr:uid="{00000000-0005-0000-0000-0000CE7E0000}"/>
    <cellStyle name="Input 7 2 3 5 4 5" xfId="32468" xr:uid="{00000000-0005-0000-0000-0000CF7E0000}"/>
    <cellStyle name="Input 7 2 3 5 4 6" xfId="32469" xr:uid="{00000000-0005-0000-0000-0000D07E0000}"/>
    <cellStyle name="Input 7 2 3 5 5" xfId="32470" xr:uid="{00000000-0005-0000-0000-0000D17E0000}"/>
    <cellStyle name="Input 7 2 3 5 6" xfId="32471" xr:uid="{00000000-0005-0000-0000-0000D27E0000}"/>
    <cellStyle name="Input 7 2 3 5 7" xfId="32472" xr:uid="{00000000-0005-0000-0000-0000D37E0000}"/>
    <cellStyle name="Input 7 2 3 5 8" xfId="32473" xr:uid="{00000000-0005-0000-0000-0000D47E0000}"/>
    <cellStyle name="Input 7 2 3 6" xfId="32474" xr:uid="{00000000-0005-0000-0000-0000D57E0000}"/>
    <cellStyle name="Input 7 2 3 6 2" xfId="32475" xr:uid="{00000000-0005-0000-0000-0000D67E0000}"/>
    <cellStyle name="Input 7 2 3 6 2 2" xfId="32476" xr:uid="{00000000-0005-0000-0000-0000D77E0000}"/>
    <cellStyle name="Input 7 2 3 6 2 2 2" xfId="32477" xr:uid="{00000000-0005-0000-0000-0000D87E0000}"/>
    <cellStyle name="Input 7 2 3 6 2 2 3" xfId="32478" xr:uid="{00000000-0005-0000-0000-0000D97E0000}"/>
    <cellStyle name="Input 7 2 3 6 2 2 4" xfId="32479" xr:uid="{00000000-0005-0000-0000-0000DA7E0000}"/>
    <cellStyle name="Input 7 2 3 6 2 2 5" xfId="32480" xr:uid="{00000000-0005-0000-0000-0000DB7E0000}"/>
    <cellStyle name="Input 7 2 3 6 2 2 6" xfId="32481" xr:uid="{00000000-0005-0000-0000-0000DC7E0000}"/>
    <cellStyle name="Input 7 2 3 6 2 3" xfId="32482" xr:uid="{00000000-0005-0000-0000-0000DD7E0000}"/>
    <cellStyle name="Input 7 2 3 6 2 4" xfId="32483" xr:uid="{00000000-0005-0000-0000-0000DE7E0000}"/>
    <cellStyle name="Input 7 2 3 6 2 5" xfId="32484" xr:uid="{00000000-0005-0000-0000-0000DF7E0000}"/>
    <cellStyle name="Input 7 2 3 6 2 6" xfId="32485" xr:uid="{00000000-0005-0000-0000-0000E07E0000}"/>
    <cellStyle name="Input 7 2 3 6 3" xfId="32486" xr:uid="{00000000-0005-0000-0000-0000E17E0000}"/>
    <cellStyle name="Input 7 2 3 6 3 2" xfId="32487" xr:uid="{00000000-0005-0000-0000-0000E27E0000}"/>
    <cellStyle name="Input 7 2 3 6 3 2 2" xfId="32488" xr:uid="{00000000-0005-0000-0000-0000E37E0000}"/>
    <cellStyle name="Input 7 2 3 6 3 2 3" xfId="32489" xr:uid="{00000000-0005-0000-0000-0000E47E0000}"/>
    <cellStyle name="Input 7 2 3 6 3 2 4" xfId="32490" xr:uid="{00000000-0005-0000-0000-0000E57E0000}"/>
    <cellStyle name="Input 7 2 3 6 3 2 5" xfId="32491" xr:uid="{00000000-0005-0000-0000-0000E67E0000}"/>
    <cellStyle name="Input 7 2 3 6 3 2 6" xfId="32492" xr:uid="{00000000-0005-0000-0000-0000E77E0000}"/>
    <cellStyle name="Input 7 2 3 6 3 3" xfId="32493" xr:uid="{00000000-0005-0000-0000-0000E87E0000}"/>
    <cellStyle name="Input 7 2 3 6 3 4" xfId="32494" xr:uid="{00000000-0005-0000-0000-0000E97E0000}"/>
    <cellStyle name="Input 7 2 3 6 3 5" xfId="32495" xr:uid="{00000000-0005-0000-0000-0000EA7E0000}"/>
    <cellStyle name="Input 7 2 3 6 3 6" xfId="32496" xr:uid="{00000000-0005-0000-0000-0000EB7E0000}"/>
    <cellStyle name="Input 7 2 3 6 4" xfId="32497" xr:uid="{00000000-0005-0000-0000-0000EC7E0000}"/>
    <cellStyle name="Input 7 2 3 6 4 2" xfId="32498" xr:uid="{00000000-0005-0000-0000-0000ED7E0000}"/>
    <cellStyle name="Input 7 2 3 6 4 3" xfId="32499" xr:uid="{00000000-0005-0000-0000-0000EE7E0000}"/>
    <cellStyle name="Input 7 2 3 6 4 4" xfId="32500" xr:uid="{00000000-0005-0000-0000-0000EF7E0000}"/>
    <cellStyle name="Input 7 2 3 6 4 5" xfId="32501" xr:uid="{00000000-0005-0000-0000-0000F07E0000}"/>
    <cellStyle name="Input 7 2 3 6 4 6" xfId="32502" xr:uid="{00000000-0005-0000-0000-0000F17E0000}"/>
    <cellStyle name="Input 7 2 3 6 5" xfId="32503" xr:uid="{00000000-0005-0000-0000-0000F27E0000}"/>
    <cellStyle name="Input 7 2 3 6 6" xfId="32504" xr:uid="{00000000-0005-0000-0000-0000F37E0000}"/>
    <cellStyle name="Input 7 2 3 6 7" xfId="32505" xr:uid="{00000000-0005-0000-0000-0000F47E0000}"/>
    <cellStyle name="Input 7 2 3 6 8" xfId="32506" xr:uid="{00000000-0005-0000-0000-0000F57E0000}"/>
    <cellStyle name="Input 7 2 3 7" xfId="32507" xr:uid="{00000000-0005-0000-0000-0000F67E0000}"/>
    <cellStyle name="Input 7 2 3 7 2" xfId="32508" xr:uid="{00000000-0005-0000-0000-0000F77E0000}"/>
    <cellStyle name="Input 7 2 3 7 2 2" xfId="32509" xr:uid="{00000000-0005-0000-0000-0000F87E0000}"/>
    <cellStyle name="Input 7 2 3 7 2 3" xfId="32510" xr:uid="{00000000-0005-0000-0000-0000F97E0000}"/>
    <cellStyle name="Input 7 2 3 7 2 4" xfId="32511" xr:uid="{00000000-0005-0000-0000-0000FA7E0000}"/>
    <cellStyle name="Input 7 2 3 7 2 5" xfId="32512" xr:uid="{00000000-0005-0000-0000-0000FB7E0000}"/>
    <cellStyle name="Input 7 2 3 7 2 6" xfId="32513" xr:uid="{00000000-0005-0000-0000-0000FC7E0000}"/>
    <cellStyle name="Input 7 2 3 7 3" xfId="32514" xr:uid="{00000000-0005-0000-0000-0000FD7E0000}"/>
    <cellStyle name="Input 7 2 3 7 4" xfId="32515" xr:uid="{00000000-0005-0000-0000-0000FE7E0000}"/>
    <cellStyle name="Input 7 2 3 7 5" xfId="32516" xr:uid="{00000000-0005-0000-0000-0000FF7E0000}"/>
    <cellStyle name="Input 7 2 3 7 6" xfId="32517" xr:uid="{00000000-0005-0000-0000-0000007F0000}"/>
    <cellStyle name="Input 7 2 3 8" xfId="32518" xr:uid="{00000000-0005-0000-0000-0000017F0000}"/>
    <cellStyle name="Input 7 2 3 8 2" xfId="32519" xr:uid="{00000000-0005-0000-0000-0000027F0000}"/>
    <cellStyle name="Input 7 2 3 8 2 2" xfId="32520" xr:uid="{00000000-0005-0000-0000-0000037F0000}"/>
    <cellStyle name="Input 7 2 3 8 2 3" xfId="32521" xr:uid="{00000000-0005-0000-0000-0000047F0000}"/>
    <cellStyle name="Input 7 2 3 8 2 4" xfId="32522" xr:uid="{00000000-0005-0000-0000-0000057F0000}"/>
    <cellStyle name="Input 7 2 3 8 2 5" xfId="32523" xr:uid="{00000000-0005-0000-0000-0000067F0000}"/>
    <cellStyle name="Input 7 2 3 8 2 6" xfId="32524" xr:uid="{00000000-0005-0000-0000-0000077F0000}"/>
    <cellStyle name="Input 7 2 3 8 3" xfId="32525" xr:uid="{00000000-0005-0000-0000-0000087F0000}"/>
    <cellStyle name="Input 7 2 3 8 4" xfId="32526" xr:uid="{00000000-0005-0000-0000-0000097F0000}"/>
    <cellStyle name="Input 7 2 3 8 5" xfId="32527" xr:uid="{00000000-0005-0000-0000-00000A7F0000}"/>
    <cellStyle name="Input 7 2 3 8 6" xfId="32528" xr:uid="{00000000-0005-0000-0000-00000B7F0000}"/>
    <cellStyle name="Input 7 2 3 9" xfId="32529" xr:uid="{00000000-0005-0000-0000-00000C7F0000}"/>
    <cellStyle name="Input 7 2 3 9 2" xfId="32530" xr:uid="{00000000-0005-0000-0000-00000D7F0000}"/>
    <cellStyle name="Input 7 2 3 9 3" xfId="32531" xr:uid="{00000000-0005-0000-0000-00000E7F0000}"/>
    <cellStyle name="Input 7 2 3 9 4" xfId="32532" xr:uid="{00000000-0005-0000-0000-00000F7F0000}"/>
    <cellStyle name="Input 7 2 3 9 5" xfId="32533" xr:uid="{00000000-0005-0000-0000-0000107F0000}"/>
    <cellStyle name="Input 7 2 3 9 6" xfId="32534" xr:uid="{00000000-0005-0000-0000-0000117F0000}"/>
    <cellStyle name="Input 7 2 4" xfId="32535" xr:uid="{00000000-0005-0000-0000-0000127F0000}"/>
    <cellStyle name="Input 7 2 4 2" xfId="32536" xr:uid="{00000000-0005-0000-0000-0000137F0000}"/>
    <cellStyle name="Input 7 2 4 2 2" xfId="32537" xr:uid="{00000000-0005-0000-0000-0000147F0000}"/>
    <cellStyle name="Input 7 2 4 2 2 2" xfId="32538" xr:uid="{00000000-0005-0000-0000-0000157F0000}"/>
    <cellStyle name="Input 7 2 4 2 2 3" xfId="32539" xr:uid="{00000000-0005-0000-0000-0000167F0000}"/>
    <cellStyle name="Input 7 2 4 2 2 4" xfId="32540" xr:uid="{00000000-0005-0000-0000-0000177F0000}"/>
    <cellStyle name="Input 7 2 4 2 2 5" xfId="32541" xr:uid="{00000000-0005-0000-0000-0000187F0000}"/>
    <cellStyle name="Input 7 2 4 2 2 6" xfId="32542" xr:uid="{00000000-0005-0000-0000-0000197F0000}"/>
    <cellStyle name="Input 7 2 4 2 3" xfId="32543" xr:uid="{00000000-0005-0000-0000-00001A7F0000}"/>
    <cellStyle name="Input 7 2 4 2 4" xfId="32544" xr:uid="{00000000-0005-0000-0000-00001B7F0000}"/>
    <cellStyle name="Input 7 2 4 2 5" xfId="32545" xr:uid="{00000000-0005-0000-0000-00001C7F0000}"/>
    <cellStyle name="Input 7 2 4 2 6" xfId="32546" xr:uid="{00000000-0005-0000-0000-00001D7F0000}"/>
    <cellStyle name="Input 7 2 4 3" xfId="32547" xr:uid="{00000000-0005-0000-0000-00001E7F0000}"/>
    <cellStyle name="Input 7 2 4 3 2" xfId="32548" xr:uid="{00000000-0005-0000-0000-00001F7F0000}"/>
    <cellStyle name="Input 7 2 4 3 2 2" xfId="32549" xr:uid="{00000000-0005-0000-0000-0000207F0000}"/>
    <cellStyle name="Input 7 2 4 3 2 3" xfId="32550" xr:uid="{00000000-0005-0000-0000-0000217F0000}"/>
    <cellStyle name="Input 7 2 4 3 2 4" xfId="32551" xr:uid="{00000000-0005-0000-0000-0000227F0000}"/>
    <cellStyle name="Input 7 2 4 3 2 5" xfId="32552" xr:uid="{00000000-0005-0000-0000-0000237F0000}"/>
    <cellStyle name="Input 7 2 4 3 2 6" xfId="32553" xr:uid="{00000000-0005-0000-0000-0000247F0000}"/>
    <cellStyle name="Input 7 2 4 3 3" xfId="32554" xr:uid="{00000000-0005-0000-0000-0000257F0000}"/>
    <cellStyle name="Input 7 2 4 3 4" xfId="32555" xr:uid="{00000000-0005-0000-0000-0000267F0000}"/>
    <cellStyle name="Input 7 2 4 3 5" xfId="32556" xr:uid="{00000000-0005-0000-0000-0000277F0000}"/>
    <cellStyle name="Input 7 2 4 3 6" xfId="32557" xr:uid="{00000000-0005-0000-0000-0000287F0000}"/>
    <cellStyle name="Input 7 2 4 4" xfId="32558" xr:uid="{00000000-0005-0000-0000-0000297F0000}"/>
    <cellStyle name="Input 7 2 4 4 2" xfId="32559" xr:uid="{00000000-0005-0000-0000-00002A7F0000}"/>
    <cellStyle name="Input 7 2 4 4 3" xfId="32560" xr:uid="{00000000-0005-0000-0000-00002B7F0000}"/>
    <cellStyle name="Input 7 2 4 4 4" xfId="32561" xr:uid="{00000000-0005-0000-0000-00002C7F0000}"/>
    <cellStyle name="Input 7 2 4 4 5" xfId="32562" xr:uid="{00000000-0005-0000-0000-00002D7F0000}"/>
    <cellStyle name="Input 7 2 4 4 6" xfId="32563" xr:uid="{00000000-0005-0000-0000-00002E7F0000}"/>
    <cellStyle name="Input 7 2 4 5" xfId="32564" xr:uid="{00000000-0005-0000-0000-00002F7F0000}"/>
    <cellStyle name="Input 7 2 4 6" xfId="32565" xr:uid="{00000000-0005-0000-0000-0000307F0000}"/>
    <cellStyle name="Input 7 2 4 7" xfId="32566" xr:uid="{00000000-0005-0000-0000-0000317F0000}"/>
    <cellStyle name="Input 7 2 4 8" xfId="32567" xr:uid="{00000000-0005-0000-0000-0000327F0000}"/>
    <cellStyle name="Input 7 2 5" xfId="32568" xr:uid="{00000000-0005-0000-0000-0000337F0000}"/>
    <cellStyle name="Input 7 2 5 2" xfId="32569" xr:uid="{00000000-0005-0000-0000-0000347F0000}"/>
    <cellStyle name="Input 7 2 5 2 2" xfId="32570" xr:uid="{00000000-0005-0000-0000-0000357F0000}"/>
    <cellStyle name="Input 7 2 5 2 2 2" xfId="32571" xr:uid="{00000000-0005-0000-0000-0000367F0000}"/>
    <cellStyle name="Input 7 2 5 2 2 3" xfId="32572" xr:uid="{00000000-0005-0000-0000-0000377F0000}"/>
    <cellStyle name="Input 7 2 5 2 2 4" xfId="32573" xr:uid="{00000000-0005-0000-0000-0000387F0000}"/>
    <cellStyle name="Input 7 2 5 2 2 5" xfId="32574" xr:uid="{00000000-0005-0000-0000-0000397F0000}"/>
    <cellStyle name="Input 7 2 5 2 2 6" xfId="32575" xr:uid="{00000000-0005-0000-0000-00003A7F0000}"/>
    <cellStyle name="Input 7 2 5 2 3" xfId="32576" xr:uid="{00000000-0005-0000-0000-00003B7F0000}"/>
    <cellStyle name="Input 7 2 5 2 4" xfId="32577" xr:uid="{00000000-0005-0000-0000-00003C7F0000}"/>
    <cellStyle name="Input 7 2 5 2 5" xfId="32578" xr:uid="{00000000-0005-0000-0000-00003D7F0000}"/>
    <cellStyle name="Input 7 2 5 2 6" xfId="32579" xr:uid="{00000000-0005-0000-0000-00003E7F0000}"/>
    <cellStyle name="Input 7 2 5 3" xfId="32580" xr:uid="{00000000-0005-0000-0000-00003F7F0000}"/>
    <cellStyle name="Input 7 2 5 3 2" xfId="32581" xr:uid="{00000000-0005-0000-0000-0000407F0000}"/>
    <cellStyle name="Input 7 2 5 3 2 2" xfId="32582" xr:uid="{00000000-0005-0000-0000-0000417F0000}"/>
    <cellStyle name="Input 7 2 5 3 2 3" xfId="32583" xr:uid="{00000000-0005-0000-0000-0000427F0000}"/>
    <cellStyle name="Input 7 2 5 3 2 4" xfId="32584" xr:uid="{00000000-0005-0000-0000-0000437F0000}"/>
    <cellStyle name="Input 7 2 5 3 2 5" xfId="32585" xr:uid="{00000000-0005-0000-0000-0000447F0000}"/>
    <cellStyle name="Input 7 2 5 3 2 6" xfId="32586" xr:uid="{00000000-0005-0000-0000-0000457F0000}"/>
    <cellStyle name="Input 7 2 5 3 3" xfId="32587" xr:uid="{00000000-0005-0000-0000-0000467F0000}"/>
    <cellStyle name="Input 7 2 5 3 4" xfId="32588" xr:uid="{00000000-0005-0000-0000-0000477F0000}"/>
    <cellStyle name="Input 7 2 5 3 5" xfId="32589" xr:uid="{00000000-0005-0000-0000-0000487F0000}"/>
    <cellStyle name="Input 7 2 5 3 6" xfId="32590" xr:uid="{00000000-0005-0000-0000-0000497F0000}"/>
    <cellStyle name="Input 7 2 5 4" xfId="32591" xr:uid="{00000000-0005-0000-0000-00004A7F0000}"/>
    <cellStyle name="Input 7 2 5 4 2" xfId="32592" xr:uid="{00000000-0005-0000-0000-00004B7F0000}"/>
    <cellStyle name="Input 7 2 5 4 3" xfId="32593" xr:uid="{00000000-0005-0000-0000-00004C7F0000}"/>
    <cellStyle name="Input 7 2 5 4 4" xfId="32594" xr:uid="{00000000-0005-0000-0000-00004D7F0000}"/>
    <cellStyle name="Input 7 2 5 4 5" xfId="32595" xr:uid="{00000000-0005-0000-0000-00004E7F0000}"/>
    <cellStyle name="Input 7 2 5 4 6" xfId="32596" xr:uid="{00000000-0005-0000-0000-00004F7F0000}"/>
    <cellStyle name="Input 7 2 5 5" xfId="32597" xr:uid="{00000000-0005-0000-0000-0000507F0000}"/>
    <cellStyle name="Input 7 2 5 6" xfId="32598" xr:uid="{00000000-0005-0000-0000-0000517F0000}"/>
    <cellStyle name="Input 7 2 5 7" xfId="32599" xr:uid="{00000000-0005-0000-0000-0000527F0000}"/>
    <cellStyle name="Input 7 2 5 8" xfId="32600" xr:uid="{00000000-0005-0000-0000-0000537F0000}"/>
    <cellStyle name="Input 7 2 6" xfId="32601" xr:uid="{00000000-0005-0000-0000-0000547F0000}"/>
    <cellStyle name="Input 7 2 6 2" xfId="32602" xr:uid="{00000000-0005-0000-0000-0000557F0000}"/>
    <cellStyle name="Input 7 2 6 2 2" xfId="32603" xr:uid="{00000000-0005-0000-0000-0000567F0000}"/>
    <cellStyle name="Input 7 2 6 2 2 2" xfId="32604" xr:uid="{00000000-0005-0000-0000-0000577F0000}"/>
    <cellStyle name="Input 7 2 6 2 2 3" xfId="32605" xr:uid="{00000000-0005-0000-0000-0000587F0000}"/>
    <cellStyle name="Input 7 2 6 2 2 4" xfId="32606" xr:uid="{00000000-0005-0000-0000-0000597F0000}"/>
    <cellStyle name="Input 7 2 6 2 2 5" xfId="32607" xr:uid="{00000000-0005-0000-0000-00005A7F0000}"/>
    <cellStyle name="Input 7 2 6 2 2 6" xfId="32608" xr:uid="{00000000-0005-0000-0000-00005B7F0000}"/>
    <cellStyle name="Input 7 2 6 2 3" xfId="32609" xr:uid="{00000000-0005-0000-0000-00005C7F0000}"/>
    <cellStyle name="Input 7 2 6 2 4" xfId="32610" xr:uid="{00000000-0005-0000-0000-00005D7F0000}"/>
    <cellStyle name="Input 7 2 6 2 5" xfId="32611" xr:uid="{00000000-0005-0000-0000-00005E7F0000}"/>
    <cellStyle name="Input 7 2 6 2 6" xfId="32612" xr:uid="{00000000-0005-0000-0000-00005F7F0000}"/>
    <cellStyle name="Input 7 2 6 3" xfId="32613" xr:uid="{00000000-0005-0000-0000-0000607F0000}"/>
    <cellStyle name="Input 7 2 6 3 2" xfId="32614" xr:uid="{00000000-0005-0000-0000-0000617F0000}"/>
    <cellStyle name="Input 7 2 6 3 2 2" xfId="32615" xr:uid="{00000000-0005-0000-0000-0000627F0000}"/>
    <cellStyle name="Input 7 2 6 3 2 3" xfId="32616" xr:uid="{00000000-0005-0000-0000-0000637F0000}"/>
    <cellStyle name="Input 7 2 6 3 2 4" xfId="32617" xr:uid="{00000000-0005-0000-0000-0000647F0000}"/>
    <cellStyle name="Input 7 2 6 3 2 5" xfId="32618" xr:uid="{00000000-0005-0000-0000-0000657F0000}"/>
    <cellStyle name="Input 7 2 6 3 2 6" xfId="32619" xr:uid="{00000000-0005-0000-0000-0000667F0000}"/>
    <cellStyle name="Input 7 2 6 3 3" xfId="32620" xr:uid="{00000000-0005-0000-0000-0000677F0000}"/>
    <cellStyle name="Input 7 2 6 3 4" xfId="32621" xr:uid="{00000000-0005-0000-0000-0000687F0000}"/>
    <cellStyle name="Input 7 2 6 3 5" xfId="32622" xr:uid="{00000000-0005-0000-0000-0000697F0000}"/>
    <cellStyle name="Input 7 2 6 3 6" xfId="32623" xr:uid="{00000000-0005-0000-0000-00006A7F0000}"/>
    <cellStyle name="Input 7 2 6 4" xfId="32624" xr:uid="{00000000-0005-0000-0000-00006B7F0000}"/>
    <cellStyle name="Input 7 2 6 4 2" xfId="32625" xr:uid="{00000000-0005-0000-0000-00006C7F0000}"/>
    <cellStyle name="Input 7 2 6 4 3" xfId="32626" xr:uid="{00000000-0005-0000-0000-00006D7F0000}"/>
    <cellStyle name="Input 7 2 6 4 4" xfId="32627" xr:uid="{00000000-0005-0000-0000-00006E7F0000}"/>
    <cellStyle name="Input 7 2 6 4 5" xfId="32628" xr:uid="{00000000-0005-0000-0000-00006F7F0000}"/>
    <cellStyle name="Input 7 2 6 4 6" xfId="32629" xr:uid="{00000000-0005-0000-0000-0000707F0000}"/>
    <cellStyle name="Input 7 2 6 5" xfId="32630" xr:uid="{00000000-0005-0000-0000-0000717F0000}"/>
    <cellStyle name="Input 7 2 6 6" xfId="32631" xr:uid="{00000000-0005-0000-0000-0000727F0000}"/>
    <cellStyle name="Input 7 2 6 7" xfId="32632" xr:uid="{00000000-0005-0000-0000-0000737F0000}"/>
    <cellStyle name="Input 7 2 6 8" xfId="32633" xr:uid="{00000000-0005-0000-0000-0000747F0000}"/>
    <cellStyle name="Input 7 2 7" xfId="32634" xr:uid="{00000000-0005-0000-0000-0000757F0000}"/>
    <cellStyle name="Input 7 2 7 2" xfId="32635" xr:uid="{00000000-0005-0000-0000-0000767F0000}"/>
    <cellStyle name="Input 7 2 7 2 2" xfId="32636" xr:uid="{00000000-0005-0000-0000-0000777F0000}"/>
    <cellStyle name="Input 7 2 7 2 3" xfId="32637" xr:uid="{00000000-0005-0000-0000-0000787F0000}"/>
    <cellStyle name="Input 7 2 7 2 4" xfId="32638" xr:uid="{00000000-0005-0000-0000-0000797F0000}"/>
    <cellStyle name="Input 7 2 7 2 5" xfId="32639" xr:uid="{00000000-0005-0000-0000-00007A7F0000}"/>
    <cellStyle name="Input 7 2 7 2 6" xfId="32640" xr:uid="{00000000-0005-0000-0000-00007B7F0000}"/>
    <cellStyle name="Input 7 2 7 3" xfId="32641" xr:uid="{00000000-0005-0000-0000-00007C7F0000}"/>
    <cellStyle name="Input 7 2 7 4" xfId="32642" xr:uid="{00000000-0005-0000-0000-00007D7F0000}"/>
    <cellStyle name="Input 7 2 7 5" xfId="32643" xr:uid="{00000000-0005-0000-0000-00007E7F0000}"/>
    <cellStyle name="Input 7 2 7 6" xfId="32644" xr:uid="{00000000-0005-0000-0000-00007F7F0000}"/>
    <cellStyle name="Input 7 2 8" xfId="32645" xr:uid="{00000000-0005-0000-0000-0000807F0000}"/>
    <cellStyle name="Input 7 2 8 2" xfId="32646" xr:uid="{00000000-0005-0000-0000-0000817F0000}"/>
    <cellStyle name="Input 7 2 8 2 2" xfId="32647" xr:uid="{00000000-0005-0000-0000-0000827F0000}"/>
    <cellStyle name="Input 7 2 8 2 3" xfId="32648" xr:uid="{00000000-0005-0000-0000-0000837F0000}"/>
    <cellStyle name="Input 7 2 8 2 4" xfId="32649" xr:uid="{00000000-0005-0000-0000-0000847F0000}"/>
    <cellStyle name="Input 7 2 8 2 5" xfId="32650" xr:uid="{00000000-0005-0000-0000-0000857F0000}"/>
    <cellStyle name="Input 7 2 8 2 6" xfId="32651" xr:uid="{00000000-0005-0000-0000-0000867F0000}"/>
    <cellStyle name="Input 7 2 8 3" xfId="32652" xr:uid="{00000000-0005-0000-0000-0000877F0000}"/>
    <cellStyle name="Input 7 2 8 4" xfId="32653" xr:uid="{00000000-0005-0000-0000-0000887F0000}"/>
    <cellStyle name="Input 7 2 8 5" xfId="32654" xr:uid="{00000000-0005-0000-0000-0000897F0000}"/>
    <cellStyle name="Input 7 2 8 6" xfId="32655" xr:uid="{00000000-0005-0000-0000-00008A7F0000}"/>
    <cellStyle name="Input 7 2 9" xfId="32656" xr:uid="{00000000-0005-0000-0000-00008B7F0000}"/>
    <cellStyle name="Input 7 2 9 2" xfId="32657" xr:uid="{00000000-0005-0000-0000-00008C7F0000}"/>
    <cellStyle name="Input 7 2 9 3" xfId="32658" xr:uid="{00000000-0005-0000-0000-00008D7F0000}"/>
    <cellStyle name="Input 7 2 9 4" xfId="32659" xr:uid="{00000000-0005-0000-0000-00008E7F0000}"/>
    <cellStyle name="Input 7 2 9 5" xfId="32660" xr:uid="{00000000-0005-0000-0000-00008F7F0000}"/>
    <cellStyle name="Input 7 2 9 6" xfId="32661" xr:uid="{00000000-0005-0000-0000-0000907F0000}"/>
    <cellStyle name="Input 8" xfId="32662" xr:uid="{00000000-0005-0000-0000-0000917F0000}"/>
    <cellStyle name="Input 8 2" xfId="32663" xr:uid="{00000000-0005-0000-0000-0000927F0000}"/>
    <cellStyle name="Input 8 2 10" xfId="32664" xr:uid="{00000000-0005-0000-0000-0000937F0000}"/>
    <cellStyle name="Input 8 2 11" xfId="32665" xr:uid="{00000000-0005-0000-0000-0000947F0000}"/>
    <cellStyle name="Input 8 2 12" xfId="32666" xr:uid="{00000000-0005-0000-0000-0000957F0000}"/>
    <cellStyle name="Input 8 2 13" xfId="32667" xr:uid="{00000000-0005-0000-0000-0000967F0000}"/>
    <cellStyle name="Input 8 2 2" xfId="32668" xr:uid="{00000000-0005-0000-0000-0000977F0000}"/>
    <cellStyle name="Input 8 2 2 10" xfId="32669" xr:uid="{00000000-0005-0000-0000-0000987F0000}"/>
    <cellStyle name="Input 8 2 2 10 2" xfId="32670" xr:uid="{00000000-0005-0000-0000-0000997F0000}"/>
    <cellStyle name="Input 8 2 2 10 3" xfId="32671" xr:uid="{00000000-0005-0000-0000-00009A7F0000}"/>
    <cellStyle name="Input 8 2 2 10 4" xfId="32672" xr:uid="{00000000-0005-0000-0000-00009B7F0000}"/>
    <cellStyle name="Input 8 2 2 10 5" xfId="32673" xr:uid="{00000000-0005-0000-0000-00009C7F0000}"/>
    <cellStyle name="Input 8 2 2 10 6" xfId="32674" xr:uid="{00000000-0005-0000-0000-00009D7F0000}"/>
    <cellStyle name="Input 8 2 2 11" xfId="32675" xr:uid="{00000000-0005-0000-0000-00009E7F0000}"/>
    <cellStyle name="Input 8 2 2 12" xfId="32676" xr:uid="{00000000-0005-0000-0000-00009F7F0000}"/>
    <cellStyle name="Input 8 2 2 13" xfId="32677" xr:uid="{00000000-0005-0000-0000-0000A07F0000}"/>
    <cellStyle name="Input 8 2 2 14" xfId="32678" xr:uid="{00000000-0005-0000-0000-0000A17F0000}"/>
    <cellStyle name="Input 8 2 2 2" xfId="32679" xr:uid="{00000000-0005-0000-0000-0000A27F0000}"/>
    <cellStyle name="Input 8 2 2 2 10" xfId="32680" xr:uid="{00000000-0005-0000-0000-0000A37F0000}"/>
    <cellStyle name="Input 8 2 2 2 11" xfId="32681" xr:uid="{00000000-0005-0000-0000-0000A47F0000}"/>
    <cellStyle name="Input 8 2 2 2 12" xfId="32682" xr:uid="{00000000-0005-0000-0000-0000A57F0000}"/>
    <cellStyle name="Input 8 2 2 2 13" xfId="32683" xr:uid="{00000000-0005-0000-0000-0000A67F0000}"/>
    <cellStyle name="Input 8 2 2 2 2" xfId="32684" xr:uid="{00000000-0005-0000-0000-0000A77F0000}"/>
    <cellStyle name="Input 8 2 2 2 2 2" xfId="32685" xr:uid="{00000000-0005-0000-0000-0000A87F0000}"/>
    <cellStyle name="Input 8 2 2 2 2 2 2" xfId="32686" xr:uid="{00000000-0005-0000-0000-0000A97F0000}"/>
    <cellStyle name="Input 8 2 2 2 2 2 2 2" xfId="32687" xr:uid="{00000000-0005-0000-0000-0000AA7F0000}"/>
    <cellStyle name="Input 8 2 2 2 2 2 2 3" xfId="32688" xr:uid="{00000000-0005-0000-0000-0000AB7F0000}"/>
    <cellStyle name="Input 8 2 2 2 2 2 2 4" xfId="32689" xr:uid="{00000000-0005-0000-0000-0000AC7F0000}"/>
    <cellStyle name="Input 8 2 2 2 2 2 2 5" xfId="32690" xr:uid="{00000000-0005-0000-0000-0000AD7F0000}"/>
    <cellStyle name="Input 8 2 2 2 2 2 2 6" xfId="32691" xr:uid="{00000000-0005-0000-0000-0000AE7F0000}"/>
    <cellStyle name="Input 8 2 2 2 2 2 3" xfId="32692" xr:uid="{00000000-0005-0000-0000-0000AF7F0000}"/>
    <cellStyle name="Input 8 2 2 2 2 2 4" xfId="32693" xr:uid="{00000000-0005-0000-0000-0000B07F0000}"/>
    <cellStyle name="Input 8 2 2 2 2 2 5" xfId="32694" xr:uid="{00000000-0005-0000-0000-0000B17F0000}"/>
    <cellStyle name="Input 8 2 2 2 2 2 6" xfId="32695" xr:uid="{00000000-0005-0000-0000-0000B27F0000}"/>
    <cellStyle name="Input 8 2 2 2 2 3" xfId="32696" xr:uid="{00000000-0005-0000-0000-0000B37F0000}"/>
    <cellStyle name="Input 8 2 2 2 2 3 2" xfId="32697" xr:uid="{00000000-0005-0000-0000-0000B47F0000}"/>
    <cellStyle name="Input 8 2 2 2 2 3 2 2" xfId="32698" xr:uid="{00000000-0005-0000-0000-0000B57F0000}"/>
    <cellStyle name="Input 8 2 2 2 2 3 2 3" xfId="32699" xr:uid="{00000000-0005-0000-0000-0000B67F0000}"/>
    <cellStyle name="Input 8 2 2 2 2 3 2 4" xfId="32700" xr:uid="{00000000-0005-0000-0000-0000B77F0000}"/>
    <cellStyle name="Input 8 2 2 2 2 3 2 5" xfId="32701" xr:uid="{00000000-0005-0000-0000-0000B87F0000}"/>
    <cellStyle name="Input 8 2 2 2 2 3 2 6" xfId="32702" xr:uid="{00000000-0005-0000-0000-0000B97F0000}"/>
    <cellStyle name="Input 8 2 2 2 2 3 3" xfId="32703" xr:uid="{00000000-0005-0000-0000-0000BA7F0000}"/>
    <cellStyle name="Input 8 2 2 2 2 3 4" xfId="32704" xr:uid="{00000000-0005-0000-0000-0000BB7F0000}"/>
    <cellStyle name="Input 8 2 2 2 2 3 5" xfId="32705" xr:uid="{00000000-0005-0000-0000-0000BC7F0000}"/>
    <cellStyle name="Input 8 2 2 2 2 3 6" xfId="32706" xr:uid="{00000000-0005-0000-0000-0000BD7F0000}"/>
    <cellStyle name="Input 8 2 2 2 2 4" xfId="32707" xr:uid="{00000000-0005-0000-0000-0000BE7F0000}"/>
    <cellStyle name="Input 8 2 2 2 2 4 2" xfId="32708" xr:uid="{00000000-0005-0000-0000-0000BF7F0000}"/>
    <cellStyle name="Input 8 2 2 2 2 4 3" xfId="32709" xr:uid="{00000000-0005-0000-0000-0000C07F0000}"/>
    <cellStyle name="Input 8 2 2 2 2 4 4" xfId="32710" xr:uid="{00000000-0005-0000-0000-0000C17F0000}"/>
    <cellStyle name="Input 8 2 2 2 2 4 5" xfId="32711" xr:uid="{00000000-0005-0000-0000-0000C27F0000}"/>
    <cellStyle name="Input 8 2 2 2 2 4 6" xfId="32712" xr:uid="{00000000-0005-0000-0000-0000C37F0000}"/>
    <cellStyle name="Input 8 2 2 2 2 5" xfId="32713" xr:uid="{00000000-0005-0000-0000-0000C47F0000}"/>
    <cellStyle name="Input 8 2 2 2 2 6" xfId="32714" xr:uid="{00000000-0005-0000-0000-0000C57F0000}"/>
    <cellStyle name="Input 8 2 2 2 2 7" xfId="32715" xr:uid="{00000000-0005-0000-0000-0000C67F0000}"/>
    <cellStyle name="Input 8 2 2 2 2 8" xfId="32716" xr:uid="{00000000-0005-0000-0000-0000C77F0000}"/>
    <cellStyle name="Input 8 2 2 2 3" xfId="32717" xr:uid="{00000000-0005-0000-0000-0000C87F0000}"/>
    <cellStyle name="Input 8 2 2 2 3 2" xfId="32718" xr:uid="{00000000-0005-0000-0000-0000C97F0000}"/>
    <cellStyle name="Input 8 2 2 2 3 2 2" xfId="32719" xr:uid="{00000000-0005-0000-0000-0000CA7F0000}"/>
    <cellStyle name="Input 8 2 2 2 3 2 2 2" xfId="32720" xr:uid="{00000000-0005-0000-0000-0000CB7F0000}"/>
    <cellStyle name="Input 8 2 2 2 3 2 2 3" xfId="32721" xr:uid="{00000000-0005-0000-0000-0000CC7F0000}"/>
    <cellStyle name="Input 8 2 2 2 3 2 2 4" xfId="32722" xr:uid="{00000000-0005-0000-0000-0000CD7F0000}"/>
    <cellStyle name="Input 8 2 2 2 3 2 2 5" xfId="32723" xr:uid="{00000000-0005-0000-0000-0000CE7F0000}"/>
    <cellStyle name="Input 8 2 2 2 3 2 2 6" xfId="32724" xr:uid="{00000000-0005-0000-0000-0000CF7F0000}"/>
    <cellStyle name="Input 8 2 2 2 3 2 3" xfId="32725" xr:uid="{00000000-0005-0000-0000-0000D07F0000}"/>
    <cellStyle name="Input 8 2 2 2 3 2 4" xfId="32726" xr:uid="{00000000-0005-0000-0000-0000D17F0000}"/>
    <cellStyle name="Input 8 2 2 2 3 2 5" xfId="32727" xr:uid="{00000000-0005-0000-0000-0000D27F0000}"/>
    <cellStyle name="Input 8 2 2 2 3 2 6" xfId="32728" xr:uid="{00000000-0005-0000-0000-0000D37F0000}"/>
    <cellStyle name="Input 8 2 2 2 3 3" xfId="32729" xr:uid="{00000000-0005-0000-0000-0000D47F0000}"/>
    <cellStyle name="Input 8 2 2 2 3 3 2" xfId="32730" xr:uid="{00000000-0005-0000-0000-0000D57F0000}"/>
    <cellStyle name="Input 8 2 2 2 3 3 2 2" xfId="32731" xr:uid="{00000000-0005-0000-0000-0000D67F0000}"/>
    <cellStyle name="Input 8 2 2 2 3 3 2 3" xfId="32732" xr:uid="{00000000-0005-0000-0000-0000D77F0000}"/>
    <cellStyle name="Input 8 2 2 2 3 3 2 4" xfId="32733" xr:uid="{00000000-0005-0000-0000-0000D87F0000}"/>
    <cellStyle name="Input 8 2 2 2 3 3 2 5" xfId="32734" xr:uid="{00000000-0005-0000-0000-0000D97F0000}"/>
    <cellStyle name="Input 8 2 2 2 3 3 2 6" xfId="32735" xr:uid="{00000000-0005-0000-0000-0000DA7F0000}"/>
    <cellStyle name="Input 8 2 2 2 3 3 3" xfId="32736" xr:uid="{00000000-0005-0000-0000-0000DB7F0000}"/>
    <cellStyle name="Input 8 2 2 2 3 3 4" xfId="32737" xr:uid="{00000000-0005-0000-0000-0000DC7F0000}"/>
    <cellStyle name="Input 8 2 2 2 3 3 5" xfId="32738" xr:uid="{00000000-0005-0000-0000-0000DD7F0000}"/>
    <cellStyle name="Input 8 2 2 2 3 3 6" xfId="32739" xr:uid="{00000000-0005-0000-0000-0000DE7F0000}"/>
    <cellStyle name="Input 8 2 2 2 3 4" xfId="32740" xr:uid="{00000000-0005-0000-0000-0000DF7F0000}"/>
    <cellStyle name="Input 8 2 2 2 3 4 2" xfId="32741" xr:uid="{00000000-0005-0000-0000-0000E07F0000}"/>
    <cellStyle name="Input 8 2 2 2 3 4 3" xfId="32742" xr:uid="{00000000-0005-0000-0000-0000E17F0000}"/>
    <cellStyle name="Input 8 2 2 2 3 4 4" xfId="32743" xr:uid="{00000000-0005-0000-0000-0000E27F0000}"/>
    <cellStyle name="Input 8 2 2 2 3 4 5" xfId="32744" xr:uid="{00000000-0005-0000-0000-0000E37F0000}"/>
    <cellStyle name="Input 8 2 2 2 3 4 6" xfId="32745" xr:uid="{00000000-0005-0000-0000-0000E47F0000}"/>
    <cellStyle name="Input 8 2 2 2 3 5" xfId="32746" xr:uid="{00000000-0005-0000-0000-0000E57F0000}"/>
    <cellStyle name="Input 8 2 2 2 3 6" xfId="32747" xr:uid="{00000000-0005-0000-0000-0000E67F0000}"/>
    <cellStyle name="Input 8 2 2 2 3 7" xfId="32748" xr:uid="{00000000-0005-0000-0000-0000E77F0000}"/>
    <cellStyle name="Input 8 2 2 2 3 8" xfId="32749" xr:uid="{00000000-0005-0000-0000-0000E87F0000}"/>
    <cellStyle name="Input 8 2 2 2 4" xfId="32750" xr:uid="{00000000-0005-0000-0000-0000E97F0000}"/>
    <cellStyle name="Input 8 2 2 2 4 2" xfId="32751" xr:uid="{00000000-0005-0000-0000-0000EA7F0000}"/>
    <cellStyle name="Input 8 2 2 2 4 2 2" xfId="32752" xr:uid="{00000000-0005-0000-0000-0000EB7F0000}"/>
    <cellStyle name="Input 8 2 2 2 4 2 2 2" xfId="32753" xr:uid="{00000000-0005-0000-0000-0000EC7F0000}"/>
    <cellStyle name="Input 8 2 2 2 4 2 2 3" xfId="32754" xr:uid="{00000000-0005-0000-0000-0000ED7F0000}"/>
    <cellStyle name="Input 8 2 2 2 4 2 2 4" xfId="32755" xr:uid="{00000000-0005-0000-0000-0000EE7F0000}"/>
    <cellStyle name="Input 8 2 2 2 4 2 2 5" xfId="32756" xr:uid="{00000000-0005-0000-0000-0000EF7F0000}"/>
    <cellStyle name="Input 8 2 2 2 4 2 2 6" xfId="32757" xr:uid="{00000000-0005-0000-0000-0000F07F0000}"/>
    <cellStyle name="Input 8 2 2 2 4 2 3" xfId="32758" xr:uid="{00000000-0005-0000-0000-0000F17F0000}"/>
    <cellStyle name="Input 8 2 2 2 4 2 4" xfId="32759" xr:uid="{00000000-0005-0000-0000-0000F27F0000}"/>
    <cellStyle name="Input 8 2 2 2 4 2 5" xfId="32760" xr:uid="{00000000-0005-0000-0000-0000F37F0000}"/>
    <cellStyle name="Input 8 2 2 2 4 2 6" xfId="32761" xr:uid="{00000000-0005-0000-0000-0000F47F0000}"/>
    <cellStyle name="Input 8 2 2 2 4 3" xfId="32762" xr:uid="{00000000-0005-0000-0000-0000F57F0000}"/>
    <cellStyle name="Input 8 2 2 2 4 3 2" xfId="32763" xr:uid="{00000000-0005-0000-0000-0000F67F0000}"/>
    <cellStyle name="Input 8 2 2 2 4 3 2 2" xfId="32764" xr:uid="{00000000-0005-0000-0000-0000F77F0000}"/>
    <cellStyle name="Input 8 2 2 2 4 3 2 3" xfId="32765" xr:uid="{00000000-0005-0000-0000-0000F87F0000}"/>
    <cellStyle name="Input 8 2 2 2 4 3 2 4" xfId="32766" xr:uid="{00000000-0005-0000-0000-0000F97F0000}"/>
    <cellStyle name="Input 8 2 2 2 4 3 2 5" xfId="32767" xr:uid="{00000000-0005-0000-0000-0000FA7F0000}"/>
    <cellStyle name="Input 8 2 2 2 4 3 2 6" xfId="32768" xr:uid="{00000000-0005-0000-0000-0000FB7F0000}"/>
    <cellStyle name="Input 8 2 2 2 4 3 3" xfId="32769" xr:uid="{00000000-0005-0000-0000-0000FC7F0000}"/>
    <cellStyle name="Input 8 2 2 2 4 3 4" xfId="32770" xr:uid="{00000000-0005-0000-0000-0000FD7F0000}"/>
    <cellStyle name="Input 8 2 2 2 4 3 5" xfId="32771" xr:uid="{00000000-0005-0000-0000-0000FE7F0000}"/>
    <cellStyle name="Input 8 2 2 2 4 3 6" xfId="32772" xr:uid="{00000000-0005-0000-0000-0000FF7F0000}"/>
    <cellStyle name="Input 8 2 2 2 4 4" xfId="32773" xr:uid="{00000000-0005-0000-0000-000000800000}"/>
    <cellStyle name="Input 8 2 2 2 4 4 2" xfId="32774" xr:uid="{00000000-0005-0000-0000-000001800000}"/>
    <cellStyle name="Input 8 2 2 2 4 4 3" xfId="32775" xr:uid="{00000000-0005-0000-0000-000002800000}"/>
    <cellStyle name="Input 8 2 2 2 4 4 4" xfId="32776" xr:uid="{00000000-0005-0000-0000-000003800000}"/>
    <cellStyle name="Input 8 2 2 2 4 4 5" xfId="32777" xr:uid="{00000000-0005-0000-0000-000004800000}"/>
    <cellStyle name="Input 8 2 2 2 4 4 6" xfId="32778" xr:uid="{00000000-0005-0000-0000-000005800000}"/>
    <cellStyle name="Input 8 2 2 2 4 5" xfId="32779" xr:uid="{00000000-0005-0000-0000-000006800000}"/>
    <cellStyle name="Input 8 2 2 2 4 6" xfId="32780" xr:uid="{00000000-0005-0000-0000-000007800000}"/>
    <cellStyle name="Input 8 2 2 2 4 7" xfId="32781" xr:uid="{00000000-0005-0000-0000-000008800000}"/>
    <cellStyle name="Input 8 2 2 2 4 8" xfId="32782" xr:uid="{00000000-0005-0000-0000-000009800000}"/>
    <cellStyle name="Input 8 2 2 2 5" xfId="32783" xr:uid="{00000000-0005-0000-0000-00000A800000}"/>
    <cellStyle name="Input 8 2 2 2 5 2" xfId="32784" xr:uid="{00000000-0005-0000-0000-00000B800000}"/>
    <cellStyle name="Input 8 2 2 2 5 2 2" xfId="32785" xr:uid="{00000000-0005-0000-0000-00000C800000}"/>
    <cellStyle name="Input 8 2 2 2 5 2 2 2" xfId="32786" xr:uid="{00000000-0005-0000-0000-00000D800000}"/>
    <cellStyle name="Input 8 2 2 2 5 2 2 3" xfId="32787" xr:uid="{00000000-0005-0000-0000-00000E800000}"/>
    <cellStyle name="Input 8 2 2 2 5 2 2 4" xfId="32788" xr:uid="{00000000-0005-0000-0000-00000F800000}"/>
    <cellStyle name="Input 8 2 2 2 5 2 2 5" xfId="32789" xr:uid="{00000000-0005-0000-0000-000010800000}"/>
    <cellStyle name="Input 8 2 2 2 5 2 2 6" xfId="32790" xr:uid="{00000000-0005-0000-0000-000011800000}"/>
    <cellStyle name="Input 8 2 2 2 5 2 3" xfId="32791" xr:uid="{00000000-0005-0000-0000-000012800000}"/>
    <cellStyle name="Input 8 2 2 2 5 2 4" xfId="32792" xr:uid="{00000000-0005-0000-0000-000013800000}"/>
    <cellStyle name="Input 8 2 2 2 5 2 5" xfId="32793" xr:uid="{00000000-0005-0000-0000-000014800000}"/>
    <cellStyle name="Input 8 2 2 2 5 2 6" xfId="32794" xr:uid="{00000000-0005-0000-0000-000015800000}"/>
    <cellStyle name="Input 8 2 2 2 5 3" xfId="32795" xr:uid="{00000000-0005-0000-0000-000016800000}"/>
    <cellStyle name="Input 8 2 2 2 5 3 2" xfId="32796" xr:uid="{00000000-0005-0000-0000-000017800000}"/>
    <cellStyle name="Input 8 2 2 2 5 3 2 2" xfId="32797" xr:uid="{00000000-0005-0000-0000-000018800000}"/>
    <cellStyle name="Input 8 2 2 2 5 3 2 3" xfId="32798" xr:uid="{00000000-0005-0000-0000-000019800000}"/>
    <cellStyle name="Input 8 2 2 2 5 3 2 4" xfId="32799" xr:uid="{00000000-0005-0000-0000-00001A800000}"/>
    <cellStyle name="Input 8 2 2 2 5 3 2 5" xfId="32800" xr:uid="{00000000-0005-0000-0000-00001B800000}"/>
    <cellStyle name="Input 8 2 2 2 5 3 2 6" xfId="32801" xr:uid="{00000000-0005-0000-0000-00001C800000}"/>
    <cellStyle name="Input 8 2 2 2 5 3 3" xfId="32802" xr:uid="{00000000-0005-0000-0000-00001D800000}"/>
    <cellStyle name="Input 8 2 2 2 5 3 4" xfId="32803" xr:uid="{00000000-0005-0000-0000-00001E800000}"/>
    <cellStyle name="Input 8 2 2 2 5 3 5" xfId="32804" xr:uid="{00000000-0005-0000-0000-00001F800000}"/>
    <cellStyle name="Input 8 2 2 2 5 3 6" xfId="32805" xr:uid="{00000000-0005-0000-0000-000020800000}"/>
    <cellStyle name="Input 8 2 2 2 5 4" xfId="32806" xr:uid="{00000000-0005-0000-0000-000021800000}"/>
    <cellStyle name="Input 8 2 2 2 5 4 2" xfId="32807" xr:uid="{00000000-0005-0000-0000-000022800000}"/>
    <cellStyle name="Input 8 2 2 2 5 4 3" xfId="32808" xr:uid="{00000000-0005-0000-0000-000023800000}"/>
    <cellStyle name="Input 8 2 2 2 5 4 4" xfId="32809" xr:uid="{00000000-0005-0000-0000-000024800000}"/>
    <cellStyle name="Input 8 2 2 2 5 4 5" xfId="32810" xr:uid="{00000000-0005-0000-0000-000025800000}"/>
    <cellStyle name="Input 8 2 2 2 5 4 6" xfId="32811" xr:uid="{00000000-0005-0000-0000-000026800000}"/>
    <cellStyle name="Input 8 2 2 2 5 5" xfId="32812" xr:uid="{00000000-0005-0000-0000-000027800000}"/>
    <cellStyle name="Input 8 2 2 2 5 6" xfId="32813" xr:uid="{00000000-0005-0000-0000-000028800000}"/>
    <cellStyle name="Input 8 2 2 2 5 7" xfId="32814" xr:uid="{00000000-0005-0000-0000-000029800000}"/>
    <cellStyle name="Input 8 2 2 2 5 8" xfId="32815" xr:uid="{00000000-0005-0000-0000-00002A800000}"/>
    <cellStyle name="Input 8 2 2 2 6" xfId="32816" xr:uid="{00000000-0005-0000-0000-00002B800000}"/>
    <cellStyle name="Input 8 2 2 2 6 2" xfId="32817" xr:uid="{00000000-0005-0000-0000-00002C800000}"/>
    <cellStyle name="Input 8 2 2 2 6 2 2" xfId="32818" xr:uid="{00000000-0005-0000-0000-00002D800000}"/>
    <cellStyle name="Input 8 2 2 2 6 2 2 2" xfId="32819" xr:uid="{00000000-0005-0000-0000-00002E800000}"/>
    <cellStyle name="Input 8 2 2 2 6 2 2 3" xfId="32820" xr:uid="{00000000-0005-0000-0000-00002F800000}"/>
    <cellStyle name="Input 8 2 2 2 6 2 2 4" xfId="32821" xr:uid="{00000000-0005-0000-0000-000030800000}"/>
    <cellStyle name="Input 8 2 2 2 6 2 2 5" xfId="32822" xr:uid="{00000000-0005-0000-0000-000031800000}"/>
    <cellStyle name="Input 8 2 2 2 6 2 2 6" xfId="32823" xr:uid="{00000000-0005-0000-0000-000032800000}"/>
    <cellStyle name="Input 8 2 2 2 6 2 3" xfId="32824" xr:uid="{00000000-0005-0000-0000-000033800000}"/>
    <cellStyle name="Input 8 2 2 2 6 2 4" xfId="32825" xr:uid="{00000000-0005-0000-0000-000034800000}"/>
    <cellStyle name="Input 8 2 2 2 6 2 5" xfId="32826" xr:uid="{00000000-0005-0000-0000-000035800000}"/>
    <cellStyle name="Input 8 2 2 2 6 2 6" xfId="32827" xr:uid="{00000000-0005-0000-0000-000036800000}"/>
    <cellStyle name="Input 8 2 2 2 6 3" xfId="32828" xr:uid="{00000000-0005-0000-0000-000037800000}"/>
    <cellStyle name="Input 8 2 2 2 6 3 2" xfId="32829" xr:uid="{00000000-0005-0000-0000-000038800000}"/>
    <cellStyle name="Input 8 2 2 2 6 3 2 2" xfId="32830" xr:uid="{00000000-0005-0000-0000-000039800000}"/>
    <cellStyle name="Input 8 2 2 2 6 3 2 3" xfId="32831" xr:uid="{00000000-0005-0000-0000-00003A800000}"/>
    <cellStyle name="Input 8 2 2 2 6 3 2 4" xfId="32832" xr:uid="{00000000-0005-0000-0000-00003B800000}"/>
    <cellStyle name="Input 8 2 2 2 6 3 2 5" xfId="32833" xr:uid="{00000000-0005-0000-0000-00003C800000}"/>
    <cellStyle name="Input 8 2 2 2 6 3 2 6" xfId="32834" xr:uid="{00000000-0005-0000-0000-00003D800000}"/>
    <cellStyle name="Input 8 2 2 2 6 3 3" xfId="32835" xr:uid="{00000000-0005-0000-0000-00003E800000}"/>
    <cellStyle name="Input 8 2 2 2 6 3 4" xfId="32836" xr:uid="{00000000-0005-0000-0000-00003F800000}"/>
    <cellStyle name="Input 8 2 2 2 6 3 5" xfId="32837" xr:uid="{00000000-0005-0000-0000-000040800000}"/>
    <cellStyle name="Input 8 2 2 2 6 3 6" xfId="32838" xr:uid="{00000000-0005-0000-0000-000041800000}"/>
    <cellStyle name="Input 8 2 2 2 6 4" xfId="32839" xr:uid="{00000000-0005-0000-0000-000042800000}"/>
    <cellStyle name="Input 8 2 2 2 6 4 2" xfId="32840" xr:uid="{00000000-0005-0000-0000-000043800000}"/>
    <cellStyle name="Input 8 2 2 2 6 4 3" xfId="32841" xr:uid="{00000000-0005-0000-0000-000044800000}"/>
    <cellStyle name="Input 8 2 2 2 6 4 4" xfId="32842" xr:uid="{00000000-0005-0000-0000-000045800000}"/>
    <cellStyle name="Input 8 2 2 2 6 4 5" xfId="32843" xr:uid="{00000000-0005-0000-0000-000046800000}"/>
    <cellStyle name="Input 8 2 2 2 6 4 6" xfId="32844" xr:uid="{00000000-0005-0000-0000-000047800000}"/>
    <cellStyle name="Input 8 2 2 2 6 5" xfId="32845" xr:uid="{00000000-0005-0000-0000-000048800000}"/>
    <cellStyle name="Input 8 2 2 2 6 6" xfId="32846" xr:uid="{00000000-0005-0000-0000-000049800000}"/>
    <cellStyle name="Input 8 2 2 2 6 7" xfId="32847" xr:uid="{00000000-0005-0000-0000-00004A800000}"/>
    <cellStyle name="Input 8 2 2 2 6 8" xfId="32848" xr:uid="{00000000-0005-0000-0000-00004B800000}"/>
    <cellStyle name="Input 8 2 2 2 7" xfId="32849" xr:uid="{00000000-0005-0000-0000-00004C800000}"/>
    <cellStyle name="Input 8 2 2 2 7 2" xfId="32850" xr:uid="{00000000-0005-0000-0000-00004D800000}"/>
    <cellStyle name="Input 8 2 2 2 7 2 2" xfId="32851" xr:uid="{00000000-0005-0000-0000-00004E800000}"/>
    <cellStyle name="Input 8 2 2 2 7 2 3" xfId="32852" xr:uid="{00000000-0005-0000-0000-00004F800000}"/>
    <cellStyle name="Input 8 2 2 2 7 2 4" xfId="32853" xr:uid="{00000000-0005-0000-0000-000050800000}"/>
    <cellStyle name="Input 8 2 2 2 7 2 5" xfId="32854" xr:uid="{00000000-0005-0000-0000-000051800000}"/>
    <cellStyle name="Input 8 2 2 2 7 2 6" xfId="32855" xr:uid="{00000000-0005-0000-0000-000052800000}"/>
    <cellStyle name="Input 8 2 2 2 7 3" xfId="32856" xr:uid="{00000000-0005-0000-0000-000053800000}"/>
    <cellStyle name="Input 8 2 2 2 7 4" xfId="32857" xr:uid="{00000000-0005-0000-0000-000054800000}"/>
    <cellStyle name="Input 8 2 2 2 7 5" xfId="32858" xr:uid="{00000000-0005-0000-0000-000055800000}"/>
    <cellStyle name="Input 8 2 2 2 7 6" xfId="32859" xr:uid="{00000000-0005-0000-0000-000056800000}"/>
    <cellStyle name="Input 8 2 2 2 8" xfId="32860" xr:uid="{00000000-0005-0000-0000-000057800000}"/>
    <cellStyle name="Input 8 2 2 2 8 2" xfId="32861" xr:uid="{00000000-0005-0000-0000-000058800000}"/>
    <cellStyle name="Input 8 2 2 2 8 2 2" xfId="32862" xr:uid="{00000000-0005-0000-0000-000059800000}"/>
    <cellStyle name="Input 8 2 2 2 8 2 3" xfId="32863" xr:uid="{00000000-0005-0000-0000-00005A800000}"/>
    <cellStyle name="Input 8 2 2 2 8 2 4" xfId="32864" xr:uid="{00000000-0005-0000-0000-00005B800000}"/>
    <cellStyle name="Input 8 2 2 2 8 2 5" xfId="32865" xr:uid="{00000000-0005-0000-0000-00005C800000}"/>
    <cellStyle name="Input 8 2 2 2 8 2 6" xfId="32866" xr:uid="{00000000-0005-0000-0000-00005D800000}"/>
    <cellStyle name="Input 8 2 2 2 8 3" xfId="32867" xr:uid="{00000000-0005-0000-0000-00005E800000}"/>
    <cellStyle name="Input 8 2 2 2 8 4" xfId="32868" xr:uid="{00000000-0005-0000-0000-00005F800000}"/>
    <cellStyle name="Input 8 2 2 2 8 5" xfId="32869" xr:uid="{00000000-0005-0000-0000-000060800000}"/>
    <cellStyle name="Input 8 2 2 2 8 6" xfId="32870" xr:uid="{00000000-0005-0000-0000-000061800000}"/>
    <cellStyle name="Input 8 2 2 2 9" xfId="32871" xr:uid="{00000000-0005-0000-0000-000062800000}"/>
    <cellStyle name="Input 8 2 2 2 9 2" xfId="32872" xr:uid="{00000000-0005-0000-0000-000063800000}"/>
    <cellStyle name="Input 8 2 2 2 9 3" xfId="32873" xr:uid="{00000000-0005-0000-0000-000064800000}"/>
    <cellStyle name="Input 8 2 2 2 9 4" xfId="32874" xr:uid="{00000000-0005-0000-0000-000065800000}"/>
    <cellStyle name="Input 8 2 2 2 9 5" xfId="32875" xr:uid="{00000000-0005-0000-0000-000066800000}"/>
    <cellStyle name="Input 8 2 2 2 9 6" xfId="32876" xr:uid="{00000000-0005-0000-0000-000067800000}"/>
    <cellStyle name="Input 8 2 2 3" xfId="32877" xr:uid="{00000000-0005-0000-0000-000068800000}"/>
    <cellStyle name="Input 8 2 2 3 2" xfId="32878" xr:uid="{00000000-0005-0000-0000-000069800000}"/>
    <cellStyle name="Input 8 2 2 3 2 2" xfId="32879" xr:uid="{00000000-0005-0000-0000-00006A800000}"/>
    <cellStyle name="Input 8 2 2 3 2 2 2" xfId="32880" xr:uid="{00000000-0005-0000-0000-00006B800000}"/>
    <cellStyle name="Input 8 2 2 3 2 2 3" xfId="32881" xr:uid="{00000000-0005-0000-0000-00006C800000}"/>
    <cellStyle name="Input 8 2 2 3 2 2 4" xfId="32882" xr:uid="{00000000-0005-0000-0000-00006D800000}"/>
    <cellStyle name="Input 8 2 2 3 2 2 5" xfId="32883" xr:uid="{00000000-0005-0000-0000-00006E800000}"/>
    <cellStyle name="Input 8 2 2 3 2 2 6" xfId="32884" xr:uid="{00000000-0005-0000-0000-00006F800000}"/>
    <cellStyle name="Input 8 2 2 3 2 3" xfId="32885" xr:uid="{00000000-0005-0000-0000-000070800000}"/>
    <cellStyle name="Input 8 2 2 3 2 4" xfId="32886" xr:uid="{00000000-0005-0000-0000-000071800000}"/>
    <cellStyle name="Input 8 2 2 3 2 5" xfId="32887" xr:uid="{00000000-0005-0000-0000-000072800000}"/>
    <cellStyle name="Input 8 2 2 3 2 6" xfId="32888" xr:uid="{00000000-0005-0000-0000-000073800000}"/>
    <cellStyle name="Input 8 2 2 3 3" xfId="32889" xr:uid="{00000000-0005-0000-0000-000074800000}"/>
    <cellStyle name="Input 8 2 2 3 3 2" xfId="32890" xr:uid="{00000000-0005-0000-0000-000075800000}"/>
    <cellStyle name="Input 8 2 2 3 3 2 2" xfId="32891" xr:uid="{00000000-0005-0000-0000-000076800000}"/>
    <cellStyle name="Input 8 2 2 3 3 2 3" xfId="32892" xr:uid="{00000000-0005-0000-0000-000077800000}"/>
    <cellStyle name="Input 8 2 2 3 3 2 4" xfId="32893" xr:uid="{00000000-0005-0000-0000-000078800000}"/>
    <cellStyle name="Input 8 2 2 3 3 2 5" xfId="32894" xr:uid="{00000000-0005-0000-0000-000079800000}"/>
    <cellStyle name="Input 8 2 2 3 3 2 6" xfId="32895" xr:uid="{00000000-0005-0000-0000-00007A800000}"/>
    <cellStyle name="Input 8 2 2 3 3 3" xfId="32896" xr:uid="{00000000-0005-0000-0000-00007B800000}"/>
    <cellStyle name="Input 8 2 2 3 3 4" xfId="32897" xr:uid="{00000000-0005-0000-0000-00007C800000}"/>
    <cellStyle name="Input 8 2 2 3 3 5" xfId="32898" xr:uid="{00000000-0005-0000-0000-00007D800000}"/>
    <cellStyle name="Input 8 2 2 3 3 6" xfId="32899" xr:uid="{00000000-0005-0000-0000-00007E800000}"/>
    <cellStyle name="Input 8 2 2 3 4" xfId="32900" xr:uid="{00000000-0005-0000-0000-00007F800000}"/>
    <cellStyle name="Input 8 2 2 3 4 2" xfId="32901" xr:uid="{00000000-0005-0000-0000-000080800000}"/>
    <cellStyle name="Input 8 2 2 3 4 3" xfId="32902" xr:uid="{00000000-0005-0000-0000-000081800000}"/>
    <cellStyle name="Input 8 2 2 3 4 4" xfId="32903" xr:uid="{00000000-0005-0000-0000-000082800000}"/>
    <cellStyle name="Input 8 2 2 3 4 5" xfId="32904" xr:uid="{00000000-0005-0000-0000-000083800000}"/>
    <cellStyle name="Input 8 2 2 3 4 6" xfId="32905" xr:uid="{00000000-0005-0000-0000-000084800000}"/>
    <cellStyle name="Input 8 2 2 3 5" xfId="32906" xr:uid="{00000000-0005-0000-0000-000085800000}"/>
    <cellStyle name="Input 8 2 2 3 6" xfId="32907" xr:uid="{00000000-0005-0000-0000-000086800000}"/>
    <cellStyle name="Input 8 2 2 3 7" xfId="32908" xr:uid="{00000000-0005-0000-0000-000087800000}"/>
    <cellStyle name="Input 8 2 2 3 8" xfId="32909" xr:uid="{00000000-0005-0000-0000-000088800000}"/>
    <cellStyle name="Input 8 2 2 4" xfId="32910" xr:uid="{00000000-0005-0000-0000-000089800000}"/>
    <cellStyle name="Input 8 2 2 4 2" xfId="32911" xr:uid="{00000000-0005-0000-0000-00008A800000}"/>
    <cellStyle name="Input 8 2 2 4 2 2" xfId="32912" xr:uid="{00000000-0005-0000-0000-00008B800000}"/>
    <cellStyle name="Input 8 2 2 4 2 2 2" xfId="32913" xr:uid="{00000000-0005-0000-0000-00008C800000}"/>
    <cellStyle name="Input 8 2 2 4 2 2 3" xfId="32914" xr:uid="{00000000-0005-0000-0000-00008D800000}"/>
    <cellStyle name="Input 8 2 2 4 2 2 4" xfId="32915" xr:uid="{00000000-0005-0000-0000-00008E800000}"/>
    <cellStyle name="Input 8 2 2 4 2 2 5" xfId="32916" xr:uid="{00000000-0005-0000-0000-00008F800000}"/>
    <cellStyle name="Input 8 2 2 4 2 2 6" xfId="32917" xr:uid="{00000000-0005-0000-0000-000090800000}"/>
    <cellStyle name="Input 8 2 2 4 2 3" xfId="32918" xr:uid="{00000000-0005-0000-0000-000091800000}"/>
    <cellStyle name="Input 8 2 2 4 2 4" xfId="32919" xr:uid="{00000000-0005-0000-0000-000092800000}"/>
    <cellStyle name="Input 8 2 2 4 2 5" xfId="32920" xr:uid="{00000000-0005-0000-0000-000093800000}"/>
    <cellStyle name="Input 8 2 2 4 2 6" xfId="32921" xr:uid="{00000000-0005-0000-0000-000094800000}"/>
    <cellStyle name="Input 8 2 2 4 3" xfId="32922" xr:uid="{00000000-0005-0000-0000-000095800000}"/>
    <cellStyle name="Input 8 2 2 4 3 2" xfId="32923" xr:uid="{00000000-0005-0000-0000-000096800000}"/>
    <cellStyle name="Input 8 2 2 4 3 2 2" xfId="32924" xr:uid="{00000000-0005-0000-0000-000097800000}"/>
    <cellStyle name="Input 8 2 2 4 3 2 3" xfId="32925" xr:uid="{00000000-0005-0000-0000-000098800000}"/>
    <cellStyle name="Input 8 2 2 4 3 2 4" xfId="32926" xr:uid="{00000000-0005-0000-0000-000099800000}"/>
    <cellStyle name="Input 8 2 2 4 3 2 5" xfId="32927" xr:uid="{00000000-0005-0000-0000-00009A800000}"/>
    <cellStyle name="Input 8 2 2 4 3 2 6" xfId="32928" xr:uid="{00000000-0005-0000-0000-00009B800000}"/>
    <cellStyle name="Input 8 2 2 4 3 3" xfId="32929" xr:uid="{00000000-0005-0000-0000-00009C800000}"/>
    <cellStyle name="Input 8 2 2 4 3 4" xfId="32930" xr:uid="{00000000-0005-0000-0000-00009D800000}"/>
    <cellStyle name="Input 8 2 2 4 3 5" xfId="32931" xr:uid="{00000000-0005-0000-0000-00009E800000}"/>
    <cellStyle name="Input 8 2 2 4 3 6" xfId="32932" xr:uid="{00000000-0005-0000-0000-00009F800000}"/>
    <cellStyle name="Input 8 2 2 4 4" xfId="32933" xr:uid="{00000000-0005-0000-0000-0000A0800000}"/>
    <cellStyle name="Input 8 2 2 4 4 2" xfId="32934" xr:uid="{00000000-0005-0000-0000-0000A1800000}"/>
    <cellStyle name="Input 8 2 2 4 4 3" xfId="32935" xr:uid="{00000000-0005-0000-0000-0000A2800000}"/>
    <cellStyle name="Input 8 2 2 4 4 4" xfId="32936" xr:uid="{00000000-0005-0000-0000-0000A3800000}"/>
    <cellStyle name="Input 8 2 2 4 4 5" xfId="32937" xr:uid="{00000000-0005-0000-0000-0000A4800000}"/>
    <cellStyle name="Input 8 2 2 4 4 6" xfId="32938" xr:uid="{00000000-0005-0000-0000-0000A5800000}"/>
    <cellStyle name="Input 8 2 2 4 5" xfId="32939" xr:uid="{00000000-0005-0000-0000-0000A6800000}"/>
    <cellStyle name="Input 8 2 2 4 6" xfId="32940" xr:uid="{00000000-0005-0000-0000-0000A7800000}"/>
    <cellStyle name="Input 8 2 2 4 7" xfId="32941" xr:uid="{00000000-0005-0000-0000-0000A8800000}"/>
    <cellStyle name="Input 8 2 2 4 8" xfId="32942" xr:uid="{00000000-0005-0000-0000-0000A9800000}"/>
    <cellStyle name="Input 8 2 2 5" xfId="32943" xr:uid="{00000000-0005-0000-0000-0000AA800000}"/>
    <cellStyle name="Input 8 2 2 5 2" xfId="32944" xr:uid="{00000000-0005-0000-0000-0000AB800000}"/>
    <cellStyle name="Input 8 2 2 5 2 2" xfId="32945" xr:uid="{00000000-0005-0000-0000-0000AC800000}"/>
    <cellStyle name="Input 8 2 2 5 2 2 2" xfId="32946" xr:uid="{00000000-0005-0000-0000-0000AD800000}"/>
    <cellStyle name="Input 8 2 2 5 2 2 3" xfId="32947" xr:uid="{00000000-0005-0000-0000-0000AE800000}"/>
    <cellStyle name="Input 8 2 2 5 2 2 4" xfId="32948" xr:uid="{00000000-0005-0000-0000-0000AF800000}"/>
    <cellStyle name="Input 8 2 2 5 2 2 5" xfId="32949" xr:uid="{00000000-0005-0000-0000-0000B0800000}"/>
    <cellStyle name="Input 8 2 2 5 2 2 6" xfId="32950" xr:uid="{00000000-0005-0000-0000-0000B1800000}"/>
    <cellStyle name="Input 8 2 2 5 2 3" xfId="32951" xr:uid="{00000000-0005-0000-0000-0000B2800000}"/>
    <cellStyle name="Input 8 2 2 5 2 4" xfId="32952" xr:uid="{00000000-0005-0000-0000-0000B3800000}"/>
    <cellStyle name="Input 8 2 2 5 2 5" xfId="32953" xr:uid="{00000000-0005-0000-0000-0000B4800000}"/>
    <cellStyle name="Input 8 2 2 5 2 6" xfId="32954" xr:uid="{00000000-0005-0000-0000-0000B5800000}"/>
    <cellStyle name="Input 8 2 2 5 3" xfId="32955" xr:uid="{00000000-0005-0000-0000-0000B6800000}"/>
    <cellStyle name="Input 8 2 2 5 3 2" xfId="32956" xr:uid="{00000000-0005-0000-0000-0000B7800000}"/>
    <cellStyle name="Input 8 2 2 5 3 2 2" xfId="32957" xr:uid="{00000000-0005-0000-0000-0000B8800000}"/>
    <cellStyle name="Input 8 2 2 5 3 2 3" xfId="32958" xr:uid="{00000000-0005-0000-0000-0000B9800000}"/>
    <cellStyle name="Input 8 2 2 5 3 2 4" xfId="32959" xr:uid="{00000000-0005-0000-0000-0000BA800000}"/>
    <cellStyle name="Input 8 2 2 5 3 2 5" xfId="32960" xr:uid="{00000000-0005-0000-0000-0000BB800000}"/>
    <cellStyle name="Input 8 2 2 5 3 2 6" xfId="32961" xr:uid="{00000000-0005-0000-0000-0000BC800000}"/>
    <cellStyle name="Input 8 2 2 5 3 3" xfId="32962" xr:uid="{00000000-0005-0000-0000-0000BD800000}"/>
    <cellStyle name="Input 8 2 2 5 3 4" xfId="32963" xr:uid="{00000000-0005-0000-0000-0000BE800000}"/>
    <cellStyle name="Input 8 2 2 5 3 5" xfId="32964" xr:uid="{00000000-0005-0000-0000-0000BF800000}"/>
    <cellStyle name="Input 8 2 2 5 3 6" xfId="32965" xr:uid="{00000000-0005-0000-0000-0000C0800000}"/>
    <cellStyle name="Input 8 2 2 5 4" xfId="32966" xr:uid="{00000000-0005-0000-0000-0000C1800000}"/>
    <cellStyle name="Input 8 2 2 5 4 2" xfId="32967" xr:uid="{00000000-0005-0000-0000-0000C2800000}"/>
    <cellStyle name="Input 8 2 2 5 4 3" xfId="32968" xr:uid="{00000000-0005-0000-0000-0000C3800000}"/>
    <cellStyle name="Input 8 2 2 5 4 4" xfId="32969" xr:uid="{00000000-0005-0000-0000-0000C4800000}"/>
    <cellStyle name="Input 8 2 2 5 4 5" xfId="32970" xr:uid="{00000000-0005-0000-0000-0000C5800000}"/>
    <cellStyle name="Input 8 2 2 5 4 6" xfId="32971" xr:uid="{00000000-0005-0000-0000-0000C6800000}"/>
    <cellStyle name="Input 8 2 2 5 5" xfId="32972" xr:uid="{00000000-0005-0000-0000-0000C7800000}"/>
    <cellStyle name="Input 8 2 2 5 6" xfId="32973" xr:uid="{00000000-0005-0000-0000-0000C8800000}"/>
    <cellStyle name="Input 8 2 2 5 7" xfId="32974" xr:uid="{00000000-0005-0000-0000-0000C9800000}"/>
    <cellStyle name="Input 8 2 2 5 8" xfId="32975" xr:uid="{00000000-0005-0000-0000-0000CA800000}"/>
    <cellStyle name="Input 8 2 2 6" xfId="32976" xr:uid="{00000000-0005-0000-0000-0000CB800000}"/>
    <cellStyle name="Input 8 2 2 6 2" xfId="32977" xr:uid="{00000000-0005-0000-0000-0000CC800000}"/>
    <cellStyle name="Input 8 2 2 6 2 2" xfId="32978" xr:uid="{00000000-0005-0000-0000-0000CD800000}"/>
    <cellStyle name="Input 8 2 2 6 2 2 2" xfId="32979" xr:uid="{00000000-0005-0000-0000-0000CE800000}"/>
    <cellStyle name="Input 8 2 2 6 2 2 3" xfId="32980" xr:uid="{00000000-0005-0000-0000-0000CF800000}"/>
    <cellStyle name="Input 8 2 2 6 2 2 4" xfId="32981" xr:uid="{00000000-0005-0000-0000-0000D0800000}"/>
    <cellStyle name="Input 8 2 2 6 2 2 5" xfId="32982" xr:uid="{00000000-0005-0000-0000-0000D1800000}"/>
    <cellStyle name="Input 8 2 2 6 2 2 6" xfId="32983" xr:uid="{00000000-0005-0000-0000-0000D2800000}"/>
    <cellStyle name="Input 8 2 2 6 2 3" xfId="32984" xr:uid="{00000000-0005-0000-0000-0000D3800000}"/>
    <cellStyle name="Input 8 2 2 6 2 4" xfId="32985" xr:uid="{00000000-0005-0000-0000-0000D4800000}"/>
    <cellStyle name="Input 8 2 2 6 2 5" xfId="32986" xr:uid="{00000000-0005-0000-0000-0000D5800000}"/>
    <cellStyle name="Input 8 2 2 6 2 6" xfId="32987" xr:uid="{00000000-0005-0000-0000-0000D6800000}"/>
    <cellStyle name="Input 8 2 2 6 3" xfId="32988" xr:uid="{00000000-0005-0000-0000-0000D7800000}"/>
    <cellStyle name="Input 8 2 2 6 3 2" xfId="32989" xr:uid="{00000000-0005-0000-0000-0000D8800000}"/>
    <cellStyle name="Input 8 2 2 6 3 2 2" xfId="32990" xr:uid="{00000000-0005-0000-0000-0000D9800000}"/>
    <cellStyle name="Input 8 2 2 6 3 2 3" xfId="32991" xr:uid="{00000000-0005-0000-0000-0000DA800000}"/>
    <cellStyle name="Input 8 2 2 6 3 2 4" xfId="32992" xr:uid="{00000000-0005-0000-0000-0000DB800000}"/>
    <cellStyle name="Input 8 2 2 6 3 2 5" xfId="32993" xr:uid="{00000000-0005-0000-0000-0000DC800000}"/>
    <cellStyle name="Input 8 2 2 6 3 2 6" xfId="32994" xr:uid="{00000000-0005-0000-0000-0000DD800000}"/>
    <cellStyle name="Input 8 2 2 6 3 3" xfId="32995" xr:uid="{00000000-0005-0000-0000-0000DE800000}"/>
    <cellStyle name="Input 8 2 2 6 3 4" xfId="32996" xr:uid="{00000000-0005-0000-0000-0000DF800000}"/>
    <cellStyle name="Input 8 2 2 6 3 5" xfId="32997" xr:uid="{00000000-0005-0000-0000-0000E0800000}"/>
    <cellStyle name="Input 8 2 2 6 3 6" xfId="32998" xr:uid="{00000000-0005-0000-0000-0000E1800000}"/>
    <cellStyle name="Input 8 2 2 6 4" xfId="32999" xr:uid="{00000000-0005-0000-0000-0000E2800000}"/>
    <cellStyle name="Input 8 2 2 6 4 2" xfId="33000" xr:uid="{00000000-0005-0000-0000-0000E3800000}"/>
    <cellStyle name="Input 8 2 2 6 4 3" xfId="33001" xr:uid="{00000000-0005-0000-0000-0000E4800000}"/>
    <cellStyle name="Input 8 2 2 6 4 4" xfId="33002" xr:uid="{00000000-0005-0000-0000-0000E5800000}"/>
    <cellStyle name="Input 8 2 2 6 4 5" xfId="33003" xr:uid="{00000000-0005-0000-0000-0000E6800000}"/>
    <cellStyle name="Input 8 2 2 6 4 6" xfId="33004" xr:uid="{00000000-0005-0000-0000-0000E7800000}"/>
    <cellStyle name="Input 8 2 2 6 5" xfId="33005" xr:uid="{00000000-0005-0000-0000-0000E8800000}"/>
    <cellStyle name="Input 8 2 2 6 6" xfId="33006" xr:uid="{00000000-0005-0000-0000-0000E9800000}"/>
    <cellStyle name="Input 8 2 2 6 7" xfId="33007" xr:uid="{00000000-0005-0000-0000-0000EA800000}"/>
    <cellStyle name="Input 8 2 2 6 8" xfId="33008" xr:uid="{00000000-0005-0000-0000-0000EB800000}"/>
    <cellStyle name="Input 8 2 2 7" xfId="33009" xr:uid="{00000000-0005-0000-0000-0000EC800000}"/>
    <cellStyle name="Input 8 2 2 7 2" xfId="33010" xr:uid="{00000000-0005-0000-0000-0000ED800000}"/>
    <cellStyle name="Input 8 2 2 7 2 2" xfId="33011" xr:uid="{00000000-0005-0000-0000-0000EE800000}"/>
    <cellStyle name="Input 8 2 2 7 2 2 2" xfId="33012" xr:uid="{00000000-0005-0000-0000-0000EF800000}"/>
    <cellStyle name="Input 8 2 2 7 2 2 3" xfId="33013" xr:uid="{00000000-0005-0000-0000-0000F0800000}"/>
    <cellStyle name="Input 8 2 2 7 2 2 4" xfId="33014" xr:uid="{00000000-0005-0000-0000-0000F1800000}"/>
    <cellStyle name="Input 8 2 2 7 2 2 5" xfId="33015" xr:uid="{00000000-0005-0000-0000-0000F2800000}"/>
    <cellStyle name="Input 8 2 2 7 2 2 6" xfId="33016" xr:uid="{00000000-0005-0000-0000-0000F3800000}"/>
    <cellStyle name="Input 8 2 2 7 2 3" xfId="33017" xr:uid="{00000000-0005-0000-0000-0000F4800000}"/>
    <cellStyle name="Input 8 2 2 7 2 4" xfId="33018" xr:uid="{00000000-0005-0000-0000-0000F5800000}"/>
    <cellStyle name="Input 8 2 2 7 2 5" xfId="33019" xr:uid="{00000000-0005-0000-0000-0000F6800000}"/>
    <cellStyle name="Input 8 2 2 7 2 6" xfId="33020" xr:uid="{00000000-0005-0000-0000-0000F7800000}"/>
    <cellStyle name="Input 8 2 2 7 3" xfId="33021" xr:uid="{00000000-0005-0000-0000-0000F8800000}"/>
    <cellStyle name="Input 8 2 2 7 3 2" xfId="33022" xr:uid="{00000000-0005-0000-0000-0000F9800000}"/>
    <cellStyle name="Input 8 2 2 7 3 2 2" xfId="33023" xr:uid="{00000000-0005-0000-0000-0000FA800000}"/>
    <cellStyle name="Input 8 2 2 7 3 2 3" xfId="33024" xr:uid="{00000000-0005-0000-0000-0000FB800000}"/>
    <cellStyle name="Input 8 2 2 7 3 2 4" xfId="33025" xr:uid="{00000000-0005-0000-0000-0000FC800000}"/>
    <cellStyle name="Input 8 2 2 7 3 2 5" xfId="33026" xr:uid="{00000000-0005-0000-0000-0000FD800000}"/>
    <cellStyle name="Input 8 2 2 7 3 2 6" xfId="33027" xr:uid="{00000000-0005-0000-0000-0000FE800000}"/>
    <cellStyle name="Input 8 2 2 7 3 3" xfId="33028" xr:uid="{00000000-0005-0000-0000-0000FF800000}"/>
    <cellStyle name="Input 8 2 2 7 3 4" xfId="33029" xr:uid="{00000000-0005-0000-0000-000000810000}"/>
    <cellStyle name="Input 8 2 2 7 3 5" xfId="33030" xr:uid="{00000000-0005-0000-0000-000001810000}"/>
    <cellStyle name="Input 8 2 2 7 3 6" xfId="33031" xr:uid="{00000000-0005-0000-0000-000002810000}"/>
    <cellStyle name="Input 8 2 2 7 4" xfId="33032" xr:uid="{00000000-0005-0000-0000-000003810000}"/>
    <cellStyle name="Input 8 2 2 7 4 2" xfId="33033" xr:uid="{00000000-0005-0000-0000-000004810000}"/>
    <cellStyle name="Input 8 2 2 7 4 3" xfId="33034" xr:uid="{00000000-0005-0000-0000-000005810000}"/>
    <cellStyle name="Input 8 2 2 7 4 4" xfId="33035" xr:uid="{00000000-0005-0000-0000-000006810000}"/>
    <cellStyle name="Input 8 2 2 7 4 5" xfId="33036" xr:uid="{00000000-0005-0000-0000-000007810000}"/>
    <cellStyle name="Input 8 2 2 7 4 6" xfId="33037" xr:uid="{00000000-0005-0000-0000-000008810000}"/>
    <cellStyle name="Input 8 2 2 7 5" xfId="33038" xr:uid="{00000000-0005-0000-0000-000009810000}"/>
    <cellStyle name="Input 8 2 2 7 6" xfId="33039" xr:uid="{00000000-0005-0000-0000-00000A810000}"/>
    <cellStyle name="Input 8 2 2 7 7" xfId="33040" xr:uid="{00000000-0005-0000-0000-00000B810000}"/>
    <cellStyle name="Input 8 2 2 7 8" xfId="33041" xr:uid="{00000000-0005-0000-0000-00000C810000}"/>
    <cellStyle name="Input 8 2 2 8" xfId="33042" xr:uid="{00000000-0005-0000-0000-00000D810000}"/>
    <cellStyle name="Input 8 2 2 8 2" xfId="33043" xr:uid="{00000000-0005-0000-0000-00000E810000}"/>
    <cellStyle name="Input 8 2 2 8 2 2" xfId="33044" xr:uid="{00000000-0005-0000-0000-00000F810000}"/>
    <cellStyle name="Input 8 2 2 8 2 3" xfId="33045" xr:uid="{00000000-0005-0000-0000-000010810000}"/>
    <cellStyle name="Input 8 2 2 8 2 4" xfId="33046" xr:uid="{00000000-0005-0000-0000-000011810000}"/>
    <cellStyle name="Input 8 2 2 8 2 5" xfId="33047" xr:uid="{00000000-0005-0000-0000-000012810000}"/>
    <cellStyle name="Input 8 2 2 8 2 6" xfId="33048" xr:uid="{00000000-0005-0000-0000-000013810000}"/>
    <cellStyle name="Input 8 2 2 8 3" xfId="33049" xr:uid="{00000000-0005-0000-0000-000014810000}"/>
    <cellStyle name="Input 8 2 2 8 4" xfId="33050" xr:uid="{00000000-0005-0000-0000-000015810000}"/>
    <cellStyle name="Input 8 2 2 8 5" xfId="33051" xr:uid="{00000000-0005-0000-0000-000016810000}"/>
    <cellStyle name="Input 8 2 2 8 6" xfId="33052" xr:uid="{00000000-0005-0000-0000-000017810000}"/>
    <cellStyle name="Input 8 2 2 9" xfId="33053" xr:uid="{00000000-0005-0000-0000-000018810000}"/>
    <cellStyle name="Input 8 2 2 9 2" xfId="33054" xr:uid="{00000000-0005-0000-0000-000019810000}"/>
    <cellStyle name="Input 8 2 2 9 2 2" xfId="33055" xr:uid="{00000000-0005-0000-0000-00001A810000}"/>
    <cellStyle name="Input 8 2 2 9 2 3" xfId="33056" xr:uid="{00000000-0005-0000-0000-00001B810000}"/>
    <cellStyle name="Input 8 2 2 9 2 4" xfId="33057" xr:uid="{00000000-0005-0000-0000-00001C810000}"/>
    <cellStyle name="Input 8 2 2 9 2 5" xfId="33058" xr:uid="{00000000-0005-0000-0000-00001D810000}"/>
    <cellStyle name="Input 8 2 2 9 2 6" xfId="33059" xr:uid="{00000000-0005-0000-0000-00001E810000}"/>
    <cellStyle name="Input 8 2 2 9 3" xfId="33060" xr:uid="{00000000-0005-0000-0000-00001F810000}"/>
    <cellStyle name="Input 8 2 2 9 4" xfId="33061" xr:uid="{00000000-0005-0000-0000-000020810000}"/>
    <cellStyle name="Input 8 2 2 9 5" xfId="33062" xr:uid="{00000000-0005-0000-0000-000021810000}"/>
    <cellStyle name="Input 8 2 2 9 6" xfId="33063" xr:uid="{00000000-0005-0000-0000-000022810000}"/>
    <cellStyle name="Input 8 2 3" xfId="33064" xr:uid="{00000000-0005-0000-0000-000023810000}"/>
    <cellStyle name="Input 8 2 3 10" xfId="33065" xr:uid="{00000000-0005-0000-0000-000024810000}"/>
    <cellStyle name="Input 8 2 3 11" xfId="33066" xr:uid="{00000000-0005-0000-0000-000025810000}"/>
    <cellStyle name="Input 8 2 3 12" xfId="33067" xr:uid="{00000000-0005-0000-0000-000026810000}"/>
    <cellStyle name="Input 8 2 3 13" xfId="33068" xr:uid="{00000000-0005-0000-0000-000027810000}"/>
    <cellStyle name="Input 8 2 3 2" xfId="33069" xr:uid="{00000000-0005-0000-0000-000028810000}"/>
    <cellStyle name="Input 8 2 3 2 2" xfId="33070" xr:uid="{00000000-0005-0000-0000-000029810000}"/>
    <cellStyle name="Input 8 2 3 2 2 2" xfId="33071" xr:uid="{00000000-0005-0000-0000-00002A810000}"/>
    <cellStyle name="Input 8 2 3 2 2 2 2" xfId="33072" xr:uid="{00000000-0005-0000-0000-00002B810000}"/>
    <cellStyle name="Input 8 2 3 2 2 2 3" xfId="33073" xr:uid="{00000000-0005-0000-0000-00002C810000}"/>
    <cellStyle name="Input 8 2 3 2 2 2 4" xfId="33074" xr:uid="{00000000-0005-0000-0000-00002D810000}"/>
    <cellStyle name="Input 8 2 3 2 2 2 5" xfId="33075" xr:uid="{00000000-0005-0000-0000-00002E810000}"/>
    <cellStyle name="Input 8 2 3 2 2 2 6" xfId="33076" xr:uid="{00000000-0005-0000-0000-00002F810000}"/>
    <cellStyle name="Input 8 2 3 2 2 3" xfId="33077" xr:uid="{00000000-0005-0000-0000-000030810000}"/>
    <cellStyle name="Input 8 2 3 2 2 4" xfId="33078" xr:uid="{00000000-0005-0000-0000-000031810000}"/>
    <cellStyle name="Input 8 2 3 2 2 5" xfId="33079" xr:uid="{00000000-0005-0000-0000-000032810000}"/>
    <cellStyle name="Input 8 2 3 2 2 6" xfId="33080" xr:uid="{00000000-0005-0000-0000-000033810000}"/>
    <cellStyle name="Input 8 2 3 2 3" xfId="33081" xr:uid="{00000000-0005-0000-0000-000034810000}"/>
    <cellStyle name="Input 8 2 3 2 3 2" xfId="33082" xr:uid="{00000000-0005-0000-0000-000035810000}"/>
    <cellStyle name="Input 8 2 3 2 3 2 2" xfId="33083" xr:uid="{00000000-0005-0000-0000-000036810000}"/>
    <cellStyle name="Input 8 2 3 2 3 2 3" xfId="33084" xr:uid="{00000000-0005-0000-0000-000037810000}"/>
    <cellStyle name="Input 8 2 3 2 3 2 4" xfId="33085" xr:uid="{00000000-0005-0000-0000-000038810000}"/>
    <cellStyle name="Input 8 2 3 2 3 2 5" xfId="33086" xr:uid="{00000000-0005-0000-0000-000039810000}"/>
    <cellStyle name="Input 8 2 3 2 3 2 6" xfId="33087" xr:uid="{00000000-0005-0000-0000-00003A810000}"/>
    <cellStyle name="Input 8 2 3 2 3 3" xfId="33088" xr:uid="{00000000-0005-0000-0000-00003B810000}"/>
    <cellStyle name="Input 8 2 3 2 3 4" xfId="33089" xr:uid="{00000000-0005-0000-0000-00003C810000}"/>
    <cellStyle name="Input 8 2 3 2 3 5" xfId="33090" xr:uid="{00000000-0005-0000-0000-00003D810000}"/>
    <cellStyle name="Input 8 2 3 2 3 6" xfId="33091" xr:uid="{00000000-0005-0000-0000-00003E810000}"/>
    <cellStyle name="Input 8 2 3 2 4" xfId="33092" xr:uid="{00000000-0005-0000-0000-00003F810000}"/>
    <cellStyle name="Input 8 2 3 2 4 2" xfId="33093" xr:uid="{00000000-0005-0000-0000-000040810000}"/>
    <cellStyle name="Input 8 2 3 2 4 3" xfId="33094" xr:uid="{00000000-0005-0000-0000-000041810000}"/>
    <cellStyle name="Input 8 2 3 2 4 4" xfId="33095" xr:uid="{00000000-0005-0000-0000-000042810000}"/>
    <cellStyle name="Input 8 2 3 2 4 5" xfId="33096" xr:uid="{00000000-0005-0000-0000-000043810000}"/>
    <cellStyle name="Input 8 2 3 2 4 6" xfId="33097" xr:uid="{00000000-0005-0000-0000-000044810000}"/>
    <cellStyle name="Input 8 2 3 2 5" xfId="33098" xr:uid="{00000000-0005-0000-0000-000045810000}"/>
    <cellStyle name="Input 8 2 3 2 6" xfId="33099" xr:uid="{00000000-0005-0000-0000-000046810000}"/>
    <cellStyle name="Input 8 2 3 2 7" xfId="33100" xr:uid="{00000000-0005-0000-0000-000047810000}"/>
    <cellStyle name="Input 8 2 3 2 8" xfId="33101" xr:uid="{00000000-0005-0000-0000-000048810000}"/>
    <cellStyle name="Input 8 2 3 3" xfId="33102" xr:uid="{00000000-0005-0000-0000-000049810000}"/>
    <cellStyle name="Input 8 2 3 3 2" xfId="33103" xr:uid="{00000000-0005-0000-0000-00004A810000}"/>
    <cellStyle name="Input 8 2 3 3 2 2" xfId="33104" xr:uid="{00000000-0005-0000-0000-00004B810000}"/>
    <cellStyle name="Input 8 2 3 3 2 2 2" xfId="33105" xr:uid="{00000000-0005-0000-0000-00004C810000}"/>
    <cellStyle name="Input 8 2 3 3 2 2 3" xfId="33106" xr:uid="{00000000-0005-0000-0000-00004D810000}"/>
    <cellStyle name="Input 8 2 3 3 2 2 4" xfId="33107" xr:uid="{00000000-0005-0000-0000-00004E810000}"/>
    <cellStyle name="Input 8 2 3 3 2 2 5" xfId="33108" xr:uid="{00000000-0005-0000-0000-00004F810000}"/>
    <cellStyle name="Input 8 2 3 3 2 2 6" xfId="33109" xr:uid="{00000000-0005-0000-0000-000050810000}"/>
    <cellStyle name="Input 8 2 3 3 2 3" xfId="33110" xr:uid="{00000000-0005-0000-0000-000051810000}"/>
    <cellStyle name="Input 8 2 3 3 2 4" xfId="33111" xr:uid="{00000000-0005-0000-0000-000052810000}"/>
    <cellStyle name="Input 8 2 3 3 2 5" xfId="33112" xr:uid="{00000000-0005-0000-0000-000053810000}"/>
    <cellStyle name="Input 8 2 3 3 2 6" xfId="33113" xr:uid="{00000000-0005-0000-0000-000054810000}"/>
    <cellStyle name="Input 8 2 3 3 3" xfId="33114" xr:uid="{00000000-0005-0000-0000-000055810000}"/>
    <cellStyle name="Input 8 2 3 3 3 2" xfId="33115" xr:uid="{00000000-0005-0000-0000-000056810000}"/>
    <cellStyle name="Input 8 2 3 3 3 2 2" xfId="33116" xr:uid="{00000000-0005-0000-0000-000057810000}"/>
    <cellStyle name="Input 8 2 3 3 3 2 3" xfId="33117" xr:uid="{00000000-0005-0000-0000-000058810000}"/>
    <cellStyle name="Input 8 2 3 3 3 2 4" xfId="33118" xr:uid="{00000000-0005-0000-0000-000059810000}"/>
    <cellStyle name="Input 8 2 3 3 3 2 5" xfId="33119" xr:uid="{00000000-0005-0000-0000-00005A810000}"/>
    <cellStyle name="Input 8 2 3 3 3 2 6" xfId="33120" xr:uid="{00000000-0005-0000-0000-00005B810000}"/>
    <cellStyle name="Input 8 2 3 3 3 3" xfId="33121" xr:uid="{00000000-0005-0000-0000-00005C810000}"/>
    <cellStyle name="Input 8 2 3 3 3 4" xfId="33122" xr:uid="{00000000-0005-0000-0000-00005D810000}"/>
    <cellStyle name="Input 8 2 3 3 3 5" xfId="33123" xr:uid="{00000000-0005-0000-0000-00005E810000}"/>
    <cellStyle name="Input 8 2 3 3 3 6" xfId="33124" xr:uid="{00000000-0005-0000-0000-00005F810000}"/>
    <cellStyle name="Input 8 2 3 3 4" xfId="33125" xr:uid="{00000000-0005-0000-0000-000060810000}"/>
    <cellStyle name="Input 8 2 3 3 4 2" xfId="33126" xr:uid="{00000000-0005-0000-0000-000061810000}"/>
    <cellStyle name="Input 8 2 3 3 4 3" xfId="33127" xr:uid="{00000000-0005-0000-0000-000062810000}"/>
    <cellStyle name="Input 8 2 3 3 4 4" xfId="33128" xr:uid="{00000000-0005-0000-0000-000063810000}"/>
    <cellStyle name="Input 8 2 3 3 4 5" xfId="33129" xr:uid="{00000000-0005-0000-0000-000064810000}"/>
    <cellStyle name="Input 8 2 3 3 4 6" xfId="33130" xr:uid="{00000000-0005-0000-0000-000065810000}"/>
    <cellStyle name="Input 8 2 3 3 5" xfId="33131" xr:uid="{00000000-0005-0000-0000-000066810000}"/>
    <cellStyle name="Input 8 2 3 3 6" xfId="33132" xr:uid="{00000000-0005-0000-0000-000067810000}"/>
    <cellStyle name="Input 8 2 3 3 7" xfId="33133" xr:uid="{00000000-0005-0000-0000-000068810000}"/>
    <cellStyle name="Input 8 2 3 3 8" xfId="33134" xr:uid="{00000000-0005-0000-0000-000069810000}"/>
    <cellStyle name="Input 8 2 3 4" xfId="33135" xr:uid="{00000000-0005-0000-0000-00006A810000}"/>
    <cellStyle name="Input 8 2 3 4 2" xfId="33136" xr:uid="{00000000-0005-0000-0000-00006B810000}"/>
    <cellStyle name="Input 8 2 3 4 2 2" xfId="33137" xr:uid="{00000000-0005-0000-0000-00006C810000}"/>
    <cellStyle name="Input 8 2 3 4 2 2 2" xfId="33138" xr:uid="{00000000-0005-0000-0000-00006D810000}"/>
    <cellStyle name="Input 8 2 3 4 2 2 3" xfId="33139" xr:uid="{00000000-0005-0000-0000-00006E810000}"/>
    <cellStyle name="Input 8 2 3 4 2 2 4" xfId="33140" xr:uid="{00000000-0005-0000-0000-00006F810000}"/>
    <cellStyle name="Input 8 2 3 4 2 2 5" xfId="33141" xr:uid="{00000000-0005-0000-0000-000070810000}"/>
    <cellStyle name="Input 8 2 3 4 2 2 6" xfId="33142" xr:uid="{00000000-0005-0000-0000-000071810000}"/>
    <cellStyle name="Input 8 2 3 4 2 3" xfId="33143" xr:uid="{00000000-0005-0000-0000-000072810000}"/>
    <cellStyle name="Input 8 2 3 4 2 4" xfId="33144" xr:uid="{00000000-0005-0000-0000-000073810000}"/>
    <cellStyle name="Input 8 2 3 4 2 5" xfId="33145" xr:uid="{00000000-0005-0000-0000-000074810000}"/>
    <cellStyle name="Input 8 2 3 4 2 6" xfId="33146" xr:uid="{00000000-0005-0000-0000-000075810000}"/>
    <cellStyle name="Input 8 2 3 4 3" xfId="33147" xr:uid="{00000000-0005-0000-0000-000076810000}"/>
    <cellStyle name="Input 8 2 3 4 3 2" xfId="33148" xr:uid="{00000000-0005-0000-0000-000077810000}"/>
    <cellStyle name="Input 8 2 3 4 3 2 2" xfId="33149" xr:uid="{00000000-0005-0000-0000-000078810000}"/>
    <cellStyle name="Input 8 2 3 4 3 2 3" xfId="33150" xr:uid="{00000000-0005-0000-0000-000079810000}"/>
    <cellStyle name="Input 8 2 3 4 3 2 4" xfId="33151" xr:uid="{00000000-0005-0000-0000-00007A810000}"/>
    <cellStyle name="Input 8 2 3 4 3 2 5" xfId="33152" xr:uid="{00000000-0005-0000-0000-00007B810000}"/>
    <cellStyle name="Input 8 2 3 4 3 2 6" xfId="33153" xr:uid="{00000000-0005-0000-0000-00007C810000}"/>
    <cellStyle name="Input 8 2 3 4 3 3" xfId="33154" xr:uid="{00000000-0005-0000-0000-00007D810000}"/>
    <cellStyle name="Input 8 2 3 4 3 4" xfId="33155" xr:uid="{00000000-0005-0000-0000-00007E810000}"/>
    <cellStyle name="Input 8 2 3 4 3 5" xfId="33156" xr:uid="{00000000-0005-0000-0000-00007F810000}"/>
    <cellStyle name="Input 8 2 3 4 3 6" xfId="33157" xr:uid="{00000000-0005-0000-0000-000080810000}"/>
    <cellStyle name="Input 8 2 3 4 4" xfId="33158" xr:uid="{00000000-0005-0000-0000-000081810000}"/>
    <cellStyle name="Input 8 2 3 4 4 2" xfId="33159" xr:uid="{00000000-0005-0000-0000-000082810000}"/>
    <cellStyle name="Input 8 2 3 4 4 3" xfId="33160" xr:uid="{00000000-0005-0000-0000-000083810000}"/>
    <cellStyle name="Input 8 2 3 4 4 4" xfId="33161" xr:uid="{00000000-0005-0000-0000-000084810000}"/>
    <cellStyle name="Input 8 2 3 4 4 5" xfId="33162" xr:uid="{00000000-0005-0000-0000-000085810000}"/>
    <cellStyle name="Input 8 2 3 4 4 6" xfId="33163" xr:uid="{00000000-0005-0000-0000-000086810000}"/>
    <cellStyle name="Input 8 2 3 4 5" xfId="33164" xr:uid="{00000000-0005-0000-0000-000087810000}"/>
    <cellStyle name="Input 8 2 3 4 6" xfId="33165" xr:uid="{00000000-0005-0000-0000-000088810000}"/>
    <cellStyle name="Input 8 2 3 4 7" xfId="33166" xr:uid="{00000000-0005-0000-0000-000089810000}"/>
    <cellStyle name="Input 8 2 3 4 8" xfId="33167" xr:uid="{00000000-0005-0000-0000-00008A810000}"/>
    <cellStyle name="Input 8 2 3 5" xfId="33168" xr:uid="{00000000-0005-0000-0000-00008B810000}"/>
    <cellStyle name="Input 8 2 3 5 2" xfId="33169" xr:uid="{00000000-0005-0000-0000-00008C810000}"/>
    <cellStyle name="Input 8 2 3 5 2 2" xfId="33170" xr:uid="{00000000-0005-0000-0000-00008D810000}"/>
    <cellStyle name="Input 8 2 3 5 2 2 2" xfId="33171" xr:uid="{00000000-0005-0000-0000-00008E810000}"/>
    <cellStyle name="Input 8 2 3 5 2 2 3" xfId="33172" xr:uid="{00000000-0005-0000-0000-00008F810000}"/>
    <cellStyle name="Input 8 2 3 5 2 2 4" xfId="33173" xr:uid="{00000000-0005-0000-0000-000090810000}"/>
    <cellStyle name="Input 8 2 3 5 2 2 5" xfId="33174" xr:uid="{00000000-0005-0000-0000-000091810000}"/>
    <cellStyle name="Input 8 2 3 5 2 2 6" xfId="33175" xr:uid="{00000000-0005-0000-0000-000092810000}"/>
    <cellStyle name="Input 8 2 3 5 2 3" xfId="33176" xr:uid="{00000000-0005-0000-0000-000093810000}"/>
    <cellStyle name="Input 8 2 3 5 2 4" xfId="33177" xr:uid="{00000000-0005-0000-0000-000094810000}"/>
    <cellStyle name="Input 8 2 3 5 2 5" xfId="33178" xr:uid="{00000000-0005-0000-0000-000095810000}"/>
    <cellStyle name="Input 8 2 3 5 2 6" xfId="33179" xr:uid="{00000000-0005-0000-0000-000096810000}"/>
    <cellStyle name="Input 8 2 3 5 3" xfId="33180" xr:uid="{00000000-0005-0000-0000-000097810000}"/>
    <cellStyle name="Input 8 2 3 5 3 2" xfId="33181" xr:uid="{00000000-0005-0000-0000-000098810000}"/>
    <cellStyle name="Input 8 2 3 5 3 2 2" xfId="33182" xr:uid="{00000000-0005-0000-0000-000099810000}"/>
    <cellStyle name="Input 8 2 3 5 3 2 3" xfId="33183" xr:uid="{00000000-0005-0000-0000-00009A810000}"/>
    <cellStyle name="Input 8 2 3 5 3 2 4" xfId="33184" xr:uid="{00000000-0005-0000-0000-00009B810000}"/>
    <cellStyle name="Input 8 2 3 5 3 2 5" xfId="33185" xr:uid="{00000000-0005-0000-0000-00009C810000}"/>
    <cellStyle name="Input 8 2 3 5 3 2 6" xfId="33186" xr:uid="{00000000-0005-0000-0000-00009D810000}"/>
    <cellStyle name="Input 8 2 3 5 3 3" xfId="33187" xr:uid="{00000000-0005-0000-0000-00009E810000}"/>
    <cellStyle name="Input 8 2 3 5 3 4" xfId="33188" xr:uid="{00000000-0005-0000-0000-00009F810000}"/>
    <cellStyle name="Input 8 2 3 5 3 5" xfId="33189" xr:uid="{00000000-0005-0000-0000-0000A0810000}"/>
    <cellStyle name="Input 8 2 3 5 3 6" xfId="33190" xr:uid="{00000000-0005-0000-0000-0000A1810000}"/>
    <cellStyle name="Input 8 2 3 5 4" xfId="33191" xr:uid="{00000000-0005-0000-0000-0000A2810000}"/>
    <cellStyle name="Input 8 2 3 5 4 2" xfId="33192" xr:uid="{00000000-0005-0000-0000-0000A3810000}"/>
    <cellStyle name="Input 8 2 3 5 4 3" xfId="33193" xr:uid="{00000000-0005-0000-0000-0000A4810000}"/>
    <cellStyle name="Input 8 2 3 5 4 4" xfId="33194" xr:uid="{00000000-0005-0000-0000-0000A5810000}"/>
    <cellStyle name="Input 8 2 3 5 4 5" xfId="33195" xr:uid="{00000000-0005-0000-0000-0000A6810000}"/>
    <cellStyle name="Input 8 2 3 5 4 6" xfId="33196" xr:uid="{00000000-0005-0000-0000-0000A7810000}"/>
    <cellStyle name="Input 8 2 3 5 5" xfId="33197" xr:uid="{00000000-0005-0000-0000-0000A8810000}"/>
    <cellStyle name="Input 8 2 3 5 6" xfId="33198" xr:uid="{00000000-0005-0000-0000-0000A9810000}"/>
    <cellStyle name="Input 8 2 3 5 7" xfId="33199" xr:uid="{00000000-0005-0000-0000-0000AA810000}"/>
    <cellStyle name="Input 8 2 3 5 8" xfId="33200" xr:uid="{00000000-0005-0000-0000-0000AB810000}"/>
    <cellStyle name="Input 8 2 3 6" xfId="33201" xr:uid="{00000000-0005-0000-0000-0000AC810000}"/>
    <cellStyle name="Input 8 2 3 6 2" xfId="33202" xr:uid="{00000000-0005-0000-0000-0000AD810000}"/>
    <cellStyle name="Input 8 2 3 6 2 2" xfId="33203" xr:uid="{00000000-0005-0000-0000-0000AE810000}"/>
    <cellStyle name="Input 8 2 3 6 2 2 2" xfId="33204" xr:uid="{00000000-0005-0000-0000-0000AF810000}"/>
    <cellStyle name="Input 8 2 3 6 2 2 3" xfId="33205" xr:uid="{00000000-0005-0000-0000-0000B0810000}"/>
    <cellStyle name="Input 8 2 3 6 2 2 4" xfId="33206" xr:uid="{00000000-0005-0000-0000-0000B1810000}"/>
    <cellStyle name="Input 8 2 3 6 2 2 5" xfId="33207" xr:uid="{00000000-0005-0000-0000-0000B2810000}"/>
    <cellStyle name="Input 8 2 3 6 2 2 6" xfId="33208" xr:uid="{00000000-0005-0000-0000-0000B3810000}"/>
    <cellStyle name="Input 8 2 3 6 2 3" xfId="33209" xr:uid="{00000000-0005-0000-0000-0000B4810000}"/>
    <cellStyle name="Input 8 2 3 6 2 4" xfId="33210" xr:uid="{00000000-0005-0000-0000-0000B5810000}"/>
    <cellStyle name="Input 8 2 3 6 2 5" xfId="33211" xr:uid="{00000000-0005-0000-0000-0000B6810000}"/>
    <cellStyle name="Input 8 2 3 6 2 6" xfId="33212" xr:uid="{00000000-0005-0000-0000-0000B7810000}"/>
    <cellStyle name="Input 8 2 3 6 3" xfId="33213" xr:uid="{00000000-0005-0000-0000-0000B8810000}"/>
    <cellStyle name="Input 8 2 3 6 3 2" xfId="33214" xr:uid="{00000000-0005-0000-0000-0000B9810000}"/>
    <cellStyle name="Input 8 2 3 6 3 2 2" xfId="33215" xr:uid="{00000000-0005-0000-0000-0000BA810000}"/>
    <cellStyle name="Input 8 2 3 6 3 2 3" xfId="33216" xr:uid="{00000000-0005-0000-0000-0000BB810000}"/>
    <cellStyle name="Input 8 2 3 6 3 2 4" xfId="33217" xr:uid="{00000000-0005-0000-0000-0000BC810000}"/>
    <cellStyle name="Input 8 2 3 6 3 2 5" xfId="33218" xr:uid="{00000000-0005-0000-0000-0000BD810000}"/>
    <cellStyle name="Input 8 2 3 6 3 2 6" xfId="33219" xr:uid="{00000000-0005-0000-0000-0000BE810000}"/>
    <cellStyle name="Input 8 2 3 6 3 3" xfId="33220" xr:uid="{00000000-0005-0000-0000-0000BF810000}"/>
    <cellStyle name="Input 8 2 3 6 3 4" xfId="33221" xr:uid="{00000000-0005-0000-0000-0000C0810000}"/>
    <cellStyle name="Input 8 2 3 6 3 5" xfId="33222" xr:uid="{00000000-0005-0000-0000-0000C1810000}"/>
    <cellStyle name="Input 8 2 3 6 3 6" xfId="33223" xr:uid="{00000000-0005-0000-0000-0000C2810000}"/>
    <cellStyle name="Input 8 2 3 6 4" xfId="33224" xr:uid="{00000000-0005-0000-0000-0000C3810000}"/>
    <cellStyle name="Input 8 2 3 6 4 2" xfId="33225" xr:uid="{00000000-0005-0000-0000-0000C4810000}"/>
    <cellStyle name="Input 8 2 3 6 4 3" xfId="33226" xr:uid="{00000000-0005-0000-0000-0000C5810000}"/>
    <cellStyle name="Input 8 2 3 6 4 4" xfId="33227" xr:uid="{00000000-0005-0000-0000-0000C6810000}"/>
    <cellStyle name="Input 8 2 3 6 4 5" xfId="33228" xr:uid="{00000000-0005-0000-0000-0000C7810000}"/>
    <cellStyle name="Input 8 2 3 6 4 6" xfId="33229" xr:uid="{00000000-0005-0000-0000-0000C8810000}"/>
    <cellStyle name="Input 8 2 3 6 5" xfId="33230" xr:uid="{00000000-0005-0000-0000-0000C9810000}"/>
    <cellStyle name="Input 8 2 3 6 6" xfId="33231" xr:uid="{00000000-0005-0000-0000-0000CA810000}"/>
    <cellStyle name="Input 8 2 3 6 7" xfId="33232" xr:uid="{00000000-0005-0000-0000-0000CB810000}"/>
    <cellStyle name="Input 8 2 3 6 8" xfId="33233" xr:uid="{00000000-0005-0000-0000-0000CC810000}"/>
    <cellStyle name="Input 8 2 3 7" xfId="33234" xr:uid="{00000000-0005-0000-0000-0000CD810000}"/>
    <cellStyle name="Input 8 2 3 7 2" xfId="33235" xr:uid="{00000000-0005-0000-0000-0000CE810000}"/>
    <cellStyle name="Input 8 2 3 7 2 2" xfId="33236" xr:uid="{00000000-0005-0000-0000-0000CF810000}"/>
    <cellStyle name="Input 8 2 3 7 2 3" xfId="33237" xr:uid="{00000000-0005-0000-0000-0000D0810000}"/>
    <cellStyle name="Input 8 2 3 7 2 4" xfId="33238" xr:uid="{00000000-0005-0000-0000-0000D1810000}"/>
    <cellStyle name="Input 8 2 3 7 2 5" xfId="33239" xr:uid="{00000000-0005-0000-0000-0000D2810000}"/>
    <cellStyle name="Input 8 2 3 7 2 6" xfId="33240" xr:uid="{00000000-0005-0000-0000-0000D3810000}"/>
    <cellStyle name="Input 8 2 3 7 3" xfId="33241" xr:uid="{00000000-0005-0000-0000-0000D4810000}"/>
    <cellStyle name="Input 8 2 3 7 4" xfId="33242" xr:uid="{00000000-0005-0000-0000-0000D5810000}"/>
    <cellStyle name="Input 8 2 3 7 5" xfId="33243" xr:uid="{00000000-0005-0000-0000-0000D6810000}"/>
    <cellStyle name="Input 8 2 3 7 6" xfId="33244" xr:uid="{00000000-0005-0000-0000-0000D7810000}"/>
    <cellStyle name="Input 8 2 3 8" xfId="33245" xr:uid="{00000000-0005-0000-0000-0000D8810000}"/>
    <cellStyle name="Input 8 2 3 8 2" xfId="33246" xr:uid="{00000000-0005-0000-0000-0000D9810000}"/>
    <cellStyle name="Input 8 2 3 8 2 2" xfId="33247" xr:uid="{00000000-0005-0000-0000-0000DA810000}"/>
    <cellStyle name="Input 8 2 3 8 2 3" xfId="33248" xr:uid="{00000000-0005-0000-0000-0000DB810000}"/>
    <cellStyle name="Input 8 2 3 8 2 4" xfId="33249" xr:uid="{00000000-0005-0000-0000-0000DC810000}"/>
    <cellStyle name="Input 8 2 3 8 2 5" xfId="33250" xr:uid="{00000000-0005-0000-0000-0000DD810000}"/>
    <cellStyle name="Input 8 2 3 8 2 6" xfId="33251" xr:uid="{00000000-0005-0000-0000-0000DE810000}"/>
    <cellStyle name="Input 8 2 3 8 3" xfId="33252" xr:uid="{00000000-0005-0000-0000-0000DF810000}"/>
    <cellStyle name="Input 8 2 3 8 4" xfId="33253" xr:uid="{00000000-0005-0000-0000-0000E0810000}"/>
    <cellStyle name="Input 8 2 3 8 5" xfId="33254" xr:uid="{00000000-0005-0000-0000-0000E1810000}"/>
    <cellStyle name="Input 8 2 3 8 6" xfId="33255" xr:uid="{00000000-0005-0000-0000-0000E2810000}"/>
    <cellStyle name="Input 8 2 3 9" xfId="33256" xr:uid="{00000000-0005-0000-0000-0000E3810000}"/>
    <cellStyle name="Input 8 2 3 9 2" xfId="33257" xr:uid="{00000000-0005-0000-0000-0000E4810000}"/>
    <cellStyle name="Input 8 2 3 9 3" xfId="33258" xr:uid="{00000000-0005-0000-0000-0000E5810000}"/>
    <cellStyle name="Input 8 2 3 9 4" xfId="33259" xr:uid="{00000000-0005-0000-0000-0000E6810000}"/>
    <cellStyle name="Input 8 2 3 9 5" xfId="33260" xr:uid="{00000000-0005-0000-0000-0000E7810000}"/>
    <cellStyle name="Input 8 2 3 9 6" xfId="33261" xr:uid="{00000000-0005-0000-0000-0000E8810000}"/>
    <cellStyle name="Input 8 2 4" xfId="33262" xr:uid="{00000000-0005-0000-0000-0000E9810000}"/>
    <cellStyle name="Input 8 2 4 2" xfId="33263" xr:uid="{00000000-0005-0000-0000-0000EA810000}"/>
    <cellStyle name="Input 8 2 4 2 2" xfId="33264" xr:uid="{00000000-0005-0000-0000-0000EB810000}"/>
    <cellStyle name="Input 8 2 4 2 2 2" xfId="33265" xr:uid="{00000000-0005-0000-0000-0000EC810000}"/>
    <cellStyle name="Input 8 2 4 2 2 3" xfId="33266" xr:uid="{00000000-0005-0000-0000-0000ED810000}"/>
    <cellStyle name="Input 8 2 4 2 2 4" xfId="33267" xr:uid="{00000000-0005-0000-0000-0000EE810000}"/>
    <cellStyle name="Input 8 2 4 2 2 5" xfId="33268" xr:uid="{00000000-0005-0000-0000-0000EF810000}"/>
    <cellStyle name="Input 8 2 4 2 2 6" xfId="33269" xr:uid="{00000000-0005-0000-0000-0000F0810000}"/>
    <cellStyle name="Input 8 2 4 2 3" xfId="33270" xr:uid="{00000000-0005-0000-0000-0000F1810000}"/>
    <cellStyle name="Input 8 2 4 2 4" xfId="33271" xr:uid="{00000000-0005-0000-0000-0000F2810000}"/>
    <cellStyle name="Input 8 2 4 2 5" xfId="33272" xr:uid="{00000000-0005-0000-0000-0000F3810000}"/>
    <cellStyle name="Input 8 2 4 2 6" xfId="33273" xr:uid="{00000000-0005-0000-0000-0000F4810000}"/>
    <cellStyle name="Input 8 2 4 3" xfId="33274" xr:uid="{00000000-0005-0000-0000-0000F5810000}"/>
    <cellStyle name="Input 8 2 4 3 2" xfId="33275" xr:uid="{00000000-0005-0000-0000-0000F6810000}"/>
    <cellStyle name="Input 8 2 4 3 2 2" xfId="33276" xr:uid="{00000000-0005-0000-0000-0000F7810000}"/>
    <cellStyle name="Input 8 2 4 3 2 3" xfId="33277" xr:uid="{00000000-0005-0000-0000-0000F8810000}"/>
    <cellStyle name="Input 8 2 4 3 2 4" xfId="33278" xr:uid="{00000000-0005-0000-0000-0000F9810000}"/>
    <cellStyle name="Input 8 2 4 3 2 5" xfId="33279" xr:uid="{00000000-0005-0000-0000-0000FA810000}"/>
    <cellStyle name="Input 8 2 4 3 2 6" xfId="33280" xr:uid="{00000000-0005-0000-0000-0000FB810000}"/>
    <cellStyle name="Input 8 2 4 3 3" xfId="33281" xr:uid="{00000000-0005-0000-0000-0000FC810000}"/>
    <cellStyle name="Input 8 2 4 3 4" xfId="33282" xr:uid="{00000000-0005-0000-0000-0000FD810000}"/>
    <cellStyle name="Input 8 2 4 3 5" xfId="33283" xr:uid="{00000000-0005-0000-0000-0000FE810000}"/>
    <cellStyle name="Input 8 2 4 3 6" xfId="33284" xr:uid="{00000000-0005-0000-0000-0000FF810000}"/>
    <cellStyle name="Input 8 2 4 4" xfId="33285" xr:uid="{00000000-0005-0000-0000-000000820000}"/>
    <cellStyle name="Input 8 2 4 4 2" xfId="33286" xr:uid="{00000000-0005-0000-0000-000001820000}"/>
    <cellStyle name="Input 8 2 4 4 3" xfId="33287" xr:uid="{00000000-0005-0000-0000-000002820000}"/>
    <cellStyle name="Input 8 2 4 4 4" xfId="33288" xr:uid="{00000000-0005-0000-0000-000003820000}"/>
    <cellStyle name="Input 8 2 4 4 5" xfId="33289" xr:uid="{00000000-0005-0000-0000-000004820000}"/>
    <cellStyle name="Input 8 2 4 4 6" xfId="33290" xr:uid="{00000000-0005-0000-0000-000005820000}"/>
    <cellStyle name="Input 8 2 4 5" xfId="33291" xr:uid="{00000000-0005-0000-0000-000006820000}"/>
    <cellStyle name="Input 8 2 4 6" xfId="33292" xr:uid="{00000000-0005-0000-0000-000007820000}"/>
    <cellStyle name="Input 8 2 4 7" xfId="33293" xr:uid="{00000000-0005-0000-0000-000008820000}"/>
    <cellStyle name="Input 8 2 4 8" xfId="33294" xr:uid="{00000000-0005-0000-0000-000009820000}"/>
    <cellStyle name="Input 8 2 5" xfId="33295" xr:uid="{00000000-0005-0000-0000-00000A820000}"/>
    <cellStyle name="Input 8 2 5 2" xfId="33296" xr:uid="{00000000-0005-0000-0000-00000B820000}"/>
    <cellStyle name="Input 8 2 5 2 2" xfId="33297" xr:uid="{00000000-0005-0000-0000-00000C820000}"/>
    <cellStyle name="Input 8 2 5 2 2 2" xfId="33298" xr:uid="{00000000-0005-0000-0000-00000D820000}"/>
    <cellStyle name="Input 8 2 5 2 2 3" xfId="33299" xr:uid="{00000000-0005-0000-0000-00000E820000}"/>
    <cellStyle name="Input 8 2 5 2 2 4" xfId="33300" xr:uid="{00000000-0005-0000-0000-00000F820000}"/>
    <cellStyle name="Input 8 2 5 2 2 5" xfId="33301" xr:uid="{00000000-0005-0000-0000-000010820000}"/>
    <cellStyle name="Input 8 2 5 2 2 6" xfId="33302" xr:uid="{00000000-0005-0000-0000-000011820000}"/>
    <cellStyle name="Input 8 2 5 2 3" xfId="33303" xr:uid="{00000000-0005-0000-0000-000012820000}"/>
    <cellStyle name="Input 8 2 5 2 4" xfId="33304" xr:uid="{00000000-0005-0000-0000-000013820000}"/>
    <cellStyle name="Input 8 2 5 2 5" xfId="33305" xr:uid="{00000000-0005-0000-0000-000014820000}"/>
    <cellStyle name="Input 8 2 5 2 6" xfId="33306" xr:uid="{00000000-0005-0000-0000-000015820000}"/>
    <cellStyle name="Input 8 2 5 3" xfId="33307" xr:uid="{00000000-0005-0000-0000-000016820000}"/>
    <cellStyle name="Input 8 2 5 3 2" xfId="33308" xr:uid="{00000000-0005-0000-0000-000017820000}"/>
    <cellStyle name="Input 8 2 5 3 2 2" xfId="33309" xr:uid="{00000000-0005-0000-0000-000018820000}"/>
    <cellStyle name="Input 8 2 5 3 2 3" xfId="33310" xr:uid="{00000000-0005-0000-0000-000019820000}"/>
    <cellStyle name="Input 8 2 5 3 2 4" xfId="33311" xr:uid="{00000000-0005-0000-0000-00001A820000}"/>
    <cellStyle name="Input 8 2 5 3 2 5" xfId="33312" xr:uid="{00000000-0005-0000-0000-00001B820000}"/>
    <cellStyle name="Input 8 2 5 3 2 6" xfId="33313" xr:uid="{00000000-0005-0000-0000-00001C820000}"/>
    <cellStyle name="Input 8 2 5 3 3" xfId="33314" xr:uid="{00000000-0005-0000-0000-00001D820000}"/>
    <cellStyle name="Input 8 2 5 3 4" xfId="33315" xr:uid="{00000000-0005-0000-0000-00001E820000}"/>
    <cellStyle name="Input 8 2 5 3 5" xfId="33316" xr:uid="{00000000-0005-0000-0000-00001F820000}"/>
    <cellStyle name="Input 8 2 5 3 6" xfId="33317" xr:uid="{00000000-0005-0000-0000-000020820000}"/>
    <cellStyle name="Input 8 2 5 4" xfId="33318" xr:uid="{00000000-0005-0000-0000-000021820000}"/>
    <cellStyle name="Input 8 2 5 4 2" xfId="33319" xr:uid="{00000000-0005-0000-0000-000022820000}"/>
    <cellStyle name="Input 8 2 5 4 3" xfId="33320" xr:uid="{00000000-0005-0000-0000-000023820000}"/>
    <cellStyle name="Input 8 2 5 4 4" xfId="33321" xr:uid="{00000000-0005-0000-0000-000024820000}"/>
    <cellStyle name="Input 8 2 5 4 5" xfId="33322" xr:uid="{00000000-0005-0000-0000-000025820000}"/>
    <cellStyle name="Input 8 2 5 4 6" xfId="33323" xr:uid="{00000000-0005-0000-0000-000026820000}"/>
    <cellStyle name="Input 8 2 5 5" xfId="33324" xr:uid="{00000000-0005-0000-0000-000027820000}"/>
    <cellStyle name="Input 8 2 5 6" xfId="33325" xr:uid="{00000000-0005-0000-0000-000028820000}"/>
    <cellStyle name="Input 8 2 5 7" xfId="33326" xr:uid="{00000000-0005-0000-0000-000029820000}"/>
    <cellStyle name="Input 8 2 5 8" xfId="33327" xr:uid="{00000000-0005-0000-0000-00002A820000}"/>
    <cellStyle name="Input 8 2 6" xfId="33328" xr:uid="{00000000-0005-0000-0000-00002B820000}"/>
    <cellStyle name="Input 8 2 6 2" xfId="33329" xr:uid="{00000000-0005-0000-0000-00002C820000}"/>
    <cellStyle name="Input 8 2 6 2 2" xfId="33330" xr:uid="{00000000-0005-0000-0000-00002D820000}"/>
    <cellStyle name="Input 8 2 6 2 2 2" xfId="33331" xr:uid="{00000000-0005-0000-0000-00002E820000}"/>
    <cellStyle name="Input 8 2 6 2 2 3" xfId="33332" xr:uid="{00000000-0005-0000-0000-00002F820000}"/>
    <cellStyle name="Input 8 2 6 2 2 4" xfId="33333" xr:uid="{00000000-0005-0000-0000-000030820000}"/>
    <cellStyle name="Input 8 2 6 2 2 5" xfId="33334" xr:uid="{00000000-0005-0000-0000-000031820000}"/>
    <cellStyle name="Input 8 2 6 2 2 6" xfId="33335" xr:uid="{00000000-0005-0000-0000-000032820000}"/>
    <cellStyle name="Input 8 2 6 2 3" xfId="33336" xr:uid="{00000000-0005-0000-0000-000033820000}"/>
    <cellStyle name="Input 8 2 6 2 4" xfId="33337" xr:uid="{00000000-0005-0000-0000-000034820000}"/>
    <cellStyle name="Input 8 2 6 2 5" xfId="33338" xr:uid="{00000000-0005-0000-0000-000035820000}"/>
    <cellStyle name="Input 8 2 6 2 6" xfId="33339" xr:uid="{00000000-0005-0000-0000-000036820000}"/>
    <cellStyle name="Input 8 2 6 3" xfId="33340" xr:uid="{00000000-0005-0000-0000-000037820000}"/>
    <cellStyle name="Input 8 2 6 3 2" xfId="33341" xr:uid="{00000000-0005-0000-0000-000038820000}"/>
    <cellStyle name="Input 8 2 6 3 2 2" xfId="33342" xr:uid="{00000000-0005-0000-0000-000039820000}"/>
    <cellStyle name="Input 8 2 6 3 2 3" xfId="33343" xr:uid="{00000000-0005-0000-0000-00003A820000}"/>
    <cellStyle name="Input 8 2 6 3 2 4" xfId="33344" xr:uid="{00000000-0005-0000-0000-00003B820000}"/>
    <cellStyle name="Input 8 2 6 3 2 5" xfId="33345" xr:uid="{00000000-0005-0000-0000-00003C820000}"/>
    <cellStyle name="Input 8 2 6 3 2 6" xfId="33346" xr:uid="{00000000-0005-0000-0000-00003D820000}"/>
    <cellStyle name="Input 8 2 6 3 3" xfId="33347" xr:uid="{00000000-0005-0000-0000-00003E820000}"/>
    <cellStyle name="Input 8 2 6 3 4" xfId="33348" xr:uid="{00000000-0005-0000-0000-00003F820000}"/>
    <cellStyle name="Input 8 2 6 3 5" xfId="33349" xr:uid="{00000000-0005-0000-0000-000040820000}"/>
    <cellStyle name="Input 8 2 6 3 6" xfId="33350" xr:uid="{00000000-0005-0000-0000-000041820000}"/>
    <cellStyle name="Input 8 2 6 4" xfId="33351" xr:uid="{00000000-0005-0000-0000-000042820000}"/>
    <cellStyle name="Input 8 2 6 4 2" xfId="33352" xr:uid="{00000000-0005-0000-0000-000043820000}"/>
    <cellStyle name="Input 8 2 6 4 3" xfId="33353" xr:uid="{00000000-0005-0000-0000-000044820000}"/>
    <cellStyle name="Input 8 2 6 4 4" xfId="33354" xr:uid="{00000000-0005-0000-0000-000045820000}"/>
    <cellStyle name="Input 8 2 6 4 5" xfId="33355" xr:uid="{00000000-0005-0000-0000-000046820000}"/>
    <cellStyle name="Input 8 2 6 4 6" xfId="33356" xr:uid="{00000000-0005-0000-0000-000047820000}"/>
    <cellStyle name="Input 8 2 6 5" xfId="33357" xr:uid="{00000000-0005-0000-0000-000048820000}"/>
    <cellStyle name="Input 8 2 6 6" xfId="33358" xr:uid="{00000000-0005-0000-0000-000049820000}"/>
    <cellStyle name="Input 8 2 6 7" xfId="33359" xr:uid="{00000000-0005-0000-0000-00004A820000}"/>
    <cellStyle name="Input 8 2 6 8" xfId="33360" xr:uid="{00000000-0005-0000-0000-00004B820000}"/>
    <cellStyle name="Input 8 2 7" xfId="33361" xr:uid="{00000000-0005-0000-0000-00004C820000}"/>
    <cellStyle name="Input 8 2 7 2" xfId="33362" xr:uid="{00000000-0005-0000-0000-00004D820000}"/>
    <cellStyle name="Input 8 2 7 2 2" xfId="33363" xr:uid="{00000000-0005-0000-0000-00004E820000}"/>
    <cellStyle name="Input 8 2 7 2 3" xfId="33364" xr:uid="{00000000-0005-0000-0000-00004F820000}"/>
    <cellStyle name="Input 8 2 7 2 4" xfId="33365" xr:uid="{00000000-0005-0000-0000-000050820000}"/>
    <cellStyle name="Input 8 2 7 2 5" xfId="33366" xr:uid="{00000000-0005-0000-0000-000051820000}"/>
    <cellStyle name="Input 8 2 7 2 6" xfId="33367" xr:uid="{00000000-0005-0000-0000-000052820000}"/>
    <cellStyle name="Input 8 2 7 3" xfId="33368" xr:uid="{00000000-0005-0000-0000-000053820000}"/>
    <cellStyle name="Input 8 2 7 4" xfId="33369" xr:uid="{00000000-0005-0000-0000-000054820000}"/>
    <cellStyle name="Input 8 2 7 5" xfId="33370" xr:uid="{00000000-0005-0000-0000-000055820000}"/>
    <cellStyle name="Input 8 2 7 6" xfId="33371" xr:uid="{00000000-0005-0000-0000-000056820000}"/>
    <cellStyle name="Input 8 2 8" xfId="33372" xr:uid="{00000000-0005-0000-0000-000057820000}"/>
    <cellStyle name="Input 8 2 8 2" xfId="33373" xr:uid="{00000000-0005-0000-0000-000058820000}"/>
    <cellStyle name="Input 8 2 8 2 2" xfId="33374" xr:uid="{00000000-0005-0000-0000-000059820000}"/>
    <cellStyle name="Input 8 2 8 2 3" xfId="33375" xr:uid="{00000000-0005-0000-0000-00005A820000}"/>
    <cellStyle name="Input 8 2 8 2 4" xfId="33376" xr:uid="{00000000-0005-0000-0000-00005B820000}"/>
    <cellStyle name="Input 8 2 8 2 5" xfId="33377" xr:uid="{00000000-0005-0000-0000-00005C820000}"/>
    <cellStyle name="Input 8 2 8 2 6" xfId="33378" xr:uid="{00000000-0005-0000-0000-00005D820000}"/>
    <cellStyle name="Input 8 2 8 3" xfId="33379" xr:uid="{00000000-0005-0000-0000-00005E820000}"/>
    <cellStyle name="Input 8 2 8 4" xfId="33380" xr:uid="{00000000-0005-0000-0000-00005F820000}"/>
    <cellStyle name="Input 8 2 8 5" xfId="33381" xr:uid="{00000000-0005-0000-0000-000060820000}"/>
    <cellStyle name="Input 8 2 8 6" xfId="33382" xr:uid="{00000000-0005-0000-0000-000061820000}"/>
    <cellStyle name="Input 8 2 9" xfId="33383" xr:uid="{00000000-0005-0000-0000-000062820000}"/>
    <cellStyle name="Input 8 2 9 2" xfId="33384" xr:uid="{00000000-0005-0000-0000-000063820000}"/>
    <cellStyle name="Input 8 2 9 3" xfId="33385" xr:uid="{00000000-0005-0000-0000-000064820000}"/>
    <cellStyle name="Input 8 2 9 4" xfId="33386" xr:uid="{00000000-0005-0000-0000-000065820000}"/>
    <cellStyle name="Input 8 2 9 5" xfId="33387" xr:uid="{00000000-0005-0000-0000-000066820000}"/>
    <cellStyle name="Input 8 2 9 6" xfId="33388" xr:uid="{00000000-0005-0000-0000-000067820000}"/>
    <cellStyle name="Input 9" xfId="33389" xr:uid="{00000000-0005-0000-0000-000068820000}"/>
    <cellStyle name="Input 9 10" xfId="33390" xr:uid="{00000000-0005-0000-0000-000069820000}"/>
    <cellStyle name="Input 9 11" xfId="33391" xr:uid="{00000000-0005-0000-0000-00006A820000}"/>
    <cellStyle name="Input 9 12" xfId="33392" xr:uid="{00000000-0005-0000-0000-00006B820000}"/>
    <cellStyle name="Input 9 13" xfId="33393" xr:uid="{00000000-0005-0000-0000-00006C820000}"/>
    <cellStyle name="Input 9 2" xfId="33394" xr:uid="{00000000-0005-0000-0000-00006D820000}"/>
    <cellStyle name="Input 9 2 10" xfId="33395" xr:uid="{00000000-0005-0000-0000-00006E820000}"/>
    <cellStyle name="Input 9 2 10 2" xfId="33396" xr:uid="{00000000-0005-0000-0000-00006F820000}"/>
    <cellStyle name="Input 9 2 10 3" xfId="33397" xr:uid="{00000000-0005-0000-0000-000070820000}"/>
    <cellStyle name="Input 9 2 10 4" xfId="33398" xr:uid="{00000000-0005-0000-0000-000071820000}"/>
    <cellStyle name="Input 9 2 10 5" xfId="33399" xr:uid="{00000000-0005-0000-0000-000072820000}"/>
    <cellStyle name="Input 9 2 10 6" xfId="33400" xr:uid="{00000000-0005-0000-0000-000073820000}"/>
    <cellStyle name="Input 9 2 11" xfId="33401" xr:uid="{00000000-0005-0000-0000-000074820000}"/>
    <cellStyle name="Input 9 2 12" xfId="33402" xr:uid="{00000000-0005-0000-0000-000075820000}"/>
    <cellStyle name="Input 9 2 13" xfId="33403" xr:uid="{00000000-0005-0000-0000-000076820000}"/>
    <cellStyle name="Input 9 2 14" xfId="33404" xr:uid="{00000000-0005-0000-0000-000077820000}"/>
    <cellStyle name="Input 9 2 2" xfId="33405" xr:uid="{00000000-0005-0000-0000-000078820000}"/>
    <cellStyle name="Input 9 2 2 10" xfId="33406" xr:uid="{00000000-0005-0000-0000-000079820000}"/>
    <cellStyle name="Input 9 2 2 11" xfId="33407" xr:uid="{00000000-0005-0000-0000-00007A820000}"/>
    <cellStyle name="Input 9 2 2 12" xfId="33408" xr:uid="{00000000-0005-0000-0000-00007B820000}"/>
    <cellStyle name="Input 9 2 2 13" xfId="33409" xr:uid="{00000000-0005-0000-0000-00007C820000}"/>
    <cellStyle name="Input 9 2 2 2" xfId="33410" xr:uid="{00000000-0005-0000-0000-00007D820000}"/>
    <cellStyle name="Input 9 2 2 2 2" xfId="33411" xr:uid="{00000000-0005-0000-0000-00007E820000}"/>
    <cellStyle name="Input 9 2 2 2 2 2" xfId="33412" xr:uid="{00000000-0005-0000-0000-00007F820000}"/>
    <cellStyle name="Input 9 2 2 2 2 2 2" xfId="33413" xr:uid="{00000000-0005-0000-0000-000080820000}"/>
    <cellStyle name="Input 9 2 2 2 2 2 3" xfId="33414" xr:uid="{00000000-0005-0000-0000-000081820000}"/>
    <cellStyle name="Input 9 2 2 2 2 2 4" xfId="33415" xr:uid="{00000000-0005-0000-0000-000082820000}"/>
    <cellStyle name="Input 9 2 2 2 2 2 5" xfId="33416" xr:uid="{00000000-0005-0000-0000-000083820000}"/>
    <cellStyle name="Input 9 2 2 2 2 2 6" xfId="33417" xr:uid="{00000000-0005-0000-0000-000084820000}"/>
    <cellStyle name="Input 9 2 2 2 2 3" xfId="33418" xr:uid="{00000000-0005-0000-0000-000085820000}"/>
    <cellStyle name="Input 9 2 2 2 2 4" xfId="33419" xr:uid="{00000000-0005-0000-0000-000086820000}"/>
    <cellStyle name="Input 9 2 2 2 2 5" xfId="33420" xr:uid="{00000000-0005-0000-0000-000087820000}"/>
    <cellStyle name="Input 9 2 2 2 2 6" xfId="33421" xr:uid="{00000000-0005-0000-0000-000088820000}"/>
    <cellStyle name="Input 9 2 2 2 3" xfId="33422" xr:uid="{00000000-0005-0000-0000-000089820000}"/>
    <cellStyle name="Input 9 2 2 2 3 2" xfId="33423" xr:uid="{00000000-0005-0000-0000-00008A820000}"/>
    <cellStyle name="Input 9 2 2 2 3 2 2" xfId="33424" xr:uid="{00000000-0005-0000-0000-00008B820000}"/>
    <cellStyle name="Input 9 2 2 2 3 2 3" xfId="33425" xr:uid="{00000000-0005-0000-0000-00008C820000}"/>
    <cellStyle name="Input 9 2 2 2 3 2 4" xfId="33426" xr:uid="{00000000-0005-0000-0000-00008D820000}"/>
    <cellStyle name="Input 9 2 2 2 3 2 5" xfId="33427" xr:uid="{00000000-0005-0000-0000-00008E820000}"/>
    <cellStyle name="Input 9 2 2 2 3 2 6" xfId="33428" xr:uid="{00000000-0005-0000-0000-00008F820000}"/>
    <cellStyle name="Input 9 2 2 2 3 3" xfId="33429" xr:uid="{00000000-0005-0000-0000-000090820000}"/>
    <cellStyle name="Input 9 2 2 2 3 4" xfId="33430" xr:uid="{00000000-0005-0000-0000-000091820000}"/>
    <cellStyle name="Input 9 2 2 2 3 5" xfId="33431" xr:uid="{00000000-0005-0000-0000-000092820000}"/>
    <cellStyle name="Input 9 2 2 2 3 6" xfId="33432" xr:uid="{00000000-0005-0000-0000-000093820000}"/>
    <cellStyle name="Input 9 2 2 2 4" xfId="33433" xr:uid="{00000000-0005-0000-0000-000094820000}"/>
    <cellStyle name="Input 9 2 2 2 4 2" xfId="33434" xr:uid="{00000000-0005-0000-0000-000095820000}"/>
    <cellStyle name="Input 9 2 2 2 4 3" xfId="33435" xr:uid="{00000000-0005-0000-0000-000096820000}"/>
    <cellStyle name="Input 9 2 2 2 4 4" xfId="33436" xr:uid="{00000000-0005-0000-0000-000097820000}"/>
    <cellStyle name="Input 9 2 2 2 4 5" xfId="33437" xr:uid="{00000000-0005-0000-0000-000098820000}"/>
    <cellStyle name="Input 9 2 2 2 4 6" xfId="33438" xr:uid="{00000000-0005-0000-0000-000099820000}"/>
    <cellStyle name="Input 9 2 2 2 5" xfId="33439" xr:uid="{00000000-0005-0000-0000-00009A820000}"/>
    <cellStyle name="Input 9 2 2 2 6" xfId="33440" xr:uid="{00000000-0005-0000-0000-00009B820000}"/>
    <cellStyle name="Input 9 2 2 2 7" xfId="33441" xr:uid="{00000000-0005-0000-0000-00009C820000}"/>
    <cellStyle name="Input 9 2 2 2 8" xfId="33442" xr:uid="{00000000-0005-0000-0000-00009D820000}"/>
    <cellStyle name="Input 9 2 2 3" xfId="33443" xr:uid="{00000000-0005-0000-0000-00009E820000}"/>
    <cellStyle name="Input 9 2 2 3 2" xfId="33444" xr:uid="{00000000-0005-0000-0000-00009F820000}"/>
    <cellStyle name="Input 9 2 2 3 2 2" xfId="33445" xr:uid="{00000000-0005-0000-0000-0000A0820000}"/>
    <cellStyle name="Input 9 2 2 3 2 2 2" xfId="33446" xr:uid="{00000000-0005-0000-0000-0000A1820000}"/>
    <cellStyle name="Input 9 2 2 3 2 2 3" xfId="33447" xr:uid="{00000000-0005-0000-0000-0000A2820000}"/>
    <cellStyle name="Input 9 2 2 3 2 2 4" xfId="33448" xr:uid="{00000000-0005-0000-0000-0000A3820000}"/>
    <cellStyle name="Input 9 2 2 3 2 2 5" xfId="33449" xr:uid="{00000000-0005-0000-0000-0000A4820000}"/>
    <cellStyle name="Input 9 2 2 3 2 2 6" xfId="33450" xr:uid="{00000000-0005-0000-0000-0000A5820000}"/>
    <cellStyle name="Input 9 2 2 3 2 3" xfId="33451" xr:uid="{00000000-0005-0000-0000-0000A6820000}"/>
    <cellStyle name="Input 9 2 2 3 2 4" xfId="33452" xr:uid="{00000000-0005-0000-0000-0000A7820000}"/>
    <cellStyle name="Input 9 2 2 3 2 5" xfId="33453" xr:uid="{00000000-0005-0000-0000-0000A8820000}"/>
    <cellStyle name="Input 9 2 2 3 2 6" xfId="33454" xr:uid="{00000000-0005-0000-0000-0000A9820000}"/>
    <cellStyle name="Input 9 2 2 3 3" xfId="33455" xr:uid="{00000000-0005-0000-0000-0000AA820000}"/>
    <cellStyle name="Input 9 2 2 3 3 2" xfId="33456" xr:uid="{00000000-0005-0000-0000-0000AB820000}"/>
    <cellStyle name="Input 9 2 2 3 3 2 2" xfId="33457" xr:uid="{00000000-0005-0000-0000-0000AC820000}"/>
    <cellStyle name="Input 9 2 2 3 3 2 3" xfId="33458" xr:uid="{00000000-0005-0000-0000-0000AD820000}"/>
    <cellStyle name="Input 9 2 2 3 3 2 4" xfId="33459" xr:uid="{00000000-0005-0000-0000-0000AE820000}"/>
    <cellStyle name="Input 9 2 2 3 3 2 5" xfId="33460" xr:uid="{00000000-0005-0000-0000-0000AF820000}"/>
    <cellStyle name="Input 9 2 2 3 3 2 6" xfId="33461" xr:uid="{00000000-0005-0000-0000-0000B0820000}"/>
    <cellStyle name="Input 9 2 2 3 3 3" xfId="33462" xr:uid="{00000000-0005-0000-0000-0000B1820000}"/>
    <cellStyle name="Input 9 2 2 3 3 4" xfId="33463" xr:uid="{00000000-0005-0000-0000-0000B2820000}"/>
    <cellStyle name="Input 9 2 2 3 3 5" xfId="33464" xr:uid="{00000000-0005-0000-0000-0000B3820000}"/>
    <cellStyle name="Input 9 2 2 3 3 6" xfId="33465" xr:uid="{00000000-0005-0000-0000-0000B4820000}"/>
    <cellStyle name="Input 9 2 2 3 4" xfId="33466" xr:uid="{00000000-0005-0000-0000-0000B5820000}"/>
    <cellStyle name="Input 9 2 2 3 4 2" xfId="33467" xr:uid="{00000000-0005-0000-0000-0000B6820000}"/>
    <cellStyle name="Input 9 2 2 3 4 3" xfId="33468" xr:uid="{00000000-0005-0000-0000-0000B7820000}"/>
    <cellStyle name="Input 9 2 2 3 4 4" xfId="33469" xr:uid="{00000000-0005-0000-0000-0000B8820000}"/>
    <cellStyle name="Input 9 2 2 3 4 5" xfId="33470" xr:uid="{00000000-0005-0000-0000-0000B9820000}"/>
    <cellStyle name="Input 9 2 2 3 4 6" xfId="33471" xr:uid="{00000000-0005-0000-0000-0000BA820000}"/>
    <cellStyle name="Input 9 2 2 3 5" xfId="33472" xr:uid="{00000000-0005-0000-0000-0000BB820000}"/>
    <cellStyle name="Input 9 2 2 3 6" xfId="33473" xr:uid="{00000000-0005-0000-0000-0000BC820000}"/>
    <cellStyle name="Input 9 2 2 3 7" xfId="33474" xr:uid="{00000000-0005-0000-0000-0000BD820000}"/>
    <cellStyle name="Input 9 2 2 3 8" xfId="33475" xr:uid="{00000000-0005-0000-0000-0000BE820000}"/>
    <cellStyle name="Input 9 2 2 4" xfId="33476" xr:uid="{00000000-0005-0000-0000-0000BF820000}"/>
    <cellStyle name="Input 9 2 2 4 2" xfId="33477" xr:uid="{00000000-0005-0000-0000-0000C0820000}"/>
    <cellStyle name="Input 9 2 2 4 2 2" xfId="33478" xr:uid="{00000000-0005-0000-0000-0000C1820000}"/>
    <cellStyle name="Input 9 2 2 4 2 2 2" xfId="33479" xr:uid="{00000000-0005-0000-0000-0000C2820000}"/>
    <cellStyle name="Input 9 2 2 4 2 2 3" xfId="33480" xr:uid="{00000000-0005-0000-0000-0000C3820000}"/>
    <cellStyle name="Input 9 2 2 4 2 2 4" xfId="33481" xr:uid="{00000000-0005-0000-0000-0000C4820000}"/>
    <cellStyle name="Input 9 2 2 4 2 2 5" xfId="33482" xr:uid="{00000000-0005-0000-0000-0000C5820000}"/>
    <cellStyle name="Input 9 2 2 4 2 2 6" xfId="33483" xr:uid="{00000000-0005-0000-0000-0000C6820000}"/>
    <cellStyle name="Input 9 2 2 4 2 3" xfId="33484" xr:uid="{00000000-0005-0000-0000-0000C7820000}"/>
    <cellStyle name="Input 9 2 2 4 2 4" xfId="33485" xr:uid="{00000000-0005-0000-0000-0000C8820000}"/>
    <cellStyle name="Input 9 2 2 4 2 5" xfId="33486" xr:uid="{00000000-0005-0000-0000-0000C9820000}"/>
    <cellStyle name="Input 9 2 2 4 2 6" xfId="33487" xr:uid="{00000000-0005-0000-0000-0000CA820000}"/>
    <cellStyle name="Input 9 2 2 4 3" xfId="33488" xr:uid="{00000000-0005-0000-0000-0000CB820000}"/>
    <cellStyle name="Input 9 2 2 4 3 2" xfId="33489" xr:uid="{00000000-0005-0000-0000-0000CC820000}"/>
    <cellStyle name="Input 9 2 2 4 3 2 2" xfId="33490" xr:uid="{00000000-0005-0000-0000-0000CD820000}"/>
    <cellStyle name="Input 9 2 2 4 3 2 3" xfId="33491" xr:uid="{00000000-0005-0000-0000-0000CE820000}"/>
    <cellStyle name="Input 9 2 2 4 3 2 4" xfId="33492" xr:uid="{00000000-0005-0000-0000-0000CF820000}"/>
    <cellStyle name="Input 9 2 2 4 3 2 5" xfId="33493" xr:uid="{00000000-0005-0000-0000-0000D0820000}"/>
    <cellStyle name="Input 9 2 2 4 3 2 6" xfId="33494" xr:uid="{00000000-0005-0000-0000-0000D1820000}"/>
    <cellStyle name="Input 9 2 2 4 3 3" xfId="33495" xr:uid="{00000000-0005-0000-0000-0000D2820000}"/>
    <cellStyle name="Input 9 2 2 4 3 4" xfId="33496" xr:uid="{00000000-0005-0000-0000-0000D3820000}"/>
    <cellStyle name="Input 9 2 2 4 3 5" xfId="33497" xr:uid="{00000000-0005-0000-0000-0000D4820000}"/>
    <cellStyle name="Input 9 2 2 4 3 6" xfId="33498" xr:uid="{00000000-0005-0000-0000-0000D5820000}"/>
    <cellStyle name="Input 9 2 2 4 4" xfId="33499" xr:uid="{00000000-0005-0000-0000-0000D6820000}"/>
    <cellStyle name="Input 9 2 2 4 4 2" xfId="33500" xr:uid="{00000000-0005-0000-0000-0000D7820000}"/>
    <cellStyle name="Input 9 2 2 4 4 3" xfId="33501" xr:uid="{00000000-0005-0000-0000-0000D8820000}"/>
    <cellStyle name="Input 9 2 2 4 4 4" xfId="33502" xr:uid="{00000000-0005-0000-0000-0000D9820000}"/>
    <cellStyle name="Input 9 2 2 4 4 5" xfId="33503" xr:uid="{00000000-0005-0000-0000-0000DA820000}"/>
    <cellStyle name="Input 9 2 2 4 4 6" xfId="33504" xr:uid="{00000000-0005-0000-0000-0000DB820000}"/>
    <cellStyle name="Input 9 2 2 4 5" xfId="33505" xr:uid="{00000000-0005-0000-0000-0000DC820000}"/>
    <cellStyle name="Input 9 2 2 4 6" xfId="33506" xr:uid="{00000000-0005-0000-0000-0000DD820000}"/>
    <cellStyle name="Input 9 2 2 4 7" xfId="33507" xr:uid="{00000000-0005-0000-0000-0000DE820000}"/>
    <cellStyle name="Input 9 2 2 4 8" xfId="33508" xr:uid="{00000000-0005-0000-0000-0000DF820000}"/>
    <cellStyle name="Input 9 2 2 5" xfId="33509" xr:uid="{00000000-0005-0000-0000-0000E0820000}"/>
    <cellStyle name="Input 9 2 2 5 2" xfId="33510" xr:uid="{00000000-0005-0000-0000-0000E1820000}"/>
    <cellStyle name="Input 9 2 2 5 2 2" xfId="33511" xr:uid="{00000000-0005-0000-0000-0000E2820000}"/>
    <cellStyle name="Input 9 2 2 5 2 2 2" xfId="33512" xr:uid="{00000000-0005-0000-0000-0000E3820000}"/>
    <cellStyle name="Input 9 2 2 5 2 2 3" xfId="33513" xr:uid="{00000000-0005-0000-0000-0000E4820000}"/>
    <cellStyle name="Input 9 2 2 5 2 2 4" xfId="33514" xr:uid="{00000000-0005-0000-0000-0000E5820000}"/>
    <cellStyle name="Input 9 2 2 5 2 2 5" xfId="33515" xr:uid="{00000000-0005-0000-0000-0000E6820000}"/>
    <cellStyle name="Input 9 2 2 5 2 2 6" xfId="33516" xr:uid="{00000000-0005-0000-0000-0000E7820000}"/>
    <cellStyle name="Input 9 2 2 5 2 3" xfId="33517" xr:uid="{00000000-0005-0000-0000-0000E8820000}"/>
    <cellStyle name="Input 9 2 2 5 2 4" xfId="33518" xr:uid="{00000000-0005-0000-0000-0000E9820000}"/>
    <cellStyle name="Input 9 2 2 5 2 5" xfId="33519" xr:uid="{00000000-0005-0000-0000-0000EA820000}"/>
    <cellStyle name="Input 9 2 2 5 2 6" xfId="33520" xr:uid="{00000000-0005-0000-0000-0000EB820000}"/>
    <cellStyle name="Input 9 2 2 5 3" xfId="33521" xr:uid="{00000000-0005-0000-0000-0000EC820000}"/>
    <cellStyle name="Input 9 2 2 5 3 2" xfId="33522" xr:uid="{00000000-0005-0000-0000-0000ED820000}"/>
    <cellStyle name="Input 9 2 2 5 3 2 2" xfId="33523" xr:uid="{00000000-0005-0000-0000-0000EE820000}"/>
    <cellStyle name="Input 9 2 2 5 3 2 3" xfId="33524" xr:uid="{00000000-0005-0000-0000-0000EF820000}"/>
    <cellStyle name="Input 9 2 2 5 3 2 4" xfId="33525" xr:uid="{00000000-0005-0000-0000-0000F0820000}"/>
    <cellStyle name="Input 9 2 2 5 3 2 5" xfId="33526" xr:uid="{00000000-0005-0000-0000-0000F1820000}"/>
    <cellStyle name="Input 9 2 2 5 3 2 6" xfId="33527" xr:uid="{00000000-0005-0000-0000-0000F2820000}"/>
    <cellStyle name="Input 9 2 2 5 3 3" xfId="33528" xr:uid="{00000000-0005-0000-0000-0000F3820000}"/>
    <cellStyle name="Input 9 2 2 5 3 4" xfId="33529" xr:uid="{00000000-0005-0000-0000-0000F4820000}"/>
    <cellStyle name="Input 9 2 2 5 3 5" xfId="33530" xr:uid="{00000000-0005-0000-0000-0000F5820000}"/>
    <cellStyle name="Input 9 2 2 5 3 6" xfId="33531" xr:uid="{00000000-0005-0000-0000-0000F6820000}"/>
    <cellStyle name="Input 9 2 2 5 4" xfId="33532" xr:uid="{00000000-0005-0000-0000-0000F7820000}"/>
    <cellStyle name="Input 9 2 2 5 4 2" xfId="33533" xr:uid="{00000000-0005-0000-0000-0000F8820000}"/>
    <cellStyle name="Input 9 2 2 5 4 3" xfId="33534" xr:uid="{00000000-0005-0000-0000-0000F9820000}"/>
    <cellStyle name="Input 9 2 2 5 4 4" xfId="33535" xr:uid="{00000000-0005-0000-0000-0000FA820000}"/>
    <cellStyle name="Input 9 2 2 5 4 5" xfId="33536" xr:uid="{00000000-0005-0000-0000-0000FB820000}"/>
    <cellStyle name="Input 9 2 2 5 4 6" xfId="33537" xr:uid="{00000000-0005-0000-0000-0000FC820000}"/>
    <cellStyle name="Input 9 2 2 5 5" xfId="33538" xr:uid="{00000000-0005-0000-0000-0000FD820000}"/>
    <cellStyle name="Input 9 2 2 5 6" xfId="33539" xr:uid="{00000000-0005-0000-0000-0000FE820000}"/>
    <cellStyle name="Input 9 2 2 5 7" xfId="33540" xr:uid="{00000000-0005-0000-0000-0000FF820000}"/>
    <cellStyle name="Input 9 2 2 5 8" xfId="33541" xr:uid="{00000000-0005-0000-0000-000000830000}"/>
    <cellStyle name="Input 9 2 2 6" xfId="33542" xr:uid="{00000000-0005-0000-0000-000001830000}"/>
    <cellStyle name="Input 9 2 2 6 2" xfId="33543" xr:uid="{00000000-0005-0000-0000-000002830000}"/>
    <cellStyle name="Input 9 2 2 6 2 2" xfId="33544" xr:uid="{00000000-0005-0000-0000-000003830000}"/>
    <cellStyle name="Input 9 2 2 6 2 2 2" xfId="33545" xr:uid="{00000000-0005-0000-0000-000004830000}"/>
    <cellStyle name="Input 9 2 2 6 2 2 3" xfId="33546" xr:uid="{00000000-0005-0000-0000-000005830000}"/>
    <cellStyle name="Input 9 2 2 6 2 2 4" xfId="33547" xr:uid="{00000000-0005-0000-0000-000006830000}"/>
    <cellStyle name="Input 9 2 2 6 2 2 5" xfId="33548" xr:uid="{00000000-0005-0000-0000-000007830000}"/>
    <cellStyle name="Input 9 2 2 6 2 2 6" xfId="33549" xr:uid="{00000000-0005-0000-0000-000008830000}"/>
    <cellStyle name="Input 9 2 2 6 2 3" xfId="33550" xr:uid="{00000000-0005-0000-0000-000009830000}"/>
    <cellStyle name="Input 9 2 2 6 2 4" xfId="33551" xr:uid="{00000000-0005-0000-0000-00000A830000}"/>
    <cellStyle name="Input 9 2 2 6 2 5" xfId="33552" xr:uid="{00000000-0005-0000-0000-00000B830000}"/>
    <cellStyle name="Input 9 2 2 6 2 6" xfId="33553" xr:uid="{00000000-0005-0000-0000-00000C830000}"/>
    <cellStyle name="Input 9 2 2 6 3" xfId="33554" xr:uid="{00000000-0005-0000-0000-00000D830000}"/>
    <cellStyle name="Input 9 2 2 6 3 2" xfId="33555" xr:uid="{00000000-0005-0000-0000-00000E830000}"/>
    <cellStyle name="Input 9 2 2 6 3 2 2" xfId="33556" xr:uid="{00000000-0005-0000-0000-00000F830000}"/>
    <cellStyle name="Input 9 2 2 6 3 2 3" xfId="33557" xr:uid="{00000000-0005-0000-0000-000010830000}"/>
    <cellStyle name="Input 9 2 2 6 3 2 4" xfId="33558" xr:uid="{00000000-0005-0000-0000-000011830000}"/>
    <cellStyle name="Input 9 2 2 6 3 2 5" xfId="33559" xr:uid="{00000000-0005-0000-0000-000012830000}"/>
    <cellStyle name="Input 9 2 2 6 3 2 6" xfId="33560" xr:uid="{00000000-0005-0000-0000-000013830000}"/>
    <cellStyle name="Input 9 2 2 6 3 3" xfId="33561" xr:uid="{00000000-0005-0000-0000-000014830000}"/>
    <cellStyle name="Input 9 2 2 6 3 4" xfId="33562" xr:uid="{00000000-0005-0000-0000-000015830000}"/>
    <cellStyle name="Input 9 2 2 6 3 5" xfId="33563" xr:uid="{00000000-0005-0000-0000-000016830000}"/>
    <cellStyle name="Input 9 2 2 6 3 6" xfId="33564" xr:uid="{00000000-0005-0000-0000-000017830000}"/>
    <cellStyle name="Input 9 2 2 6 4" xfId="33565" xr:uid="{00000000-0005-0000-0000-000018830000}"/>
    <cellStyle name="Input 9 2 2 6 4 2" xfId="33566" xr:uid="{00000000-0005-0000-0000-000019830000}"/>
    <cellStyle name="Input 9 2 2 6 4 3" xfId="33567" xr:uid="{00000000-0005-0000-0000-00001A830000}"/>
    <cellStyle name="Input 9 2 2 6 4 4" xfId="33568" xr:uid="{00000000-0005-0000-0000-00001B830000}"/>
    <cellStyle name="Input 9 2 2 6 4 5" xfId="33569" xr:uid="{00000000-0005-0000-0000-00001C830000}"/>
    <cellStyle name="Input 9 2 2 6 4 6" xfId="33570" xr:uid="{00000000-0005-0000-0000-00001D830000}"/>
    <cellStyle name="Input 9 2 2 6 5" xfId="33571" xr:uid="{00000000-0005-0000-0000-00001E830000}"/>
    <cellStyle name="Input 9 2 2 6 6" xfId="33572" xr:uid="{00000000-0005-0000-0000-00001F830000}"/>
    <cellStyle name="Input 9 2 2 6 7" xfId="33573" xr:uid="{00000000-0005-0000-0000-000020830000}"/>
    <cellStyle name="Input 9 2 2 6 8" xfId="33574" xr:uid="{00000000-0005-0000-0000-000021830000}"/>
    <cellStyle name="Input 9 2 2 7" xfId="33575" xr:uid="{00000000-0005-0000-0000-000022830000}"/>
    <cellStyle name="Input 9 2 2 7 2" xfId="33576" xr:uid="{00000000-0005-0000-0000-000023830000}"/>
    <cellStyle name="Input 9 2 2 7 2 2" xfId="33577" xr:uid="{00000000-0005-0000-0000-000024830000}"/>
    <cellStyle name="Input 9 2 2 7 2 3" xfId="33578" xr:uid="{00000000-0005-0000-0000-000025830000}"/>
    <cellStyle name="Input 9 2 2 7 2 4" xfId="33579" xr:uid="{00000000-0005-0000-0000-000026830000}"/>
    <cellStyle name="Input 9 2 2 7 2 5" xfId="33580" xr:uid="{00000000-0005-0000-0000-000027830000}"/>
    <cellStyle name="Input 9 2 2 7 2 6" xfId="33581" xr:uid="{00000000-0005-0000-0000-000028830000}"/>
    <cellStyle name="Input 9 2 2 7 3" xfId="33582" xr:uid="{00000000-0005-0000-0000-000029830000}"/>
    <cellStyle name="Input 9 2 2 7 4" xfId="33583" xr:uid="{00000000-0005-0000-0000-00002A830000}"/>
    <cellStyle name="Input 9 2 2 7 5" xfId="33584" xr:uid="{00000000-0005-0000-0000-00002B830000}"/>
    <cellStyle name="Input 9 2 2 7 6" xfId="33585" xr:uid="{00000000-0005-0000-0000-00002C830000}"/>
    <cellStyle name="Input 9 2 2 8" xfId="33586" xr:uid="{00000000-0005-0000-0000-00002D830000}"/>
    <cellStyle name="Input 9 2 2 8 2" xfId="33587" xr:uid="{00000000-0005-0000-0000-00002E830000}"/>
    <cellStyle name="Input 9 2 2 8 2 2" xfId="33588" xr:uid="{00000000-0005-0000-0000-00002F830000}"/>
    <cellStyle name="Input 9 2 2 8 2 3" xfId="33589" xr:uid="{00000000-0005-0000-0000-000030830000}"/>
    <cellStyle name="Input 9 2 2 8 2 4" xfId="33590" xr:uid="{00000000-0005-0000-0000-000031830000}"/>
    <cellStyle name="Input 9 2 2 8 2 5" xfId="33591" xr:uid="{00000000-0005-0000-0000-000032830000}"/>
    <cellStyle name="Input 9 2 2 8 2 6" xfId="33592" xr:uid="{00000000-0005-0000-0000-000033830000}"/>
    <cellStyle name="Input 9 2 2 8 3" xfId="33593" xr:uid="{00000000-0005-0000-0000-000034830000}"/>
    <cellStyle name="Input 9 2 2 8 4" xfId="33594" xr:uid="{00000000-0005-0000-0000-000035830000}"/>
    <cellStyle name="Input 9 2 2 8 5" xfId="33595" xr:uid="{00000000-0005-0000-0000-000036830000}"/>
    <cellStyle name="Input 9 2 2 8 6" xfId="33596" xr:uid="{00000000-0005-0000-0000-000037830000}"/>
    <cellStyle name="Input 9 2 2 9" xfId="33597" xr:uid="{00000000-0005-0000-0000-000038830000}"/>
    <cellStyle name="Input 9 2 2 9 2" xfId="33598" xr:uid="{00000000-0005-0000-0000-000039830000}"/>
    <cellStyle name="Input 9 2 2 9 3" xfId="33599" xr:uid="{00000000-0005-0000-0000-00003A830000}"/>
    <cellStyle name="Input 9 2 2 9 4" xfId="33600" xr:uid="{00000000-0005-0000-0000-00003B830000}"/>
    <cellStyle name="Input 9 2 2 9 5" xfId="33601" xr:uid="{00000000-0005-0000-0000-00003C830000}"/>
    <cellStyle name="Input 9 2 2 9 6" xfId="33602" xr:uid="{00000000-0005-0000-0000-00003D830000}"/>
    <cellStyle name="Input 9 2 3" xfId="33603" xr:uid="{00000000-0005-0000-0000-00003E830000}"/>
    <cellStyle name="Input 9 2 3 2" xfId="33604" xr:uid="{00000000-0005-0000-0000-00003F830000}"/>
    <cellStyle name="Input 9 2 3 2 2" xfId="33605" xr:uid="{00000000-0005-0000-0000-000040830000}"/>
    <cellStyle name="Input 9 2 3 2 2 2" xfId="33606" xr:uid="{00000000-0005-0000-0000-000041830000}"/>
    <cellStyle name="Input 9 2 3 2 2 3" xfId="33607" xr:uid="{00000000-0005-0000-0000-000042830000}"/>
    <cellStyle name="Input 9 2 3 2 2 4" xfId="33608" xr:uid="{00000000-0005-0000-0000-000043830000}"/>
    <cellStyle name="Input 9 2 3 2 2 5" xfId="33609" xr:uid="{00000000-0005-0000-0000-000044830000}"/>
    <cellStyle name="Input 9 2 3 2 2 6" xfId="33610" xr:uid="{00000000-0005-0000-0000-000045830000}"/>
    <cellStyle name="Input 9 2 3 2 3" xfId="33611" xr:uid="{00000000-0005-0000-0000-000046830000}"/>
    <cellStyle name="Input 9 2 3 2 4" xfId="33612" xr:uid="{00000000-0005-0000-0000-000047830000}"/>
    <cellStyle name="Input 9 2 3 2 5" xfId="33613" xr:uid="{00000000-0005-0000-0000-000048830000}"/>
    <cellStyle name="Input 9 2 3 2 6" xfId="33614" xr:uid="{00000000-0005-0000-0000-000049830000}"/>
    <cellStyle name="Input 9 2 3 3" xfId="33615" xr:uid="{00000000-0005-0000-0000-00004A830000}"/>
    <cellStyle name="Input 9 2 3 3 2" xfId="33616" xr:uid="{00000000-0005-0000-0000-00004B830000}"/>
    <cellStyle name="Input 9 2 3 3 2 2" xfId="33617" xr:uid="{00000000-0005-0000-0000-00004C830000}"/>
    <cellStyle name="Input 9 2 3 3 2 3" xfId="33618" xr:uid="{00000000-0005-0000-0000-00004D830000}"/>
    <cellStyle name="Input 9 2 3 3 2 4" xfId="33619" xr:uid="{00000000-0005-0000-0000-00004E830000}"/>
    <cellStyle name="Input 9 2 3 3 2 5" xfId="33620" xr:uid="{00000000-0005-0000-0000-00004F830000}"/>
    <cellStyle name="Input 9 2 3 3 2 6" xfId="33621" xr:uid="{00000000-0005-0000-0000-000050830000}"/>
    <cellStyle name="Input 9 2 3 3 3" xfId="33622" xr:uid="{00000000-0005-0000-0000-000051830000}"/>
    <cellStyle name="Input 9 2 3 3 4" xfId="33623" xr:uid="{00000000-0005-0000-0000-000052830000}"/>
    <cellStyle name="Input 9 2 3 3 5" xfId="33624" xr:uid="{00000000-0005-0000-0000-000053830000}"/>
    <cellStyle name="Input 9 2 3 3 6" xfId="33625" xr:uid="{00000000-0005-0000-0000-000054830000}"/>
    <cellStyle name="Input 9 2 3 4" xfId="33626" xr:uid="{00000000-0005-0000-0000-000055830000}"/>
    <cellStyle name="Input 9 2 3 4 2" xfId="33627" xr:uid="{00000000-0005-0000-0000-000056830000}"/>
    <cellStyle name="Input 9 2 3 4 3" xfId="33628" xr:uid="{00000000-0005-0000-0000-000057830000}"/>
    <cellStyle name="Input 9 2 3 4 4" xfId="33629" xr:uid="{00000000-0005-0000-0000-000058830000}"/>
    <cellStyle name="Input 9 2 3 4 5" xfId="33630" xr:uid="{00000000-0005-0000-0000-000059830000}"/>
    <cellStyle name="Input 9 2 3 4 6" xfId="33631" xr:uid="{00000000-0005-0000-0000-00005A830000}"/>
    <cellStyle name="Input 9 2 3 5" xfId="33632" xr:uid="{00000000-0005-0000-0000-00005B830000}"/>
    <cellStyle name="Input 9 2 3 6" xfId="33633" xr:uid="{00000000-0005-0000-0000-00005C830000}"/>
    <cellStyle name="Input 9 2 3 7" xfId="33634" xr:uid="{00000000-0005-0000-0000-00005D830000}"/>
    <cellStyle name="Input 9 2 3 8" xfId="33635" xr:uid="{00000000-0005-0000-0000-00005E830000}"/>
    <cellStyle name="Input 9 2 4" xfId="33636" xr:uid="{00000000-0005-0000-0000-00005F830000}"/>
    <cellStyle name="Input 9 2 4 2" xfId="33637" xr:uid="{00000000-0005-0000-0000-000060830000}"/>
    <cellStyle name="Input 9 2 4 2 2" xfId="33638" xr:uid="{00000000-0005-0000-0000-000061830000}"/>
    <cellStyle name="Input 9 2 4 2 2 2" xfId="33639" xr:uid="{00000000-0005-0000-0000-000062830000}"/>
    <cellStyle name="Input 9 2 4 2 2 3" xfId="33640" xr:uid="{00000000-0005-0000-0000-000063830000}"/>
    <cellStyle name="Input 9 2 4 2 2 4" xfId="33641" xr:uid="{00000000-0005-0000-0000-000064830000}"/>
    <cellStyle name="Input 9 2 4 2 2 5" xfId="33642" xr:uid="{00000000-0005-0000-0000-000065830000}"/>
    <cellStyle name="Input 9 2 4 2 2 6" xfId="33643" xr:uid="{00000000-0005-0000-0000-000066830000}"/>
    <cellStyle name="Input 9 2 4 2 3" xfId="33644" xr:uid="{00000000-0005-0000-0000-000067830000}"/>
    <cellStyle name="Input 9 2 4 2 4" xfId="33645" xr:uid="{00000000-0005-0000-0000-000068830000}"/>
    <cellStyle name="Input 9 2 4 2 5" xfId="33646" xr:uid="{00000000-0005-0000-0000-000069830000}"/>
    <cellStyle name="Input 9 2 4 2 6" xfId="33647" xr:uid="{00000000-0005-0000-0000-00006A830000}"/>
    <cellStyle name="Input 9 2 4 3" xfId="33648" xr:uid="{00000000-0005-0000-0000-00006B830000}"/>
    <cellStyle name="Input 9 2 4 3 2" xfId="33649" xr:uid="{00000000-0005-0000-0000-00006C830000}"/>
    <cellStyle name="Input 9 2 4 3 2 2" xfId="33650" xr:uid="{00000000-0005-0000-0000-00006D830000}"/>
    <cellStyle name="Input 9 2 4 3 2 3" xfId="33651" xr:uid="{00000000-0005-0000-0000-00006E830000}"/>
    <cellStyle name="Input 9 2 4 3 2 4" xfId="33652" xr:uid="{00000000-0005-0000-0000-00006F830000}"/>
    <cellStyle name="Input 9 2 4 3 2 5" xfId="33653" xr:uid="{00000000-0005-0000-0000-000070830000}"/>
    <cellStyle name="Input 9 2 4 3 2 6" xfId="33654" xr:uid="{00000000-0005-0000-0000-000071830000}"/>
    <cellStyle name="Input 9 2 4 3 3" xfId="33655" xr:uid="{00000000-0005-0000-0000-000072830000}"/>
    <cellStyle name="Input 9 2 4 3 4" xfId="33656" xr:uid="{00000000-0005-0000-0000-000073830000}"/>
    <cellStyle name="Input 9 2 4 3 5" xfId="33657" xr:uid="{00000000-0005-0000-0000-000074830000}"/>
    <cellStyle name="Input 9 2 4 3 6" xfId="33658" xr:uid="{00000000-0005-0000-0000-000075830000}"/>
    <cellStyle name="Input 9 2 4 4" xfId="33659" xr:uid="{00000000-0005-0000-0000-000076830000}"/>
    <cellStyle name="Input 9 2 4 4 2" xfId="33660" xr:uid="{00000000-0005-0000-0000-000077830000}"/>
    <cellStyle name="Input 9 2 4 4 3" xfId="33661" xr:uid="{00000000-0005-0000-0000-000078830000}"/>
    <cellStyle name="Input 9 2 4 4 4" xfId="33662" xr:uid="{00000000-0005-0000-0000-000079830000}"/>
    <cellStyle name="Input 9 2 4 4 5" xfId="33663" xr:uid="{00000000-0005-0000-0000-00007A830000}"/>
    <cellStyle name="Input 9 2 4 4 6" xfId="33664" xr:uid="{00000000-0005-0000-0000-00007B830000}"/>
    <cellStyle name="Input 9 2 4 5" xfId="33665" xr:uid="{00000000-0005-0000-0000-00007C830000}"/>
    <cellStyle name="Input 9 2 4 6" xfId="33666" xr:uid="{00000000-0005-0000-0000-00007D830000}"/>
    <cellStyle name="Input 9 2 4 7" xfId="33667" xr:uid="{00000000-0005-0000-0000-00007E830000}"/>
    <cellStyle name="Input 9 2 4 8" xfId="33668" xr:uid="{00000000-0005-0000-0000-00007F830000}"/>
    <cellStyle name="Input 9 2 5" xfId="33669" xr:uid="{00000000-0005-0000-0000-000080830000}"/>
    <cellStyle name="Input 9 2 5 2" xfId="33670" xr:uid="{00000000-0005-0000-0000-000081830000}"/>
    <cellStyle name="Input 9 2 5 2 2" xfId="33671" xr:uid="{00000000-0005-0000-0000-000082830000}"/>
    <cellStyle name="Input 9 2 5 2 2 2" xfId="33672" xr:uid="{00000000-0005-0000-0000-000083830000}"/>
    <cellStyle name="Input 9 2 5 2 2 3" xfId="33673" xr:uid="{00000000-0005-0000-0000-000084830000}"/>
    <cellStyle name="Input 9 2 5 2 2 4" xfId="33674" xr:uid="{00000000-0005-0000-0000-000085830000}"/>
    <cellStyle name="Input 9 2 5 2 2 5" xfId="33675" xr:uid="{00000000-0005-0000-0000-000086830000}"/>
    <cellStyle name="Input 9 2 5 2 2 6" xfId="33676" xr:uid="{00000000-0005-0000-0000-000087830000}"/>
    <cellStyle name="Input 9 2 5 2 3" xfId="33677" xr:uid="{00000000-0005-0000-0000-000088830000}"/>
    <cellStyle name="Input 9 2 5 2 4" xfId="33678" xr:uid="{00000000-0005-0000-0000-000089830000}"/>
    <cellStyle name="Input 9 2 5 2 5" xfId="33679" xr:uid="{00000000-0005-0000-0000-00008A830000}"/>
    <cellStyle name="Input 9 2 5 2 6" xfId="33680" xr:uid="{00000000-0005-0000-0000-00008B830000}"/>
    <cellStyle name="Input 9 2 5 3" xfId="33681" xr:uid="{00000000-0005-0000-0000-00008C830000}"/>
    <cellStyle name="Input 9 2 5 3 2" xfId="33682" xr:uid="{00000000-0005-0000-0000-00008D830000}"/>
    <cellStyle name="Input 9 2 5 3 2 2" xfId="33683" xr:uid="{00000000-0005-0000-0000-00008E830000}"/>
    <cellStyle name="Input 9 2 5 3 2 3" xfId="33684" xr:uid="{00000000-0005-0000-0000-00008F830000}"/>
    <cellStyle name="Input 9 2 5 3 2 4" xfId="33685" xr:uid="{00000000-0005-0000-0000-000090830000}"/>
    <cellStyle name="Input 9 2 5 3 2 5" xfId="33686" xr:uid="{00000000-0005-0000-0000-000091830000}"/>
    <cellStyle name="Input 9 2 5 3 2 6" xfId="33687" xr:uid="{00000000-0005-0000-0000-000092830000}"/>
    <cellStyle name="Input 9 2 5 3 3" xfId="33688" xr:uid="{00000000-0005-0000-0000-000093830000}"/>
    <cellStyle name="Input 9 2 5 3 4" xfId="33689" xr:uid="{00000000-0005-0000-0000-000094830000}"/>
    <cellStyle name="Input 9 2 5 3 5" xfId="33690" xr:uid="{00000000-0005-0000-0000-000095830000}"/>
    <cellStyle name="Input 9 2 5 3 6" xfId="33691" xr:uid="{00000000-0005-0000-0000-000096830000}"/>
    <cellStyle name="Input 9 2 5 4" xfId="33692" xr:uid="{00000000-0005-0000-0000-000097830000}"/>
    <cellStyle name="Input 9 2 5 4 2" xfId="33693" xr:uid="{00000000-0005-0000-0000-000098830000}"/>
    <cellStyle name="Input 9 2 5 4 3" xfId="33694" xr:uid="{00000000-0005-0000-0000-000099830000}"/>
    <cellStyle name="Input 9 2 5 4 4" xfId="33695" xr:uid="{00000000-0005-0000-0000-00009A830000}"/>
    <cellStyle name="Input 9 2 5 4 5" xfId="33696" xr:uid="{00000000-0005-0000-0000-00009B830000}"/>
    <cellStyle name="Input 9 2 5 4 6" xfId="33697" xr:uid="{00000000-0005-0000-0000-00009C830000}"/>
    <cellStyle name="Input 9 2 5 5" xfId="33698" xr:uid="{00000000-0005-0000-0000-00009D830000}"/>
    <cellStyle name="Input 9 2 5 6" xfId="33699" xr:uid="{00000000-0005-0000-0000-00009E830000}"/>
    <cellStyle name="Input 9 2 5 7" xfId="33700" xr:uid="{00000000-0005-0000-0000-00009F830000}"/>
    <cellStyle name="Input 9 2 5 8" xfId="33701" xr:uid="{00000000-0005-0000-0000-0000A0830000}"/>
    <cellStyle name="Input 9 2 6" xfId="33702" xr:uid="{00000000-0005-0000-0000-0000A1830000}"/>
    <cellStyle name="Input 9 2 6 2" xfId="33703" xr:uid="{00000000-0005-0000-0000-0000A2830000}"/>
    <cellStyle name="Input 9 2 6 2 2" xfId="33704" xr:uid="{00000000-0005-0000-0000-0000A3830000}"/>
    <cellStyle name="Input 9 2 6 2 2 2" xfId="33705" xr:uid="{00000000-0005-0000-0000-0000A4830000}"/>
    <cellStyle name="Input 9 2 6 2 2 3" xfId="33706" xr:uid="{00000000-0005-0000-0000-0000A5830000}"/>
    <cellStyle name="Input 9 2 6 2 2 4" xfId="33707" xr:uid="{00000000-0005-0000-0000-0000A6830000}"/>
    <cellStyle name="Input 9 2 6 2 2 5" xfId="33708" xr:uid="{00000000-0005-0000-0000-0000A7830000}"/>
    <cellStyle name="Input 9 2 6 2 2 6" xfId="33709" xr:uid="{00000000-0005-0000-0000-0000A8830000}"/>
    <cellStyle name="Input 9 2 6 2 3" xfId="33710" xr:uid="{00000000-0005-0000-0000-0000A9830000}"/>
    <cellStyle name="Input 9 2 6 2 4" xfId="33711" xr:uid="{00000000-0005-0000-0000-0000AA830000}"/>
    <cellStyle name="Input 9 2 6 2 5" xfId="33712" xr:uid="{00000000-0005-0000-0000-0000AB830000}"/>
    <cellStyle name="Input 9 2 6 2 6" xfId="33713" xr:uid="{00000000-0005-0000-0000-0000AC830000}"/>
    <cellStyle name="Input 9 2 6 3" xfId="33714" xr:uid="{00000000-0005-0000-0000-0000AD830000}"/>
    <cellStyle name="Input 9 2 6 3 2" xfId="33715" xr:uid="{00000000-0005-0000-0000-0000AE830000}"/>
    <cellStyle name="Input 9 2 6 3 2 2" xfId="33716" xr:uid="{00000000-0005-0000-0000-0000AF830000}"/>
    <cellStyle name="Input 9 2 6 3 2 3" xfId="33717" xr:uid="{00000000-0005-0000-0000-0000B0830000}"/>
    <cellStyle name="Input 9 2 6 3 2 4" xfId="33718" xr:uid="{00000000-0005-0000-0000-0000B1830000}"/>
    <cellStyle name="Input 9 2 6 3 2 5" xfId="33719" xr:uid="{00000000-0005-0000-0000-0000B2830000}"/>
    <cellStyle name="Input 9 2 6 3 2 6" xfId="33720" xr:uid="{00000000-0005-0000-0000-0000B3830000}"/>
    <cellStyle name="Input 9 2 6 3 3" xfId="33721" xr:uid="{00000000-0005-0000-0000-0000B4830000}"/>
    <cellStyle name="Input 9 2 6 3 4" xfId="33722" xr:uid="{00000000-0005-0000-0000-0000B5830000}"/>
    <cellStyle name="Input 9 2 6 3 5" xfId="33723" xr:uid="{00000000-0005-0000-0000-0000B6830000}"/>
    <cellStyle name="Input 9 2 6 3 6" xfId="33724" xr:uid="{00000000-0005-0000-0000-0000B7830000}"/>
    <cellStyle name="Input 9 2 6 4" xfId="33725" xr:uid="{00000000-0005-0000-0000-0000B8830000}"/>
    <cellStyle name="Input 9 2 6 4 2" xfId="33726" xr:uid="{00000000-0005-0000-0000-0000B9830000}"/>
    <cellStyle name="Input 9 2 6 4 3" xfId="33727" xr:uid="{00000000-0005-0000-0000-0000BA830000}"/>
    <cellStyle name="Input 9 2 6 4 4" xfId="33728" xr:uid="{00000000-0005-0000-0000-0000BB830000}"/>
    <cellStyle name="Input 9 2 6 4 5" xfId="33729" xr:uid="{00000000-0005-0000-0000-0000BC830000}"/>
    <cellStyle name="Input 9 2 6 4 6" xfId="33730" xr:uid="{00000000-0005-0000-0000-0000BD830000}"/>
    <cellStyle name="Input 9 2 6 5" xfId="33731" xr:uid="{00000000-0005-0000-0000-0000BE830000}"/>
    <cellStyle name="Input 9 2 6 6" xfId="33732" xr:uid="{00000000-0005-0000-0000-0000BF830000}"/>
    <cellStyle name="Input 9 2 6 7" xfId="33733" xr:uid="{00000000-0005-0000-0000-0000C0830000}"/>
    <cellStyle name="Input 9 2 6 8" xfId="33734" xr:uid="{00000000-0005-0000-0000-0000C1830000}"/>
    <cellStyle name="Input 9 2 7" xfId="33735" xr:uid="{00000000-0005-0000-0000-0000C2830000}"/>
    <cellStyle name="Input 9 2 7 2" xfId="33736" xr:uid="{00000000-0005-0000-0000-0000C3830000}"/>
    <cellStyle name="Input 9 2 7 2 2" xfId="33737" xr:uid="{00000000-0005-0000-0000-0000C4830000}"/>
    <cellStyle name="Input 9 2 7 2 2 2" xfId="33738" xr:uid="{00000000-0005-0000-0000-0000C5830000}"/>
    <cellStyle name="Input 9 2 7 2 2 3" xfId="33739" xr:uid="{00000000-0005-0000-0000-0000C6830000}"/>
    <cellStyle name="Input 9 2 7 2 2 4" xfId="33740" xr:uid="{00000000-0005-0000-0000-0000C7830000}"/>
    <cellStyle name="Input 9 2 7 2 2 5" xfId="33741" xr:uid="{00000000-0005-0000-0000-0000C8830000}"/>
    <cellStyle name="Input 9 2 7 2 2 6" xfId="33742" xr:uid="{00000000-0005-0000-0000-0000C9830000}"/>
    <cellStyle name="Input 9 2 7 2 3" xfId="33743" xr:uid="{00000000-0005-0000-0000-0000CA830000}"/>
    <cellStyle name="Input 9 2 7 2 4" xfId="33744" xr:uid="{00000000-0005-0000-0000-0000CB830000}"/>
    <cellStyle name="Input 9 2 7 2 5" xfId="33745" xr:uid="{00000000-0005-0000-0000-0000CC830000}"/>
    <cellStyle name="Input 9 2 7 2 6" xfId="33746" xr:uid="{00000000-0005-0000-0000-0000CD830000}"/>
    <cellStyle name="Input 9 2 7 3" xfId="33747" xr:uid="{00000000-0005-0000-0000-0000CE830000}"/>
    <cellStyle name="Input 9 2 7 3 2" xfId="33748" xr:uid="{00000000-0005-0000-0000-0000CF830000}"/>
    <cellStyle name="Input 9 2 7 3 2 2" xfId="33749" xr:uid="{00000000-0005-0000-0000-0000D0830000}"/>
    <cellStyle name="Input 9 2 7 3 2 3" xfId="33750" xr:uid="{00000000-0005-0000-0000-0000D1830000}"/>
    <cellStyle name="Input 9 2 7 3 2 4" xfId="33751" xr:uid="{00000000-0005-0000-0000-0000D2830000}"/>
    <cellStyle name="Input 9 2 7 3 2 5" xfId="33752" xr:uid="{00000000-0005-0000-0000-0000D3830000}"/>
    <cellStyle name="Input 9 2 7 3 2 6" xfId="33753" xr:uid="{00000000-0005-0000-0000-0000D4830000}"/>
    <cellStyle name="Input 9 2 7 3 3" xfId="33754" xr:uid="{00000000-0005-0000-0000-0000D5830000}"/>
    <cellStyle name="Input 9 2 7 3 4" xfId="33755" xr:uid="{00000000-0005-0000-0000-0000D6830000}"/>
    <cellStyle name="Input 9 2 7 3 5" xfId="33756" xr:uid="{00000000-0005-0000-0000-0000D7830000}"/>
    <cellStyle name="Input 9 2 7 3 6" xfId="33757" xr:uid="{00000000-0005-0000-0000-0000D8830000}"/>
    <cellStyle name="Input 9 2 7 4" xfId="33758" xr:uid="{00000000-0005-0000-0000-0000D9830000}"/>
    <cellStyle name="Input 9 2 7 4 2" xfId="33759" xr:uid="{00000000-0005-0000-0000-0000DA830000}"/>
    <cellStyle name="Input 9 2 7 4 3" xfId="33760" xr:uid="{00000000-0005-0000-0000-0000DB830000}"/>
    <cellStyle name="Input 9 2 7 4 4" xfId="33761" xr:uid="{00000000-0005-0000-0000-0000DC830000}"/>
    <cellStyle name="Input 9 2 7 4 5" xfId="33762" xr:uid="{00000000-0005-0000-0000-0000DD830000}"/>
    <cellStyle name="Input 9 2 7 4 6" xfId="33763" xr:uid="{00000000-0005-0000-0000-0000DE830000}"/>
    <cellStyle name="Input 9 2 7 5" xfId="33764" xr:uid="{00000000-0005-0000-0000-0000DF830000}"/>
    <cellStyle name="Input 9 2 7 6" xfId="33765" xr:uid="{00000000-0005-0000-0000-0000E0830000}"/>
    <cellStyle name="Input 9 2 7 7" xfId="33766" xr:uid="{00000000-0005-0000-0000-0000E1830000}"/>
    <cellStyle name="Input 9 2 7 8" xfId="33767" xr:uid="{00000000-0005-0000-0000-0000E2830000}"/>
    <cellStyle name="Input 9 2 8" xfId="33768" xr:uid="{00000000-0005-0000-0000-0000E3830000}"/>
    <cellStyle name="Input 9 2 8 2" xfId="33769" xr:uid="{00000000-0005-0000-0000-0000E4830000}"/>
    <cellStyle name="Input 9 2 8 2 2" xfId="33770" xr:uid="{00000000-0005-0000-0000-0000E5830000}"/>
    <cellStyle name="Input 9 2 8 2 3" xfId="33771" xr:uid="{00000000-0005-0000-0000-0000E6830000}"/>
    <cellStyle name="Input 9 2 8 2 4" xfId="33772" xr:uid="{00000000-0005-0000-0000-0000E7830000}"/>
    <cellStyle name="Input 9 2 8 2 5" xfId="33773" xr:uid="{00000000-0005-0000-0000-0000E8830000}"/>
    <cellStyle name="Input 9 2 8 2 6" xfId="33774" xr:uid="{00000000-0005-0000-0000-0000E9830000}"/>
    <cellStyle name="Input 9 2 8 3" xfId="33775" xr:uid="{00000000-0005-0000-0000-0000EA830000}"/>
    <cellStyle name="Input 9 2 8 4" xfId="33776" xr:uid="{00000000-0005-0000-0000-0000EB830000}"/>
    <cellStyle name="Input 9 2 8 5" xfId="33777" xr:uid="{00000000-0005-0000-0000-0000EC830000}"/>
    <cellStyle name="Input 9 2 8 6" xfId="33778" xr:uid="{00000000-0005-0000-0000-0000ED830000}"/>
    <cellStyle name="Input 9 2 9" xfId="33779" xr:uid="{00000000-0005-0000-0000-0000EE830000}"/>
    <cellStyle name="Input 9 2 9 2" xfId="33780" xr:uid="{00000000-0005-0000-0000-0000EF830000}"/>
    <cellStyle name="Input 9 2 9 2 2" xfId="33781" xr:uid="{00000000-0005-0000-0000-0000F0830000}"/>
    <cellStyle name="Input 9 2 9 2 3" xfId="33782" xr:uid="{00000000-0005-0000-0000-0000F1830000}"/>
    <cellStyle name="Input 9 2 9 2 4" xfId="33783" xr:uid="{00000000-0005-0000-0000-0000F2830000}"/>
    <cellStyle name="Input 9 2 9 2 5" xfId="33784" xr:uid="{00000000-0005-0000-0000-0000F3830000}"/>
    <cellStyle name="Input 9 2 9 2 6" xfId="33785" xr:uid="{00000000-0005-0000-0000-0000F4830000}"/>
    <cellStyle name="Input 9 2 9 3" xfId="33786" xr:uid="{00000000-0005-0000-0000-0000F5830000}"/>
    <cellStyle name="Input 9 2 9 4" xfId="33787" xr:uid="{00000000-0005-0000-0000-0000F6830000}"/>
    <cellStyle name="Input 9 2 9 5" xfId="33788" xr:uid="{00000000-0005-0000-0000-0000F7830000}"/>
    <cellStyle name="Input 9 2 9 6" xfId="33789" xr:uid="{00000000-0005-0000-0000-0000F8830000}"/>
    <cellStyle name="Input 9 3" xfId="33790" xr:uid="{00000000-0005-0000-0000-0000F9830000}"/>
    <cellStyle name="Input 9 3 10" xfId="33791" xr:uid="{00000000-0005-0000-0000-0000FA830000}"/>
    <cellStyle name="Input 9 3 11" xfId="33792" xr:uid="{00000000-0005-0000-0000-0000FB830000}"/>
    <cellStyle name="Input 9 3 12" xfId="33793" xr:uid="{00000000-0005-0000-0000-0000FC830000}"/>
    <cellStyle name="Input 9 3 13" xfId="33794" xr:uid="{00000000-0005-0000-0000-0000FD830000}"/>
    <cellStyle name="Input 9 3 2" xfId="33795" xr:uid="{00000000-0005-0000-0000-0000FE830000}"/>
    <cellStyle name="Input 9 3 2 2" xfId="33796" xr:uid="{00000000-0005-0000-0000-0000FF830000}"/>
    <cellStyle name="Input 9 3 2 2 2" xfId="33797" xr:uid="{00000000-0005-0000-0000-000000840000}"/>
    <cellStyle name="Input 9 3 2 2 2 2" xfId="33798" xr:uid="{00000000-0005-0000-0000-000001840000}"/>
    <cellStyle name="Input 9 3 2 2 2 3" xfId="33799" xr:uid="{00000000-0005-0000-0000-000002840000}"/>
    <cellStyle name="Input 9 3 2 2 2 4" xfId="33800" xr:uid="{00000000-0005-0000-0000-000003840000}"/>
    <cellStyle name="Input 9 3 2 2 2 5" xfId="33801" xr:uid="{00000000-0005-0000-0000-000004840000}"/>
    <cellStyle name="Input 9 3 2 2 2 6" xfId="33802" xr:uid="{00000000-0005-0000-0000-000005840000}"/>
    <cellStyle name="Input 9 3 2 2 3" xfId="33803" xr:uid="{00000000-0005-0000-0000-000006840000}"/>
    <cellStyle name="Input 9 3 2 2 4" xfId="33804" xr:uid="{00000000-0005-0000-0000-000007840000}"/>
    <cellStyle name="Input 9 3 2 2 5" xfId="33805" xr:uid="{00000000-0005-0000-0000-000008840000}"/>
    <cellStyle name="Input 9 3 2 2 6" xfId="33806" xr:uid="{00000000-0005-0000-0000-000009840000}"/>
    <cellStyle name="Input 9 3 2 3" xfId="33807" xr:uid="{00000000-0005-0000-0000-00000A840000}"/>
    <cellStyle name="Input 9 3 2 3 2" xfId="33808" xr:uid="{00000000-0005-0000-0000-00000B840000}"/>
    <cellStyle name="Input 9 3 2 3 2 2" xfId="33809" xr:uid="{00000000-0005-0000-0000-00000C840000}"/>
    <cellStyle name="Input 9 3 2 3 2 3" xfId="33810" xr:uid="{00000000-0005-0000-0000-00000D840000}"/>
    <cellStyle name="Input 9 3 2 3 2 4" xfId="33811" xr:uid="{00000000-0005-0000-0000-00000E840000}"/>
    <cellStyle name="Input 9 3 2 3 2 5" xfId="33812" xr:uid="{00000000-0005-0000-0000-00000F840000}"/>
    <cellStyle name="Input 9 3 2 3 2 6" xfId="33813" xr:uid="{00000000-0005-0000-0000-000010840000}"/>
    <cellStyle name="Input 9 3 2 3 3" xfId="33814" xr:uid="{00000000-0005-0000-0000-000011840000}"/>
    <cellStyle name="Input 9 3 2 3 4" xfId="33815" xr:uid="{00000000-0005-0000-0000-000012840000}"/>
    <cellStyle name="Input 9 3 2 3 5" xfId="33816" xr:uid="{00000000-0005-0000-0000-000013840000}"/>
    <cellStyle name="Input 9 3 2 3 6" xfId="33817" xr:uid="{00000000-0005-0000-0000-000014840000}"/>
    <cellStyle name="Input 9 3 2 4" xfId="33818" xr:uid="{00000000-0005-0000-0000-000015840000}"/>
    <cellStyle name="Input 9 3 2 4 2" xfId="33819" xr:uid="{00000000-0005-0000-0000-000016840000}"/>
    <cellStyle name="Input 9 3 2 4 3" xfId="33820" xr:uid="{00000000-0005-0000-0000-000017840000}"/>
    <cellStyle name="Input 9 3 2 4 4" xfId="33821" xr:uid="{00000000-0005-0000-0000-000018840000}"/>
    <cellStyle name="Input 9 3 2 4 5" xfId="33822" xr:uid="{00000000-0005-0000-0000-000019840000}"/>
    <cellStyle name="Input 9 3 2 4 6" xfId="33823" xr:uid="{00000000-0005-0000-0000-00001A840000}"/>
    <cellStyle name="Input 9 3 2 5" xfId="33824" xr:uid="{00000000-0005-0000-0000-00001B840000}"/>
    <cellStyle name="Input 9 3 2 6" xfId="33825" xr:uid="{00000000-0005-0000-0000-00001C840000}"/>
    <cellStyle name="Input 9 3 2 7" xfId="33826" xr:uid="{00000000-0005-0000-0000-00001D840000}"/>
    <cellStyle name="Input 9 3 2 8" xfId="33827" xr:uid="{00000000-0005-0000-0000-00001E840000}"/>
    <cellStyle name="Input 9 3 3" xfId="33828" xr:uid="{00000000-0005-0000-0000-00001F840000}"/>
    <cellStyle name="Input 9 3 3 2" xfId="33829" xr:uid="{00000000-0005-0000-0000-000020840000}"/>
    <cellStyle name="Input 9 3 3 2 2" xfId="33830" xr:uid="{00000000-0005-0000-0000-000021840000}"/>
    <cellStyle name="Input 9 3 3 2 2 2" xfId="33831" xr:uid="{00000000-0005-0000-0000-000022840000}"/>
    <cellStyle name="Input 9 3 3 2 2 3" xfId="33832" xr:uid="{00000000-0005-0000-0000-000023840000}"/>
    <cellStyle name="Input 9 3 3 2 2 4" xfId="33833" xr:uid="{00000000-0005-0000-0000-000024840000}"/>
    <cellStyle name="Input 9 3 3 2 2 5" xfId="33834" xr:uid="{00000000-0005-0000-0000-000025840000}"/>
    <cellStyle name="Input 9 3 3 2 2 6" xfId="33835" xr:uid="{00000000-0005-0000-0000-000026840000}"/>
    <cellStyle name="Input 9 3 3 2 3" xfId="33836" xr:uid="{00000000-0005-0000-0000-000027840000}"/>
    <cellStyle name="Input 9 3 3 2 4" xfId="33837" xr:uid="{00000000-0005-0000-0000-000028840000}"/>
    <cellStyle name="Input 9 3 3 2 5" xfId="33838" xr:uid="{00000000-0005-0000-0000-000029840000}"/>
    <cellStyle name="Input 9 3 3 2 6" xfId="33839" xr:uid="{00000000-0005-0000-0000-00002A840000}"/>
    <cellStyle name="Input 9 3 3 3" xfId="33840" xr:uid="{00000000-0005-0000-0000-00002B840000}"/>
    <cellStyle name="Input 9 3 3 3 2" xfId="33841" xr:uid="{00000000-0005-0000-0000-00002C840000}"/>
    <cellStyle name="Input 9 3 3 3 2 2" xfId="33842" xr:uid="{00000000-0005-0000-0000-00002D840000}"/>
    <cellStyle name="Input 9 3 3 3 2 3" xfId="33843" xr:uid="{00000000-0005-0000-0000-00002E840000}"/>
    <cellStyle name="Input 9 3 3 3 2 4" xfId="33844" xr:uid="{00000000-0005-0000-0000-00002F840000}"/>
    <cellStyle name="Input 9 3 3 3 2 5" xfId="33845" xr:uid="{00000000-0005-0000-0000-000030840000}"/>
    <cellStyle name="Input 9 3 3 3 2 6" xfId="33846" xr:uid="{00000000-0005-0000-0000-000031840000}"/>
    <cellStyle name="Input 9 3 3 3 3" xfId="33847" xr:uid="{00000000-0005-0000-0000-000032840000}"/>
    <cellStyle name="Input 9 3 3 3 4" xfId="33848" xr:uid="{00000000-0005-0000-0000-000033840000}"/>
    <cellStyle name="Input 9 3 3 3 5" xfId="33849" xr:uid="{00000000-0005-0000-0000-000034840000}"/>
    <cellStyle name="Input 9 3 3 3 6" xfId="33850" xr:uid="{00000000-0005-0000-0000-000035840000}"/>
    <cellStyle name="Input 9 3 3 4" xfId="33851" xr:uid="{00000000-0005-0000-0000-000036840000}"/>
    <cellStyle name="Input 9 3 3 4 2" xfId="33852" xr:uid="{00000000-0005-0000-0000-000037840000}"/>
    <cellStyle name="Input 9 3 3 4 3" xfId="33853" xr:uid="{00000000-0005-0000-0000-000038840000}"/>
    <cellStyle name="Input 9 3 3 4 4" xfId="33854" xr:uid="{00000000-0005-0000-0000-000039840000}"/>
    <cellStyle name="Input 9 3 3 4 5" xfId="33855" xr:uid="{00000000-0005-0000-0000-00003A840000}"/>
    <cellStyle name="Input 9 3 3 4 6" xfId="33856" xr:uid="{00000000-0005-0000-0000-00003B840000}"/>
    <cellStyle name="Input 9 3 3 5" xfId="33857" xr:uid="{00000000-0005-0000-0000-00003C840000}"/>
    <cellStyle name="Input 9 3 3 6" xfId="33858" xr:uid="{00000000-0005-0000-0000-00003D840000}"/>
    <cellStyle name="Input 9 3 3 7" xfId="33859" xr:uid="{00000000-0005-0000-0000-00003E840000}"/>
    <cellStyle name="Input 9 3 3 8" xfId="33860" xr:uid="{00000000-0005-0000-0000-00003F840000}"/>
    <cellStyle name="Input 9 3 4" xfId="33861" xr:uid="{00000000-0005-0000-0000-000040840000}"/>
    <cellStyle name="Input 9 3 4 2" xfId="33862" xr:uid="{00000000-0005-0000-0000-000041840000}"/>
    <cellStyle name="Input 9 3 4 2 2" xfId="33863" xr:uid="{00000000-0005-0000-0000-000042840000}"/>
    <cellStyle name="Input 9 3 4 2 2 2" xfId="33864" xr:uid="{00000000-0005-0000-0000-000043840000}"/>
    <cellStyle name="Input 9 3 4 2 2 3" xfId="33865" xr:uid="{00000000-0005-0000-0000-000044840000}"/>
    <cellStyle name="Input 9 3 4 2 2 4" xfId="33866" xr:uid="{00000000-0005-0000-0000-000045840000}"/>
    <cellStyle name="Input 9 3 4 2 2 5" xfId="33867" xr:uid="{00000000-0005-0000-0000-000046840000}"/>
    <cellStyle name="Input 9 3 4 2 2 6" xfId="33868" xr:uid="{00000000-0005-0000-0000-000047840000}"/>
    <cellStyle name="Input 9 3 4 2 3" xfId="33869" xr:uid="{00000000-0005-0000-0000-000048840000}"/>
    <cellStyle name="Input 9 3 4 2 4" xfId="33870" xr:uid="{00000000-0005-0000-0000-000049840000}"/>
    <cellStyle name="Input 9 3 4 2 5" xfId="33871" xr:uid="{00000000-0005-0000-0000-00004A840000}"/>
    <cellStyle name="Input 9 3 4 2 6" xfId="33872" xr:uid="{00000000-0005-0000-0000-00004B840000}"/>
    <cellStyle name="Input 9 3 4 3" xfId="33873" xr:uid="{00000000-0005-0000-0000-00004C840000}"/>
    <cellStyle name="Input 9 3 4 3 2" xfId="33874" xr:uid="{00000000-0005-0000-0000-00004D840000}"/>
    <cellStyle name="Input 9 3 4 3 2 2" xfId="33875" xr:uid="{00000000-0005-0000-0000-00004E840000}"/>
    <cellStyle name="Input 9 3 4 3 2 3" xfId="33876" xr:uid="{00000000-0005-0000-0000-00004F840000}"/>
    <cellStyle name="Input 9 3 4 3 2 4" xfId="33877" xr:uid="{00000000-0005-0000-0000-000050840000}"/>
    <cellStyle name="Input 9 3 4 3 2 5" xfId="33878" xr:uid="{00000000-0005-0000-0000-000051840000}"/>
    <cellStyle name="Input 9 3 4 3 2 6" xfId="33879" xr:uid="{00000000-0005-0000-0000-000052840000}"/>
    <cellStyle name="Input 9 3 4 3 3" xfId="33880" xr:uid="{00000000-0005-0000-0000-000053840000}"/>
    <cellStyle name="Input 9 3 4 3 4" xfId="33881" xr:uid="{00000000-0005-0000-0000-000054840000}"/>
    <cellStyle name="Input 9 3 4 3 5" xfId="33882" xr:uid="{00000000-0005-0000-0000-000055840000}"/>
    <cellStyle name="Input 9 3 4 3 6" xfId="33883" xr:uid="{00000000-0005-0000-0000-000056840000}"/>
    <cellStyle name="Input 9 3 4 4" xfId="33884" xr:uid="{00000000-0005-0000-0000-000057840000}"/>
    <cellStyle name="Input 9 3 4 4 2" xfId="33885" xr:uid="{00000000-0005-0000-0000-000058840000}"/>
    <cellStyle name="Input 9 3 4 4 3" xfId="33886" xr:uid="{00000000-0005-0000-0000-000059840000}"/>
    <cellStyle name="Input 9 3 4 4 4" xfId="33887" xr:uid="{00000000-0005-0000-0000-00005A840000}"/>
    <cellStyle name="Input 9 3 4 4 5" xfId="33888" xr:uid="{00000000-0005-0000-0000-00005B840000}"/>
    <cellStyle name="Input 9 3 4 4 6" xfId="33889" xr:uid="{00000000-0005-0000-0000-00005C840000}"/>
    <cellStyle name="Input 9 3 4 5" xfId="33890" xr:uid="{00000000-0005-0000-0000-00005D840000}"/>
    <cellStyle name="Input 9 3 4 6" xfId="33891" xr:uid="{00000000-0005-0000-0000-00005E840000}"/>
    <cellStyle name="Input 9 3 4 7" xfId="33892" xr:uid="{00000000-0005-0000-0000-00005F840000}"/>
    <cellStyle name="Input 9 3 4 8" xfId="33893" xr:uid="{00000000-0005-0000-0000-000060840000}"/>
    <cellStyle name="Input 9 3 5" xfId="33894" xr:uid="{00000000-0005-0000-0000-000061840000}"/>
    <cellStyle name="Input 9 3 5 2" xfId="33895" xr:uid="{00000000-0005-0000-0000-000062840000}"/>
    <cellStyle name="Input 9 3 5 2 2" xfId="33896" xr:uid="{00000000-0005-0000-0000-000063840000}"/>
    <cellStyle name="Input 9 3 5 2 2 2" xfId="33897" xr:uid="{00000000-0005-0000-0000-000064840000}"/>
    <cellStyle name="Input 9 3 5 2 2 3" xfId="33898" xr:uid="{00000000-0005-0000-0000-000065840000}"/>
    <cellStyle name="Input 9 3 5 2 2 4" xfId="33899" xr:uid="{00000000-0005-0000-0000-000066840000}"/>
    <cellStyle name="Input 9 3 5 2 2 5" xfId="33900" xr:uid="{00000000-0005-0000-0000-000067840000}"/>
    <cellStyle name="Input 9 3 5 2 2 6" xfId="33901" xr:uid="{00000000-0005-0000-0000-000068840000}"/>
    <cellStyle name="Input 9 3 5 2 3" xfId="33902" xr:uid="{00000000-0005-0000-0000-000069840000}"/>
    <cellStyle name="Input 9 3 5 2 4" xfId="33903" xr:uid="{00000000-0005-0000-0000-00006A840000}"/>
    <cellStyle name="Input 9 3 5 2 5" xfId="33904" xr:uid="{00000000-0005-0000-0000-00006B840000}"/>
    <cellStyle name="Input 9 3 5 2 6" xfId="33905" xr:uid="{00000000-0005-0000-0000-00006C840000}"/>
    <cellStyle name="Input 9 3 5 3" xfId="33906" xr:uid="{00000000-0005-0000-0000-00006D840000}"/>
    <cellStyle name="Input 9 3 5 3 2" xfId="33907" xr:uid="{00000000-0005-0000-0000-00006E840000}"/>
    <cellStyle name="Input 9 3 5 3 2 2" xfId="33908" xr:uid="{00000000-0005-0000-0000-00006F840000}"/>
    <cellStyle name="Input 9 3 5 3 2 3" xfId="33909" xr:uid="{00000000-0005-0000-0000-000070840000}"/>
    <cellStyle name="Input 9 3 5 3 2 4" xfId="33910" xr:uid="{00000000-0005-0000-0000-000071840000}"/>
    <cellStyle name="Input 9 3 5 3 2 5" xfId="33911" xr:uid="{00000000-0005-0000-0000-000072840000}"/>
    <cellStyle name="Input 9 3 5 3 2 6" xfId="33912" xr:uid="{00000000-0005-0000-0000-000073840000}"/>
    <cellStyle name="Input 9 3 5 3 3" xfId="33913" xr:uid="{00000000-0005-0000-0000-000074840000}"/>
    <cellStyle name="Input 9 3 5 3 4" xfId="33914" xr:uid="{00000000-0005-0000-0000-000075840000}"/>
    <cellStyle name="Input 9 3 5 3 5" xfId="33915" xr:uid="{00000000-0005-0000-0000-000076840000}"/>
    <cellStyle name="Input 9 3 5 3 6" xfId="33916" xr:uid="{00000000-0005-0000-0000-000077840000}"/>
    <cellStyle name="Input 9 3 5 4" xfId="33917" xr:uid="{00000000-0005-0000-0000-000078840000}"/>
    <cellStyle name="Input 9 3 5 4 2" xfId="33918" xr:uid="{00000000-0005-0000-0000-000079840000}"/>
    <cellStyle name="Input 9 3 5 4 3" xfId="33919" xr:uid="{00000000-0005-0000-0000-00007A840000}"/>
    <cellStyle name="Input 9 3 5 4 4" xfId="33920" xr:uid="{00000000-0005-0000-0000-00007B840000}"/>
    <cellStyle name="Input 9 3 5 4 5" xfId="33921" xr:uid="{00000000-0005-0000-0000-00007C840000}"/>
    <cellStyle name="Input 9 3 5 4 6" xfId="33922" xr:uid="{00000000-0005-0000-0000-00007D840000}"/>
    <cellStyle name="Input 9 3 5 5" xfId="33923" xr:uid="{00000000-0005-0000-0000-00007E840000}"/>
    <cellStyle name="Input 9 3 5 6" xfId="33924" xr:uid="{00000000-0005-0000-0000-00007F840000}"/>
    <cellStyle name="Input 9 3 5 7" xfId="33925" xr:uid="{00000000-0005-0000-0000-000080840000}"/>
    <cellStyle name="Input 9 3 5 8" xfId="33926" xr:uid="{00000000-0005-0000-0000-000081840000}"/>
    <cellStyle name="Input 9 3 6" xfId="33927" xr:uid="{00000000-0005-0000-0000-000082840000}"/>
    <cellStyle name="Input 9 3 6 2" xfId="33928" xr:uid="{00000000-0005-0000-0000-000083840000}"/>
    <cellStyle name="Input 9 3 6 2 2" xfId="33929" xr:uid="{00000000-0005-0000-0000-000084840000}"/>
    <cellStyle name="Input 9 3 6 2 2 2" xfId="33930" xr:uid="{00000000-0005-0000-0000-000085840000}"/>
    <cellStyle name="Input 9 3 6 2 2 3" xfId="33931" xr:uid="{00000000-0005-0000-0000-000086840000}"/>
    <cellStyle name="Input 9 3 6 2 2 4" xfId="33932" xr:uid="{00000000-0005-0000-0000-000087840000}"/>
    <cellStyle name="Input 9 3 6 2 2 5" xfId="33933" xr:uid="{00000000-0005-0000-0000-000088840000}"/>
    <cellStyle name="Input 9 3 6 2 2 6" xfId="33934" xr:uid="{00000000-0005-0000-0000-000089840000}"/>
    <cellStyle name="Input 9 3 6 2 3" xfId="33935" xr:uid="{00000000-0005-0000-0000-00008A840000}"/>
    <cellStyle name="Input 9 3 6 2 4" xfId="33936" xr:uid="{00000000-0005-0000-0000-00008B840000}"/>
    <cellStyle name="Input 9 3 6 2 5" xfId="33937" xr:uid="{00000000-0005-0000-0000-00008C840000}"/>
    <cellStyle name="Input 9 3 6 2 6" xfId="33938" xr:uid="{00000000-0005-0000-0000-00008D840000}"/>
    <cellStyle name="Input 9 3 6 3" xfId="33939" xr:uid="{00000000-0005-0000-0000-00008E840000}"/>
    <cellStyle name="Input 9 3 6 3 2" xfId="33940" xr:uid="{00000000-0005-0000-0000-00008F840000}"/>
    <cellStyle name="Input 9 3 6 3 2 2" xfId="33941" xr:uid="{00000000-0005-0000-0000-000090840000}"/>
    <cellStyle name="Input 9 3 6 3 2 3" xfId="33942" xr:uid="{00000000-0005-0000-0000-000091840000}"/>
    <cellStyle name="Input 9 3 6 3 2 4" xfId="33943" xr:uid="{00000000-0005-0000-0000-000092840000}"/>
    <cellStyle name="Input 9 3 6 3 2 5" xfId="33944" xr:uid="{00000000-0005-0000-0000-000093840000}"/>
    <cellStyle name="Input 9 3 6 3 2 6" xfId="33945" xr:uid="{00000000-0005-0000-0000-000094840000}"/>
    <cellStyle name="Input 9 3 6 3 3" xfId="33946" xr:uid="{00000000-0005-0000-0000-000095840000}"/>
    <cellStyle name="Input 9 3 6 3 4" xfId="33947" xr:uid="{00000000-0005-0000-0000-000096840000}"/>
    <cellStyle name="Input 9 3 6 3 5" xfId="33948" xr:uid="{00000000-0005-0000-0000-000097840000}"/>
    <cellStyle name="Input 9 3 6 3 6" xfId="33949" xr:uid="{00000000-0005-0000-0000-000098840000}"/>
    <cellStyle name="Input 9 3 6 4" xfId="33950" xr:uid="{00000000-0005-0000-0000-000099840000}"/>
    <cellStyle name="Input 9 3 6 4 2" xfId="33951" xr:uid="{00000000-0005-0000-0000-00009A840000}"/>
    <cellStyle name="Input 9 3 6 4 3" xfId="33952" xr:uid="{00000000-0005-0000-0000-00009B840000}"/>
    <cellStyle name="Input 9 3 6 4 4" xfId="33953" xr:uid="{00000000-0005-0000-0000-00009C840000}"/>
    <cellStyle name="Input 9 3 6 4 5" xfId="33954" xr:uid="{00000000-0005-0000-0000-00009D840000}"/>
    <cellStyle name="Input 9 3 6 4 6" xfId="33955" xr:uid="{00000000-0005-0000-0000-00009E840000}"/>
    <cellStyle name="Input 9 3 6 5" xfId="33956" xr:uid="{00000000-0005-0000-0000-00009F840000}"/>
    <cellStyle name="Input 9 3 6 6" xfId="33957" xr:uid="{00000000-0005-0000-0000-0000A0840000}"/>
    <cellStyle name="Input 9 3 6 7" xfId="33958" xr:uid="{00000000-0005-0000-0000-0000A1840000}"/>
    <cellStyle name="Input 9 3 6 8" xfId="33959" xr:uid="{00000000-0005-0000-0000-0000A2840000}"/>
    <cellStyle name="Input 9 3 7" xfId="33960" xr:uid="{00000000-0005-0000-0000-0000A3840000}"/>
    <cellStyle name="Input 9 3 7 2" xfId="33961" xr:uid="{00000000-0005-0000-0000-0000A4840000}"/>
    <cellStyle name="Input 9 3 7 2 2" xfId="33962" xr:uid="{00000000-0005-0000-0000-0000A5840000}"/>
    <cellStyle name="Input 9 3 7 2 3" xfId="33963" xr:uid="{00000000-0005-0000-0000-0000A6840000}"/>
    <cellStyle name="Input 9 3 7 2 4" xfId="33964" xr:uid="{00000000-0005-0000-0000-0000A7840000}"/>
    <cellStyle name="Input 9 3 7 2 5" xfId="33965" xr:uid="{00000000-0005-0000-0000-0000A8840000}"/>
    <cellStyle name="Input 9 3 7 2 6" xfId="33966" xr:uid="{00000000-0005-0000-0000-0000A9840000}"/>
    <cellStyle name="Input 9 3 7 3" xfId="33967" xr:uid="{00000000-0005-0000-0000-0000AA840000}"/>
    <cellStyle name="Input 9 3 7 4" xfId="33968" xr:uid="{00000000-0005-0000-0000-0000AB840000}"/>
    <cellStyle name="Input 9 3 7 5" xfId="33969" xr:uid="{00000000-0005-0000-0000-0000AC840000}"/>
    <cellStyle name="Input 9 3 7 6" xfId="33970" xr:uid="{00000000-0005-0000-0000-0000AD840000}"/>
    <cellStyle name="Input 9 3 8" xfId="33971" xr:uid="{00000000-0005-0000-0000-0000AE840000}"/>
    <cellStyle name="Input 9 3 8 2" xfId="33972" xr:uid="{00000000-0005-0000-0000-0000AF840000}"/>
    <cellStyle name="Input 9 3 8 2 2" xfId="33973" xr:uid="{00000000-0005-0000-0000-0000B0840000}"/>
    <cellStyle name="Input 9 3 8 2 3" xfId="33974" xr:uid="{00000000-0005-0000-0000-0000B1840000}"/>
    <cellStyle name="Input 9 3 8 2 4" xfId="33975" xr:uid="{00000000-0005-0000-0000-0000B2840000}"/>
    <cellStyle name="Input 9 3 8 2 5" xfId="33976" xr:uid="{00000000-0005-0000-0000-0000B3840000}"/>
    <cellStyle name="Input 9 3 8 2 6" xfId="33977" xr:uid="{00000000-0005-0000-0000-0000B4840000}"/>
    <cellStyle name="Input 9 3 8 3" xfId="33978" xr:uid="{00000000-0005-0000-0000-0000B5840000}"/>
    <cellStyle name="Input 9 3 8 4" xfId="33979" xr:uid="{00000000-0005-0000-0000-0000B6840000}"/>
    <cellStyle name="Input 9 3 8 5" xfId="33980" xr:uid="{00000000-0005-0000-0000-0000B7840000}"/>
    <cellStyle name="Input 9 3 8 6" xfId="33981" xr:uid="{00000000-0005-0000-0000-0000B8840000}"/>
    <cellStyle name="Input 9 3 9" xfId="33982" xr:uid="{00000000-0005-0000-0000-0000B9840000}"/>
    <cellStyle name="Input 9 3 9 2" xfId="33983" xr:uid="{00000000-0005-0000-0000-0000BA840000}"/>
    <cellStyle name="Input 9 3 9 3" xfId="33984" xr:uid="{00000000-0005-0000-0000-0000BB840000}"/>
    <cellStyle name="Input 9 3 9 4" xfId="33985" xr:uid="{00000000-0005-0000-0000-0000BC840000}"/>
    <cellStyle name="Input 9 3 9 5" xfId="33986" xr:uid="{00000000-0005-0000-0000-0000BD840000}"/>
    <cellStyle name="Input 9 3 9 6" xfId="33987" xr:uid="{00000000-0005-0000-0000-0000BE840000}"/>
    <cellStyle name="Input 9 4" xfId="33988" xr:uid="{00000000-0005-0000-0000-0000BF840000}"/>
    <cellStyle name="Input 9 4 2" xfId="33989" xr:uid="{00000000-0005-0000-0000-0000C0840000}"/>
    <cellStyle name="Input 9 4 2 2" xfId="33990" xr:uid="{00000000-0005-0000-0000-0000C1840000}"/>
    <cellStyle name="Input 9 4 2 2 2" xfId="33991" xr:uid="{00000000-0005-0000-0000-0000C2840000}"/>
    <cellStyle name="Input 9 4 2 2 3" xfId="33992" xr:uid="{00000000-0005-0000-0000-0000C3840000}"/>
    <cellStyle name="Input 9 4 2 2 4" xfId="33993" xr:uid="{00000000-0005-0000-0000-0000C4840000}"/>
    <cellStyle name="Input 9 4 2 2 5" xfId="33994" xr:uid="{00000000-0005-0000-0000-0000C5840000}"/>
    <cellStyle name="Input 9 4 2 2 6" xfId="33995" xr:uid="{00000000-0005-0000-0000-0000C6840000}"/>
    <cellStyle name="Input 9 4 2 3" xfId="33996" xr:uid="{00000000-0005-0000-0000-0000C7840000}"/>
    <cellStyle name="Input 9 4 2 4" xfId="33997" xr:uid="{00000000-0005-0000-0000-0000C8840000}"/>
    <cellStyle name="Input 9 4 2 5" xfId="33998" xr:uid="{00000000-0005-0000-0000-0000C9840000}"/>
    <cellStyle name="Input 9 4 2 6" xfId="33999" xr:uid="{00000000-0005-0000-0000-0000CA840000}"/>
    <cellStyle name="Input 9 4 3" xfId="34000" xr:uid="{00000000-0005-0000-0000-0000CB840000}"/>
    <cellStyle name="Input 9 4 3 2" xfId="34001" xr:uid="{00000000-0005-0000-0000-0000CC840000}"/>
    <cellStyle name="Input 9 4 3 2 2" xfId="34002" xr:uid="{00000000-0005-0000-0000-0000CD840000}"/>
    <cellStyle name="Input 9 4 3 2 3" xfId="34003" xr:uid="{00000000-0005-0000-0000-0000CE840000}"/>
    <cellStyle name="Input 9 4 3 2 4" xfId="34004" xr:uid="{00000000-0005-0000-0000-0000CF840000}"/>
    <cellStyle name="Input 9 4 3 2 5" xfId="34005" xr:uid="{00000000-0005-0000-0000-0000D0840000}"/>
    <cellStyle name="Input 9 4 3 2 6" xfId="34006" xr:uid="{00000000-0005-0000-0000-0000D1840000}"/>
    <cellStyle name="Input 9 4 3 3" xfId="34007" xr:uid="{00000000-0005-0000-0000-0000D2840000}"/>
    <cellStyle name="Input 9 4 3 4" xfId="34008" xr:uid="{00000000-0005-0000-0000-0000D3840000}"/>
    <cellStyle name="Input 9 4 3 5" xfId="34009" xr:uid="{00000000-0005-0000-0000-0000D4840000}"/>
    <cellStyle name="Input 9 4 3 6" xfId="34010" xr:uid="{00000000-0005-0000-0000-0000D5840000}"/>
    <cellStyle name="Input 9 4 4" xfId="34011" xr:uid="{00000000-0005-0000-0000-0000D6840000}"/>
    <cellStyle name="Input 9 4 4 2" xfId="34012" xr:uid="{00000000-0005-0000-0000-0000D7840000}"/>
    <cellStyle name="Input 9 4 4 3" xfId="34013" xr:uid="{00000000-0005-0000-0000-0000D8840000}"/>
    <cellStyle name="Input 9 4 4 4" xfId="34014" xr:uid="{00000000-0005-0000-0000-0000D9840000}"/>
    <cellStyle name="Input 9 4 4 5" xfId="34015" xr:uid="{00000000-0005-0000-0000-0000DA840000}"/>
    <cellStyle name="Input 9 4 4 6" xfId="34016" xr:uid="{00000000-0005-0000-0000-0000DB840000}"/>
    <cellStyle name="Input 9 4 5" xfId="34017" xr:uid="{00000000-0005-0000-0000-0000DC840000}"/>
    <cellStyle name="Input 9 4 6" xfId="34018" xr:uid="{00000000-0005-0000-0000-0000DD840000}"/>
    <cellStyle name="Input 9 4 7" xfId="34019" xr:uid="{00000000-0005-0000-0000-0000DE840000}"/>
    <cellStyle name="Input 9 4 8" xfId="34020" xr:uid="{00000000-0005-0000-0000-0000DF840000}"/>
    <cellStyle name="Input 9 5" xfId="34021" xr:uid="{00000000-0005-0000-0000-0000E0840000}"/>
    <cellStyle name="Input 9 5 2" xfId="34022" xr:uid="{00000000-0005-0000-0000-0000E1840000}"/>
    <cellStyle name="Input 9 5 2 2" xfId="34023" xr:uid="{00000000-0005-0000-0000-0000E2840000}"/>
    <cellStyle name="Input 9 5 2 2 2" xfId="34024" xr:uid="{00000000-0005-0000-0000-0000E3840000}"/>
    <cellStyle name="Input 9 5 2 2 3" xfId="34025" xr:uid="{00000000-0005-0000-0000-0000E4840000}"/>
    <cellStyle name="Input 9 5 2 2 4" xfId="34026" xr:uid="{00000000-0005-0000-0000-0000E5840000}"/>
    <cellStyle name="Input 9 5 2 2 5" xfId="34027" xr:uid="{00000000-0005-0000-0000-0000E6840000}"/>
    <cellStyle name="Input 9 5 2 2 6" xfId="34028" xr:uid="{00000000-0005-0000-0000-0000E7840000}"/>
    <cellStyle name="Input 9 5 2 3" xfId="34029" xr:uid="{00000000-0005-0000-0000-0000E8840000}"/>
    <cellStyle name="Input 9 5 2 4" xfId="34030" xr:uid="{00000000-0005-0000-0000-0000E9840000}"/>
    <cellStyle name="Input 9 5 2 5" xfId="34031" xr:uid="{00000000-0005-0000-0000-0000EA840000}"/>
    <cellStyle name="Input 9 5 2 6" xfId="34032" xr:uid="{00000000-0005-0000-0000-0000EB840000}"/>
    <cellStyle name="Input 9 5 3" xfId="34033" xr:uid="{00000000-0005-0000-0000-0000EC840000}"/>
    <cellStyle name="Input 9 5 3 2" xfId="34034" xr:uid="{00000000-0005-0000-0000-0000ED840000}"/>
    <cellStyle name="Input 9 5 3 2 2" xfId="34035" xr:uid="{00000000-0005-0000-0000-0000EE840000}"/>
    <cellStyle name="Input 9 5 3 2 3" xfId="34036" xr:uid="{00000000-0005-0000-0000-0000EF840000}"/>
    <cellStyle name="Input 9 5 3 2 4" xfId="34037" xr:uid="{00000000-0005-0000-0000-0000F0840000}"/>
    <cellStyle name="Input 9 5 3 2 5" xfId="34038" xr:uid="{00000000-0005-0000-0000-0000F1840000}"/>
    <cellStyle name="Input 9 5 3 2 6" xfId="34039" xr:uid="{00000000-0005-0000-0000-0000F2840000}"/>
    <cellStyle name="Input 9 5 3 3" xfId="34040" xr:uid="{00000000-0005-0000-0000-0000F3840000}"/>
    <cellStyle name="Input 9 5 3 4" xfId="34041" xr:uid="{00000000-0005-0000-0000-0000F4840000}"/>
    <cellStyle name="Input 9 5 3 5" xfId="34042" xr:uid="{00000000-0005-0000-0000-0000F5840000}"/>
    <cellStyle name="Input 9 5 3 6" xfId="34043" xr:uid="{00000000-0005-0000-0000-0000F6840000}"/>
    <cellStyle name="Input 9 5 4" xfId="34044" xr:uid="{00000000-0005-0000-0000-0000F7840000}"/>
    <cellStyle name="Input 9 5 4 2" xfId="34045" xr:uid="{00000000-0005-0000-0000-0000F8840000}"/>
    <cellStyle name="Input 9 5 4 3" xfId="34046" xr:uid="{00000000-0005-0000-0000-0000F9840000}"/>
    <cellStyle name="Input 9 5 4 4" xfId="34047" xr:uid="{00000000-0005-0000-0000-0000FA840000}"/>
    <cellStyle name="Input 9 5 4 5" xfId="34048" xr:uid="{00000000-0005-0000-0000-0000FB840000}"/>
    <cellStyle name="Input 9 5 4 6" xfId="34049" xr:uid="{00000000-0005-0000-0000-0000FC840000}"/>
    <cellStyle name="Input 9 5 5" xfId="34050" xr:uid="{00000000-0005-0000-0000-0000FD840000}"/>
    <cellStyle name="Input 9 5 6" xfId="34051" xr:uid="{00000000-0005-0000-0000-0000FE840000}"/>
    <cellStyle name="Input 9 5 7" xfId="34052" xr:uid="{00000000-0005-0000-0000-0000FF840000}"/>
    <cellStyle name="Input 9 5 8" xfId="34053" xr:uid="{00000000-0005-0000-0000-000000850000}"/>
    <cellStyle name="Input 9 6" xfId="34054" xr:uid="{00000000-0005-0000-0000-000001850000}"/>
    <cellStyle name="Input 9 6 2" xfId="34055" xr:uid="{00000000-0005-0000-0000-000002850000}"/>
    <cellStyle name="Input 9 6 2 2" xfId="34056" xr:uid="{00000000-0005-0000-0000-000003850000}"/>
    <cellStyle name="Input 9 6 2 2 2" xfId="34057" xr:uid="{00000000-0005-0000-0000-000004850000}"/>
    <cellStyle name="Input 9 6 2 2 3" xfId="34058" xr:uid="{00000000-0005-0000-0000-000005850000}"/>
    <cellStyle name="Input 9 6 2 2 4" xfId="34059" xr:uid="{00000000-0005-0000-0000-000006850000}"/>
    <cellStyle name="Input 9 6 2 2 5" xfId="34060" xr:uid="{00000000-0005-0000-0000-000007850000}"/>
    <cellStyle name="Input 9 6 2 2 6" xfId="34061" xr:uid="{00000000-0005-0000-0000-000008850000}"/>
    <cellStyle name="Input 9 6 2 3" xfId="34062" xr:uid="{00000000-0005-0000-0000-000009850000}"/>
    <cellStyle name="Input 9 6 2 4" xfId="34063" xr:uid="{00000000-0005-0000-0000-00000A850000}"/>
    <cellStyle name="Input 9 6 2 5" xfId="34064" xr:uid="{00000000-0005-0000-0000-00000B850000}"/>
    <cellStyle name="Input 9 6 2 6" xfId="34065" xr:uid="{00000000-0005-0000-0000-00000C850000}"/>
    <cellStyle name="Input 9 6 3" xfId="34066" xr:uid="{00000000-0005-0000-0000-00000D850000}"/>
    <cellStyle name="Input 9 6 3 2" xfId="34067" xr:uid="{00000000-0005-0000-0000-00000E850000}"/>
    <cellStyle name="Input 9 6 3 2 2" xfId="34068" xr:uid="{00000000-0005-0000-0000-00000F850000}"/>
    <cellStyle name="Input 9 6 3 2 3" xfId="34069" xr:uid="{00000000-0005-0000-0000-000010850000}"/>
    <cellStyle name="Input 9 6 3 2 4" xfId="34070" xr:uid="{00000000-0005-0000-0000-000011850000}"/>
    <cellStyle name="Input 9 6 3 2 5" xfId="34071" xr:uid="{00000000-0005-0000-0000-000012850000}"/>
    <cellStyle name="Input 9 6 3 2 6" xfId="34072" xr:uid="{00000000-0005-0000-0000-000013850000}"/>
    <cellStyle name="Input 9 6 3 3" xfId="34073" xr:uid="{00000000-0005-0000-0000-000014850000}"/>
    <cellStyle name="Input 9 6 3 4" xfId="34074" xr:uid="{00000000-0005-0000-0000-000015850000}"/>
    <cellStyle name="Input 9 6 3 5" xfId="34075" xr:uid="{00000000-0005-0000-0000-000016850000}"/>
    <cellStyle name="Input 9 6 3 6" xfId="34076" xr:uid="{00000000-0005-0000-0000-000017850000}"/>
    <cellStyle name="Input 9 6 4" xfId="34077" xr:uid="{00000000-0005-0000-0000-000018850000}"/>
    <cellStyle name="Input 9 6 4 2" xfId="34078" xr:uid="{00000000-0005-0000-0000-000019850000}"/>
    <cellStyle name="Input 9 6 4 3" xfId="34079" xr:uid="{00000000-0005-0000-0000-00001A850000}"/>
    <cellStyle name="Input 9 6 4 4" xfId="34080" xr:uid="{00000000-0005-0000-0000-00001B850000}"/>
    <cellStyle name="Input 9 6 4 5" xfId="34081" xr:uid="{00000000-0005-0000-0000-00001C850000}"/>
    <cellStyle name="Input 9 6 4 6" xfId="34082" xr:uid="{00000000-0005-0000-0000-00001D850000}"/>
    <cellStyle name="Input 9 6 5" xfId="34083" xr:uid="{00000000-0005-0000-0000-00001E850000}"/>
    <cellStyle name="Input 9 6 6" xfId="34084" xr:uid="{00000000-0005-0000-0000-00001F850000}"/>
    <cellStyle name="Input 9 6 7" xfId="34085" xr:uid="{00000000-0005-0000-0000-000020850000}"/>
    <cellStyle name="Input 9 6 8" xfId="34086" xr:uid="{00000000-0005-0000-0000-000021850000}"/>
    <cellStyle name="Input 9 7" xfId="34087" xr:uid="{00000000-0005-0000-0000-000022850000}"/>
    <cellStyle name="Input 9 7 2" xfId="34088" xr:uid="{00000000-0005-0000-0000-000023850000}"/>
    <cellStyle name="Input 9 7 2 2" xfId="34089" xr:uid="{00000000-0005-0000-0000-000024850000}"/>
    <cellStyle name="Input 9 7 2 3" xfId="34090" xr:uid="{00000000-0005-0000-0000-000025850000}"/>
    <cellStyle name="Input 9 7 2 4" xfId="34091" xr:uid="{00000000-0005-0000-0000-000026850000}"/>
    <cellStyle name="Input 9 7 2 5" xfId="34092" xr:uid="{00000000-0005-0000-0000-000027850000}"/>
    <cellStyle name="Input 9 7 2 6" xfId="34093" xr:uid="{00000000-0005-0000-0000-000028850000}"/>
    <cellStyle name="Input 9 7 3" xfId="34094" xr:uid="{00000000-0005-0000-0000-000029850000}"/>
    <cellStyle name="Input 9 7 4" xfId="34095" xr:uid="{00000000-0005-0000-0000-00002A850000}"/>
    <cellStyle name="Input 9 7 5" xfId="34096" xr:uid="{00000000-0005-0000-0000-00002B850000}"/>
    <cellStyle name="Input 9 7 6" xfId="34097" xr:uid="{00000000-0005-0000-0000-00002C850000}"/>
    <cellStyle name="Input 9 8" xfId="34098" xr:uid="{00000000-0005-0000-0000-00002D850000}"/>
    <cellStyle name="Input 9 8 2" xfId="34099" xr:uid="{00000000-0005-0000-0000-00002E850000}"/>
    <cellStyle name="Input 9 8 2 2" xfId="34100" xr:uid="{00000000-0005-0000-0000-00002F850000}"/>
    <cellStyle name="Input 9 8 2 3" xfId="34101" xr:uid="{00000000-0005-0000-0000-000030850000}"/>
    <cellStyle name="Input 9 8 2 4" xfId="34102" xr:uid="{00000000-0005-0000-0000-000031850000}"/>
    <cellStyle name="Input 9 8 2 5" xfId="34103" xr:uid="{00000000-0005-0000-0000-000032850000}"/>
    <cellStyle name="Input 9 8 2 6" xfId="34104" xr:uid="{00000000-0005-0000-0000-000033850000}"/>
    <cellStyle name="Input 9 8 3" xfId="34105" xr:uid="{00000000-0005-0000-0000-000034850000}"/>
    <cellStyle name="Input 9 8 4" xfId="34106" xr:uid="{00000000-0005-0000-0000-000035850000}"/>
    <cellStyle name="Input 9 8 5" xfId="34107" xr:uid="{00000000-0005-0000-0000-000036850000}"/>
    <cellStyle name="Input 9 8 6" xfId="34108" xr:uid="{00000000-0005-0000-0000-000037850000}"/>
    <cellStyle name="Input 9 9" xfId="34109" xr:uid="{00000000-0005-0000-0000-000038850000}"/>
    <cellStyle name="Input 9 9 2" xfId="34110" xr:uid="{00000000-0005-0000-0000-000039850000}"/>
    <cellStyle name="Input 9 9 3" xfId="34111" xr:uid="{00000000-0005-0000-0000-00003A850000}"/>
    <cellStyle name="Input 9 9 4" xfId="34112" xr:uid="{00000000-0005-0000-0000-00003B850000}"/>
    <cellStyle name="Input 9 9 5" xfId="34113" xr:uid="{00000000-0005-0000-0000-00003C850000}"/>
    <cellStyle name="Input 9 9 6" xfId="34114" xr:uid="{00000000-0005-0000-0000-00003D850000}"/>
    <cellStyle name="InputCell" xfId="34115" xr:uid="{00000000-0005-0000-0000-00003E850000}"/>
    <cellStyle name="InputCell 2" xfId="34116" xr:uid="{00000000-0005-0000-0000-00003F850000}"/>
    <cellStyle name="Jim" xfId="34117" xr:uid="{00000000-0005-0000-0000-000040850000}"/>
    <cellStyle name="Label" xfId="34118" xr:uid="{00000000-0005-0000-0000-000041850000}"/>
    <cellStyle name="Label 2" xfId="34119" xr:uid="{00000000-0005-0000-0000-000042850000}"/>
    <cellStyle name="Link Currency (0)" xfId="34120" xr:uid="{00000000-0005-0000-0000-000043850000}"/>
    <cellStyle name="Link Currency (2)" xfId="34121" xr:uid="{00000000-0005-0000-0000-000044850000}"/>
    <cellStyle name="Link Units (0)" xfId="34122" xr:uid="{00000000-0005-0000-0000-000045850000}"/>
    <cellStyle name="Link Units (1)" xfId="34123" xr:uid="{00000000-0005-0000-0000-000046850000}"/>
    <cellStyle name="Link Units (2)" xfId="34124" xr:uid="{00000000-0005-0000-0000-000047850000}"/>
    <cellStyle name="Linked Cell 2" xfId="34125" xr:uid="{00000000-0005-0000-0000-000048850000}"/>
    <cellStyle name="Linked Cell 2 2" xfId="34126" xr:uid="{00000000-0005-0000-0000-000049850000}"/>
    <cellStyle name="Linked Cell 3" xfId="34127" xr:uid="{00000000-0005-0000-0000-00004A850000}"/>
    <cellStyle name="Linked Cell 4" xfId="34128" xr:uid="{00000000-0005-0000-0000-00004B850000}"/>
    <cellStyle name="Locked" xfId="34129" xr:uid="{00000000-0005-0000-0000-00004C850000}"/>
    <cellStyle name="Logical" xfId="34130" xr:uid="{00000000-0005-0000-0000-00004D850000}"/>
    <cellStyle name="Logical 10" xfId="34131" xr:uid="{00000000-0005-0000-0000-00004E850000}"/>
    <cellStyle name="Logical 11" xfId="34132" xr:uid="{00000000-0005-0000-0000-00004F850000}"/>
    <cellStyle name="Logical 12" xfId="34133" xr:uid="{00000000-0005-0000-0000-000050850000}"/>
    <cellStyle name="Logical 13" xfId="34134" xr:uid="{00000000-0005-0000-0000-000051850000}"/>
    <cellStyle name="Logical 2" xfId="34135" xr:uid="{00000000-0005-0000-0000-000052850000}"/>
    <cellStyle name="Logical 2 10" xfId="34136" xr:uid="{00000000-0005-0000-0000-000053850000}"/>
    <cellStyle name="Logical 2 10 2" xfId="34137" xr:uid="{00000000-0005-0000-0000-000054850000}"/>
    <cellStyle name="Logical 2 10 3" xfId="34138" xr:uid="{00000000-0005-0000-0000-000055850000}"/>
    <cellStyle name="Logical 2 10 4" xfId="34139" xr:uid="{00000000-0005-0000-0000-000056850000}"/>
    <cellStyle name="Logical 2 10 5" xfId="34140" xr:uid="{00000000-0005-0000-0000-000057850000}"/>
    <cellStyle name="Logical 2 10 6" xfId="34141" xr:uid="{00000000-0005-0000-0000-000058850000}"/>
    <cellStyle name="Logical 2 11" xfId="34142" xr:uid="{00000000-0005-0000-0000-000059850000}"/>
    <cellStyle name="Logical 2 12" xfId="34143" xr:uid="{00000000-0005-0000-0000-00005A850000}"/>
    <cellStyle name="Logical 2 13" xfId="34144" xr:uid="{00000000-0005-0000-0000-00005B850000}"/>
    <cellStyle name="Logical 2 14" xfId="34145" xr:uid="{00000000-0005-0000-0000-00005C850000}"/>
    <cellStyle name="Logical 2 2" xfId="34146" xr:uid="{00000000-0005-0000-0000-00005D850000}"/>
    <cellStyle name="Logical 2 2 10" xfId="34147" xr:uid="{00000000-0005-0000-0000-00005E850000}"/>
    <cellStyle name="Logical 2 2 11" xfId="34148" xr:uid="{00000000-0005-0000-0000-00005F850000}"/>
    <cellStyle name="Logical 2 2 12" xfId="34149" xr:uid="{00000000-0005-0000-0000-000060850000}"/>
    <cellStyle name="Logical 2 2 13" xfId="34150" xr:uid="{00000000-0005-0000-0000-000061850000}"/>
    <cellStyle name="Logical 2 2 2" xfId="34151" xr:uid="{00000000-0005-0000-0000-000062850000}"/>
    <cellStyle name="Logical 2 2 2 2" xfId="34152" xr:uid="{00000000-0005-0000-0000-000063850000}"/>
    <cellStyle name="Logical 2 2 2 2 2" xfId="34153" xr:uid="{00000000-0005-0000-0000-000064850000}"/>
    <cellStyle name="Logical 2 2 2 2 2 2" xfId="34154" xr:uid="{00000000-0005-0000-0000-000065850000}"/>
    <cellStyle name="Logical 2 2 2 2 2 3" xfId="34155" xr:uid="{00000000-0005-0000-0000-000066850000}"/>
    <cellStyle name="Logical 2 2 2 2 2 4" xfId="34156" xr:uid="{00000000-0005-0000-0000-000067850000}"/>
    <cellStyle name="Logical 2 2 2 2 2 5" xfId="34157" xr:uid="{00000000-0005-0000-0000-000068850000}"/>
    <cellStyle name="Logical 2 2 2 2 2 6" xfId="34158" xr:uid="{00000000-0005-0000-0000-000069850000}"/>
    <cellStyle name="Logical 2 2 2 2 3" xfId="34159" xr:uid="{00000000-0005-0000-0000-00006A850000}"/>
    <cellStyle name="Logical 2 2 2 2 4" xfId="34160" xr:uid="{00000000-0005-0000-0000-00006B850000}"/>
    <cellStyle name="Logical 2 2 2 2 5" xfId="34161" xr:uid="{00000000-0005-0000-0000-00006C850000}"/>
    <cellStyle name="Logical 2 2 2 2 6" xfId="34162" xr:uid="{00000000-0005-0000-0000-00006D850000}"/>
    <cellStyle name="Logical 2 2 2 3" xfId="34163" xr:uid="{00000000-0005-0000-0000-00006E850000}"/>
    <cellStyle name="Logical 2 2 2 3 2" xfId="34164" xr:uid="{00000000-0005-0000-0000-00006F850000}"/>
    <cellStyle name="Logical 2 2 2 3 2 2" xfId="34165" xr:uid="{00000000-0005-0000-0000-000070850000}"/>
    <cellStyle name="Logical 2 2 2 3 2 3" xfId="34166" xr:uid="{00000000-0005-0000-0000-000071850000}"/>
    <cellStyle name="Logical 2 2 2 3 2 4" xfId="34167" xr:uid="{00000000-0005-0000-0000-000072850000}"/>
    <cellStyle name="Logical 2 2 2 3 2 5" xfId="34168" xr:uid="{00000000-0005-0000-0000-000073850000}"/>
    <cellStyle name="Logical 2 2 2 3 2 6" xfId="34169" xr:uid="{00000000-0005-0000-0000-000074850000}"/>
    <cellStyle name="Logical 2 2 2 3 3" xfId="34170" xr:uid="{00000000-0005-0000-0000-000075850000}"/>
    <cellStyle name="Logical 2 2 2 3 4" xfId="34171" xr:uid="{00000000-0005-0000-0000-000076850000}"/>
    <cellStyle name="Logical 2 2 2 3 5" xfId="34172" xr:uid="{00000000-0005-0000-0000-000077850000}"/>
    <cellStyle name="Logical 2 2 2 3 6" xfId="34173" xr:uid="{00000000-0005-0000-0000-000078850000}"/>
    <cellStyle name="Logical 2 2 2 4" xfId="34174" xr:uid="{00000000-0005-0000-0000-000079850000}"/>
    <cellStyle name="Logical 2 2 2 4 2" xfId="34175" xr:uid="{00000000-0005-0000-0000-00007A850000}"/>
    <cellStyle name="Logical 2 2 2 4 3" xfId="34176" xr:uid="{00000000-0005-0000-0000-00007B850000}"/>
    <cellStyle name="Logical 2 2 2 4 4" xfId="34177" xr:uid="{00000000-0005-0000-0000-00007C850000}"/>
    <cellStyle name="Logical 2 2 2 4 5" xfId="34178" xr:uid="{00000000-0005-0000-0000-00007D850000}"/>
    <cellStyle name="Logical 2 2 2 4 6" xfId="34179" xr:uid="{00000000-0005-0000-0000-00007E850000}"/>
    <cellStyle name="Logical 2 2 2 5" xfId="34180" xr:uid="{00000000-0005-0000-0000-00007F850000}"/>
    <cellStyle name="Logical 2 2 2 6" xfId="34181" xr:uid="{00000000-0005-0000-0000-000080850000}"/>
    <cellStyle name="Logical 2 2 2 7" xfId="34182" xr:uid="{00000000-0005-0000-0000-000081850000}"/>
    <cellStyle name="Logical 2 2 2 8" xfId="34183" xr:uid="{00000000-0005-0000-0000-000082850000}"/>
    <cellStyle name="Logical 2 2 3" xfId="34184" xr:uid="{00000000-0005-0000-0000-000083850000}"/>
    <cellStyle name="Logical 2 2 3 2" xfId="34185" xr:uid="{00000000-0005-0000-0000-000084850000}"/>
    <cellStyle name="Logical 2 2 3 2 2" xfId="34186" xr:uid="{00000000-0005-0000-0000-000085850000}"/>
    <cellStyle name="Logical 2 2 3 2 2 2" xfId="34187" xr:uid="{00000000-0005-0000-0000-000086850000}"/>
    <cellStyle name="Logical 2 2 3 2 2 3" xfId="34188" xr:uid="{00000000-0005-0000-0000-000087850000}"/>
    <cellStyle name="Logical 2 2 3 2 2 4" xfId="34189" xr:uid="{00000000-0005-0000-0000-000088850000}"/>
    <cellStyle name="Logical 2 2 3 2 2 5" xfId="34190" xr:uid="{00000000-0005-0000-0000-000089850000}"/>
    <cellStyle name="Logical 2 2 3 2 2 6" xfId="34191" xr:uid="{00000000-0005-0000-0000-00008A850000}"/>
    <cellStyle name="Logical 2 2 3 2 3" xfId="34192" xr:uid="{00000000-0005-0000-0000-00008B850000}"/>
    <cellStyle name="Logical 2 2 3 2 4" xfId="34193" xr:uid="{00000000-0005-0000-0000-00008C850000}"/>
    <cellStyle name="Logical 2 2 3 2 5" xfId="34194" xr:uid="{00000000-0005-0000-0000-00008D850000}"/>
    <cellStyle name="Logical 2 2 3 2 6" xfId="34195" xr:uid="{00000000-0005-0000-0000-00008E850000}"/>
    <cellStyle name="Logical 2 2 3 3" xfId="34196" xr:uid="{00000000-0005-0000-0000-00008F850000}"/>
    <cellStyle name="Logical 2 2 3 3 2" xfId="34197" xr:uid="{00000000-0005-0000-0000-000090850000}"/>
    <cellStyle name="Logical 2 2 3 3 2 2" xfId="34198" xr:uid="{00000000-0005-0000-0000-000091850000}"/>
    <cellStyle name="Logical 2 2 3 3 2 3" xfId="34199" xr:uid="{00000000-0005-0000-0000-000092850000}"/>
    <cellStyle name="Logical 2 2 3 3 2 4" xfId="34200" xr:uid="{00000000-0005-0000-0000-000093850000}"/>
    <cellStyle name="Logical 2 2 3 3 2 5" xfId="34201" xr:uid="{00000000-0005-0000-0000-000094850000}"/>
    <cellStyle name="Logical 2 2 3 3 2 6" xfId="34202" xr:uid="{00000000-0005-0000-0000-000095850000}"/>
    <cellStyle name="Logical 2 2 3 3 3" xfId="34203" xr:uid="{00000000-0005-0000-0000-000096850000}"/>
    <cellStyle name="Logical 2 2 3 3 4" xfId="34204" xr:uid="{00000000-0005-0000-0000-000097850000}"/>
    <cellStyle name="Logical 2 2 3 3 5" xfId="34205" xr:uid="{00000000-0005-0000-0000-000098850000}"/>
    <cellStyle name="Logical 2 2 3 3 6" xfId="34206" xr:uid="{00000000-0005-0000-0000-000099850000}"/>
    <cellStyle name="Logical 2 2 3 4" xfId="34207" xr:uid="{00000000-0005-0000-0000-00009A850000}"/>
    <cellStyle name="Logical 2 2 3 4 2" xfId="34208" xr:uid="{00000000-0005-0000-0000-00009B850000}"/>
    <cellStyle name="Logical 2 2 3 4 3" xfId="34209" xr:uid="{00000000-0005-0000-0000-00009C850000}"/>
    <cellStyle name="Logical 2 2 3 4 4" xfId="34210" xr:uid="{00000000-0005-0000-0000-00009D850000}"/>
    <cellStyle name="Logical 2 2 3 4 5" xfId="34211" xr:uid="{00000000-0005-0000-0000-00009E850000}"/>
    <cellStyle name="Logical 2 2 3 4 6" xfId="34212" xr:uid="{00000000-0005-0000-0000-00009F850000}"/>
    <cellStyle name="Logical 2 2 3 5" xfId="34213" xr:uid="{00000000-0005-0000-0000-0000A0850000}"/>
    <cellStyle name="Logical 2 2 3 6" xfId="34214" xr:uid="{00000000-0005-0000-0000-0000A1850000}"/>
    <cellStyle name="Logical 2 2 3 7" xfId="34215" xr:uid="{00000000-0005-0000-0000-0000A2850000}"/>
    <cellStyle name="Logical 2 2 3 8" xfId="34216" xr:uid="{00000000-0005-0000-0000-0000A3850000}"/>
    <cellStyle name="Logical 2 2 4" xfId="34217" xr:uid="{00000000-0005-0000-0000-0000A4850000}"/>
    <cellStyle name="Logical 2 2 4 2" xfId="34218" xr:uid="{00000000-0005-0000-0000-0000A5850000}"/>
    <cellStyle name="Logical 2 2 4 2 2" xfId="34219" xr:uid="{00000000-0005-0000-0000-0000A6850000}"/>
    <cellStyle name="Logical 2 2 4 2 2 2" xfId="34220" xr:uid="{00000000-0005-0000-0000-0000A7850000}"/>
    <cellStyle name="Logical 2 2 4 2 2 3" xfId="34221" xr:uid="{00000000-0005-0000-0000-0000A8850000}"/>
    <cellStyle name="Logical 2 2 4 2 2 4" xfId="34222" xr:uid="{00000000-0005-0000-0000-0000A9850000}"/>
    <cellStyle name="Logical 2 2 4 2 2 5" xfId="34223" xr:uid="{00000000-0005-0000-0000-0000AA850000}"/>
    <cellStyle name="Logical 2 2 4 2 2 6" xfId="34224" xr:uid="{00000000-0005-0000-0000-0000AB850000}"/>
    <cellStyle name="Logical 2 2 4 2 3" xfId="34225" xr:uid="{00000000-0005-0000-0000-0000AC850000}"/>
    <cellStyle name="Logical 2 2 4 2 4" xfId="34226" xr:uid="{00000000-0005-0000-0000-0000AD850000}"/>
    <cellStyle name="Logical 2 2 4 2 5" xfId="34227" xr:uid="{00000000-0005-0000-0000-0000AE850000}"/>
    <cellStyle name="Logical 2 2 4 2 6" xfId="34228" xr:uid="{00000000-0005-0000-0000-0000AF850000}"/>
    <cellStyle name="Logical 2 2 4 3" xfId="34229" xr:uid="{00000000-0005-0000-0000-0000B0850000}"/>
    <cellStyle name="Logical 2 2 4 3 2" xfId="34230" xr:uid="{00000000-0005-0000-0000-0000B1850000}"/>
    <cellStyle name="Logical 2 2 4 3 2 2" xfId="34231" xr:uid="{00000000-0005-0000-0000-0000B2850000}"/>
    <cellStyle name="Logical 2 2 4 3 2 3" xfId="34232" xr:uid="{00000000-0005-0000-0000-0000B3850000}"/>
    <cellStyle name="Logical 2 2 4 3 2 4" xfId="34233" xr:uid="{00000000-0005-0000-0000-0000B4850000}"/>
    <cellStyle name="Logical 2 2 4 3 2 5" xfId="34234" xr:uid="{00000000-0005-0000-0000-0000B5850000}"/>
    <cellStyle name="Logical 2 2 4 3 2 6" xfId="34235" xr:uid="{00000000-0005-0000-0000-0000B6850000}"/>
    <cellStyle name="Logical 2 2 4 3 3" xfId="34236" xr:uid="{00000000-0005-0000-0000-0000B7850000}"/>
    <cellStyle name="Logical 2 2 4 3 4" xfId="34237" xr:uid="{00000000-0005-0000-0000-0000B8850000}"/>
    <cellStyle name="Logical 2 2 4 3 5" xfId="34238" xr:uid="{00000000-0005-0000-0000-0000B9850000}"/>
    <cellStyle name="Logical 2 2 4 3 6" xfId="34239" xr:uid="{00000000-0005-0000-0000-0000BA850000}"/>
    <cellStyle name="Logical 2 2 4 4" xfId="34240" xr:uid="{00000000-0005-0000-0000-0000BB850000}"/>
    <cellStyle name="Logical 2 2 4 4 2" xfId="34241" xr:uid="{00000000-0005-0000-0000-0000BC850000}"/>
    <cellStyle name="Logical 2 2 4 4 3" xfId="34242" xr:uid="{00000000-0005-0000-0000-0000BD850000}"/>
    <cellStyle name="Logical 2 2 4 4 4" xfId="34243" xr:uid="{00000000-0005-0000-0000-0000BE850000}"/>
    <cellStyle name="Logical 2 2 4 4 5" xfId="34244" xr:uid="{00000000-0005-0000-0000-0000BF850000}"/>
    <cellStyle name="Logical 2 2 4 4 6" xfId="34245" xr:uid="{00000000-0005-0000-0000-0000C0850000}"/>
    <cellStyle name="Logical 2 2 4 5" xfId="34246" xr:uid="{00000000-0005-0000-0000-0000C1850000}"/>
    <cellStyle name="Logical 2 2 4 6" xfId="34247" xr:uid="{00000000-0005-0000-0000-0000C2850000}"/>
    <cellStyle name="Logical 2 2 4 7" xfId="34248" xr:uid="{00000000-0005-0000-0000-0000C3850000}"/>
    <cellStyle name="Logical 2 2 4 8" xfId="34249" xr:uid="{00000000-0005-0000-0000-0000C4850000}"/>
    <cellStyle name="Logical 2 2 5" xfId="34250" xr:uid="{00000000-0005-0000-0000-0000C5850000}"/>
    <cellStyle name="Logical 2 2 5 2" xfId="34251" xr:uid="{00000000-0005-0000-0000-0000C6850000}"/>
    <cellStyle name="Logical 2 2 5 2 2" xfId="34252" xr:uid="{00000000-0005-0000-0000-0000C7850000}"/>
    <cellStyle name="Logical 2 2 5 2 2 2" xfId="34253" xr:uid="{00000000-0005-0000-0000-0000C8850000}"/>
    <cellStyle name="Logical 2 2 5 2 2 3" xfId="34254" xr:uid="{00000000-0005-0000-0000-0000C9850000}"/>
    <cellStyle name="Logical 2 2 5 2 2 4" xfId="34255" xr:uid="{00000000-0005-0000-0000-0000CA850000}"/>
    <cellStyle name="Logical 2 2 5 2 2 5" xfId="34256" xr:uid="{00000000-0005-0000-0000-0000CB850000}"/>
    <cellStyle name="Logical 2 2 5 2 2 6" xfId="34257" xr:uid="{00000000-0005-0000-0000-0000CC850000}"/>
    <cellStyle name="Logical 2 2 5 2 3" xfId="34258" xr:uid="{00000000-0005-0000-0000-0000CD850000}"/>
    <cellStyle name="Logical 2 2 5 2 4" xfId="34259" xr:uid="{00000000-0005-0000-0000-0000CE850000}"/>
    <cellStyle name="Logical 2 2 5 2 5" xfId="34260" xr:uid="{00000000-0005-0000-0000-0000CF850000}"/>
    <cellStyle name="Logical 2 2 5 2 6" xfId="34261" xr:uid="{00000000-0005-0000-0000-0000D0850000}"/>
    <cellStyle name="Logical 2 2 5 3" xfId="34262" xr:uid="{00000000-0005-0000-0000-0000D1850000}"/>
    <cellStyle name="Logical 2 2 5 3 2" xfId="34263" xr:uid="{00000000-0005-0000-0000-0000D2850000}"/>
    <cellStyle name="Logical 2 2 5 3 2 2" xfId="34264" xr:uid="{00000000-0005-0000-0000-0000D3850000}"/>
    <cellStyle name="Logical 2 2 5 3 2 3" xfId="34265" xr:uid="{00000000-0005-0000-0000-0000D4850000}"/>
    <cellStyle name="Logical 2 2 5 3 2 4" xfId="34266" xr:uid="{00000000-0005-0000-0000-0000D5850000}"/>
    <cellStyle name="Logical 2 2 5 3 2 5" xfId="34267" xr:uid="{00000000-0005-0000-0000-0000D6850000}"/>
    <cellStyle name="Logical 2 2 5 3 2 6" xfId="34268" xr:uid="{00000000-0005-0000-0000-0000D7850000}"/>
    <cellStyle name="Logical 2 2 5 3 3" xfId="34269" xr:uid="{00000000-0005-0000-0000-0000D8850000}"/>
    <cellStyle name="Logical 2 2 5 3 4" xfId="34270" xr:uid="{00000000-0005-0000-0000-0000D9850000}"/>
    <cellStyle name="Logical 2 2 5 3 5" xfId="34271" xr:uid="{00000000-0005-0000-0000-0000DA850000}"/>
    <cellStyle name="Logical 2 2 5 3 6" xfId="34272" xr:uid="{00000000-0005-0000-0000-0000DB850000}"/>
    <cellStyle name="Logical 2 2 5 4" xfId="34273" xr:uid="{00000000-0005-0000-0000-0000DC850000}"/>
    <cellStyle name="Logical 2 2 5 4 2" xfId="34274" xr:uid="{00000000-0005-0000-0000-0000DD850000}"/>
    <cellStyle name="Logical 2 2 5 4 3" xfId="34275" xr:uid="{00000000-0005-0000-0000-0000DE850000}"/>
    <cellStyle name="Logical 2 2 5 4 4" xfId="34276" xr:uid="{00000000-0005-0000-0000-0000DF850000}"/>
    <cellStyle name="Logical 2 2 5 4 5" xfId="34277" xr:uid="{00000000-0005-0000-0000-0000E0850000}"/>
    <cellStyle name="Logical 2 2 5 4 6" xfId="34278" xr:uid="{00000000-0005-0000-0000-0000E1850000}"/>
    <cellStyle name="Logical 2 2 5 5" xfId="34279" xr:uid="{00000000-0005-0000-0000-0000E2850000}"/>
    <cellStyle name="Logical 2 2 5 6" xfId="34280" xr:uid="{00000000-0005-0000-0000-0000E3850000}"/>
    <cellStyle name="Logical 2 2 5 7" xfId="34281" xr:uid="{00000000-0005-0000-0000-0000E4850000}"/>
    <cellStyle name="Logical 2 2 5 8" xfId="34282" xr:uid="{00000000-0005-0000-0000-0000E5850000}"/>
    <cellStyle name="Logical 2 2 6" xfId="34283" xr:uid="{00000000-0005-0000-0000-0000E6850000}"/>
    <cellStyle name="Logical 2 2 6 2" xfId="34284" xr:uid="{00000000-0005-0000-0000-0000E7850000}"/>
    <cellStyle name="Logical 2 2 6 2 2" xfId="34285" xr:uid="{00000000-0005-0000-0000-0000E8850000}"/>
    <cellStyle name="Logical 2 2 6 2 2 2" xfId="34286" xr:uid="{00000000-0005-0000-0000-0000E9850000}"/>
    <cellStyle name="Logical 2 2 6 2 2 3" xfId="34287" xr:uid="{00000000-0005-0000-0000-0000EA850000}"/>
    <cellStyle name="Logical 2 2 6 2 2 4" xfId="34288" xr:uid="{00000000-0005-0000-0000-0000EB850000}"/>
    <cellStyle name="Logical 2 2 6 2 2 5" xfId="34289" xr:uid="{00000000-0005-0000-0000-0000EC850000}"/>
    <cellStyle name="Logical 2 2 6 2 2 6" xfId="34290" xr:uid="{00000000-0005-0000-0000-0000ED850000}"/>
    <cellStyle name="Logical 2 2 6 2 3" xfId="34291" xr:uid="{00000000-0005-0000-0000-0000EE850000}"/>
    <cellStyle name="Logical 2 2 6 2 4" xfId="34292" xr:uid="{00000000-0005-0000-0000-0000EF850000}"/>
    <cellStyle name="Logical 2 2 6 2 5" xfId="34293" xr:uid="{00000000-0005-0000-0000-0000F0850000}"/>
    <cellStyle name="Logical 2 2 6 2 6" xfId="34294" xr:uid="{00000000-0005-0000-0000-0000F1850000}"/>
    <cellStyle name="Logical 2 2 6 3" xfId="34295" xr:uid="{00000000-0005-0000-0000-0000F2850000}"/>
    <cellStyle name="Logical 2 2 6 3 2" xfId="34296" xr:uid="{00000000-0005-0000-0000-0000F3850000}"/>
    <cellStyle name="Logical 2 2 6 3 2 2" xfId="34297" xr:uid="{00000000-0005-0000-0000-0000F4850000}"/>
    <cellStyle name="Logical 2 2 6 3 2 3" xfId="34298" xr:uid="{00000000-0005-0000-0000-0000F5850000}"/>
    <cellStyle name="Logical 2 2 6 3 2 4" xfId="34299" xr:uid="{00000000-0005-0000-0000-0000F6850000}"/>
    <cellStyle name="Logical 2 2 6 3 2 5" xfId="34300" xr:uid="{00000000-0005-0000-0000-0000F7850000}"/>
    <cellStyle name="Logical 2 2 6 3 2 6" xfId="34301" xr:uid="{00000000-0005-0000-0000-0000F8850000}"/>
    <cellStyle name="Logical 2 2 6 3 3" xfId="34302" xr:uid="{00000000-0005-0000-0000-0000F9850000}"/>
    <cellStyle name="Logical 2 2 6 3 4" xfId="34303" xr:uid="{00000000-0005-0000-0000-0000FA850000}"/>
    <cellStyle name="Logical 2 2 6 3 5" xfId="34304" xr:uid="{00000000-0005-0000-0000-0000FB850000}"/>
    <cellStyle name="Logical 2 2 6 3 6" xfId="34305" xr:uid="{00000000-0005-0000-0000-0000FC850000}"/>
    <cellStyle name="Logical 2 2 6 4" xfId="34306" xr:uid="{00000000-0005-0000-0000-0000FD850000}"/>
    <cellStyle name="Logical 2 2 6 4 2" xfId="34307" xr:uid="{00000000-0005-0000-0000-0000FE850000}"/>
    <cellStyle name="Logical 2 2 6 4 3" xfId="34308" xr:uid="{00000000-0005-0000-0000-0000FF850000}"/>
    <cellStyle name="Logical 2 2 6 4 4" xfId="34309" xr:uid="{00000000-0005-0000-0000-000000860000}"/>
    <cellStyle name="Logical 2 2 6 4 5" xfId="34310" xr:uid="{00000000-0005-0000-0000-000001860000}"/>
    <cellStyle name="Logical 2 2 6 4 6" xfId="34311" xr:uid="{00000000-0005-0000-0000-000002860000}"/>
    <cellStyle name="Logical 2 2 6 5" xfId="34312" xr:uid="{00000000-0005-0000-0000-000003860000}"/>
    <cellStyle name="Logical 2 2 6 6" xfId="34313" xr:uid="{00000000-0005-0000-0000-000004860000}"/>
    <cellStyle name="Logical 2 2 6 7" xfId="34314" xr:uid="{00000000-0005-0000-0000-000005860000}"/>
    <cellStyle name="Logical 2 2 6 8" xfId="34315" xr:uid="{00000000-0005-0000-0000-000006860000}"/>
    <cellStyle name="Logical 2 2 7" xfId="34316" xr:uid="{00000000-0005-0000-0000-000007860000}"/>
    <cellStyle name="Logical 2 2 7 2" xfId="34317" xr:uid="{00000000-0005-0000-0000-000008860000}"/>
    <cellStyle name="Logical 2 2 7 2 2" xfId="34318" xr:uid="{00000000-0005-0000-0000-000009860000}"/>
    <cellStyle name="Logical 2 2 7 2 3" xfId="34319" xr:uid="{00000000-0005-0000-0000-00000A860000}"/>
    <cellStyle name="Logical 2 2 7 2 4" xfId="34320" xr:uid="{00000000-0005-0000-0000-00000B860000}"/>
    <cellStyle name="Logical 2 2 7 2 5" xfId="34321" xr:uid="{00000000-0005-0000-0000-00000C860000}"/>
    <cellStyle name="Logical 2 2 7 2 6" xfId="34322" xr:uid="{00000000-0005-0000-0000-00000D860000}"/>
    <cellStyle name="Logical 2 2 7 3" xfId="34323" xr:uid="{00000000-0005-0000-0000-00000E860000}"/>
    <cellStyle name="Logical 2 2 7 4" xfId="34324" xr:uid="{00000000-0005-0000-0000-00000F860000}"/>
    <cellStyle name="Logical 2 2 7 5" xfId="34325" xr:uid="{00000000-0005-0000-0000-000010860000}"/>
    <cellStyle name="Logical 2 2 7 6" xfId="34326" xr:uid="{00000000-0005-0000-0000-000011860000}"/>
    <cellStyle name="Logical 2 2 8" xfId="34327" xr:uid="{00000000-0005-0000-0000-000012860000}"/>
    <cellStyle name="Logical 2 2 8 2" xfId="34328" xr:uid="{00000000-0005-0000-0000-000013860000}"/>
    <cellStyle name="Logical 2 2 8 2 2" xfId="34329" xr:uid="{00000000-0005-0000-0000-000014860000}"/>
    <cellStyle name="Logical 2 2 8 2 3" xfId="34330" xr:uid="{00000000-0005-0000-0000-000015860000}"/>
    <cellStyle name="Logical 2 2 8 2 4" xfId="34331" xr:uid="{00000000-0005-0000-0000-000016860000}"/>
    <cellStyle name="Logical 2 2 8 2 5" xfId="34332" xr:uid="{00000000-0005-0000-0000-000017860000}"/>
    <cellStyle name="Logical 2 2 8 2 6" xfId="34333" xr:uid="{00000000-0005-0000-0000-000018860000}"/>
    <cellStyle name="Logical 2 2 8 3" xfId="34334" xr:uid="{00000000-0005-0000-0000-000019860000}"/>
    <cellStyle name="Logical 2 2 8 4" xfId="34335" xr:uid="{00000000-0005-0000-0000-00001A860000}"/>
    <cellStyle name="Logical 2 2 8 5" xfId="34336" xr:uid="{00000000-0005-0000-0000-00001B860000}"/>
    <cellStyle name="Logical 2 2 8 6" xfId="34337" xr:uid="{00000000-0005-0000-0000-00001C860000}"/>
    <cellStyle name="Logical 2 2 9" xfId="34338" xr:uid="{00000000-0005-0000-0000-00001D860000}"/>
    <cellStyle name="Logical 2 2 9 2" xfId="34339" xr:uid="{00000000-0005-0000-0000-00001E860000}"/>
    <cellStyle name="Logical 2 2 9 3" xfId="34340" xr:uid="{00000000-0005-0000-0000-00001F860000}"/>
    <cellStyle name="Logical 2 2 9 4" xfId="34341" xr:uid="{00000000-0005-0000-0000-000020860000}"/>
    <cellStyle name="Logical 2 2 9 5" xfId="34342" xr:uid="{00000000-0005-0000-0000-000021860000}"/>
    <cellStyle name="Logical 2 2 9 6" xfId="34343" xr:uid="{00000000-0005-0000-0000-000022860000}"/>
    <cellStyle name="Logical 2 3" xfId="34344" xr:uid="{00000000-0005-0000-0000-000023860000}"/>
    <cellStyle name="Logical 2 3 2" xfId="34345" xr:uid="{00000000-0005-0000-0000-000024860000}"/>
    <cellStyle name="Logical 2 3 2 2" xfId="34346" xr:uid="{00000000-0005-0000-0000-000025860000}"/>
    <cellStyle name="Logical 2 3 2 2 2" xfId="34347" xr:uid="{00000000-0005-0000-0000-000026860000}"/>
    <cellStyle name="Logical 2 3 2 2 3" xfId="34348" xr:uid="{00000000-0005-0000-0000-000027860000}"/>
    <cellStyle name="Logical 2 3 2 2 4" xfId="34349" xr:uid="{00000000-0005-0000-0000-000028860000}"/>
    <cellStyle name="Logical 2 3 2 2 5" xfId="34350" xr:uid="{00000000-0005-0000-0000-000029860000}"/>
    <cellStyle name="Logical 2 3 2 2 6" xfId="34351" xr:uid="{00000000-0005-0000-0000-00002A860000}"/>
    <cellStyle name="Logical 2 3 2 3" xfId="34352" xr:uid="{00000000-0005-0000-0000-00002B860000}"/>
    <cellStyle name="Logical 2 3 2 4" xfId="34353" xr:uid="{00000000-0005-0000-0000-00002C860000}"/>
    <cellStyle name="Logical 2 3 2 5" xfId="34354" xr:uid="{00000000-0005-0000-0000-00002D860000}"/>
    <cellStyle name="Logical 2 3 2 6" xfId="34355" xr:uid="{00000000-0005-0000-0000-00002E860000}"/>
    <cellStyle name="Logical 2 3 3" xfId="34356" xr:uid="{00000000-0005-0000-0000-00002F860000}"/>
    <cellStyle name="Logical 2 3 3 2" xfId="34357" xr:uid="{00000000-0005-0000-0000-000030860000}"/>
    <cellStyle name="Logical 2 3 3 2 2" xfId="34358" xr:uid="{00000000-0005-0000-0000-000031860000}"/>
    <cellStyle name="Logical 2 3 3 2 3" xfId="34359" xr:uid="{00000000-0005-0000-0000-000032860000}"/>
    <cellStyle name="Logical 2 3 3 2 4" xfId="34360" xr:uid="{00000000-0005-0000-0000-000033860000}"/>
    <cellStyle name="Logical 2 3 3 2 5" xfId="34361" xr:uid="{00000000-0005-0000-0000-000034860000}"/>
    <cellStyle name="Logical 2 3 3 2 6" xfId="34362" xr:uid="{00000000-0005-0000-0000-000035860000}"/>
    <cellStyle name="Logical 2 3 3 3" xfId="34363" xr:uid="{00000000-0005-0000-0000-000036860000}"/>
    <cellStyle name="Logical 2 3 3 4" xfId="34364" xr:uid="{00000000-0005-0000-0000-000037860000}"/>
    <cellStyle name="Logical 2 3 3 5" xfId="34365" xr:uid="{00000000-0005-0000-0000-000038860000}"/>
    <cellStyle name="Logical 2 3 3 6" xfId="34366" xr:uid="{00000000-0005-0000-0000-000039860000}"/>
    <cellStyle name="Logical 2 3 4" xfId="34367" xr:uid="{00000000-0005-0000-0000-00003A860000}"/>
    <cellStyle name="Logical 2 3 4 2" xfId="34368" xr:uid="{00000000-0005-0000-0000-00003B860000}"/>
    <cellStyle name="Logical 2 3 4 3" xfId="34369" xr:uid="{00000000-0005-0000-0000-00003C860000}"/>
    <cellStyle name="Logical 2 3 4 4" xfId="34370" xr:uid="{00000000-0005-0000-0000-00003D860000}"/>
    <cellStyle name="Logical 2 3 4 5" xfId="34371" xr:uid="{00000000-0005-0000-0000-00003E860000}"/>
    <cellStyle name="Logical 2 3 4 6" xfId="34372" xr:uid="{00000000-0005-0000-0000-00003F860000}"/>
    <cellStyle name="Logical 2 3 5" xfId="34373" xr:uid="{00000000-0005-0000-0000-000040860000}"/>
    <cellStyle name="Logical 2 3 6" xfId="34374" xr:uid="{00000000-0005-0000-0000-000041860000}"/>
    <cellStyle name="Logical 2 3 7" xfId="34375" xr:uid="{00000000-0005-0000-0000-000042860000}"/>
    <cellStyle name="Logical 2 3 8" xfId="34376" xr:uid="{00000000-0005-0000-0000-000043860000}"/>
    <cellStyle name="Logical 2 4" xfId="34377" xr:uid="{00000000-0005-0000-0000-000044860000}"/>
    <cellStyle name="Logical 2 4 2" xfId="34378" xr:uid="{00000000-0005-0000-0000-000045860000}"/>
    <cellStyle name="Logical 2 4 2 2" xfId="34379" xr:uid="{00000000-0005-0000-0000-000046860000}"/>
    <cellStyle name="Logical 2 4 2 2 2" xfId="34380" xr:uid="{00000000-0005-0000-0000-000047860000}"/>
    <cellStyle name="Logical 2 4 2 2 3" xfId="34381" xr:uid="{00000000-0005-0000-0000-000048860000}"/>
    <cellStyle name="Logical 2 4 2 2 4" xfId="34382" xr:uid="{00000000-0005-0000-0000-000049860000}"/>
    <cellStyle name="Logical 2 4 2 2 5" xfId="34383" xr:uid="{00000000-0005-0000-0000-00004A860000}"/>
    <cellStyle name="Logical 2 4 2 2 6" xfId="34384" xr:uid="{00000000-0005-0000-0000-00004B860000}"/>
    <cellStyle name="Logical 2 4 2 3" xfId="34385" xr:uid="{00000000-0005-0000-0000-00004C860000}"/>
    <cellStyle name="Logical 2 4 2 4" xfId="34386" xr:uid="{00000000-0005-0000-0000-00004D860000}"/>
    <cellStyle name="Logical 2 4 2 5" xfId="34387" xr:uid="{00000000-0005-0000-0000-00004E860000}"/>
    <cellStyle name="Logical 2 4 2 6" xfId="34388" xr:uid="{00000000-0005-0000-0000-00004F860000}"/>
    <cellStyle name="Logical 2 4 3" xfId="34389" xr:uid="{00000000-0005-0000-0000-000050860000}"/>
    <cellStyle name="Logical 2 4 3 2" xfId="34390" xr:uid="{00000000-0005-0000-0000-000051860000}"/>
    <cellStyle name="Logical 2 4 3 2 2" xfId="34391" xr:uid="{00000000-0005-0000-0000-000052860000}"/>
    <cellStyle name="Logical 2 4 3 2 3" xfId="34392" xr:uid="{00000000-0005-0000-0000-000053860000}"/>
    <cellStyle name="Logical 2 4 3 2 4" xfId="34393" xr:uid="{00000000-0005-0000-0000-000054860000}"/>
    <cellStyle name="Logical 2 4 3 2 5" xfId="34394" xr:uid="{00000000-0005-0000-0000-000055860000}"/>
    <cellStyle name="Logical 2 4 3 2 6" xfId="34395" xr:uid="{00000000-0005-0000-0000-000056860000}"/>
    <cellStyle name="Logical 2 4 3 3" xfId="34396" xr:uid="{00000000-0005-0000-0000-000057860000}"/>
    <cellStyle name="Logical 2 4 3 4" xfId="34397" xr:uid="{00000000-0005-0000-0000-000058860000}"/>
    <cellStyle name="Logical 2 4 3 5" xfId="34398" xr:uid="{00000000-0005-0000-0000-000059860000}"/>
    <cellStyle name="Logical 2 4 3 6" xfId="34399" xr:uid="{00000000-0005-0000-0000-00005A860000}"/>
    <cellStyle name="Logical 2 4 4" xfId="34400" xr:uid="{00000000-0005-0000-0000-00005B860000}"/>
    <cellStyle name="Logical 2 4 4 2" xfId="34401" xr:uid="{00000000-0005-0000-0000-00005C860000}"/>
    <cellStyle name="Logical 2 4 4 3" xfId="34402" xr:uid="{00000000-0005-0000-0000-00005D860000}"/>
    <cellStyle name="Logical 2 4 4 4" xfId="34403" xr:uid="{00000000-0005-0000-0000-00005E860000}"/>
    <cellStyle name="Logical 2 4 4 5" xfId="34404" xr:uid="{00000000-0005-0000-0000-00005F860000}"/>
    <cellStyle name="Logical 2 4 4 6" xfId="34405" xr:uid="{00000000-0005-0000-0000-000060860000}"/>
    <cellStyle name="Logical 2 4 5" xfId="34406" xr:uid="{00000000-0005-0000-0000-000061860000}"/>
    <cellStyle name="Logical 2 4 6" xfId="34407" xr:uid="{00000000-0005-0000-0000-000062860000}"/>
    <cellStyle name="Logical 2 4 7" xfId="34408" xr:uid="{00000000-0005-0000-0000-000063860000}"/>
    <cellStyle name="Logical 2 4 8" xfId="34409" xr:uid="{00000000-0005-0000-0000-000064860000}"/>
    <cellStyle name="Logical 2 5" xfId="34410" xr:uid="{00000000-0005-0000-0000-000065860000}"/>
    <cellStyle name="Logical 2 5 2" xfId="34411" xr:uid="{00000000-0005-0000-0000-000066860000}"/>
    <cellStyle name="Logical 2 5 2 2" xfId="34412" xr:uid="{00000000-0005-0000-0000-000067860000}"/>
    <cellStyle name="Logical 2 5 2 2 2" xfId="34413" xr:uid="{00000000-0005-0000-0000-000068860000}"/>
    <cellStyle name="Logical 2 5 2 2 3" xfId="34414" xr:uid="{00000000-0005-0000-0000-000069860000}"/>
    <cellStyle name="Logical 2 5 2 2 4" xfId="34415" xr:uid="{00000000-0005-0000-0000-00006A860000}"/>
    <cellStyle name="Logical 2 5 2 2 5" xfId="34416" xr:uid="{00000000-0005-0000-0000-00006B860000}"/>
    <cellStyle name="Logical 2 5 2 2 6" xfId="34417" xr:uid="{00000000-0005-0000-0000-00006C860000}"/>
    <cellStyle name="Logical 2 5 2 3" xfId="34418" xr:uid="{00000000-0005-0000-0000-00006D860000}"/>
    <cellStyle name="Logical 2 5 2 4" xfId="34419" xr:uid="{00000000-0005-0000-0000-00006E860000}"/>
    <cellStyle name="Logical 2 5 2 5" xfId="34420" xr:uid="{00000000-0005-0000-0000-00006F860000}"/>
    <cellStyle name="Logical 2 5 2 6" xfId="34421" xr:uid="{00000000-0005-0000-0000-000070860000}"/>
    <cellStyle name="Logical 2 5 3" xfId="34422" xr:uid="{00000000-0005-0000-0000-000071860000}"/>
    <cellStyle name="Logical 2 5 3 2" xfId="34423" xr:uid="{00000000-0005-0000-0000-000072860000}"/>
    <cellStyle name="Logical 2 5 3 2 2" xfId="34424" xr:uid="{00000000-0005-0000-0000-000073860000}"/>
    <cellStyle name="Logical 2 5 3 2 3" xfId="34425" xr:uid="{00000000-0005-0000-0000-000074860000}"/>
    <cellStyle name="Logical 2 5 3 2 4" xfId="34426" xr:uid="{00000000-0005-0000-0000-000075860000}"/>
    <cellStyle name="Logical 2 5 3 2 5" xfId="34427" xr:uid="{00000000-0005-0000-0000-000076860000}"/>
    <cellStyle name="Logical 2 5 3 2 6" xfId="34428" xr:uid="{00000000-0005-0000-0000-000077860000}"/>
    <cellStyle name="Logical 2 5 3 3" xfId="34429" xr:uid="{00000000-0005-0000-0000-000078860000}"/>
    <cellStyle name="Logical 2 5 3 4" xfId="34430" xr:uid="{00000000-0005-0000-0000-000079860000}"/>
    <cellStyle name="Logical 2 5 3 5" xfId="34431" xr:uid="{00000000-0005-0000-0000-00007A860000}"/>
    <cellStyle name="Logical 2 5 3 6" xfId="34432" xr:uid="{00000000-0005-0000-0000-00007B860000}"/>
    <cellStyle name="Logical 2 5 4" xfId="34433" xr:uid="{00000000-0005-0000-0000-00007C860000}"/>
    <cellStyle name="Logical 2 5 4 2" xfId="34434" xr:uid="{00000000-0005-0000-0000-00007D860000}"/>
    <cellStyle name="Logical 2 5 4 3" xfId="34435" xr:uid="{00000000-0005-0000-0000-00007E860000}"/>
    <cellStyle name="Logical 2 5 4 4" xfId="34436" xr:uid="{00000000-0005-0000-0000-00007F860000}"/>
    <cellStyle name="Logical 2 5 4 5" xfId="34437" xr:uid="{00000000-0005-0000-0000-000080860000}"/>
    <cellStyle name="Logical 2 5 4 6" xfId="34438" xr:uid="{00000000-0005-0000-0000-000081860000}"/>
    <cellStyle name="Logical 2 5 5" xfId="34439" xr:uid="{00000000-0005-0000-0000-000082860000}"/>
    <cellStyle name="Logical 2 5 6" xfId="34440" xr:uid="{00000000-0005-0000-0000-000083860000}"/>
    <cellStyle name="Logical 2 5 7" xfId="34441" xr:uid="{00000000-0005-0000-0000-000084860000}"/>
    <cellStyle name="Logical 2 5 8" xfId="34442" xr:uid="{00000000-0005-0000-0000-000085860000}"/>
    <cellStyle name="Logical 2 6" xfId="34443" xr:uid="{00000000-0005-0000-0000-000086860000}"/>
    <cellStyle name="Logical 2 6 2" xfId="34444" xr:uid="{00000000-0005-0000-0000-000087860000}"/>
    <cellStyle name="Logical 2 6 2 2" xfId="34445" xr:uid="{00000000-0005-0000-0000-000088860000}"/>
    <cellStyle name="Logical 2 6 2 2 2" xfId="34446" xr:uid="{00000000-0005-0000-0000-000089860000}"/>
    <cellStyle name="Logical 2 6 2 2 3" xfId="34447" xr:uid="{00000000-0005-0000-0000-00008A860000}"/>
    <cellStyle name="Logical 2 6 2 2 4" xfId="34448" xr:uid="{00000000-0005-0000-0000-00008B860000}"/>
    <cellStyle name="Logical 2 6 2 2 5" xfId="34449" xr:uid="{00000000-0005-0000-0000-00008C860000}"/>
    <cellStyle name="Logical 2 6 2 2 6" xfId="34450" xr:uid="{00000000-0005-0000-0000-00008D860000}"/>
    <cellStyle name="Logical 2 6 2 3" xfId="34451" xr:uid="{00000000-0005-0000-0000-00008E860000}"/>
    <cellStyle name="Logical 2 6 2 4" xfId="34452" xr:uid="{00000000-0005-0000-0000-00008F860000}"/>
    <cellStyle name="Logical 2 6 2 5" xfId="34453" xr:uid="{00000000-0005-0000-0000-000090860000}"/>
    <cellStyle name="Logical 2 6 2 6" xfId="34454" xr:uid="{00000000-0005-0000-0000-000091860000}"/>
    <cellStyle name="Logical 2 6 3" xfId="34455" xr:uid="{00000000-0005-0000-0000-000092860000}"/>
    <cellStyle name="Logical 2 6 3 2" xfId="34456" xr:uid="{00000000-0005-0000-0000-000093860000}"/>
    <cellStyle name="Logical 2 6 3 2 2" xfId="34457" xr:uid="{00000000-0005-0000-0000-000094860000}"/>
    <cellStyle name="Logical 2 6 3 2 3" xfId="34458" xr:uid="{00000000-0005-0000-0000-000095860000}"/>
    <cellStyle name="Logical 2 6 3 2 4" xfId="34459" xr:uid="{00000000-0005-0000-0000-000096860000}"/>
    <cellStyle name="Logical 2 6 3 2 5" xfId="34460" xr:uid="{00000000-0005-0000-0000-000097860000}"/>
    <cellStyle name="Logical 2 6 3 2 6" xfId="34461" xr:uid="{00000000-0005-0000-0000-000098860000}"/>
    <cellStyle name="Logical 2 6 3 3" xfId="34462" xr:uid="{00000000-0005-0000-0000-000099860000}"/>
    <cellStyle name="Logical 2 6 3 4" xfId="34463" xr:uid="{00000000-0005-0000-0000-00009A860000}"/>
    <cellStyle name="Logical 2 6 3 5" xfId="34464" xr:uid="{00000000-0005-0000-0000-00009B860000}"/>
    <cellStyle name="Logical 2 6 3 6" xfId="34465" xr:uid="{00000000-0005-0000-0000-00009C860000}"/>
    <cellStyle name="Logical 2 6 4" xfId="34466" xr:uid="{00000000-0005-0000-0000-00009D860000}"/>
    <cellStyle name="Logical 2 6 4 2" xfId="34467" xr:uid="{00000000-0005-0000-0000-00009E860000}"/>
    <cellStyle name="Logical 2 6 4 3" xfId="34468" xr:uid="{00000000-0005-0000-0000-00009F860000}"/>
    <cellStyle name="Logical 2 6 4 4" xfId="34469" xr:uid="{00000000-0005-0000-0000-0000A0860000}"/>
    <cellStyle name="Logical 2 6 4 5" xfId="34470" xr:uid="{00000000-0005-0000-0000-0000A1860000}"/>
    <cellStyle name="Logical 2 6 4 6" xfId="34471" xr:uid="{00000000-0005-0000-0000-0000A2860000}"/>
    <cellStyle name="Logical 2 6 5" xfId="34472" xr:uid="{00000000-0005-0000-0000-0000A3860000}"/>
    <cellStyle name="Logical 2 6 6" xfId="34473" xr:uid="{00000000-0005-0000-0000-0000A4860000}"/>
    <cellStyle name="Logical 2 6 7" xfId="34474" xr:uid="{00000000-0005-0000-0000-0000A5860000}"/>
    <cellStyle name="Logical 2 6 8" xfId="34475" xr:uid="{00000000-0005-0000-0000-0000A6860000}"/>
    <cellStyle name="Logical 2 7" xfId="34476" xr:uid="{00000000-0005-0000-0000-0000A7860000}"/>
    <cellStyle name="Logical 2 7 2" xfId="34477" xr:uid="{00000000-0005-0000-0000-0000A8860000}"/>
    <cellStyle name="Logical 2 7 2 2" xfId="34478" xr:uid="{00000000-0005-0000-0000-0000A9860000}"/>
    <cellStyle name="Logical 2 7 2 2 2" xfId="34479" xr:uid="{00000000-0005-0000-0000-0000AA860000}"/>
    <cellStyle name="Logical 2 7 2 2 3" xfId="34480" xr:uid="{00000000-0005-0000-0000-0000AB860000}"/>
    <cellStyle name="Logical 2 7 2 2 4" xfId="34481" xr:uid="{00000000-0005-0000-0000-0000AC860000}"/>
    <cellStyle name="Logical 2 7 2 2 5" xfId="34482" xr:uid="{00000000-0005-0000-0000-0000AD860000}"/>
    <cellStyle name="Logical 2 7 2 2 6" xfId="34483" xr:uid="{00000000-0005-0000-0000-0000AE860000}"/>
    <cellStyle name="Logical 2 7 2 3" xfId="34484" xr:uid="{00000000-0005-0000-0000-0000AF860000}"/>
    <cellStyle name="Logical 2 7 2 4" xfId="34485" xr:uid="{00000000-0005-0000-0000-0000B0860000}"/>
    <cellStyle name="Logical 2 7 2 5" xfId="34486" xr:uid="{00000000-0005-0000-0000-0000B1860000}"/>
    <cellStyle name="Logical 2 7 2 6" xfId="34487" xr:uid="{00000000-0005-0000-0000-0000B2860000}"/>
    <cellStyle name="Logical 2 7 3" xfId="34488" xr:uid="{00000000-0005-0000-0000-0000B3860000}"/>
    <cellStyle name="Logical 2 7 3 2" xfId="34489" xr:uid="{00000000-0005-0000-0000-0000B4860000}"/>
    <cellStyle name="Logical 2 7 3 2 2" xfId="34490" xr:uid="{00000000-0005-0000-0000-0000B5860000}"/>
    <cellStyle name="Logical 2 7 3 2 3" xfId="34491" xr:uid="{00000000-0005-0000-0000-0000B6860000}"/>
    <cellStyle name="Logical 2 7 3 2 4" xfId="34492" xr:uid="{00000000-0005-0000-0000-0000B7860000}"/>
    <cellStyle name="Logical 2 7 3 2 5" xfId="34493" xr:uid="{00000000-0005-0000-0000-0000B8860000}"/>
    <cellStyle name="Logical 2 7 3 2 6" xfId="34494" xr:uid="{00000000-0005-0000-0000-0000B9860000}"/>
    <cellStyle name="Logical 2 7 3 3" xfId="34495" xr:uid="{00000000-0005-0000-0000-0000BA860000}"/>
    <cellStyle name="Logical 2 7 3 4" xfId="34496" xr:uid="{00000000-0005-0000-0000-0000BB860000}"/>
    <cellStyle name="Logical 2 7 3 5" xfId="34497" xr:uid="{00000000-0005-0000-0000-0000BC860000}"/>
    <cellStyle name="Logical 2 7 3 6" xfId="34498" xr:uid="{00000000-0005-0000-0000-0000BD860000}"/>
    <cellStyle name="Logical 2 7 4" xfId="34499" xr:uid="{00000000-0005-0000-0000-0000BE860000}"/>
    <cellStyle name="Logical 2 7 4 2" xfId="34500" xr:uid="{00000000-0005-0000-0000-0000BF860000}"/>
    <cellStyle name="Logical 2 7 4 3" xfId="34501" xr:uid="{00000000-0005-0000-0000-0000C0860000}"/>
    <cellStyle name="Logical 2 7 4 4" xfId="34502" xr:uid="{00000000-0005-0000-0000-0000C1860000}"/>
    <cellStyle name="Logical 2 7 4 5" xfId="34503" xr:uid="{00000000-0005-0000-0000-0000C2860000}"/>
    <cellStyle name="Logical 2 7 4 6" xfId="34504" xr:uid="{00000000-0005-0000-0000-0000C3860000}"/>
    <cellStyle name="Logical 2 7 5" xfId="34505" xr:uid="{00000000-0005-0000-0000-0000C4860000}"/>
    <cellStyle name="Logical 2 7 6" xfId="34506" xr:uid="{00000000-0005-0000-0000-0000C5860000}"/>
    <cellStyle name="Logical 2 7 7" xfId="34507" xr:uid="{00000000-0005-0000-0000-0000C6860000}"/>
    <cellStyle name="Logical 2 7 8" xfId="34508" xr:uid="{00000000-0005-0000-0000-0000C7860000}"/>
    <cellStyle name="Logical 2 8" xfId="34509" xr:uid="{00000000-0005-0000-0000-0000C8860000}"/>
    <cellStyle name="Logical 2 8 2" xfId="34510" xr:uid="{00000000-0005-0000-0000-0000C9860000}"/>
    <cellStyle name="Logical 2 8 2 2" xfId="34511" xr:uid="{00000000-0005-0000-0000-0000CA860000}"/>
    <cellStyle name="Logical 2 8 2 3" xfId="34512" xr:uid="{00000000-0005-0000-0000-0000CB860000}"/>
    <cellStyle name="Logical 2 8 2 4" xfId="34513" xr:uid="{00000000-0005-0000-0000-0000CC860000}"/>
    <cellStyle name="Logical 2 8 2 5" xfId="34514" xr:uid="{00000000-0005-0000-0000-0000CD860000}"/>
    <cellStyle name="Logical 2 8 2 6" xfId="34515" xr:uid="{00000000-0005-0000-0000-0000CE860000}"/>
    <cellStyle name="Logical 2 8 3" xfId="34516" xr:uid="{00000000-0005-0000-0000-0000CF860000}"/>
    <cellStyle name="Logical 2 8 4" xfId="34517" xr:uid="{00000000-0005-0000-0000-0000D0860000}"/>
    <cellStyle name="Logical 2 8 5" xfId="34518" xr:uid="{00000000-0005-0000-0000-0000D1860000}"/>
    <cellStyle name="Logical 2 8 6" xfId="34519" xr:uid="{00000000-0005-0000-0000-0000D2860000}"/>
    <cellStyle name="Logical 2 9" xfId="34520" xr:uid="{00000000-0005-0000-0000-0000D3860000}"/>
    <cellStyle name="Logical 2 9 2" xfId="34521" xr:uid="{00000000-0005-0000-0000-0000D4860000}"/>
    <cellStyle name="Logical 2 9 2 2" xfId="34522" xr:uid="{00000000-0005-0000-0000-0000D5860000}"/>
    <cellStyle name="Logical 2 9 2 3" xfId="34523" xr:uid="{00000000-0005-0000-0000-0000D6860000}"/>
    <cellStyle name="Logical 2 9 2 4" xfId="34524" xr:uid="{00000000-0005-0000-0000-0000D7860000}"/>
    <cellStyle name="Logical 2 9 2 5" xfId="34525" xr:uid="{00000000-0005-0000-0000-0000D8860000}"/>
    <cellStyle name="Logical 2 9 2 6" xfId="34526" xr:uid="{00000000-0005-0000-0000-0000D9860000}"/>
    <cellStyle name="Logical 2 9 3" xfId="34527" xr:uid="{00000000-0005-0000-0000-0000DA860000}"/>
    <cellStyle name="Logical 2 9 4" xfId="34528" xr:uid="{00000000-0005-0000-0000-0000DB860000}"/>
    <cellStyle name="Logical 2 9 5" xfId="34529" xr:uid="{00000000-0005-0000-0000-0000DC860000}"/>
    <cellStyle name="Logical 2 9 6" xfId="34530" xr:uid="{00000000-0005-0000-0000-0000DD860000}"/>
    <cellStyle name="Logical 3" xfId="34531" xr:uid="{00000000-0005-0000-0000-0000DE860000}"/>
    <cellStyle name="Logical 3 10" xfId="34532" xr:uid="{00000000-0005-0000-0000-0000DF860000}"/>
    <cellStyle name="Logical 3 11" xfId="34533" xr:uid="{00000000-0005-0000-0000-0000E0860000}"/>
    <cellStyle name="Logical 3 12" xfId="34534" xr:uid="{00000000-0005-0000-0000-0000E1860000}"/>
    <cellStyle name="Logical 3 13" xfId="34535" xr:uid="{00000000-0005-0000-0000-0000E2860000}"/>
    <cellStyle name="Logical 3 2" xfId="34536" xr:uid="{00000000-0005-0000-0000-0000E3860000}"/>
    <cellStyle name="Logical 3 2 2" xfId="34537" xr:uid="{00000000-0005-0000-0000-0000E4860000}"/>
    <cellStyle name="Logical 3 2 2 2" xfId="34538" xr:uid="{00000000-0005-0000-0000-0000E5860000}"/>
    <cellStyle name="Logical 3 2 2 2 2" xfId="34539" xr:uid="{00000000-0005-0000-0000-0000E6860000}"/>
    <cellStyle name="Logical 3 2 2 2 3" xfId="34540" xr:uid="{00000000-0005-0000-0000-0000E7860000}"/>
    <cellStyle name="Logical 3 2 2 2 4" xfId="34541" xr:uid="{00000000-0005-0000-0000-0000E8860000}"/>
    <cellStyle name="Logical 3 2 2 2 5" xfId="34542" xr:uid="{00000000-0005-0000-0000-0000E9860000}"/>
    <cellStyle name="Logical 3 2 2 2 6" xfId="34543" xr:uid="{00000000-0005-0000-0000-0000EA860000}"/>
    <cellStyle name="Logical 3 2 2 3" xfId="34544" xr:uid="{00000000-0005-0000-0000-0000EB860000}"/>
    <cellStyle name="Logical 3 2 2 4" xfId="34545" xr:uid="{00000000-0005-0000-0000-0000EC860000}"/>
    <cellStyle name="Logical 3 2 2 5" xfId="34546" xr:uid="{00000000-0005-0000-0000-0000ED860000}"/>
    <cellStyle name="Logical 3 2 2 6" xfId="34547" xr:uid="{00000000-0005-0000-0000-0000EE860000}"/>
    <cellStyle name="Logical 3 2 3" xfId="34548" xr:uid="{00000000-0005-0000-0000-0000EF860000}"/>
    <cellStyle name="Logical 3 2 3 2" xfId="34549" xr:uid="{00000000-0005-0000-0000-0000F0860000}"/>
    <cellStyle name="Logical 3 2 3 2 2" xfId="34550" xr:uid="{00000000-0005-0000-0000-0000F1860000}"/>
    <cellStyle name="Logical 3 2 3 2 3" xfId="34551" xr:uid="{00000000-0005-0000-0000-0000F2860000}"/>
    <cellStyle name="Logical 3 2 3 2 4" xfId="34552" xr:uid="{00000000-0005-0000-0000-0000F3860000}"/>
    <cellStyle name="Logical 3 2 3 2 5" xfId="34553" xr:uid="{00000000-0005-0000-0000-0000F4860000}"/>
    <cellStyle name="Logical 3 2 3 2 6" xfId="34554" xr:uid="{00000000-0005-0000-0000-0000F5860000}"/>
    <cellStyle name="Logical 3 2 3 3" xfId="34555" xr:uid="{00000000-0005-0000-0000-0000F6860000}"/>
    <cellStyle name="Logical 3 2 3 4" xfId="34556" xr:uid="{00000000-0005-0000-0000-0000F7860000}"/>
    <cellStyle name="Logical 3 2 3 5" xfId="34557" xr:uid="{00000000-0005-0000-0000-0000F8860000}"/>
    <cellStyle name="Logical 3 2 3 6" xfId="34558" xr:uid="{00000000-0005-0000-0000-0000F9860000}"/>
    <cellStyle name="Logical 3 2 4" xfId="34559" xr:uid="{00000000-0005-0000-0000-0000FA860000}"/>
    <cellStyle name="Logical 3 2 4 2" xfId="34560" xr:uid="{00000000-0005-0000-0000-0000FB860000}"/>
    <cellStyle name="Logical 3 2 4 3" xfId="34561" xr:uid="{00000000-0005-0000-0000-0000FC860000}"/>
    <cellStyle name="Logical 3 2 4 4" xfId="34562" xr:uid="{00000000-0005-0000-0000-0000FD860000}"/>
    <cellStyle name="Logical 3 2 4 5" xfId="34563" xr:uid="{00000000-0005-0000-0000-0000FE860000}"/>
    <cellStyle name="Logical 3 2 4 6" xfId="34564" xr:uid="{00000000-0005-0000-0000-0000FF860000}"/>
    <cellStyle name="Logical 3 2 5" xfId="34565" xr:uid="{00000000-0005-0000-0000-000000870000}"/>
    <cellStyle name="Logical 3 2 6" xfId="34566" xr:uid="{00000000-0005-0000-0000-000001870000}"/>
    <cellStyle name="Logical 3 2 7" xfId="34567" xr:uid="{00000000-0005-0000-0000-000002870000}"/>
    <cellStyle name="Logical 3 2 8" xfId="34568" xr:uid="{00000000-0005-0000-0000-000003870000}"/>
    <cellStyle name="Logical 3 3" xfId="34569" xr:uid="{00000000-0005-0000-0000-000004870000}"/>
    <cellStyle name="Logical 3 3 2" xfId="34570" xr:uid="{00000000-0005-0000-0000-000005870000}"/>
    <cellStyle name="Logical 3 3 2 2" xfId="34571" xr:uid="{00000000-0005-0000-0000-000006870000}"/>
    <cellStyle name="Logical 3 3 2 2 2" xfId="34572" xr:uid="{00000000-0005-0000-0000-000007870000}"/>
    <cellStyle name="Logical 3 3 2 2 3" xfId="34573" xr:uid="{00000000-0005-0000-0000-000008870000}"/>
    <cellStyle name="Logical 3 3 2 2 4" xfId="34574" xr:uid="{00000000-0005-0000-0000-000009870000}"/>
    <cellStyle name="Logical 3 3 2 2 5" xfId="34575" xr:uid="{00000000-0005-0000-0000-00000A870000}"/>
    <cellStyle name="Logical 3 3 2 2 6" xfId="34576" xr:uid="{00000000-0005-0000-0000-00000B870000}"/>
    <cellStyle name="Logical 3 3 2 3" xfId="34577" xr:uid="{00000000-0005-0000-0000-00000C870000}"/>
    <cellStyle name="Logical 3 3 2 4" xfId="34578" xr:uid="{00000000-0005-0000-0000-00000D870000}"/>
    <cellStyle name="Logical 3 3 2 5" xfId="34579" xr:uid="{00000000-0005-0000-0000-00000E870000}"/>
    <cellStyle name="Logical 3 3 2 6" xfId="34580" xr:uid="{00000000-0005-0000-0000-00000F870000}"/>
    <cellStyle name="Logical 3 3 3" xfId="34581" xr:uid="{00000000-0005-0000-0000-000010870000}"/>
    <cellStyle name="Logical 3 3 3 2" xfId="34582" xr:uid="{00000000-0005-0000-0000-000011870000}"/>
    <cellStyle name="Logical 3 3 3 2 2" xfId="34583" xr:uid="{00000000-0005-0000-0000-000012870000}"/>
    <cellStyle name="Logical 3 3 3 2 3" xfId="34584" xr:uid="{00000000-0005-0000-0000-000013870000}"/>
    <cellStyle name="Logical 3 3 3 2 4" xfId="34585" xr:uid="{00000000-0005-0000-0000-000014870000}"/>
    <cellStyle name="Logical 3 3 3 2 5" xfId="34586" xr:uid="{00000000-0005-0000-0000-000015870000}"/>
    <cellStyle name="Logical 3 3 3 2 6" xfId="34587" xr:uid="{00000000-0005-0000-0000-000016870000}"/>
    <cellStyle name="Logical 3 3 3 3" xfId="34588" xr:uid="{00000000-0005-0000-0000-000017870000}"/>
    <cellStyle name="Logical 3 3 3 4" xfId="34589" xr:uid="{00000000-0005-0000-0000-000018870000}"/>
    <cellStyle name="Logical 3 3 3 5" xfId="34590" xr:uid="{00000000-0005-0000-0000-000019870000}"/>
    <cellStyle name="Logical 3 3 3 6" xfId="34591" xr:uid="{00000000-0005-0000-0000-00001A870000}"/>
    <cellStyle name="Logical 3 3 4" xfId="34592" xr:uid="{00000000-0005-0000-0000-00001B870000}"/>
    <cellStyle name="Logical 3 3 4 2" xfId="34593" xr:uid="{00000000-0005-0000-0000-00001C870000}"/>
    <cellStyle name="Logical 3 3 4 3" xfId="34594" xr:uid="{00000000-0005-0000-0000-00001D870000}"/>
    <cellStyle name="Logical 3 3 4 4" xfId="34595" xr:uid="{00000000-0005-0000-0000-00001E870000}"/>
    <cellStyle name="Logical 3 3 4 5" xfId="34596" xr:uid="{00000000-0005-0000-0000-00001F870000}"/>
    <cellStyle name="Logical 3 3 4 6" xfId="34597" xr:uid="{00000000-0005-0000-0000-000020870000}"/>
    <cellStyle name="Logical 3 3 5" xfId="34598" xr:uid="{00000000-0005-0000-0000-000021870000}"/>
    <cellStyle name="Logical 3 3 6" xfId="34599" xr:uid="{00000000-0005-0000-0000-000022870000}"/>
    <cellStyle name="Logical 3 3 7" xfId="34600" xr:uid="{00000000-0005-0000-0000-000023870000}"/>
    <cellStyle name="Logical 3 3 8" xfId="34601" xr:uid="{00000000-0005-0000-0000-000024870000}"/>
    <cellStyle name="Logical 3 4" xfId="34602" xr:uid="{00000000-0005-0000-0000-000025870000}"/>
    <cellStyle name="Logical 3 4 2" xfId="34603" xr:uid="{00000000-0005-0000-0000-000026870000}"/>
    <cellStyle name="Logical 3 4 2 2" xfId="34604" xr:uid="{00000000-0005-0000-0000-000027870000}"/>
    <cellStyle name="Logical 3 4 2 2 2" xfId="34605" xr:uid="{00000000-0005-0000-0000-000028870000}"/>
    <cellStyle name="Logical 3 4 2 2 3" xfId="34606" xr:uid="{00000000-0005-0000-0000-000029870000}"/>
    <cellStyle name="Logical 3 4 2 2 4" xfId="34607" xr:uid="{00000000-0005-0000-0000-00002A870000}"/>
    <cellStyle name="Logical 3 4 2 2 5" xfId="34608" xr:uid="{00000000-0005-0000-0000-00002B870000}"/>
    <cellStyle name="Logical 3 4 2 2 6" xfId="34609" xr:uid="{00000000-0005-0000-0000-00002C870000}"/>
    <cellStyle name="Logical 3 4 2 3" xfId="34610" xr:uid="{00000000-0005-0000-0000-00002D870000}"/>
    <cellStyle name="Logical 3 4 2 4" xfId="34611" xr:uid="{00000000-0005-0000-0000-00002E870000}"/>
    <cellStyle name="Logical 3 4 2 5" xfId="34612" xr:uid="{00000000-0005-0000-0000-00002F870000}"/>
    <cellStyle name="Logical 3 4 2 6" xfId="34613" xr:uid="{00000000-0005-0000-0000-000030870000}"/>
    <cellStyle name="Logical 3 4 3" xfId="34614" xr:uid="{00000000-0005-0000-0000-000031870000}"/>
    <cellStyle name="Logical 3 4 3 2" xfId="34615" xr:uid="{00000000-0005-0000-0000-000032870000}"/>
    <cellStyle name="Logical 3 4 3 2 2" xfId="34616" xr:uid="{00000000-0005-0000-0000-000033870000}"/>
    <cellStyle name="Logical 3 4 3 2 3" xfId="34617" xr:uid="{00000000-0005-0000-0000-000034870000}"/>
    <cellStyle name="Logical 3 4 3 2 4" xfId="34618" xr:uid="{00000000-0005-0000-0000-000035870000}"/>
    <cellStyle name="Logical 3 4 3 2 5" xfId="34619" xr:uid="{00000000-0005-0000-0000-000036870000}"/>
    <cellStyle name="Logical 3 4 3 2 6" xfId="34620" xr:uid="{00000000-0005-0000-0000-000037870000}"/>
    <cellStyle name="Logical 3 4 3 3" xfId="34621" xr:uid="{00000000-0005-0000-0000-000038870000}"/>
    <cellStyle name="Logical 3 4 3 4" xfId="34622" xr:uid="{00000000-0005-0000-0000-000039870000}"/>
    <cellStyle name="Logical 3 4 3 5" xfId="34623" xr:uid="{00000000-0005-0000-0000-00003A870000}"/>
    <cellStyle name="Logical 3 4 3 6" xfId="34624" xr:uid="{00000000-0005-0000-0000-00003B870000}"/>
    <cellStyle name="Logical 3 4 4" xfId="34625" xr:uid="{00000000-0005-0000-0000-00003C870000}"/>
    <cellStyle name="Logical 3 4 4 2" xfId="34626" xr:uid="{00000000-0005-0000-0000-00003D870000}"/>
    <cellStyle name="Logical 3 4 4 3" xfId="34627" xr:uid="{00000000-0005-0000-0000-00003E870000}"/>
    <cellStyle name="Logical 3 4 4 4" xfId="34628" xr:uid="{00000000-0005-0000-0000-00003F870000}"/>
    <cellStyle name="Logical 3 4 4 5" xfId="34629" xr:uid="{00000000-0005-0000-0000-000040870000}"/>
    <cellStyle name="Logical 3 4 4 6" xfId="34630" xr:uid="{00000000-0005-0000-0000-000041870000}"/>
    <cellStyle name="Logical 3 4 5" xfId="34631" xr:uid="{00000000-0005-0000-0000-000042870000}"/>
    <cellStyle name="Logical 3 4 6" xfId="34632" xr:uid="{00000000-0005-0000-0000-000043870000}"/>
    <cellStyle name="Logical 3 4 7" xfId="34633" xr:uid="{00000000-0005-0000-0000-000044870000}"/>
    <cellStyle name="Logical 3 4 8" xfId="34634" xr:uid="{00000000-0005-0000-0000-000045870000}"/>
    <cellStyle name="Logical 3 5" xfId="34635" xr:uid="{00000000-0005-0000-0000-000046870000}"/>
    <cellStyle name="Logical 3 5 2" xfId="34636" xr:uid="{00000000-0005-0000-0000-000047870000}"/>
    <cellStyle name="Logical 3 5 2 2" xfId="34637" xr:uid="{00000000-0005-0000-0000-000048870000}"/>
    <cellStyle name="Logical 3 5 2 2 2" xfId="34638" xr:uid="{00000000-0005-0000-0000-000049870000}"/>
    <cellStyle name="Logical 3 5 2 2 3" xfId="34639" xr:uid="{00000000-0005-0000-0000-00004A870000}"/>
    <cellStyle name="Logical 3 5 2 2 4" xfId="34640" xr:uid="{00000000-0005-0000-0000-00004B870000}"/>
    <cellStyle name="Logical 3 5 2 2 5" xfId="34641" xr:uid="{00000000-0005-0000-0000-00004C870000}"/>
    <cellStyle name="Logical 3 5 2 2 6" xfId="34642" xr:uid="{00000000-0005-0000-0000-00004D870000}"/>
    <cellStyle name="Logical 3 5 2 3" xfId="34643" xr:uid="{00000000-0005-0000-0000-00004E870000}"/>
    <cellStyle name="Logical 3 5 2 4" xfId="34644" xr:uid="{00000000-0005-0000-0000-00004F870000}"/>
    <cellStyle name="Logical 3 5 2 5" xfId="34645" xr:uid="{00000000-0005-0000-0000-000050870000}"/>
    <cellStyle name="Logical 3 5 2 6" xfId="34646" xr:uid="{00000000-0005-0000-0000-000051870000}"/>
    <cellStyle name="Logical 3 5 3" xfId="34647" xr:uid="{00000000-0005-0000-0000-000052870000}"/>
    <cellStyle name="Logical 3 5 3 2" xfId="34648" xr:uid="{00000000-0005-0000-0000-000053870000}"/>
    <cellStyle name="Logical 3 5 3 2 2" xfId="34649" xr:uid="{00000000-0005-0000-0000-000054870000}"/>
    <cellStyle name="Logical 3 5 3 2 3" xfId="34650" xr:uid="{00000000-0005-0000-0000-000055870000}"/>
    <cellStyle name="Logical 3 5 3 2 4" xfId="34651" xr:uid="{00000000-0005-0000-0000-000056870000}"/>
    <cellStyle name="Logical 3 5 3 2 5" xfId="34652" xr:uid="{00000000-0005-0000-0000-000057870000}"/>
    <cellStyle name="Logical 3 5 3 2 6" xfId="34653" xr:uid="{00000000-0005-0000-0000-000058870000}"/>
    <cellStyle name="Logical 3 5 3 3" xfId="34654" xr:uid="{00000000-0005-0000-0000-000059870000}"/>
    <cellStyle name="Logical 3 5 3 4" xfId="34655" xr:uid="{00000000-0005-0000-0000-00005A870000}"/>
    <cellStyle name="Logical 3 5 3 5" xfId="34656" xr:uid="{00000000-0005-0000-0000-00005B870000}"/>
    <cellStyle name="Logical 3 5 3 6" xfId="34657" xr:uid="{00000000-0005-0000-0000-00005C870000}"/>
    <cellStyle name="Logical 3 5 4" xfId="34658" xr:uid="{00000000-0005-0000-0000-00005D870000}"/>
    <cellStyle name="Logical 3 5 4 2" xfId="34659" xr:uid="{00000000-0005-0000-0000-00005E870000}"/>
    <cellStyle name="Logical 3 5 4 3" xfId="34660" xr:uid="{00000000-0005-0000-0000-00005F870000}"/>
    <cellStyle name="Logical 3 5 4 4" xfId="34661" xr:uid="{00000000-0005-0000-0000-000060870000}"/>
    <cellStyle name="Logical 3 5 4 5" xfId="34662" xr:uid="{00000000-0005-0000-0000-000061870000}"/>
    <cellStyle name="Logical 3 5 4 6" xfId="34663" xr:uid="{00000000-0005-0000-0000-000062870000}"/>
    <cellStyle name="Logical 3 5 5" xfId="34664" xr:uid="{00000000-0005-0000-0000-000063870000}"/>
    <cellStyle name="Logical 3 5 6" xfId="34665" xr:uid="{00000000-0005-0000-0000-000064870000}"/>
    <cellStyle name="Logical 3 5 7" xfId="34666" xr:uid="{00000000-0005-0000-0000-000065870000}"/>
    <cellStyle name="Logical 3 5 8" xfId="34667" xr:uid="{00000000-0005-0000-0000-000066870000}"/>
    <cellStyle name="Logical 3 6" xfId="34668" xr:uid="{00000000-0005-0000-0000-000067870000}"/>
    <cellStyle name="Logical 3 6 2" xfId="34669" xr:uid="{00000000-0005-0000-0000-000068870000}"/>
    <cellStyle name="Logical 3 6 2 2" xfId="34670" xr:uid="{00000000-0005-0000-0000-000069870000}"/>
    <cellStyle name="Logical 3 6 2 2 2" xfId="34671" xr:uid="{00000000-0005-0000-0000-00006A870000}"/>
    <cellStyle name="Logical 3 6 2 2 3" xfId="34672" xr:uid="{00000000-0005-0000-0000-00006B870000}"/>
    <cellStyle name="Logical 3 6 2 2 4" xfId="34673" xr:uid="{00000000-0005-0000-0000-00006C870000}"/>
    <cellStyle name="Logical 3 6 2 2 5" xfId="34674" xr:uid="{00000000-0005-0000-0000-00006D870000}"/>
    <cellStyle name="Logical 3 6 2 2 6" xfId="34675" xr:uid="{00000000-0005-0000-0000-00006E870000}"/>
    <cellStyle name="Logical 3 6 2 3" xfId="34676" xr:uid="{00000000-0005-0000-0000-00006F870000}"/>
    <cellStyle name="Logical 3 6 2 4" xfId="34677" xr:uid="{00000000-0005-0000-0000-000070870000}"/>
    <cellStyle name="Logical 3 6 2 5" xfId="34678" xr:uid="{00000000-0005-0000-0000-000071870000}"/>
    <cellStyle name="Logical 3 6 2 6" xfId="34679" xr:uid="{00000000-0005-0000-0000-000072870000}"/>
    <cellStyle name="Logical 3 6 3" xfId="34680" xr:uid="{00000000-0005-0000-0000-000073870000}"/>
    <cellStyle name="Logical 3 6 3 2" xfId="34681" xr:uid="{00000000-0005-0000-0000-000074870000}"/>
    <cellStyle name="Logical 3 6 3 2 2" xfId="34682" xr:uid="{00000000-0005-0000-0000-000075870000}"/>
    <cellStyle name="Logical 3 6 3 2 3" xfId="34683" xr:uid="{00000000-0005-0000-0000-000076870000}"/>
    <cellStyle name="Logical 3 6 3 2 4" xfId="34684" xr:uid="{00000000-0005-0000-0000-000077870000}"/>
    <cellStyle name="Logical 3 6 3 2 5" xfId="34685" xr:uid="{00000000-0005-0000-0000-000078870000}"/>
    <cellStyle name="Logical 3 6 3 2 6" xfId="34686" xr:uid="{00000000-0005-0000-0000-000079870000}"/>
    <cellStyle name="Logical 3 6 3 3" xfId="34687" xr:uid="{00000000-0005-0000-0000-00007A870000}"/>
    <cellStyle name="Logical 3 6 3 4" xfId="34688" xr:uid="{00000000-0005-0000-0000-00007B870000}"/>
    <cellStyle name="Logical 3 6 3 5" xfId="34689" xr:uid="{00000000-0005-0000-0000-00007C870000}"/>
    <cellStyle name="Logical 3 6 3 6" xfId="34690" xr:uid="{00000000-0005-0000-0000-00007D870000}"/>
    <cellStyle name="Logical 3 6 4" xfId="34691" xr:uid="{00000000-0005-0000-0000-00007E870000}"/>
    <cellStyle name="Logical 3 6 4 2" xfId="34692" xr:uid="{00000000-0005-0000-0000-00007F870000}"/>
    <cellStyle name="Logical 3 6 4 3" xfId="34693" xr:uid="{00000000-0005-0000-0000-000080870000}"/>
    <cellStyle name="Logical 3 6 4 4" xfId="34694" xr:uid="{00000000-0005-0000-0000-000081870000}"/>
    <cellStyle name="Logical 3 6 4 5" xfId="34695" xr:uid="{00000000-0005-0000-0000-000082870000}"/>
    <cellStyle name="Logical 3 6 4 6" xfId="34696" xr:uid="{00000000-0005-0000-0000-000083870000}"/>
    <cellStyle name="Logical 3 6 5" xfId="34697" xr:uid="{00000000-0005-0000-0000-000084870000}"/>
    <cellStyle name="Logical 3 6 6" xfId="34698" xr:uid="{00000000-0005-0000-0000-000085870000}"/>
    <cellStyle name="Logical 3 6 7" xfId="34699" xr:uid="{00000000-0005-0000-0000-000086870000}"/>
    <cellStyle name="Logical 3 6 8" xfId="34700" xr:uid="{00000000-0005-0000-0000-000087870000}"/>
    <cellStyle name="Logical 3 7" xfId="34701" xr:uid="{00000000-0005-0000-0000-000088870000}"/>
    <cellStyle name="Logical 3 7 2" xfId="34702" xr:uid="{00000000-0005-0000-0000-000089870000}"/>
    <cellStyle name="Logical 3 7 2 2" xfId="34703" xr:uid="{00000000-0005-0000-0000-00008A870000}"/>
    <cellStyle name="Logical 3 7 2 3" xfId="34704" xr:uid="{00000000-0005-0000-0000-00008B870000}"/>
    <cellStyle name="Logical 3 7 2 4" xfId="34705" xr:uid="{00000000-0005-0000-0000-00008C870000}"/>
    <cellStyle name="Logical 3 7 2 5" xfId="34706" xr:uid="{00000000-0005-0000-0000-00008D870000}"/>
    <cellStyle name="Logical 3 7 2 6" xfId="34707" xr:uid="{00000000-0005-0000-0000-00008E870000}"/>
    <cellStyle name="Logical 3 7 3" xfId="34708" xr:uid="{00000000-0005-0000-0000-00008F870000}"/>
    <cellStyle name="Logical 3 7 4" xfId="34709" xr:uid="{00000000-0005-0000-0000-000090870000}"/>
    <cellStyle name="Logical 3 7 5" xfId="34710" xr:uid="{00000000-0005-0000-0000-000091870000}"/>
    <cellStyle name="Logical 3 7 6" xfId="34711" xr:uid="{00000000-0005-0000-0000-000092870000}"/>
    <cellStyle name="Logical 3 8" xfId="34712" xr:uid="{00000000-0005-0000-0000-000093870000}"/>
    <cellStyle name="Logical 3 8 2" xfId="34713" xr:uid="{00000000-0005-0000-0000-000094870000}"/>
    <cellStyle name="Logical 3 8 2 2" xfId="34714" xr:uid="{00000000-0005-0000-0000-000095870000}"/>
    <cellStyle name="Logical 3 8 2 3" xfId="34715" xr:uid="{00000000-0005-0000-0000-000096870000}"/>
    <cellStyle name="Logical 3 8 2 4" xfId="34716" xr:uid="{00000000-0005-0000-0000-000097870000}"/>
    <cellStyle name="Logical 3 8 2 5" xfId="34717" xr:uid="{00000000-0005-0000-0000-000098870000}"/>
    <cellStyle name="Logical 3 8 2 6" xfId="34718" xr:uid="{00000000-0005-0000-0000-000099870000}"/>
    <cellStyle name="Logical 3 8 3" xfId="34719" xr:uid="{00000000-0005-0000-0000-00009A870000}"/>
    <cellStyle name="Logical 3 8 4" xfId="34720" xr:uid="{00000000-0005-0000-0000-00009B870000}"/>
    <cellStyle name="Logical 3 8 5" xfId="34721" xr:uid="{00000000-0005-0000-0000-00009C870000}"/>
    <cellStyle name="Logical 3 8 6" xfId="34722" xr:uid="{00000000-0005-0000-0000-00009D870000}"/>
    <cellStyle name="Logical 3 9" xfId="34723" xr:uid="{00000000-0005-0000-0000-00009E870000}"/>
    <cellStyle name="Logical 3 9 2" xfId="34724" xr:uid="{00000000-0005-0000-0000-00009F870000}"/>
    <cellStyle name="Logical 3 9 3" xfId="34725" xr:uid="{00000000-0005-0000-0000-0000A0870000}"/>
    <cellStyle name="Logical 3 9 4" xfId="34726" xr:uid="{00000000-0005-0000-0000-0000A1870000}"/>
    <cellStyle name="Logical 3 9 5" xfId="34727" xr:uid="{00000000-0005-0000-0000-0000A2870000}"/>
    <cellStyle name="Logical 3 9 6" xfId="34728" xr:uid="{00000000-0005-0000-0000-0000A3870000}"/>
    <cellStyle name="Logical 4" xfId="34729" xr:uid="{00000000-0005-0000-0000-0000A4870000}"/>
    <cellStyle name="Logical 4 2" xfId="34730" xr:uid="{00000000-0005-0000-0000-0000A5870000}"/>
    <cellStyle name="Logical 4 2 2" xfId="34731" xr:uid="{00000000-0005-0000-0000-0000A6870000}"/>
    <cellStyle name="Logical 4 2 2 2" xfId="34732" xr:uid="{00000000-0005-0000-0000-0000A7870000}"/>
    <cellStyle name="Logical 4 2 2 3" xfId="34733" xr:uid="{00000000-0005-0000-0000-0000A8870000}"/>
    <cellStyle name="Logical 4 2 2 4" xfId="34734" xr:uid="{00000000-0005-0000-0000-0000A9870000}"/>
    <cellStyle name="Logical 4 2 2 5" xfId="34735" xr:uid="{00000000-0005-0000-0000-0000AA870000}"/>
    <cellStyle name="Logical 4 2 2 6" xfId="34736" xr:uid="{00000000-0005-0000-0000-0000AB870000}"/>
    <cellStyle name="Logical 4 2 3" xfId="34737" xr:uid="{00000000-0005-0000-0000-0000AC870000}"/>
    <cellStyle name="Logical 4 2 4" xfId="34738" xr:uid="{00000000-0005-0000-0000-0000AD870000}"/>
    <cellStyle name="Logical 4 2 5" xfId="34739" xr:uid="{00000000-0005-0000-0000-0000AE870000}"/>
    <cellStyle name="Logical 4 2 6" xfId="34740" xr:uid="{00000000-0005-0000-0000-0000AF870000}"/>
    <cellStyle name="Logical 4 3" xfId="34741" xr:uid="{00000000-0005-0000-0000-0000B0870000}"/>
    <cellStyle name="Logical 4 3 2" xfId="34742" xr:uid="{00000000-0005-0000-0000-0000B1870000}"/>
    <cellStyle name="Logical 4 3 2 2" xfId="34743" xr:uid="{00000000-0005-0000-0000-0000B2870000}"/>
    <cellStyle name="Logical 4 3 2 3" xfId="34744" xr:uid="{00000000-0005-0000-0000-0000B3870000}"/>
    <cellStyle name="Logical 4 3 2 4" xfId="34745" xr:uid="{00000000-0005-0000-0000-0000B4870000}"/>
    <cellStyle name="Logical 4 3 2 5" xfId="34746" xr:uid="{00000000-0005-0000-0000-0000B5870000}"/>
    <cellStyle name="Logical 4 3 2 6" xfId="34747" xr:uid="{00000000-0005-0000-0000-0000B6870000}"/>
    <cellStyle name="Logical 4 3 3" xfId="34748" xr:uid="{00000000-0005-0000-0000-0000B7870000}"/>
    <cellStyle name="Logical 4 3 4" xfId="34749" xr:uid="{00000000-0005-0000-0000-0000B8870000}"/>
    <cellStyle name="Logical 4 3 5" xfId="34750" xr:uid="{00000000-0005-0000-0000-0000B9870000}"/>
    <cellStyle name="Logical 4 3 6" xfId="34751" xr:uid="{00000000-0005-0000-0000-0000BA870000}"/>
    <cellStyle name="Logical 4 4" xfId="34752" xr:uid="{00000000-0005-0000-0000-0000BB870000}"/>
    <cellStyle name="Logical 4 4 2" xfId="34753" xr:uid="{00000000-0005-0000-0000-0000BC870000}"/>
    <cellStyle name="Logical 4 4 3" xfId="34754" xr:uid="{00000000-0005-0000-0000-0000BD870000}"/>
    <cellStyle name="Logical 4 4 4" xfId="34755" xr:uid="{00000000-0005-0000-0000-0000BE870000}"/>
    <cellStyle name="Logical 4 4 5" xfId="34756" xr:uid="{00000000-0005-0000-0000-0000BF870000}"/>
    <cellStyle name="Logical 4 4 6" xfId="34757" xr:uid="{00000000-0005-0000-0000-0000C0870000}"/>
    <cellStyle name="Logical 4 5" xfId="34758" xr:uid="{00000000-0005-0000-0000-0000C1870000}"/>
    <cellStyle name="Logical 4 6" xfId="34759" xr:uid="{00000000-0005-0000-0000-0000C2870000}"/>
    <cellStyle name="Logical 4 7" xfId="34760" xr:uid="{00000000-0005-0000-0000-0000C3870000}"/>
    <cellStyle name="Logical 4 8" xfId="34761" xr:uid="{00000000-0005-0000-0000-0000C4870000}"/>
    <cellStyle name="Logical 5" xfId="34762" xr:uid="{00000000-0005-0000-0000-0000C5870000}"/>
    <cellStyle name="Logical 5 2" xfId="34763" xr:uid="{00000000-0005-0000-0000-0000C6870000}"/>
    <cellStyle name="Logical 5 2 2" xfId="34764" xr:uid="{00000000-0005-0000-0000-0000C7870000}"/>
    <cellStyle name="Logical 5 2 2 2" xfId="34765" xr:uid="{00000000-0005-0000-0000-0000C8870000}"/>
    <cellStyle name="Logical 5 2 2 3" xfId="34766" xr:uid="{00000000-0005-0000-0000-0000C9870000}"/>
    <cellStyle name="Logical 5 2 2 4" xfId="34767" xr:uid="{00000000-0005-0000-0000-0000CA870000}"/>
    <cellStyle name="Logical 5 2 2 5" xfId="34768" xr:uid="{00000000-0005-0000-0000-0000CB870000}"/>
    <cellStyle name="Logical 5 2 2 6" xfId="34769" xr:uid="{00000000-0005-0000-0000-0000CC870000}"/>
    <cellStyle name="Logical 5 2 3" xfId="34770" xr:uid="{00000000-0005-0000-0000-0000CD870000}"/>
    <cellStyle name="Logical 5 2 4" xfId="34771" xr:uid="{00000000-0005-0000-0000-0000CE870000}"/>
    <cellStyle name="Logical 5 2 5" xfId="34772" xr:uid="{00000000-0005-0000-0000-0000CF870000}"/>
    <cellStyle name="Logical 5 2 6" xfId="34773" xr:uid="{00000000-0005-0000-0000-0000D0870000}"/>
    <cellStyle name="Logical 5 3" xfId="34774" xr:uid="{00000000-0005-0000-0000-0000D1870000}"/>
    <cellStyle name="Logical 5 3 2" xfId="34775" xr:uid="{00000000-0005-0000-0000-0000D2870000}"/>
    <cellStyle name="Logical 5 3 2 2" xfId="34776" xr:uid="{00000000-0005-0000-0000-0000D3870000}"/>
    <cellStyle name="Logical 5 3 2 3" xfId="34777" xr:uid="{00000000-0005-0000-0000-0000D4870000}"/>
    <cellStyle name="Logical 5 3 2 4" xfId="34778" xr:uid="{00000000-0005-0000-0000-0000D5870000}"/>
    <cellStyle name="Logical 5 3 2 5" xfId="34779" xr:uid="{00000000-0005-0000-0000-0000D6870000}"/>
    <cellStyle name="Logical 5 3 2 6" xfId="34780" xr:uid="{00000000-0005-0000-0000-0000D7870000}"/>
    <cellStyle name="Logical 5 3 3" xfId="34781" xr:uid="{00000000-0005-0000-0000-0000D8870000}"/>
    <cellStyle name="Logical 5 3 4" xfId="34782" xr:uid="{00000000-0005-0000-0000-0000D9870000}"/>
    <cellStyle name="Logical 5 3 5" xfId="34783" xr:uid="{00000000-0005-0000-0000-0000DA870000}"/>
    <cellStyle name="Logical 5 3 6" xfId="34784" xr:uid="{00000000-0005-0000-0000-0000DB870000}"/>
    <cellStyle name="Logical 5 4" xfId="34785" xr:uid="{00000000-0005-0000-0000-0000DC870000}"/>
    <cellStyle name="Logical 5 4 2" xfId="34786" xr:uid="{00000000-0005-0000-0000-0000DD870000}"/>
    <cellStyle name="Logical 5 4 3" xfId="34787" xr:uid="{00000000-0005-0000-0000-0000DE870000}"/>
    <cellStyle name="Logical 5 4 4" xfId="34788" xr:uid="{00000000-0005-0000-0000-0000DF870000}"/>
    <cellStyle name="Logical 5 4 5" xfId="34789" xr:uid="{00000000-0005-0000-0000-0000E0870000}"/>
    <cellStyle name="Logical 5 4 6" xfId="34790" xr:uid="{00000000-0005-0000-0000-0000E1870000}"/>
    <cellStyle name="Logical 5 5" xfId="34791" xr:uid="{00000000-0005-0000-0000-0000E2870000}"/>
    <cellStyle name="Logical 5 6" xfId="34792" xr:uid="{00000000-0005-0000-0000-0000E3870000}"/>
    <cellStyle name="Logical 5 7" xfId="34793" xr:uid="{00000000-0005-0000-0000-0000E4870000}"/>
    <cellStyle name="Logical 5 8" xfId="34794" xr:uid="{00000000-0005-0000-0000-0000E5870000}"/>
    <cellStyle name="Logical 6" xfId="34795" xr:uid="{00000000-0005-0000-0000-0000E6870000}"/>
    <cellStyle name="Logical 6 2" xfId="34796" xr:uid="{00000000-0005-0000-0000-0000E7870000}"/>
    <cellStyle name="Logical 6 2 2" xfId="34797" xr:uid="{00000000-0005-0000-0000-0000E8870000}"/>
    <cellStyle name="Logical 6 2 2 2" xfId="34798" xr:uid="{00000000-0005-0000-0000-0000E9870000}"/>
    <cellStyle name="Logical 6 2 2 3" xfId="34799" xr:uid="{00000000-0005-0000-0000-0000EA870000}"/>
    <cellStyle name="Logical 6 2 2 4" xfId="34800" xr:uid="{00000000-0005-0000-0000-0000EB870000}"/>
    <cellStyle name="Logical 6 2 2 5" xfId="34801" xr:uid="{00000000-0005-0000-0000-0000EC870000}"/>
    <cellStyle name="Logical 6 2 2 6" xfId="34802" xr:uid="{00000000-0005-0000-0000-0000ED870000}"/>
    <cellStyle name="Logical 6 2 3" xfId="34803" xr:uid="{00000000-0005-0000-0000-0000EE870000}"/>
    <cellStyle name="Logical 6 2 4" xfId="34804" xr:uid="{00000000-0005-0000-0000-0000EF870000}"/>
    <cellStyle name="Logical 6 2 5" xfId="34805" xr:uid="{00000000-0005-0000-0000-0000F0870000}"/>
    <cellStyle name="Logical 6 2 6" xfId="34806" xr:uid="{00000000-0005-0000-0000-0000F1870000}"/>
    <cellStyle name="Logical 6 3" xfId="34807" xr:uid="{00000000-0005-0000-0000-0000F2870000}"/>
    <cellStyle name="Logical 6 3 2" xfId="34808" xr:uid="{00000000-0005-0000-0000-0000F3870000}"/>
    <cellStyle name="Logical 6 3 2 2" xfId="34809" xr:uid="{00000000-0005-0000-0000-0000F4870000}"/>
    <cellStyle name="Logical 6 3 2 3" xfId="34810" xr:uid="{00000000-0005-0000-0000-0000F5870000}"/>
    <cellStyle name="Logical 6 3 2 4" xfId="34811" xr:uid="{00000000-0005-0000-0000-0000F6870000}"/>
    <cellStyle name="Logical 6 3 2 5" xfId="34812" xr:uid="{00000000-0005-0000-0000-0000F7870000}"/>
    <cellStyle name="Logical 6 3 2 6" xfId="34813" xr:uid="{00000000-0005-0000-0000-0000F8870000}"/>
    <cellStyle name="Logical 6 3 3" xfId="34814" xr:uid="{00000000-0005-0000-0000-0000F9870000}"/>
    <cellStyle name="Logical 6 3 4" xfId="34815" xr:uid="{00000000-0005-0000-0000-0000FA870000}"/>
    <cellStyle name="Logical 6 3 5" xfId="34816" xr:uid="{00000000-0005-0000-0000-0000FB870000}"/>
    <cellStyle name="Logical 6 3 6" xfId="34817" xr:uid="{00000000-0005-0000-0000-0000FC870000}"/>
    <cellStyle name="Logical 6 4" xfId="34818" xr:uid="{00000000-0005-0000-0000-0000FD870000}"/>
    <cellStyle name="Logical 6 4 2" xfId="34819" xr:uid="{00000000-0005-0000-0000-0000FE870000}"/>
    <cellStyle name="Logical 6 4 3" xfId="34820" xr:uid="{00000000-0005-0000-0000-0000FF870000}"/>
    <cellStyle name="Logical 6 4 4" xfId="34821" xr:uid="{00000000-0005-0000-0000-000000880000}"/>
    <cellStyle name="Logical 6 4 5" xfId="34822" xr:uid="{00000000-0005-0000-0000-000001880000}"/>
    <cellStyle name="Logical 6 4 6" xfId="34823" xr:uid="{00000000-0005-0000-0000-000002880000}"/>
    <cellStyle name="Logical 6 5" xfId="34824" xr:uid="{00000000-0005-0000-0000-000003880000}"/>
    <cellStyle name="Logical 6 6" xfId="34825" xr:uid="{00000000-0005-0000-0000-000004880000}"/>
    <cellStyle name="Logical 6 7" xfId="34826" xr:uid="{00000000-0005-0000-0000-000005880000}"/>
    <cellStyle name="Logical 6 8" xfId="34827" xr:uid="{00000000-0005-0000-0000-000006880000}"/>
    <cellStyle name="Logical 7" xfId="34828" xr:uid="{00000000-0005-0000-0000-000007880000}"/>
    <cellStyle name="Logical 7 2" xfId="34829" xr:uid="{00000000-0005-0000-0000-000008880000}"/>
    <cellStyle name="Logical 7 2 2" xfId="34830" xr:uid="{00000000-0005-0000-0000-000009880000}"/>
    <cellStyle name="Logical 7 2 3" xfId="34831" xr:uid="{00000000-0005-0000-0000-00000A880000}"/>
    <cellStyle name="Logical 7 2 4" xfId="34832" xr:uid="{00000000-0005-0000-0000-00000B880000}"/>
    <cellStyle name="Logical 7 2 5" xfId="34833" xr:uid="{00000000-0005-0000-0000-00000C880000}"/>
    <cellStyle name="Logical 7 2 6" xfId="34834" xr:uid="{00000000-0005-0000-0000-00000D880000}"/>
    <cellStyle name="Logical 7 3" xfId="34835" xr:uid="{00000000-0005-0000-0000-00000E880000}"/>
    <cellStyle name="Logical 7 4" xfId="34836" xr:uid="{00000000-0005-0000-0000-00000F880000}"/>
    <cellStyle name="Logical 7 5" xfId="34837" xr:uid="{00000000-0005-0000-0000-000010880000}"/>
    <cellStyle name="Logical 7 6" xfId="34838" xr:uid="{00000000-0005-0000-0000-000011880000}"/>
    <cellStyle name="Logical 8" xfId="34839" xr:uid="{00000000-0005-0000-0000-000012880000}"/>
    <cellStyle name="Logical 8 2" xfId="34840" xr:uid="{00000000-0005-0000-0000-000013880000}"/>
    <cellStyle name="Logical 8 2 2" xfId="34841" xr:uid="{00000000-0005-0000-0000-000014880000}"/>
    <cellStyle name="Logical 8 2 3" xfId="34842" xr:uid="{00000000-0005-0000-0000-000015880000}"/>
    <cellStyle name="Logical 8 2 4" xfId="34843" xr:uid="{00000000-0005-0000-0000-000016880000}"/>
    <cellStyle name="Logical 8 2 5" xfId="34844" xr:uid="{00000000-0005-0000-0000-000017880000}"/>
    <cellStyle name="Logical 8 2 6" xfId="34845" xr:uid="{00000000-0005-0000-0000-000018880000}"/>
    <cellStyle name="Logical 8 3" xfId="34846" xr:uid="{00000000-0005-0000-0000-000019880000}"/>
    <cellStyle name="Logical 8 4" xfId="34847" xr:uid="{00000000-0005-0000-0000-00001A880000}"/>
    <cellStyle name="Logical 8 5" xfId="34848" xr:uid="{00000000-0005-0000-0000-00001B880000}"/>
    <cellStyle name="Logical 8 6" xfId="34849" xr:uid="{00000000-0005-0000-0000-00001C880000}"/>
    <cellStyle name="Logical 9" xfId="34850" xr:uid="{00000000-0005-0000-0000-00001D880000}"/>
    <cellStyle name="Logical 9 2" xfId="34851" xr:uid="{00000000-0005-0000-0000-00001E880000}"/>
    <cellStyle name="Logical 9 3" xfId="34852" xr:uid="{00000000-0005-0000-0000-00001F880000}"/>
    <cellStyle name="Logical 9 4" xfId="34853" xr:uid="{00000000-0005-0000-0000-000020880000}"/>
    <cellStyle name="Logical 9 5" xfId="34854" xr:uid="{00000000-0005-0000-0000-000021880000}"/>
    <cellStyle name="Logical 9 6" xfId="34855" xr:uid="{00000000-0005-0000-0000-000022880000}"/>
    <cellStyle name="Map Labels" xfId="34856" xr:uid="{00000000-0005-0000-0000-000023880000}"/>
    <cellStyle name="Map Labels 2" xfId="34857" xr:uid="{00000000-0005-0000-0000-000024880000}"/>
    <cellStyle name="Map Labels 2 2" xfId="34858" xr:uid="{00000000-0005-0000-0000-000025880000}"/>
    <cellStyle name="Map Labels 3" xfId="34859" xr:uid="{00000000-0005-0000-0000-000026880000}"/>
    <cellStyle name="Map Labels 4" xfId="34860" xr:uid="{00000000-0005-0000-0000-000027880000}"/>
    <cellStyle name="Map Labels 5" xfId="34861" xr:uid="{00000000-0005-0000-0000-000028880000}"/>
    <cellStyle name="Map Labels 6" xfId="34862" xr:uid="{00000000-0005-0000-0000-000029880000}"/>
    <cellStyle name="Map Legend" xfId="34863" xr:uid="{00000000-0005-0000-0000-00002A880000}"/>
    <cellStyle name="Map Legend 2" xfId="34864" xr:uid="{00000000-0005-0000-0000-00002B880000}"/>
    <cellStyle name="Map Legend 2 2" xfId="34865" xr:uid="{00000000-0005-0000-0000-00002C880000}"/>
    <cellStyle name="Map Legend 3" xfId="34866" xr:uid="{00000000-0005-0000-0000-00002D880000}"/>
    <cellStyle name="Map Legend 4" xfId="34867" xr:uid="{00000000-0005-0000-0000-00002E880000}"/>
    <cellStyle name="Map Legend 5" xfId="34868" xr:uid="{00000000-0005-0000-0000-00002F880000}"/>
    <cellStyle name="Map Legend 6" xfId="34869" xr:uid="{00000000-0005-0000-0000-000030880000}"/>
    <cellStyle name="Map Title" xfId="34870" xr:uid="{00000000-0005-0000-0000-000031880000}"/>
    <cellStyle name="Map Title 2" xfId="34871" xr:uid="{00000000-0005-0000-0000-000032880000}"/>
    <cellStyle name="Map Title 2 2" xfId="34872" xr:uid="{00000000-0005-0000-0000-000033880000}"/>
    <cellStyle name="Map Title 3" xfId="34873" xr:uid="{00000000-0005-0000-0000-000034880000}"/>
    <cellStyle name="Map Title 4" xfId="34874" xr:uid="{00000000-0005-0000-0000-000035880000}"/>
    <cellStyle name="Map Title 5" xfId="34875" xr:uid="{00000000-0005-0000-0000-000036880000}"/>
    <cellStyle name="Map Title 6" xfId="34876" xr:uid="{00000000-0005-0000-0000-000037880000}"/>
    <cellStyle name="Millares [0]_ARE" xfId="34877" xr:uid="{00000000-0005-0000-0000-000038880000}"/>
    <cellStyle name="Millares_ARE" xfId="34878" xr:uid="{00000000-0005-0000-0000-000039880000}"/>
    <cellStyle name="Milliers [0]_PERSONAL" xfId="34879" xr:uid="{00000000-0005-0000-0000-00003A880000}"/>
    <cellStyle name="Milliers_PERSONAL" xfId="34880" xr:uid="{00000000-0005-0000-0000-00003B880000}"/>
    <cellStyle name="Moneda [0]_ARE" xfId="34881" xr:uid="{00000000-0005-0000-0000-00003C880000}"/>
    <cellStyle name="Moneda_ARE" xfId="34882" xr:uid="{00000000-0005-0000-0000-00003D880000}"/>
    <cellStyle name="Monétaire [0]_PERSONAL" xfId="34883" xr:uid="{00000000-0005-0000-0000-00003E880000}"/>
    <cellStyle name="Monétaire_PERSONAL" xfId="34884" xr:uid="{00000000-0005-0000-0000-00003F880000}"/>
    <cellStyle name="Month" xfId="34885" xr:uid="{00000000-0005-0000-0000-000040880000}"/>
    <cellStyle name="Multiple" xfId="34886" xr:uid="{00000000-0005-0000-0000-000041880000}"/>
    <cellStyle name="N,NNN (blank 0)" xfId="34887" xr:uid="{00000000-0005-0000-0000-000042880000}"/>
    <cellStyle name="Neutral 2" xfId="34888" xr:uid="{00000000-0005-0000-0000-000043880000}"/>
    <cellStyle name="Neutral 2 2" xfId="34889" xr:uid="{00000000-0005-0000-0000-000044880000}"/>
    <cellStyle name="Neutral 3" xfId="34890" xr:uid="{00000000-0005-0000-0000-000045880000}"/>
    <cellStyle name="Neutral 4" xfId="34891" xr:uid="{00000000-0005-0000-0000-000046880000}"/>
    <cellStyle name="no dec" xfId="34892" xr:uid="{00000000-0005-0000-0000-000047880000}"/>
    <cellStyle name="No-Action" xfId="34893" xr:uid="{00000000-0005-0000-0000-000048880000}"/>
    <cellStyle name="No-definido" xfId="34894" xr:uid="{00000000-0005-0000-0000-000049880000}"/>
    <cellStyle name="NoEntry" xfId="34895" xr:uid="{00000000-0005-0000-0000-00004A880000}"/>
    <cellStyle name="NoEntry 2" xfId="34896" xr:uid="{00000000-0005-0000-0000-00004B880000}"/>
    <cellStyle name="Normal" xfId="0" builtinId="0"/>
    <cellStyle name="Normal - Style1" xfId="34897" xr:uid="{00000000-0005-0000-0000-00004D880000}"/>
    <cellStyle name="Normal 10" xfId="34898" xr:uid="{00000000-0005-0000-0000-00004E880000}"/>
    <cellStyle name="Normal 10 2" xfId="34899" xr:uid="{00000000-0005-0000-0000-00004F880000}"/>
    <cellStyle name="Normal 10 2 2" xfId="34900" xr:uid="{00000000-0005-0000-0000-000050880000}"/>
    <cellStyle name="Normal 10 2 3" xfId="34901" xr:uid="{00000000-0005-0000-0000-000051880000}"/>
    <cellStyle name="Normal 10 2 4" xfId="34902" xr:uid="{00000000-0005-0000-0000-000052880000}"/>
    <cellStyle name="Normal 10 2 4 2" xfId="34903" xr:uid="{00000000-0005-0000-0000-000053880000}"/>
    <cellStyle name="Normal 10 2 4 2 2" xfId="34904" xr:uid="{00000000-0005-0000-0000-000054880000}"/>
    <cellStyle name="Normal 10 2 4 2 2 2" xfId="34905" xr:uid="{00000000-0005-0000-0000-000055880000}"/>
    <cellStyle name="Normal 10 2 4 2 3" xfId="34906" xr:uid="{00000000-0005-0000-0000-000056880000}"/>
    <cellStyle name="Normal 10 2 4 3" xfId="34907" xr:uid="{00000000-0005-0000-0000-000057880000}"/>
    <cellStyle name="Normal 10 2 4 3 2" xfId="34908" xr:uid="{00000000-0005-0000-0000-000058880000}"/>
    <cellStyle name="Normal 10 2 4 4" xfId="34909" xr:uid="{00000000-0005-0000-0000-000059880000}"/>
    <cellStyle name="Normal 10 2 5" xfId="34910" xr:uid="{00000000-0005-0000-0000-00005A880000}"/>
    <cellStyle name="Normal 10 2 5 2" xfId="34911" xr:uid="{00000000-0005-0000-0000-00005B880000}"/>
    <cellStyle name="Normal 10 2 5 2 2" xfId="34912" xr:uid="{00000000-0005-0000-0000-00005C880000}"/>
    <cellStyle name="Normal 10 2 5 3" xfId="34913" xr:uid="{00000000-0005-0000-0000-00005D880000}"/>
    <cellStyle name="Normal 10 2 6" xfId="34914" xr:uid="{00000000-0005-0000-0000-00005E880000}"/>
    <cellStyle name="Normal 10 2 6 2" xfId="34915" xr:uid="{00000000-0005-0000-0000-00005F880000}"/>
    <cellStyle name="Normal 10 2 7" xfId="34916" xr:uid="{00000000-0005-0000-0000-000060880000}"/>
    <cellStyle name="Normal 10 3" xfId="34917" xr:uid="{00000000-0005-0000-0000-000061880000}"/>
    <cellStyle name="Normal 10 3 2" xfId="34918" xr:uid="{00000000-0005-0000-0000-000062880000}"/>
    <cellStyle name="Normal 10 4" xfId="34919" xr:uid="{00000000-0005-0000-0000-000063880000}"/>
    <cellStyle name="Normal 10 4 2" xfId="34920" xr:uid="{00000000-0005-0000-0000-000064880000}"/>
    <cellStyle name="Normal 10 5" xfId="34921" xr:uid="{00000000-0005-0000-0000-000065880000}"/>
    <cellStyle name="Normal 100" xfId="34922" xr:uid="{00000000-0005-0000-0000-000066880000}"/>
    <cellStyle name="Normal 101" xfId="34923" xr:uid="{00000000-0005-0000-0000-000067880000}"/>
    <cellStyle name="Normal 102" xfId="34924" xr:uid="{00000000-0005-0000-0000-000068880000}"/>
    <cellStyle name="Normal 103" xfId="34925" xr:uid="{00000000-0005-0000-0000-000069880000}"/>
    <cellStyle name="Normal 103 2" xfId="34926" xr:uid="{00000000-0005-0000-0000-00006A880000}"/>
    <cellStyle name="Normal 103 2 2" xfId="34927" xr:uid="{00000000-0005-0000-0000-00006B880000}"/>
    <cellStyle name="Normal 103 2 2 2" xfId="34928" xr:uid="{00000000-0005-0000-0000-00006C880000}"/>
    <cellStyle name="Normal 103 2 2 2 2" xfId="34929" xr:uid="{00000000-0005-0000-0000-00006D880000}"/>
    <cellStyle name="Normal 103 2 2 2 2 2" xfId="34930" xr:uid="{00000000-0005-0000-0000-00006E880000}"/>
    <cellStyle name="Normal 103 2 2 2 3" xfId="34931" xr:uid="{00000000-0005-0000-0000-00006F880000}"/>
    <cellStyle name="Normal 103 2 2 3" xfId="34932" xr:uid="{00000000-0005-0000-0000-000070880000}"/>
    <cellStyle name="Normal 103 2 2 3 2" xfId="34933" xr:uid="{00000000-0005-0000-0000-000071880000}"/>
    <cellStyle name="Normal 103 2 2 4" xfId="34934" xr:uid="{00000000-0005-0000-0000-000072880000}"/>
    <cellStyle name="Normal 103 2 3" xfId="34935" xr:uid="{00000000-0005-0000-0000-000073880000}"/>
    <cellStyle name="Normal 103 2 3 2" xfId="34936" xr:uid="{00000000-0005-0000-0000-000074880000}"/>
    <cellStyle name="Normal 103 2 3 2 2" xfId="34937" xr:uid="{00000000-0005-0000-0000-000075880000}"/>
    <cellStyle name="Normal 103 2 3 3" xfId="34938" xr:uid="{00000000-0005-0000-0000-000076880000}"/>
    <cellStyle name="Normal 103 2 4" xfId="34939" xr:uid="{00000000-0005-0000-0000-000077880000}"/>
    <cellStyle name="Normal 103 2 4 2" xfId="34940" xr:uid="{00000000-0005-0000-0000-000078880000}"/>
    <cellStyle name="Normal 103 2 5" xfId="34941" xr:uid="{00000000-0005-0000-0000-000079880000}"/>
    <cellStyle name="Normal 103 3" xfId="34942" xr:uid="{00000000-0005-0000-0000-00007A880000}"/>
    <cellStyle name="Normal 103 3 2" xfId="34943" xr:uid="{00000000-0005-0000-0000-00007B880000}"/>
    <cellStyle name="Normal 103 4" xfId="34944" xr:uid="{00000000-0005-0000-0000-00007C880000}"/>
    <cellStyle name="Normal 104" xfId="34945" xr:uid="{00000000-0005-0000-0000-00007D880000}"/>
    <cellStyle name="Normal 105" xfId="34946" xr:uid="{00000000-0005-0000-0000-00007E880000}"/>
    <cellStyle name="Normal 105 2" xfId="34947" xr:uid="{00000000-0005-0000-0000-00007F880000}"/>
    <cellStyle name="Normal 106" xfId="34948" xr:uid="{00000000-0005-0000-0000-000080880000}"/>
    <cellStyle name="Normal 106 2" xfId="34949" xr:uid="{00000000-0005-0000-0000-000081880000}"/>
    <cellStyle name="Normal 107" xfId="34950" xr:uid="{00000000-0005-0000-0000-000082880000}"/>
    <cellStyle name="Normal 107 2" xfId="34951" xr:uid="{00000000-0005-0000-0000-000083880000}"/>
    <cellStyle name="Normal 107 2 2" xfId="34952" xr:uid="{00000000-0005-0000-0000-000084880000}"/>
    <cellStyle name="Normal 107 2 2 2" xfId="34953" xr:uid="{00000000-0005-0000-0000-000085880000}"/>
    <cellStyle name="Normal 107 2 3" xfId="34954" xr:uid="{00000000-0005-0000-0000-000086880000}"/>
    <cellStyle name="Normal 107 3" xfId="34955" xr:uid="{00000000-0005-0000-0000-000087880000}"/>
    <cellStyle name="Normal 107 3 2" xfId="34956" xr:uid="{00000000-0005-0000-0000-000088880000}"/>
    <cellStyle name="Normal 107 4" xfId="34957" xr:uid="{00000000-0005-0000-0000-000089880000}"/>
    <cellStyle name="Normal 108" xfId="34958" xr:uid="{00000000-0005-0000-0000-00008A880000}"/>
    <cellStyle name="Normal 108 2" xfId="34959" xr:uid="{00000000-0005-0000-0000-00008B880000}"/>
    <cellStyle name="Normal 108 2 2" xfId="34960" xr:uid="{00000000-0005-0000-0000-00008C880000}"/>
    <cellStyle name="Normal 108 3" xfId="34961" xr:uid="{00000000-0005-0000-0000-00008D880000}"/>
    <cellStyle name="Normal 108 3 2" xfId="34962" xr:uid="{00000000-0005-0000-0000-00008E880000}"/>
    <cellStyle name="Normal 108 3 2 2" xfId="34963" xr:uid="{00000000-0005-0000-0000-00008F880000}"/>
    <cellStyle name="Normal 108 3 2 2 2" xfId="34964" xr:uid="{00000000-0005-0000-0000-000090880000}"/>
    <cellStyle name="Normal 108 3 2 2 3" xfId="34965" xr:uid="{00000000-0005-0000-0000-000091880000}"/>
    <cellStyle name="Normal 108 3 2 3" xfId="34966" xr:uid="{00000000-0005-0000-0000-000092880000}"/>
    <cellStyle name="Normal 108 3 3" xfId="34967" xr:uid="{00000000-0005-0000-0000-000093880000}"/>
    <cellStyle name="Normal 108 4" xfId="34968" xr:uid="{00000000-0005-0000-0000-000094880000}"/>
    <cellStyle name="Normal 109" xfId="34969" xr:uid="{00000000-0005-0000-0000-000095880000}"/>
    <cellStyle name="Normal 109 2" xfId="34970" xr:uid="{00000000-0005-0000-0000-000096880000}"/>
    <cellStyle name="Normal 109 2 2" xfId="34971" xr:uid="{00000000-0005-0000-0000-000097880000}"/>
    <cellStyle name="Normal 109 3" xfId="34972" xr:uid="{00000000-0005-0000-0000-000098880000}"/>
    <cellStyle name="Normal 11" xfId="34973" xr:uid="{00000000-0005-0000-0000-000099880000}"/>
    <cellStyle name="Normal 11 2" xfId="34974" xr:uid="{00000000-0005-0000-0000-00009A880000}"/>
    <cellStyle name="Normal 11 2 2" xfId="34975" xr:uid="{00000000-0005-0000-0000-00009B880000}"/>
    <cellStyle name="Normal 11 2 3" xfId="34976" xr:uid="{00000000-0005-0000-0000-00009C880000}"/>
    <cellStyle name="Normal 11 2 4" xfId="34977" xr:uid="{00000000-0005-0000-0000-00009D880000}"/>
    <cellStyle name="Normal 11 2 5" xfId="34978" xr:uid="{00000000-0005-0000-0000-00009E880000}"/>
    <cellStyle name="Normal 11 3" xfId="34979" xr:uid="{00000000-0005-0000-0000-00009F880000}"/>
    <cellStyle name="Normal 11 3 2" xfId="34980" xr:uid="{00000000-0005-0000-0000-0000A0880000}"/>
    <cellStyle name="Normal 11 3 2 2" xfId="34981" xr:uid="{00000000-0005-0000-0000-0000A1880000}"/>
    <cellStyle name="Normal 11 3 3" xfId="34982" xr:uid="{00000000-0005-0000-0000-0000A2880000}"/>
    <cellStyle name="Normal 11 3 3 2" xfId="34983" xr:uid="{00000000-0005-0000-0000-0000A3880000}"/>
    <cellStyle name="Normal 11 3 4" xfId="34984" xr:uid="{00000000-0005-0000-0000-0000A4880000}"/>
    <cellStyle name="Normal 11 4" xfId="34985" xr:uid="{00000000-0005-0000-0000-0000A5880000}"/>
    <cellStyle name="Normal 11 4 2" xfId="34986" xr:uid="{00000000-0005-0000-0000-0000A6880000}"/>
    <cellStyle name="Normal 11 4 2 2" xfId="34987" xr:uid="{00000000-0005-0000-0000-0000A7880000}"/>
    <cellStyle name="Normal 11 4 2 2 2" xfId="34988" xr:uid="{00000000-0005-0000-0000-0000A8880000}"/>
    <cellStyle name="Normal 11 4 2 3" xfId="34989" xr:uid="{00000000-0005-0000-0000-0000A9880000}"/>
    <cellStyle name="Normal 11 4 3" xfId="34990" xr:uid="{00000000-0005-0000-0000-0000AA880000}"/>
    <cellStyle name="Normal 11 4 3 2" xfId="34991" xr:uid="{00000000-0005-0000-0000-0000AB880000}"/>
    <cellStyle name="Normal 11 4 4" xfId="34992" xr:uid="{00000000-0005-0000-0000-0000AC880000}"/>
    <cellStyle name="Normal 11 5" xfId="34993" xr:uid="{00000000-0005-0000-0000-0000AD880000}"/>
    <cellStyle name="Normal 11 5 2" xfId="34994" xr:uid="{00000000-0005-0000-0000-0000AE880000}"/>
    <cellStyle name="Normal 11 5 2 2" xfId="34995" xr:uid="{00000000-0005-0000-0000-0000AF880000}"/>
    <cellStyle name="Normal 11 5 3" xfId="34996" xr:uid="{00000000-0005-0000-0000-0000B0880000}"/>
    <cellStyle name="Normal 11 6" xfId="34997" xr:uid="{00000000-0005-0000-0000-0000B1880000}"/>
    <cellStyle name="Normal 11 6 2" xfId="34998" xr:uid="{00000000-0005-0000-0000-0000B2880000}"/>
    <cellStyle name="Normal 11 7" xfId="34999" xr:uid="{00000000-0005-0000-0000-0000B3880000}"/>
    <cellStyle name="Normal 11 8" xfId="35000" xr:uid="{00000000-0005-0000-0000-0000B4880000}"/>
    <cellStyle name="Normal 110" xfId="35001" xr:uid="{00000000-0005-0000-0000-0000B5880000}"/>
    <cellStyle name="Normal 110 2" xfId="35002" xr:uid="{00000000-0005-0000-0000-0000B6880000}"/>
    <cellStyle name="Normal 110 2 2" xfId="35003" xr:uid="{00000000-0005-0000-0000-0000B7880000}"/>
    <cellStyle name="Normal 110 3" xfId="35004" xr:uid="{00000000-0005-0000-0000-0000B8880000}"/>
    <cellStyle name="Normal 111" xfId="35005" xr:uid="{00000000-0005-0000-0000-0000B9880000}"/>
    <cellStyle name="Normal 111 2" xfId="35006" xr:uid="{00000000-0005-0000-0000-0000BA880000}"/>
    <cellStyle name="Normal 111 2 2" xfId="35007" xr:uid="{00000000-0005-0000-0000-0000BB880000}"/>
    <cellStyle name="Normal 111 2 2 2" xfId="35008" xr:uid="{00000000-0005-0000-0000-0000BC880000}"/>
    <cellStyle name="Normal 111 2 2 2 2" xfId="35009" xr:uid="{00000000-0005-0000-0000-0000BD880000}"/>
    <cellStyle name="Normal 111 2 2 2 2 2" xfId="35010" xr:uid="{00000000-0005-0000-0000-0000BE880000}"/>
    <cellStyle name="Normal 111 2 2 2 2 3" xfId="35011" xr:uid="{00000000-0005-0000-0000-0000BF880000}"/>
    <cellStyle name="Normal 111 2 2 2 3" xfId="35012" xr:uid="{00000000-0005-0000-0000-0000C0880000}"/>
    <cellStyle name="Normal 111 2 2 3" xfId="35013" xr:uid="{00000000-0005-0000-0000-0000C1880000}"/>
    <cellStyle name="Normal 111 2 3" xfId="35014" xr:uid="{00000000-0005-0000-0000-0000C2880000}"/>
    <cellStyle name="Normal 111 2 3 2" xfId="35015" xr:uid="{00000000-0005-0000-0000-0000C3880000}"/>
    <cellStyle name="Normal 111 2 3 2 2" xfId="35016" xr:uid="{00000000-0005-0000-0000-0000C4880000}"/>
    <cellStyle name="Normal 111 2 3 2 3" xfId="35017" xr:uid="{00000000-0005-0000-0000-0000C5880000}"/>
    <cellStyle name="Normal 111 2 3 3" xfId="35018" xr:uid="{00000000-0005-0000-0000-0000C6880000}"/>
    <cellStyle name="Normal 111 2 4" xfId="35019" xr:uid="{00000000-0005-0000-0000-0000C7880000}"/>
    <cellStyle name="Normal 111 3" xfId="35020" xr:uid="{00000000-0005-0000-0000-0000C8880000}"/>
    <cellStyle name="Normal 111 3 2" xfId="35021" xr:uid="{00000000-0005-0000-0000-0000C9880000}"/>
    <cellStyle name="Normal 111 3 2 2" xfId="35022" xr:uid="{00000000-0005-0000-0000-0000CA880000}"/>
    <cellStyle name="Normal 111 3 3" xfId="35023" xr:uid="{00000000-0005-0000-0000-0000CB880000}"/>
    <cellStyle name="Normal 111 4" xfId="35024" xr:uid="{00000000-0005-0000-0000-0000CC880000}"/>
    <cellStyle name="Normal 111 4 2" xfId="35025" xr:uid="{00000000-0005-0000-0000-0000CD880000}"/>
    <cellStyle name="Normal 111 5" xfId="35026" xr:uid="{00000000-0005-0000-0000-0000CE880000}"/>
    <cellStyle name="Normal 112" xfId="35027" xr:uid="{00000000-0005-0000-0000-0000CF880000}"/>
    <cellStyle name="Normal 112 2" xfId="35028" xr:uid="{00000000-0005-0000-0000-0000D0880000}"/>
    <cellStyle name="Normal 112 2 2" xfId="35029" xr:uid="{00000000-0005-0000-0000-0000D1880000}"/>
    <cellStyle name="Normal 112 2 2 2" xfId="35030" xr:uid="{00000000-0005-0000-0000-0000D2880000}"/>
    <cellStyle name="Normal 112 2 3" xfId="35031" xr:uid="{00000000-0005-0000-0000-0000D3880000}"/>
    <cellStyle name="Normal 112 3" xfId="35032" xr:uid="{00000000-0005-0000-0000-0000D4880000}"/>
    <cellStyle name="Normal 112 3 2" xfId="35033" xr:uid="{00000000-0005-0000-0000-0000D5880000}"/>
    <cellStyle name="Normal 112 4" xfId="35034" xr:uid="{00000000-0005-0000-0000-0000D6880000}"/>
    <cellStyle name="Normal 113" xfId="35035" xr:uid="{00000000-0005-0000-0000-0000D7880000}"/>
    <cellStyle name="Normal 113 2" xfId="35036" xr:uid="{00000000-0005-0000-0000-0000D8880000}"/>
    <cellStyle name="Normal 113 2 2" xfId="35037" xr:uid="{00000000-0005-0000-0000-0000D9880000}"/>
    <cellStyle name="Normal 113 2 2 2" xfId="35038" xr:uid="{00000000-0005-0000-0000-0000DA880000}"/>
    <cellStyle name="Normal 113 2 2 2 2" xfId="35039" xr:uid="{00000000-0005-0000-0000-0000DB880000}"/>
    <cellStyle name="Normal 113 2 2 2 2 2" xfId="35040" xr:uid="{00000000-0005-0000-0000-0000DC880000}"/>
    <cellStyle name="Normal 113 2 2 2 3" xfId="35041" xr:uid="{00000000-0005-0000-0000-0000DD880000}"/>
    <cellStyle name="Normal 113 2 2 3" xfId="35042" xr:uid="{00000000-0005-0000-0000-0000DE880000}"/>
    <cellStyle name="Normal 113 2 2 3 2" xfId="35043" xr:uid="{00000000-0005-0000-0000-0000DF880000}"/>
    <cellStyle name="Normal 113 2 2 4" xfId="35044" xr:uid="{00000000-0005-0000-0000-0000E0880000}"/>
    <cellStyle name="Normal 113 2 3" xfId="35045" xr:uid="{00000000-0005-0000-0000-0000E1880000}"/>
    <cellStyle name="Normal 113 2 3 2" xfId="35046" xr:uid="{00000000-0005-0000-0000-0000E2880000}"/>
    <cellStyle name="Normal 113 2 3 2 2" xfId="35047" xr:uid="{00000000-0005-0000-0000-0000E3880000}"/>
    <cellStyle name="Normal 113 2 3 3" xfId="35048" xr:uid="{00000000-0005-0000-0000-0000E4880000}"/>
    <cellStyle name="Normal 113 2 4" xfId="35049" xr:uid="{00000000-0005-0000-0000-0000E5880000}"/>
    <cellStyle name="Normal 113 2 4 2" xfId="35050" xr:uid="{00000000-0005-0000-0000-0000E6880000}"/>
    <cellStyle name="Normal 113 2 5" xfId="35051" xr:uid="{00000000-0005-0000-0000-0000E7880000}"/>
    <cellStyle name="Normal 113 3" xfId="35052" xr:uid="{00000000-0005-0000-0000-0000E8880000}"/>
    <cellStyle name="Normal 113 3 2" xfId="35053" xr:uid="{00000000-0005-0000-0000-0000E9880000}"/>
    <cellStyle name="Normal 113 3 2 2" xfId="35054" xr:uid="{00000000-0005-0000-0000-0000EA880000}"/>
    <cellStyle name="Normal 113 3 2 2 2" xfId="35055" xr:uid="{00000000-0005-0000-0000-0000EB880000}"/>
    <cellStyle name="Normal 113 3 2 3" xfId="35056" xr:uid="{00000000-0005-0000-0000-0000EC880000}"/>
    <cellStyle name="Normal 113 3 3" xfId="35057" xr:uid="{00000000-0005-0000-0000-0000ED880000}"/>
    <cellStyle name="Normal 113 3 3 2" xfId="35058" xr:uid="{00000000-0005-0000-0000-0000EE880000}"/>
    <cellStyle name="Normal 113 3 4" xfId="35059" xr:uid="{00000000-0005-0000-0000-0000EF880000}"/>
    <cellStyle name="Normal 113 4" xfId="35060" xr:uid="{00000000-0005-0000-0000-0000F0880000}"/>
    <cellStyle name="Normal 113 4 2" xfId="35061" xr:uid="{00000000-0005-0000-0000-0000F1880000}"/>
    <cellStyle name="Normal 113 4 2 2" xfId="35062" xr:uid="{00000000-0005-0000-0000-0000F2880000}"/>
    <cellStyle name="Normal 113 4 3" xfId="35063" xr:uid="{00000000-0005-0000-0000-0000F3880000}"/>
    <cellStyle name="Normal 113 5" xfId="35064" xr:uid="{00000000-0005-0000-0000-0000F4880000}"/>
    <cellStyle name="Normal 113 5 2" xfId="35065" xr:uid="{00000000-0005-0000-0000-0000F5880000}"/>
    <cellStyle name="Normal 113 6" xfId="35066" xr:uid="{00000000-0005-0000-0000-0000F6880000}"/>
    <cellStyle name="Normal 114" xfId="35067" xr:uid="{00000000-0005-0000-0000-0000F7880000}"/>
    <cellStyle name="Normal 114 2" xfId="35068" xr:uid="{00000000-0005-0000-0000-0000F8880000}"/>
    <cellStyle name="Normal 114 2 2" xfId="35069" xr:uid="{00000000-0005-0000-0000-0000F9880000}"/>
    <cellStyle name="Normal 115" xfId="35070" xr:uid="{00000000-0005-0000-0000-0000FA880000}"/>
    <cellStyle name="Normal 115 2" xfId="35071" xr:uid="{00000000-0005-0000-0000-0000FB880000}"/>
    <cellStyle name="Normal 115 2 2" xfId="35072" xr:uid="{00000000-0005-0000-0000-0000FC880000}"/>
    <cellStyle name="Normal 115 3" xfId="35073" xr:uid="{00000000-0005-0000-0000-0000FD880000}"/>
    <cellStyle name="Normal 116" xfId="35074" xr:uid="{00000000-0005-0000-0000-0000FE880000}"/>
    <cellStyle name="Normal 116 2" xfId="35075" xr:uid="{00000000-0005-0000-0000-0000FF880000}"/>
    <cellStyle name="Normal 116 2 2" xfId="35076" xr:uid="{00000000-0005-0000-0000-000000890000}"/>
    <cellStyle name="Normal 116 3" xfId="35077" xr:uid="{00000000-0005-0000-0000-000001890000}"/>
    <cellStyle name="Normal 117" xfId="35078" xr:uid="{00000000-0005-0000-0000-000002890000}"/>
    <cellStyle name="Normal 117 2" xfId="35079" xr:uid="{00000000-0005-0000-0000-000003890000}"/>
    <cellStyle name="Normal 118" xfId="35080" xr:uid="{00000000-0005-0000-0000-000004890000}"/>
    <cellStyle name="Normal 118 2" xfId="35081" xr:uid="{00000000-0005-0000-0000-000005890000}"/>
    <cellStyle name="Normal 119" xfId="35082" xr:uid="{00000000-0005-0000-0000-000006890000}"/>
    <cellStyle name="Normal 119 2" xfId="35083" xr:uid="{00000000-0005-0000-0000-000007890000}"/>
    <cellStyle name="Normal 119 2 2" xfId="35084" xr:uid="{00000000-0005-0000-0000-000008890000}"/>
    <cellStyle name="Normal 119 2 2 2" xfId="35085" xr:uid="{00000000-0005-0000-0000-000009890000}"/>
    <cellStyle name="Normal 119 2 3" xfId="35086" xr:uid="{00000000-0005-0000-0000-00000A890000}"/>
    <cellStyle name="Normal 119 3" xfId="35087" xr:uid="{00000000-0005-0000-0000-00000B890000}"/>
    <cellStyle name="Normal 119 3 2" xfId="35088" xr:uid="{00000000-0005-0000-0000-00000C890000}"/>
    <cellStyle name="Normal 119 4" xfId="35089" xr:uid="{00000000-0005-0000-0000-00000D890000}"/>
    <cellStyle name="Normal 12" xfId="35090" xr:uid="{00000000-0005-0000-0000-00000E890000}"/>
    <cellStyle name="Normal 12 2" xfId="35091" xr:uid="{00000000-0005-0000-0000-00000F890000}"/>
    <cellStyle name="Normal 12 2 2" xfId="35092" xr:uid="{00000000-0005-0000-0000-000010890000}"/>
    <cellStyle name="Normal 12 2 3" xfId="35093" xr:uid="{00000000-0005-0000-0000-000011890000}"/>
    <cellStyle name="Normal 12 3" xfId="35094" xr:uid="{00000000-0005-0000-0000-000012890000}"/>
    <cellStyle name="Normal 12 3 2" xfId="35095" xr:uid="{00000000-0005-0000-0000-000013890000}"/>
    <cellStyle name="Normal 12 3 2 2" xfId="35096" xr:uid="{00000000-0005-0000-0000-000014890000}"/>
    <cellStyle name="Normal 12 3 2 2 2" xfId="35097" xr:uid="{00000000-0005-0000-0000-000015890000}"/>
    <cellStyle name="Normal 12 3 2 3" xfId="35098" xr:uid="{00000000-0005-0000-0000-000016890000}"/>
    <cellStyle name="Normal 12 3 3" xfId="35099" xr:uid="{00000000-0005-0000-0000-000017890000}"/>
    <cellStyle name="Normal 12 3 3 2" xfId="35100" xr:uid="{00000000-0005-0000-0000-000018890000}"/>
    <cellStyle name="Normal 12 3 4" xfId="35101" xr:uid="{00000000-0005-0000-0000-000019890000}"/>
    <cellStyle name="Normal 12 4" xfId="35102" xr:uid="{00000000-0005-0000-0000-00001A890000}"/>
    <cellStyle name="Normal 12 4 2" xfId="35103" xr:uid="{00000000-0005-0000-0000-00001B890000}"/>
    <cellStyle name="Normal 12 4 2 2" xfId="35104" xr:uid="{00000000-0005-0000-0000-00001C890000}"/>
    <cellStyle name="Normal 12 4 3" xfId="35105" xr:uid="{00000000-0005-0000-0000-00001D890000}"/>
    <cellStyle name="Normal 12 5" xfId="35106" xr:uid="{00000000-0005-0000-0000-00001E890000}"/>
    <cellStyle name="Normal 12 5 2" xfId="35107" xr:uid="{00000000-0005-0000-0000-00001F890000}"/>
    <cellStyle name="Normal 12 6" xfId="35108" xr:uid="{00000000-0005-0000-0000-000020890000}"/>
    <cellStyle name="Normal 12 7" xfId="35109" xr:uid="{00000000-0005-0000-0000-000021890000}"/>
    <cellStyle name="Normal 120" xfId="35110" xr:uid="{00000000-0005-0000-0000-000022890000}"/>
    <cellStyle name="Normal 120 2" xfId="35111" xr:uid="{00000000-0005-0000-0000-000023890000}"/>
    <cellStyle name="Normal 120 2 2" xfId="35112" xr:uid="{00000000-0005-0000-0000-000024890000}"/>
    <cellStyle name="Normal 120 2 2 2" xfId="35113" xr:uid="{00000000-0005-0000-0000-000025890000}"/>
    <cellStyle name="Normal 120 2 3" xfId="35114" xr:uid="{00000000-0005-0000-0000-000026890000}"/>
    <cellStyle name="Normal 120 3" xfId="35115" xr:uid="{00000000-0005-0000-0000-000027890000}"/>
    <cellStyle name="Normal 120 3 2" xfId="35116" xr:uid="{00000000-0005-0000-0000-000028890000}"/>
    <cellStyle name="Normal 120 4" xfId="35117" xr:uid="{00000000-0005-0000-0000-000029890000}"/>
    <cellStyle name="Normal 121" xfId="35118" xr:uid="{00000000-0005-0000-0000-00002A890000}"/>
    <cellStyle name="Normal 121 2" xfId="35119" xr:uid="{00000000-0005-0000-0000-00002B890000}"/>
    <cellStyle name="Normal 121 2 2" xfId="35120" xr:uid="{00000000-0005-0000-0000-00002C890000}"/>
    <cellStyle name="Normal 121 2 2 2" xfId="35121" xr:uid="{00000000-0005-0000-0000-00002D890000}"/>
    <cellStyle name="Normal 121 2 2 3" xfId="35122" xr:uid="{00000000-0005-0000-0000-00002E890000}"/>
    <cellStyle name="Normal 121 2 3" xfId="35123" xr:uid="{00000000-0005-0000-0000-00002F890000}"/>
    <cellStyle name="Normal 121 3" xfId="35124" xr:uid="{00000000-0005-0000-0000-000030890000}"/>
    <cellStyle name="Normal 122" xfId="35125" xr:uid="{00000000-0005-0000-0000-000031890000}"/>
    <cellStyle name="Normal 122 2" xfId="35126" xr:uid="{00000000-0005-0000-0000-000032890000}"/>
    <cellStyle name="Normal 123" xfId="35127" xr:uid="{00000000-0005-0000-0000-000033890000}"/>
    <cellStyle name="Normal 123 2" xfId="35128" xr:uid="{00000000-0005-0000-0000-000034890000}"/>
    <cellStyle name="Normal 123 2 2" xfId="35129" xr:uid="{00000000-0005-0000-0000-000035890000}"/>
    <cellStyle name="Normal 123 3" xfId="35130" xr:uid="{00000000-0005-0000-0000-000036890000}"/>
    <cellStyle name="Normal 124" xfId="35131" xr:uid="{00000000-0005-0000-0000-000037890000}"/>
    <cellStyle name="Normal 124 2" xfId="35132" xr:uid="{00000000-0005-0000-0000-000038890000}"/>
    <cellStyle name="Normal 124 2 2" xfId="35133" xr:uid="{00000000-0005-0000-0000-000039890000}"/>
    <cellStyle name="Normal 124 3" xfId="35134" xr:uid="{00000000-0005-0000-0000-00003A890000}"/>
    <cellStyle name="Normal 125" xfId="35135" xr:uid="{00000000-0005-0000-0000-00003B890000}"/>
    <cellStyle name="Normal 125 2" xfId="35136" xr:uid="{00000000-0005-0000-0000-00003C890000}"/>
    <cellStyle name="Normal 126" xfId="35137" xr:uid="{00000000-0005-0000-0000-00003D890000}"/>
    <cellStyle name="Normal 126 2" xfId="35138" xr:uid="{00000000-0005-0000-0000-00003E890000}"/>
    <cellStyle name="Normal 127" xfId="35139" xr:uid="{00000000-0005-0000-0000-00003F890000}"/>
    <cellStyle name="Normal 127 2" xfId="35140" xr:uid="{00000000-0005-0000-0000-000040890000}"/>
    <cellStyle name="Normal 128" xfId="35141" xr:uid="{00000000-0005-0000-0000-000041890000}"/>
    <cellStyle name="Normal 128 2" xfId="35142" xr:uid="{00000000-0005-0000-0000-000042890000}"/>
    <cellStyle name="Normal 128 2 2" xfId="35143" xr:uid="{00000000-0005-0000-0000-000043890000}"/>
    <cellStyle name="Normal 128 3" xfId="35144" xr:uid="{00000000-0005-0000-0000-000044890000}"/>
    <cellStyle name="Normal 129" xfId="35145" xr:uid="{00000000-0005-0000-0000-000045890000}"/>
    <cellStyle name="Normal 129 2" xfId="35146" xr:uid="{00000000-0005-0000-0000-000046890000}"/>
    <cellStyle name="Normal 13" xfId="35147" xr:uid="{00000000-0005-0000-0000-000047890000}"/>
    <cellStyle name="Normal 13 2" xfId="35148" xr:uid="{00000000-0005-0000-0000-000048890000}"/>
    <cellStyle name="Normal 13 2 2" xfId="35149" xr:uid="{00000000-0005-0000-0000-000049890000}"/>
    <cellStyle name="Normal 13 2 2 2" xfId="35150" xr:uid="{00000000-0005-0000-0000-00004A890000}"/>
    <cellStyle name="Normal 13 2 2 3" xfId="35151" xr:uid="{00000000-0005-0000-0000-00004B890000}"/>
    <cellStyle name="Normal 13 2 3" xfId="35152" xr:uid="{00000000-0005-0000-0000-00004C890000}"/>
    <cellStyle name="Normal 13 2 3 2" xfId="35153" xr:uid="{00000000-0005-0000-0000-00004D890000}"/>
    <cellStyle name="Normal 13 2 3 3" xfId="35154" xr:uid="{00000000-0005-0000-0000-00004E890000}"/>
    <cellStyle name="Normal 13 2 4" xfId="35155" xr:uid="{00000000-0005-0000-0000-00004F890000}"/>
    <cellStyle name="Normal 13 2 4 2" xfId="35156" xr:uid="{00000000-0005-0000-0000-000050890000}"/>
    <cellStyle name="Normal 13 2 5" xfId="35157" xr:uid="{00000000-0005-0000-0000-000051890000}"/>
    <cellStyle name="Normal 13 2 6" xfId="35158" xr:uid="{00000000-0005-0000-0000-000052890000}"/>
    <cellStyle name="Normal 13 3" xfId="35159" xr:uid="{00000000-0005-0000-0000-000053890000}"/>
    <cellStyle name="Normal 13 3 2" xfId="35160" xr:uid="{00000000-0005-0000-0000-000054890000}"/>
    <cellStyle name="Normal 13 3 2 2" xfId="35161" xr:uid="{00000000-0005-0000-0000-000055890000}"/>
    <cellStyle name="Normal 13 3 2 2 2" xfId="35162" xr:uid="{00000000-0005-0000-0000-000056890000}"/>
    <cellStyle name="Normal 13 3 2 3" xfId="35163" xr:uid="{00000000-0005-0000-0000-000057890000}"/>
    <cellStyle name="Normal 13 3 3" xfId="35164" xr:uid="{00000000-0005-0000-0000-000058890000}"/>
    <cellStyle name="Normal 13 3 3 2" xfId="35165" xr:uid="{00000000-0005-0000-0000-000059890000}"/>
    <cellStyle name="Normal 13 3 4" xfId="35166" xr:uid="{00000000-0005-0000-0000-00005A890000}"/>
    <cellStyle name="Normal 13 4" xfId="35167" xr:uid="{00000000-0005-0000-0000-00005B890000}"/>
    <cellStyle name="Normal 13 4 2" xfId="35168" xr:uid="{00000000-0005-0000-0000-00005C890000}"/>
    <cellStyle name="Normal 13 4 2 2" xfId="35169" xr:uid="{00000000-0005-0000-0000-00005D890000}"/>
    <cellStyle name="Normal 13 4 3" xfId="35170" xr:uid="{00000000-0005-0000-0000-00005E890000}"/>
    <cellStyle name="Normal 13 5" xfId="35171" xr:uid="{00000000-0005-0000-0000-00005F890000}"/>
    <cellStyle name="Normal 13 5 2" xfId="35172" xr:uid="{00000000-0005-0000-0000-000060890000}"/>
    <cellStyle name="Normal 13 6" xfId="35173" xr:uid="{00000000-0005-0000-0000-000061890000}"/>
    <cellStyle name="Normal 13 7" xfId="35174" xr:uid="{00000000-0005-0000-0000-000062890000}"/>
    <cellStyle name="Normal 130" xfId="35175" xr:uid="{00000000-0005-0000-0000-000063890000}"/>
    <cellStyle name="Normal 130 2" xfId="35176" xr:uid="{00000000-0005-0000-0000-000064890000}"/>
    <cellStyle name="Normal 131" xfId="35177" xr:uid="{00000000-0005-0000-0000-000065890000}"/>
    <cellStyle name="Normal 131 2" xfId="35178" xr:uid="{00000000-0005-0000-0000-000066890000}"/>
    <cellStyle name="Normal 132" xfId="35179" xr:uid="{00000000-0005-0000-0000-000067890000}"/>
    <cellStyle name="Normal 132 2" xfId="35180" xr:uid="{00000000-0005-0000-0000-000068890000}"/>
    <cellStyle name="Normal 133" xfId="35181" xr:uid="{00000000-0005-0000-0000-000069890000}"/>
    <cellStyle name="Normal 134" xfId="35182" xr:uid="{00000000-0005-0000-0000-00006A890000}"/>
    <cellStyle name="Normal 135" xfId="35183" xr:uid="{00000000-0005-0000-0000-00006B890000}"/>
    <cellStyle name="Normal 136" xfId="35184" xr:uid="{00000000-0005-0000-0000-00006C890000}"/>
    <cellStyle name="Normal 137" xfId="35185" xr:uid="{00000000-0005-0000-0000-00006D890000}"/>
    <cellStyle name="Normal 138" xfId="35186" xr:uid="{00000000-0005-0000-0000-00006E890000}"/>
    <cellStyle name="Normal 139" xfId="35187" xr:uid="{00000000-0005-0000-0000-00006F890000}"/>
    <cellStyle name="Normal 14" xfId="35188" xr:uid="{00000000-0005-0000-0000-000070890000}"/>
    <cellStyle name="Normal 14 2" xfId="35189" xr:uid="{00000000-0005-0000-0000-000071890000}"/>
    <cellStyle name="Normal 14 3" xfId="35190" xr:uid="{00000000-0005-0000-0000-000072890000}"/>
    <cellStyle name="Normal 14 4" xfId="35191" xr:uid="{00000000-0005-0000-0000-000073890000}"/>
    <cellStyle name="Normal 140" xfId="35192" xr:uid="{00000000-0005-0000-0000-000074890000}"/>
    <cellStyle name="Normal 141" xfId="35193" xr:uid="{00000000-0005-0000-0000-000075890000}"/>
    <cellStyle name="Normal 141 2" xfId="35194" xr:uid="{00000000-0005-0000-0000-000076890000}"/>
    <cellStyle name="Normal 141 2 2" xfId="35195" xr:uid="{00000000-0005-0000-0000-000077890000}"/>
    <cellStyle name="Normal 141 2 2 2" xfId="35196" xr:uid="{00000000-0005-0000-0000-000078890000}"/>
    <cellStyle name="Normal 141 2 3" xfId="35197" xr:uid="{00000000-0005-0000-0000-000079890000}"/>
    <cellStyle name="Normal 141 3" xfId="35198" xr:uid="{00000000-0005-0000-0000-00007A890000}"/>
    <cellStyle name="Normal 141 3 2" xfId="35199" xr:uid="{00000000-0005-0000-0000-00007B890000}"/>
    <cellStyle name="Normal 141 4" xfId="35200" xr:uid="{00000000-0005-0000-0000-00007C890000}"/>
    <cellStyle name="Normal 142" xfId="35201" xr:uid="{00000000-0005-0000-0000-00007D890000}"/>
    <cellStyle name="Normal 143" xfId="35202" xr:uid="{00000000-0005-0000-0000-00007E890000}"/>
    <cellStyle name="Normal 144" xfId="35203" xr:uid="{00000000-0005-0000-0000-00007F890000}"/>
    <cellStyle name="Normal 144 2" xfId="35204" xr:uid="{00000000-0005-0000-0000-000080890000}"/>
    <cellStyle name="Normal 144 2 2" xfId="35205" xr:uid="{00000000-0005-0000-0000-000081890000}"/>
    <cellStyle name="Normal 144 3" xfId="35206" xr:uid="{00000000-0005-0000-0000-000082890000}"/>
    <cellStyle name="Normal 145" xfId="35207" xr:uid="{00000000-0005-0000-0000-000083890000}"/>
    <cellStyle name="Normal 145 2" xfId="35208" xr:uid="{00000000-0005-0000-0000-000084890000}"/>
    <cellStyle name="Normal 145 2 2" xfId="35209" xr:uid="{00000000-0005-0000-0000-000085890000}"/>
    <cellStyle name="Normal 145 3" xfId="35210" xr:uid="{00000000-0005-0000-0000-000086890000}"/>
    <cellStyle name="Normal 146" xfId="35211" xr:uid="{00000000-0005-0000-0000-000087890000}"/>
    <cellStyle name="Normal 147" xfId="35212" xr:uid="{00000000-0005-0000-0000-000088890000}"/>
    <cellStyle name="Normal 147 2" xfId="35213" xr:uid="{00000000-0005-0000-0000-000089890000}"/>
    <cellStyle name="Normal 147 2 2" xfId="35214" xr:uid="{00000000-0005-0000-0000-00008A890000}"/>
    <cellStyle name="Normal 147 3" xfId="35215" xr:uid="{00000000-0005-0000-0000-00008B890000}"/>
    <cellStyle name="Normal 148" xfId="35216" xr:uid="{00000000-0005-0000-0000-00008C890000}"/>
    <cellStyle name="Normal 149" xfId="35217" xr:uid="{00000000-0005-0000-0000-00008D890000}"/>
    <cellStyle name="Normal 149 2" xfId="35218" xr:uid="{00000000-0005-0000-0000-00008E890000}"/>
    <cellStyle name="Normal 15" xfId="35219" xr:uid="{00000000-0005-0000-0000-00008F890000}"/>
    <cellStyle name="Normal 15 2" xfId="35220" xr:uid="{00000000-0005-0000-0000-000090890000}"/>
    <cellStyle name="Normal 15 3" xfId="35221" xr:uid="{00000000-0005-0000-0000-000091890000}"/>
    <cellStyle name="Normal 15 3 2" xfId="35222" xr:uid="{00000000-0005-0000-0000-000092890000}"/>
    <cellStyle name="Normal 15 3 2 2" xfId="35223" xr:uid="{00000000-0005-0000-0000-000093890000}"/>
    <cellStyle name="Normal 15 3 2 2 2" xfId="35224" xr:uid="{00000000-0005-0000-0000-000094890000}"/>
    <cellStyle name="Normal 15 3 2 3" xfId="35225" xr:uid="{00000000-0005-0000-0000-000095890000}"/>
    <cellStyle name="Normal 15 3 3" xfId="35226" xr:uid="{00000000-0005-0000-0000-000096890000}"/>
    <cellStyle name="Normal 15 3 3 2" xfId="35227" xr:uid="{00000000-0005-0000-0000-000097890000}"/>
    <cellStyle name="Normal 15 3 4" xfId="35228" xr:uid="{00000000-0005-0000-0000-000098890000}"/>
    <cellStyle name="Normal 15 4" xfId="35229" xr:uid="{00000000-0005-0000-0000-000099890000}"/>
    <cellStyle name="Normal 15 4 2" xfId="35230" xr:uid="{00000000-0005-0000-0000-00009A890000}"/>
    <cellStyle name="Normal 15 4 2 2" xfId="35231" xr:uid="{00000000-0005-0000-0000-00009B890000}"/>
    <cellStyle name="Normal 15 4 3" xfId="35232" xr:uid="{00000000-0005-0000-0000-00009C890000}"/>
    <cellStyle name="Normal 15 5" xfId="35233" xr:uid="{00000000-0005-0000-0000-00009D890000}"/>
    <cellStyle name="Normal 15 5 2" xfId="35234" xr:uid="{00000000-0005-0000-0000-00009E890000}"/>
    <cellStyle name="Normal 15 6" xfId="35235" xr:uid="{00000000-0005-0000-0000-00009F890000}"/>
    <cellStyle name="Normal 150" xfId="35236" xr:uid="{00000000-0005-0000-0000-0000A0890000}"/>
    <cellStyle name="Normal 150 2" xfId="35237" xr:uid="{00000000-0005-0000-0000-0000A1890000}"/>
    <cellStyle name="Normal 151" xfId="35238" xr:uid="{00000000-0005-0000-0000-0000A2890000}"/>
    <cellStyle name="Normal 151 2" xfId="35239" xr:uid="{00000000-0005-0000-0000-0000A3890000}"/>
    <cellStyle name="Normal 152" xfId="35240" xr:uid="{00000000-0005-0000-0000-0000A4890000}"/>
    <cellStyle name="Normal 152 2" xfId="35241" xr:uid="{00000000-0005-0000-0000-0000A5890000}"/>
    <cellStyle name="Normal 153" xfId="35242" xr:uid="{00000000-0005-0000-0000-0000A6890000}"/>
    <cellStyle name="Normal 153 2" xfId="35243" xr:uid="{00000000-0005-0000-0000-0000A7890000}"/>
    <cellStyle name="Normal 154" xfId="35244" xr:uid="{00000000-0005-0000-0000-0000A8890000}"/>
    <cellStyle name="Normal 155" xfId="35245" xr:uid="{00000000-0005-0000-0000-0000A9890000}"/>
    <cellStyle name="Normal 156" xfId="35246" xr:uid="{00000000-0005-0000-0000-0000AA890000}"/>
    <cellStyle name="Normal 157" xfId="35247" xr:uid="{00000000-0005-0000-0000-0000AB890000}"/>
    <cellStyle name="Normal 158" xfId="35248" xr:uid="{00000000-0005-0000-0000-0000AC890000}"/>
    <cellStyle name="Normal 159" xfId="35249" xr:uid="{00000000-0005-0000-0000-0000AD890000}"/>
    <cellStyle name="Normal 16" xfId="35250" xr:uid="{00000000-0005-0000-0000-0000AE890000}"/>
    <cellStyle name="Normal 16 2" xfId="35251" xr:uid="{00000000-0005-0000-0000-0000AF890000}"/>
    <cellStyle name="Normal 16 3" xfId="35252" xr:uid="{00000000-0005-0000-0000-0000B0890000}"/>
    <cellStyle name="Normal 16 3 2" xfId="35253" xr:uid="{00000000-0005-0000-0000-0000B1890000}"/>
    <cellStyle name="Normal 16 3 2 2" xfId="35254" xr:uid="{00000000-0005-0000-0000-0000B2890000}"/>
    <cellStyle name="Normal 16 3 2 2 2" xfId="35255" xr:uid="{00000000-0005-0000-0000-0000B3890000}"/>
    <cellStyle name="Normal 16 3 2 3" xfId="35256" xr:uid="{00000000-0005-0000-0000-0000B4890000}"/>
    <cellStyle name="Normal 16 3 3" xfId="35257" xr:uid="{00000000-0005-0000-0000-0000B5890000}"/>
    <cellStyle name="Normal 16 3 3 2" xfId="35258" xr:uid="{00000000-0005-0000-0000-0000B6890000}"/>
    <cellStyle name="Normal 16 3 4" xfId="35259" xr:uid="{00000000-0005-0000-0000-0000B7890000}"/>
    <cellStyle name="Normal 16 4" xfId="35260" xr:uid="{00000000-0005-0000-0000-0000B8890000}"/>
    <cellStyle name="Normal 16 4 2" xfId="35261" xr:uid="{00000000-0005-0000-0000-0000B9890000}"/>
    <cellStyle name="Normal 16 4 2 2" xfId="35262" xr:uid="{00000000-0005-0000-0000-0000BA890000}"/>
    <cellStyle name="Normal 16 4 3" xfId="35263" xr:uid="{00000000-0005-0000-0000-0000BB890000}"/>
    <cellStyle name="Normal 16 5" xfId="35264" xr:uid="{00000000-0005-0000-0000-0000BC890000}"/>
    <cellStyle name="Normal 16 5 2" xfId="35265" xr:uid="{00000000-0005-0000-0000-0000BD890000}"/>
    <cellStyle name="Normal 16 6" xfId="35266" xr:uid="{00000000-0005-0000-0000-0000BE890000}"/>
    <cellStyle name="Normal 160" xfId="35267" xr:uid="{00000000-0005-0000-0000-0000BF890000}"/>
    <cellStyle name="Normal 17" xfId="35268" xr:uid="{00000000-0005-0000-0000-0000C0890000}"/>
    <cellStyle name="Normal 17 2" xfId="35269" xr:uid="{00000000-0005-0000-0000-0000C1890000}"/>
    <cellStyle name="Normal 17 3" xfId="35270" xr:uid="{00000000-0005-0000-0000-0000C2890000}"/>
    <cellStyle name="Normal 17 3 2" xfId="35271" xr:uid="{00000000-0005-0000-0000-0000C3890000}"/>
    <cellStyle name="Normal 17 3 2 2" xfId="35272" xr:uid="{00000000-0005-0000-0000-0000C4890000}"/>
    <cellStyle name="Normal 17 3 2 2 2" xfId="35273" xr:uid="{00000000-0005-0000-0000-0000C5890000}"/>
    <cellStyle name="Normal 17 3 2 3" xfId="35274" xr:uid="{00000000-0005-0000-0000-0000C6890000}"/>
    <cellStyle name="Normal 17 3 3" xfId="35275" xr:uid="{00000000-0005-0000-0000-0000C7890000}"/>
    <cellStyle name="Normal 17 3 3 2" xfId="35276" xr:uid="{00000000-0005-0000-0000-0000C8890000}"/>
    <cellStyle name="Normal 17 3 4" xfId="35277" xr:uid="{00000000-0005-0000-0000-0000C9890000}"/>
    <cellStyle name="Normal 17 4" xfId="35278" xr:uid="{00000000-0005-0000-0000-0000CA890000}"/>
    <cellStyle name="Normal 17 4 2" xfId="35279" xr:uid="{00000000-0005-0000-0000-0000CB890000}"/>
    <cellStyle name="Normal 17 4 2 2" xfId="35280" xr:uid="{00000000-0005-0000-0000-0000CC890000}"/>
    <cellStyle name="Normal 17 4 3" xfId="35281" xr:uid="{00000000-0005-0000-0000-0000CD890000}"/>
    <cellStyle name="Normal 17 5" xfId="35282" xr:uid="{00000000-0005-0000-0000-0000CE890000}"/>
    <cellStyle name="Normal 17 5 2" xfId="35283" xr:uid="{00000000-0005-0000-0000-0000CF890000}"/>
    <cellStyle name="Normal 17 6" xfId="35284" xr:uid="{00000000-0005-0000-0000-0000D0890000}"/>
    <cellStyle name="Normal 18" xfId="35285" xr:uid="{00000000-0005-0000-0000-0000D1890000}"/>
    <cellStyle name="Normal 18 2" xfId="35286" xr:uid="{00000000-0005-0000-0000-0000D2890000}"/>
    <cellStyle name="Normal 18 3" xfId="35287" xr:uid="{00000000-0005-0000-0000-0000D3890000}"/>
    <cellStyle name="Normal 18 3 2" xfId="35288" xr:uid="{00000000-0005-0000-0000-0000D4890000}"/>
    <cellStyle name="Normal 18 3 2 2" xfId="35289" xr:uid="{00000000-0005-0000-0000-0000D5890000}"/>
    <cellStyle name="Normal 18 3 2 2 2" xfId="35290" xr:uid="{00000000-0005-0000-0000-0000D6890000}"/>
    <cellStyle name="Normal 18 3 2 3" xfId="35291" xr:uid="{00000000-0005-0000-0000-0000D7890000}"/>
    <cellStyle name="Normal 18 3 3" xfId="35292" xr:uid="{00000000-0005-0000-0000-0000D8890000}"/>
    <cellStyle name="Normal 18 3 3 2" xfId="35293" xr:uid="{00000000-0005-0000-0000-0000D9890000}"/>
    <cellStyle name="Normal 18 3 4" xfId="35294" xr:uid="{00000000-0005-0000-0000-0000DA890000}"/>
    <cellStyle name="Normal 18 4" xfId="35295" xr:uid="{00000000-0005-0000-0000-0000DB890000}"/>
    <cellStyle name="Normal 18 4 2" xfId="35296" xr:uid="{00000000-0005-0000-0000-0000DC890000}"/>
    <cellStyle name="Normal 18 4 2 2" xfId="35297" xr:uid="{00000000-0005-0000-0000-0000DD890000}"/>
    <cellStyle name="Normal 18 4 3" xfId="35298" xr:uid="{00000000-0005-0000-0000-0000DE890000}"/>
    <cellStyle name="Normal 18 5" xfId="35299" xr:uid="{00000000-0005-0000-0000-0000DF890000}"/>
    <cellStyle name="Normal 18 5 2" xfId="35300" xr:uid="{00000000-0005-0000-0000-0000E0890000}"/>
    <cellStyle name="Normal 18 6" xfId="35301" xr:uid="{00000000-0005-0000-0000-0000E1890000}"/>
    <cellStyle name="Normal 19" xfId="35302" xr:uid="{00000000-0005-0000-0000-0000E2890000}"/>
    <cellStyle name="Normal 19 2" xfId="35303" xr:uid="{00000000-0005-0000-0000-0000E3890000}"/>
    <cellStyle name="Normal 19 3" xfId="35304" xr:uid="{00000000-0005-0000-0000-0000E4890000}"/>
    <cellStyle name="Normal 19 3 2" xfId="35305" xr:uid="{00000000-0005-0000-0000-0000E5890000}"/>
    <cellStyle name="Normal 19 3 2 2" xfId="35306" xr:uid="{00000000-0005-0000-0000-0000E6890000}"/>
    <cellStyle name="Normal 19 3 2 2 2" xfId="35307" xr:uid="{00000000-0005-0000-0000-0000E7890000}"/>
    <cellStyle name="Normal 19 3 2 3" xfId="35308" xr:uid="{00000000-0005-0000-0000-0000E8890000}"/>
    <cellStyle name="Normal 19 3 3" xfId="35309" xr:uid="{00000000-0005-0000-0000-0000E9890000}"/>
    <cellStyle name="Normal 19 3 3 2" xfId="35310" xr:uid="{00000000-0005-0000-0000-0000EA890000}"/>
    <cellStyle name="Normal 19 3 4" xfId="35311" xr:uid="{00000000-0005-0000-0000-0000EB890000}"/>
    <cellStyle name="Normal 19 4" xfId="35312" xr:uid="{00000000-0005-0000-0000-0000EC890000}"/>
    <cellStyle name="Normal 19 4 2" xfId="35313" xr:uid="{00000000-0005-0000-0000-0000ED890000}"/>
    <cellStyle name="Normal 19 4 2 2" xfId="35314" xr:uid="{00000000-0005-0000-0000-0000EE890000}"/>
    <cellStyle name="Normal 19 4 3" xfId="35315" xr:uid="{00000000-0005-0000-0000-0000EF890000}"/>
    <cellStyle name="Normal 19 5" xfId="35316" xr:uid="{00000000-0005-0000-0000-0000F0890000}"/>
    <cellStyle name="Normal 19 5 2" xfId="35317" xr:uid="{00000000-0005-0000-0000-0000F1890000}"/>
    <cellStyle name="Normal 19 6" xfId="35318" xr:uid="{00000000-0005-0000-0000-0000F2890000}"/>
    <cellStyle name="Normal 2" xfId="35319" xr:uid="{00000000-0005-0000-0000-0000F3890000}"/>
    <cellStyle name="Normal 2 10" xfId="35320" xr:uid="{00000000-0005-0000-0000-0000F4890000}"/>
    <cellStyle name="Normal 2 10 2" xfId="35321" xr:uid="{00000000-0005-0000-0000-0000F5890000}"/>
    <cellStyle name="Normal 2 10 3" xfId="35322" xr:uid="{00000000-0005-0000-0000-0000F6890000}"/>
    <cellStyle name="Normal 2 11" xfId="35323" xr:uid="{00000000-0005-0000-0000-0000F7890000}"/>
    <cellStyle name="Normal 2 11 2" xfId="35324" xr:uid="{00000000-0005-0000-0000-0000F8890000}"/>
    <cellStyle name="Normal 2 11 3" xfId="35325" xr:uid="{00000000-0005-0000-0000-0000F9890000}"/>
    <cellStyle name="Normal 2 12" xfId="35326" xr:uid="{00000000-0005-0000-0000-0000FA890000}"/>
    <cellStyle name="Normal 2 12 2" xfId="35327" xr:uid="{00000000-0005-0000-0000-0000FB890000}"/>
    <cellStyle name="Normal 2 13" xfId="35328" xr:uid="{00000000-0005-0000-0000-0000FC890000}"/>
    <cellStyle name="Normal 2 13 2" xfId="35329" xr:uid="{00000000-0005-0000-0000-0000FD890000}"/>
    <cellStyle name="Normal 2 14" xfId="35330" xr:uid="{00000000-0005-0000-0000-0000FE890000}"/>
    <cellStyle name="Normal 2 14 2" xfId="35331" xr:uid="{00000000-0005-0000-0000-0000FF890000}"/>
    <cellStyle name="Normal 2 15" xfId="35332" xr:uid="{00000000-0005-0000-0000-0000008A0000}"/>
    <cellStyle name="Normal 2 15 2" xfId="35333" xr:uid="{00000000-0005-0000-0000-0000018A0000}"/>
    <cellStyle name="Normal 2 16" xfId="35334" xr:uid="{00000000-0005-0000-0000-0000028A0000}"/>
    <cellStyle name="Normal 2 16 2" xfId="35335" xr:uid="{00000000-0005-0000-0000-0000038A0000}"/>
    <cellStyle name="Normal 2 17" xfId="35336" xr:uid="{00000000-0005-0000-0000-0000048A0000}"/>
    <cellStyle name="Normal 2 17 2" xfId="35337" xr:uid="{00000000-0005-0000-0000-0000058A0000}"/>
    <cellStyle name="Normal 2 18" xfId="35338" xr:uid="{00000000-0005-0000-0000-0000068A0000}"/>
    <cellStyle name="Normal 2 18 2" xfId="35339" xr:uid="{00000000-0005-0000-0000-0000078A0000}"/>
    <cellStyle name="Normal 2 19" xfId="35340" xr:uid="{00000000-0005-0000-0000-0000088A0000}"/>
    <cellStyle name="Normal 2 19 2" xfId="35341" xr:uid="{00000000-0005-0000-0000-0000098A0000}"/>
    <cellStyle name="Normal 2 2" xfId="35342" xr:uid="{00000000-0005-0000-0000-00000A8A0000}"/>
    <cellStyle name="Normal 2 2 10" xfId="35343" xr:uid="{00000000-0005-0000-0000-00000B8A0000}"/>
    <cellStyle name="Normal 2 2 10 2" xfId="35344" xr:uid="{00000000-0005-0000-0000-00000C8A0000}"/>
    <cellStyle name="Normal 2 2 11" xfId="35345" xr:uid="{00000000-0005-0000-0000-00000D8A0000}"/>
    <cellStyle name="Normal 2 2 2" xfId="35346" xr:uid="{00000000-0005-0000-0000-00000E8A0000}"/>
    <cellStyle name="Normal 2 2 2 2" xfId="35347" xr:uid="{00000000-0005-0000-0000-00000F8A0000}"/>
    <cellStyle name="Normal 2 2 2 2 2" xfId="35348" xr:uid="{00000000-0005-0000-0000-0000108A0000}"/>
    <cellStyle name="Normal 2 2 2 2 2 2" xfId="35349" xr:uid="{00000000-0005-0000-0000-0000118A0000}"/>
    <cellStyle name="Normal 2 2 2 2 3" xfId="35350" xr:uid="{00000000-0005-0000-0000-0000128A0000}"/>
    <cellStyle name="Normal 2 2 2 2 4" xfId="35351" xr:uid="{00000000-0005-0000-0000-0000138A0000}"/>
    <cellStyle name="Normal 2 2 2 2 5" xfId="35352" xr:uid="{00000000-0005-0000-0000-0000148A0000}"/>
    <cellStyle name="Normal 2 2 2 2 6" xfId="35353" xr:uid="{00000000-0005-0000-0000-0000158A0000}"/>
    <cellStyle name="Normal 2 2 2 2 6 2" xfId="35354" xr:uid="{00000000-0005-0000-0000-0000168A0000}"/>
    <cellStyle name="Normal 2 2 2 2 6 3" xfId="35355" xr:uid="{00000000-0005-0000-0000-0000178A0000}"/>
    <cellStyle name="Normal 2 2 2 2 7" xfId="35356" xr:uid="{00000000-0005-0000-0000-0000188A0000}"/>
    <cellStyle name="Normal 2 2 2 2 8" xfId="35357" xr:uid="{00000000-0005-0000-0000-0000198A0000}"/>
    <cellStyle name="Normal 2 2 2 3" xfId="35358" xr:uid="{00000000-0005-0000-0000-00001A8A0000}"/>
    <cellStyle name="Normal 2 2 2 3 2" xfId="35359" xr:uid="{00000000-0005-0000-0000-00001B8A0000}"/>
    <cellStyle name="Normal 2 2 2 3 3" xfId="35360" xr:uid="{00000000-0005-0000-0000-00001C8A0000}"/>
    <cellStyle name="Normal 2 2 2 4" xfId="35361" xr:uid="{00000000-0005-0000-0000-00001D8A0000}"/>
    <cellStyle name="Normal 2 2 2 4 2" xfId="35362" xr:uid="{00000000-0005-0000-0000-00001E8A0000}"/>
    <cellStyle name="Normal 2 2 2 5" xfId="35363" xr:uid="{00000000-0005-0000-0000-00001F8A0000}"/>
    <cellStyle name="Normal 2 2 2 5 2" xfId="35364" xr:uid="{00000000-0005-0000-0000-0000208A0000}"/>
    <cellStyle name="Normal 2 2 2 5 2 2" xfId="35365" xr:uid="{00000000-0005-0000-0000-0000218A0000}"/>
    <cellStyle name="Normal 2 2 2 5 2 3" xfId="35366" xr:uid="{00000000-0005-0000-0000-0000228A0000}"/>
    <cellStyle name="Normal 2 2 2 5 3" xfId="35367" xr:uid="{00000000-0005-0000-0000-0000238A0000}"/>
    <cellStyle name="Normal 2 2 2 5 4" xfId="35368" xr:uid="{00000000-0005-0000-0000-0000248A0000}"/>
    <cellStyle name="Normal 2 2 2 6" xfId="35369" xr:uid="{00000000-0005-0000-0000-0000258A0000}"/>
    <cellStyle name="Normal 2 2 2 6 2" xfId="35370" xr:uid="{00000000-0005-0000-0000-0000268A0000}"/>
    <cellStyle name="Normal 2 2 2 6 2 2" xfId="35371" xr:uid="{00000000-0005-0000-0000-0000278A0000}"/>
    <cellStyle name="Normal 2 2 2 6 2 3" xfId="35372" xr:uid="{00000000-0005-0000-0000-0000288A0000}"/>
    <cellStyle name="Normal 2 2 2 6 3" xfId="35373" xr:uid="{00000000-0005-0000-0000-0000298A0000}"/>
    <cellStyle name="Normal 2 2 2 6 4" xfId="35374" xr:uid="{00000000-0005-0000-0000-00002A8A0000}"/>
    <cellStyle name="Normal 2 2 2 7" xfId="35375" xr:uid="{00000000-0005-0000-0000-00002B8A0000}"/>
    <cellStyle name="Normal 2 2 2 7 2" xfId="35376" xr:uid="{00000000-0005-0000-0000-00002C8A0000}"/>
    <cellStyle name="Normal 2 2 2 7 2 2" xfId="35377" xr:uid="{00000000-0005-0000-0000-00002D8A0000}"/>
    <cellStyle name="Normal 2 2 2 7 2 3" xfId="35378" xr:uid="{00000000-0005-0000-0000-00002E8A0000}"/>
    <cellStyle name="Normal 2 2 2 7 3" xfId="35379" xr:uid="{00000000-0005-0000-0000-00002F8A0000}"/>
    <cellStyle name="Normal 2 2 2 7 4" xfId="35380" xr:uid="{00000000-0005-0000-0000-0000308A0000}"/>
    <cellStyle name="Normal 2 2 2 8" xfId="35381" xr:uid="{00000000-0005-0000-0000-0000318A0000}"/>
    <cellStyle name="Normal 2 2 2 9" xfId="35382" xr:uid="{00000000-0005-0000-0000-0000328A0000}"/>
    <cellStyle name="Normal 2 2 3" xfId="35383" xr:uid="{00000000-0005-0000-0000-0000338A0000}"/>
    <cellStyle name="Normal 2 2 3 2" xfId="35384" xr:uid="{00000000-0005-0000-0000-0000348A0000}"/>
    <cellStyle name="Normal 2 2 3 2 2" xfId="35385" xr:uid="{00000000-0005-0000-0000-0000358A0000}"/>
    <cellStyle name="Normal 2 2 3 2 2 2" xfId="35386" xr:uid="{00000000-0005-0000-0000-0000368A0000}"/>
    <cellStyle name="Normal 2 2 3 2 2 3" xfId="35387" xr:uid="{00000000-0005-0000-0000-0000378A0000}"/>
    <cellStyle name="Normal 2 2 3 2 3" xfId="35388" xr:uid="{00000000-0005-0000-0000-0000388A0000}"/>
    <cellStyle name="Normal 2 2 3 2 4" xfId="35389" xr:uid="{00000000-0005-0000-0000-0000398A0000}"/>
    <cellStyle name="Normal 2 2 3 3" xfId="35390" xr:uid="{00000000-0005-0000-0000-00003A8A0000}"/>
    <cellStyle name="Normal 2 2 3 3 2" xfId="35391" xr:uid="{00000000-0005-0000-0000-00003B8A0000}"/>
    <cellStyle name="Normal 2 2 3 3 2 2" xfId="35392" xr:uid="{00000000-0005-0000-0000-00003C8A0000}"/>
    <cellStyle name="Normal 2 2 3 3 2 3" xfId="35393" xr:uid="{00000000-0005-0000-0000-00003D8A0000}"/>
    <cellStyle name="Normal 2 2 3 3 3" xfId="35394" xr:uid="{00000000-0005-0000-0000-00003E8A0000}"/>
    <cellStyle name="Normal 2 2 3 3 4" xfId="35395" xr:uid="{00000000-0005-0000-0000-00003F8A0000}"/>
    <cellStyle name="Normal 2 2 3 4" xfId="35396" xr:uid="{00000000-0005-0000-0000-0000408A0000}"/>
    <cellStyle name="Normal 2 2 3 4 2" xfId="35397" xr:uid="{00000000-0005-0000-0000-0000418A0000}"/>
    <cellStyle name="Normal 2 2 3 4 2 2" xfId="35398" xr:uid="{00000000-0005-0000-0000-0000428A0000}"/>
    <cellStyle name="Normal 2 2 3 4 2 3" xfId="35399" xr:uid="{00000000-0005-0000-0000-0000438A0000}"/>
    <cellStyle name="Normal 2 2 3 4 3" xfId="35400" xr:uid="{00000000-0005-0000-0000-0000448A0000}"/>
    <cellStyle name="Normal 2 2 3 4 4" xfId="35401" xr:uid="{00000000-0005-0000-0000-0000458A0000}"/>
    <cellStyle name="Normal 2 2 3 5" xfId="35402" xr:uid="{00000000-0005-0000-0000-0000468A0000}"/>
    <cellStyle name="Normal 2 2 3 5 2" xfId="35403" xr:uid="{00000000-0005-0000-0000-0000478A0000}"/>
    <cellStyle name="Normal 2 2 3 5 2 2" xfId="35404" xr:uid="{00000000-0005-0000-0000-0000488A0000}"/>
    <cellStyle name="Normal 2 2 3 5 2 3" xfId="35405" xr:uid="{00000000-0005-0000-0000-0000498A0000}"/>
    <cellStyle name="Normal 2 2 3 5 3" xfId="35406" xr:uid="{00000000-0005-0000-0000-00004A8A0000}"/>
    <cellStyle name="Normal 2 2 3 5 4" xfId="35407" xr:uid="{00000000-0005-0000-0000-00004B8A0000}"/>
    <cellStyle name="Normal 2 2 3 6" xfId="35408" xr:uid="{00000000-0005-0000-0000-00004C8A0000}"/>
    <cellStyle name="Normal 2 2 4" xfId="35409" xr:uid="{00000000-0005-0000-0000-00004D8A0000}"/>
    <cellStyle name="Normal 2 2 4 2" xfId="35410" xr:uid="{00000000-0005-0000-0000-00004E8A0000}"/>
    <cellStyle name="Normal 2 2 4 2 2" xfId="35411" xr:uid="{00000000-0005-0000-0000-00004F8A0000}"/>
    <cellStyle name="Normal 2 2 4 2 3" xfId="35412" xr:uid="{00000000-0005-0000-0000-0000508A0000}"/>
    <cellStyle name="Normal 2 2 4 3" xfId="35413" xr:uid="{00000000-0005-0000-0000-0000518A0000}"/>
    <cellStyle name="Normal 2 2 4 4" xfId="35414" xr:uid="{00000000-0005-0000-0000-0000528A0000}"/>
    <cellStyle name="Normal 2 2 5" xfId="35415" xr:uid="{00000000-0005-0000-0000-0000538A0000}"/>
    <cellStyle name="Normal 2 2 5 2" xfId="35416" xr:uid="{00000000-0005-0000-0000-0000548A0000}"/>
    <cellStyle name="Normal 2 2 5 2 2" xfId="35417" xr:uid="{00000000-0005-0000-0000-0000558A0000}"/>
    <cellStyle name="Normal 2 2 5 2 2 2" xfId="35418" xr:uid="{00000000-0005-0000-0000-0000568A0000}"/>
    <cellStyle name="Normal 2 2 5 2 2 3" xfId="35419" xr:uid="{00000000-0005-0000-0000-0000578A0000}"/>
    <cellStyle name="Normal 2 2 5 2 3" xfId="35420" xr:uid="{00000000-0005-0000-0000-0000588A0000}"/>
    <cellStyle name="Normal 2 2 5 2 4" xfId="35421" xr:uid="{00000000-0005-0000-0000-0000598A0000}"/>
    <cellStyle name="Normal 2 2 5 3" xfId="35422" xr:uid="{00000000-0005-0000-0000-00005A8A0000}"/>
    <cellStyle name="Normal 2 2 5 3 2" xfId="35423" xr:uid="{00000000-0005-0000-0000-00005B8A0000}"/>
    <cellStyle name="Normal 2 2 5 4" xfId="35424" xr:uid="{00000000-0005-0000-0000-00005C8A0000}"/>
    <cellStyle name="Normal 2 2 5 5" xfId="35425" xr:uid="{00000000-0005-0000-0000-00005D8A0000}"/>
    <cellStyle name="Normal 2 2 6" xfId="35426" xr:uid="{00000000-0005-0000-0000-00005E8A0000}"/>
    <cellStyle name="Normal 2 2 6 2" xfId="35427" xr:uid="{00000000-0005-0000-0000-00005F8A0000}"/>
    <cellStyle name="Normal 2 2 6 2 2" xfId="35428" xr:uid="{00000000-0005-0000-0000-0000608A0000}"/>
    <cellStyle name="Normal 2 2 6 2 2 2" xfId="35429" xr:uid="{00000000-0005-0000-0000-0000618A0000}"/>
    <cellStyle name="Normal 2 2 6 2 2 3" xfId="35430" xr:uid="{00000000-0005-0000-0000-0000628A0000}"/>
    <cellStyle name="Normal 2 2 6 2 3" xfId="35431" xr:uid="{00000000-0005-0000-0000-0000638A0000}"/>
    <cellStyle name="Normal 2 2 6 2 4" xfId="35432" xr:uid="{00000000-0005-0000-0000-0000648A0000}"/>
    <cellStyle name="Normal 2 2 6 3" xfId="35433" xr:uid="{00000000-0005-0000-0000-0000658A0000}"/>
    <cellStyle name="Normal 2 2 6 4" xfId="35434" xr:uid="{00000000-0005-0000-0000-0000668A0000}"/>
    <cellStyle name="Normal 2 2 7" xfId="35435" xr:uid="{00000000-0005-0000-0000-0000678A0000}"/>
    <cellStyle name="Normal 2 2 7 2" xfId="35436" xr:uid="{00000000-0005-0000-0000-0000688A0000}"/>
    <cellStyle name="Normal 2 2 7 2 2" xfId="35437" xr:uid="{00000000-0005-0000-0000-0000698A0000}"/>
    <cellStyle name="Normal 2 2 7 3" xfId="35438" xr:uid="{00000000-0005-0000-0000-00006A8A0000}"/>
    <cellStyle name="Normal 2 2 8" xfId="35439" xr:uid="{00000000-0005-0000-0000-00006B8A0000}"/>
    <cellStyle name="Normal 2 2 8 2" xfId="35440" xr:uid="{00000000-0005-0000-0000-00006C8A0000}"/>
    <cellStyle name="Normal 2 2 9" xfId="35441" xr:uid="{00000000-0005-0000-0000-00006D8A0000}"/>
    <cellStyle name="Normal 2 2 9 2" xfId="35442" xr:uid="{00000000-0005-0000-0000-00006E8A0000}"/>
    <cellStyle name="Normal 2 2 9 3" xfId="35443" xr:uid="{00000000-0005-0000-0000-00006F8A0000}"/>
    <cellStyle name="Normal 2 2 9 3 2" xfId="35444" xr:uid="{00000000-0005-0000-0000-0000708A0000}"/>
    <cellStyle name="Normal 2 2 9 3 3" xfId="35445" xr:uid="{00000000-0005-0000-0000-0000718A0000}"/>
    <cellStyle name="Normal 2 2 9 4" xfId="35446" xr:uid="{00000000-0005-0000-0000-0000728A0000}"/>
    <cellStyle name="Normal 2 2 9 5" xfId="35447" xr:uid="{00000000-0005-0000-0000-0000738A0000}"/>
    <cellStyle name="Normal 2 20" xfId="35448" xr:uid="{00000000-0005-0000-0000-0000748A0000}"/>
    <cellStyle name="Normal 2 20 2" xfId="35449" xr:uid="{00000000-0005-0000-0000-0000758A0000}"/>
    <cellStyle name="Normal 2 21" xfId="35450" xr:uid="{00000000-0005-0000-0000-0000768A0000}"/>
    <cellStyle name="Normal 2 21 2" xfId="35451" xr:uid="{00000000-0005-0000-0000-0000778A0000}"/>
    <cellStyle name="Normal 2 22" xfId="35452" xr:uid="{00000000-0005-0000-0000-0000788A0000}"/>
    <cellStyle name="Normal 2 22 2" xfId="35453" xr:uid="{00000000-0005-0000-0000-0000798A0000}"/>
    <cellStyle name="Normal 2 22 2 2" xfId="35454" xr:uid="{00000000-0005-0000-0000-00007A8A0000}"/>
    <cellStyle name="Normal 2 22 3" xfId="35455" xr:uid="{00000000-0005-0000-0000-00007B8A0000}"/>
    <cellStyle name="Normal 2 22 3 2" xfId="35456" xr:uid="{00000000-0005-0000-0000-00007C8A0000}"/>
    <cellStyle name="Normal 2 22 4" xfId="35457" xr:uid="{00000000-0005-0000-0000-00007D8A0000}"/>
    <cellStyle name="Normal 2 22 5" xfId="35458" xr:uid="{00000000-0005-0000-0000-00007E8A0000}"/>
    <cellStyle name="Normal 2 23" xfId="35459" xr:uid="{00000000-0005-0000-0000-00007F8A0000}"/>
    <cellStyle name="Normal 2 23 2" xfId="35460" xr:uid="{00000000-0005-0000-0000-0000808A0000}"/>
    <cellStyle name="Normal 2 23 3" xfId="35461" xr:uid="{00000000-0005-0000-0000-0000818A0000}"/>
    <cellStyle name="Normal 2 24" xfId="35462" xr:uid="{00000000-0005-0000-0000-0000828A0000}"/>
    <cellStyle name="Normal 2 24 2" xfId="35463" xr:uid="{00000000-0005-0000-0000-0000838A0000}"/>
    <cellStyle name="Normal 2 25" xfId="35464" xr:uid="{00000000-0005-0000-0000-0000848A0000}"/>
    <cellStyle name="Normal 2 25 2" xfId="35465" xr:uid="{00000000-0005-0000-0000-0000858A0000}"/>
    <cellStyle name="Normal 2 25 2 2" xfId="35466" xr:uid="{00000000-0005-0000-0000-0000868A0000}"/>
    <cellStyle name="Normal 2 25 3" xfId="35467" xr:uid="{00000000-0005-0000-0000-0000878A0000}"/>
    <cellStyle name="Normal 2 26" xfId="35468" xr:uid="{00000000-0005-0000-0000-0000888A0000}"/>
    <cellStyle name="Normal 2 27" xfId="35469" xr:uid="{00000000-0005-0000-0000-0000898A0000}"/>
    <cellStyle name="Normal 2 27 2" xfId="35470" xr:uid="{00000000-0005-0000-0000-00008A8A0000}"/>
    <cellStyle name="Normal 2 28" xfId="35471" xr:uid="{00000000-0005-0000-0000-00008B8A0000}"/>
    <cellStyle name="Normal 2 28 2" xfId="35472" xr:uid="{00000000-0005-0000-0000-00008C8A0000}"/>
    <cellStyle name="Normal 2 28 2 2" xfId="35473" xr:uid="{00000000-0005-0000-0000-00008D8A0000}"/>
    <cellStyle name="Normal 2 28 2 2 2" xfId="35474" xr:uid="{00000000-0005-0000-0000-00008E8A0000}"/>
    <cellStyle name="Normal 2 28 2 2 2 2" xfId="35475" xr:uid="{00000000-0005-0000-0000-00008F8A0000}"/>
    <cellStyle name="Normal 2 28 2 2 3" xfId="35476" xr:uid="{00000000-0005-0000-0000-0000908A0000}"/>
    <cellStyle name="Normal 2 28 2 3" xfId="35477" xr:uid="{00000000-0005-0000-0000-0000918A0000}"/>
    <cellStyle name="Normal 2 28 3" xfId="35478" xr:uid="{00000000-0005-0000-0000-0000928A0000}"/>
    <cellStyle name="Normal 2 28 3 2" xfId="35479" xr:uid="{00000000-0005-0000-0000-0000938A0000}"/>
    <cellStyle name="Normal 2 28 4" xfId="35480" xr:uid="{00000000-0005-0000-0000-0000948A0000}"/>
    <cellStyle name="Normal 2 28 5" xfId="35481" xr:uid="{00000000-0005-0000-0000-0000958A0000}"/>
    <cellStyle name="Normal 2 29" xfId="35482" xr:uid="{00000000-0005-0000-0000-0000968A0000}"/>
    <cellStyle name="Normal 2 29 2" xfId="35483" xr:uid="{00000000-0005-0000-0000-0000978A0000}"/>
    <cellStyle name="Normal 2 3" xfId="35484" xr:uid="{00000000-0005-0000-0000-0000988A0000}"/>
    <cellStyle name="Normal 2 3 2" xfId="35485" xr:uid="{00000000-0005-0000-0000-0000998A0000}"/>
    <cellStyle name="Normal 2 3 2 2" xfId="35486" xr:uid="{00000000-0005-0000-0000-00009A8A0000}"/>
    <cellStyle name="Normal 2 3 2 3" xfId="35487" xr:uid="{00000000-0005-0000-0000-00009B8A0000}"/>
    <cellStyle name="Normal 2 3 2 4" xfId="35488" xr:uid="{00000000-0005-0000-0000-00009C8A0000}"/>
    <cellStyle name="Normal 2 3 3" xfId="35489" xr:uid="{00000000-0005-0000-0000-00009D8A0000}"/>
    <cellStyle name="Normal 2 3 3 2" xfId="35490" xr:uid="{00000000-0005-0000-0000-00009E8A0000}"/>
    <cellStyle name="Normal 2 3 3 3" xfId="35491" xr:uid="{00000000-0005-0000-0000-00009F8A0000}"/>
    <cellStyle name="Normal 2 3 4" xfId="35492" xr:uid="{00000000-0005-0000-0000-0000A08A0000}"/>
    <cellStyle name="Normal 2 3 4 2" xfId="35493" xr:uid="{00000000-0005-0000-0000-0000A18A0000}"/>
    <cellStyle name="Normal 2 3 4 3" xfId="35494" xr:uid="{00000000-0005-0000-0000-0000A28A0000}"/>
    <cellStyle name="Normal 2 4" xfId="35495" xr:uid="{00000000-0005-0000-0000-0000A38A0000}"/>
    <cellStyle name="Normal 2 4 2" xfId="35496" xr:uid="{00000000-0005-0000-0000-0000A48A0000}"/>
    <cellStyle name="Normal 2 4 2 2" xfId="35497" xr:uid="{00000000-0005-0000-0000-0000A58A0000}"/>
    <cellStyle name="Normal 2 4 2 2 2" xfId="35498" xr:uid="{00000000-0005-0000-0000-0000A68A0000}"/>
    <cellStyle name="Normal 2 4 2 3" xfId="35499" xr:uid="{00000000-0005-0000-0000-0000A78A0000}"/>
    <cellStyle name="Normal 2 4 2 3 2" xfId="35500" xr:uid="{00000000-0005-0000-0000-0000A88A0000}"/>
    <cellStyle name="Normal 2 4 2 4" xfId="35501" xr:uid="{00000000-0005-0000-0000-0000A98A0000}"/>
    <cellStyle name="Normal 2 4 3" xfId="35502" xr:uid="{00000000-0005-0000-0000-0000AA8A0000}"/>
    <cellStyle name="Normal 2 4 3 2" xfId="35503" xr:uid="{00000000-0005-0000-0000-0000AB8A0000}"/>
    <cellStyle name="Normal 2 4 3 3" xfId="35504" xr:uid="{00000000-0005-0000-0000-0000AC8A0000}"/>
    <cellStyle name="Normal 2 4 4" xfId="35505" xr:uid="{00000000-0005-0000-0000-0000AD8A0000}"/>
    <cellStyle name="Normal 2 4 5" xfId="35506" xr:uid="{00000000-0005-0000-0000-0000AE8A0000}"/>
    <cellStyle name="Normal 2 4 6" xfId="35507" xr:uid="{00000000-0005-0000-0000-0000AF8A0000}"/>
    <cellStyle name="Normal 2 4 6 2" xfId="35508" xr:uid="{00000000-0005-0000-0000-0000B08A0000}"/>
    <cellStyle name="Normal 2 4 6 3" xfId="35509" xr:uid="{00000000-0005-0000-0000-0000B18A0000}"/>
    <cellStyle name="Normal 2 4 7" xfId="35510" xr:uid="{00000000-0005-0000-0000-0000B28A0000}"/>
    <cellStyle name="Normal 2 4 7 2" xfId="35511" xr:uid="{00000000-0005-0000-0000-0000B38A0000}"/>
    <cellStyle name="Normal 2 4 7 3" xfId="35512" xr:uid="{00000000-0005-0000-0000-0000B48A0000}"/>
    <cellStyle name="Normal 2 4 8" xfId="35513" xr:uid="{00000000-0005-0000-0000-0000B58A0000}"/>
    <cellStyle name="Normal 2 5" xfId="35514" xr:uid="{00000000-0005-0000-0000-0000B68A0000}"/>
    <cellStyle name="Normal 2 5 2" xfId="35515" xr:uid="{00000000-0005-0000-0000-0000B78A0000}"/>
    <cellStyle name="Normal 2 5 3" xfId="35516" xr:uid="{00000000-0005-0000-0000-0000B88A0000}"/>
    <cellStyle name="Normal 2 6" xfId="35517" xr:uid="{00000000-0005-0000-0000-0000B98A0000}"/>
    <cellStyle name="Normal 2 6 2" xfId="35518" xr:uid="{00000000-0005-0000-0000-0000BA8A0000}"/>
    <cellStyle name="Normal 2 6 2 2" xfId="35519" xr:uid="{00000000-0005-0000-0000-0000BB8A0000}"/>
    <cellStyle name="Normal 2 6 2 3" xfId="35520" xr:uid="{00000000-0005-0000-0000-0000BC8A0000}"/>
    <cellStyle name="Normal 2 6 3" xfId="35521" xr:uid="{00000000-0005-0000-0000-0000BD8A0000}"/>
    <cellStyle name="Normal 2 6 3 2" xfId="35522" xr:uid="{00000000-0005-0000-0000-0000BE8A0000}"/>
    <cellStyle name="Normal 2 6 3 3" xfId="35523" xr:uid="{00000000-0005-0000-0000-0000BF8A0000}"/>
    <cellStyle name="Normal 2 7" xfId="35524" xr:uid="{00000000-0005-0000-0000-0000C08A0000}"/>
    <cellStyle name="Normal 2 7 2" xfId="35525" xr:uid="{00000000-0005-0000-0000-0000C18A0000}"/>
    <cellStyle name="Normal 2 7 2 2" xfId="35526" xr:uid="{00000000-0005-0000-0000-0000C28A0000}"/>
    <cellStyle name="Normal 2 7 2 3" xfId="35527" xr:uid="{00000000-0005-0000-0000-0000C38A0000}"/>
    <cellStyle name="Normal 2 7 3" xfId="35528" xr:uid="{00000000-0005-0000-0000-0000C48A0000}"/>
    <cellStyle name="Normal 2 7 3 2" xfId="35529" xr:uid="{00000000-0005-0000-0000-0000C58A0000}"/>
    <cellStyle name="Normal 2 7 3 3" xfId="35530" xr:uid="{00000000-0005-0000-0000-0000C68A0000}"/>
    <cellStyle name="Normal 2 8" xfId="35531" xr:uid="{00000000-0005-0000-0000-0000C78A0000}"/>
    <cellStyle name="Normal 2 8 2" xfId="35532" xr:uid="{00000000-0005-0000-0000-0000C88A0000}"/>
    <cellStyle name="Normal 2 8 2 2" xfId="35533" xr:uid="{00000000-0005-0000-0000-0000C98A0000}"/>
    <cellStyle name="Normal 2 8 2 3" xfId="35534" xr:uid="{00000000-0005-0000-0000-0000CA8A0000}"/>
    <cellStyle name="Normal 2 8 3" xfId="35535" xr:uid="{00000000-0005-0000-0000-0000CB8A0000}"/>
    <cellStyle name="Normal 2 8 3 2" xfId="35536" xr:uid="{00000000-0005-0000-0000-0000CC8A0000}"/>
    <cellStyle name="Normal 2 8 3 3" xfId="35537" xr:uid="{00000000-0005-0000-0000-0000CD8A0000}"/>
    <cellStyle name="Normal 2 9" xfId="35538" xr:uid="{00000000-0005-0000-0000-0000CE8A0000}"/>
    <cellStyle name="Normal 2 9 2" xfId="35539" xr:uid="{00000000-0005-0000-0000-0000CF8A0000}"/>
    <cellStyle name="Normal 2_Commercial" xfId="35540" xr:uid="{00000000-0005-0000-0000-0000D08A0000}"/>
    <cellStyle name="Normal 20" xfId="35541" xr:uid="{00000000-0005-0000-0000-0000D18A0000}"/>
    <cellStyle name="Normal 20 2" xfId="35542" xr:uid="{00000000-0005-0000-0000-0000D28A0000}"/>
    <cellStyle name="Normal 20 3" xfId="35543" xr:uid="{00000000-0005-0000-0000-0000D38A0000}"/>
    <cellStyle name="Normal 20 4" xfId="35544" xr:uid="{00000000-0005-0000-0000-0000D48A0000}"/>
    <cellStyle name="Normal 21" xfId="35545" xr:uid="{00000000-0005-0000-0000-0000D58A0000}"/>
    <cellStyle name="Normal 21 2" xfId="35546" xr:uid="{00000000-0005-0000-0000-0000D68A0000}"/>
    <cellStyle name="Normal 21 3" xfId="35547" xr:uid="{00000000-0005-0000-0000-0000D78A0000}"/>
    <cellStyle name="Normal 21 4" xfId="35548" xr:uid="{00000000-0005-0000-0000-0000D88A0000}"/>
    <cellStyle name="Normal 21 5" xfId="35549" xr:uid="{00000000-0005-0000-0000-0000D98A0000}"/>
    <cellStyle name="Normal 21 6" xfId="35550" xr:uid="{00000000-0005-0000-0000-0000DA8A0000}"/>
    <cellStyle name="Normal 21 7" xfId="35551" xr:uid="{00000000-0005-0000-0000-0000DB8A0000}"/>
    <cellStyle name="Normal 21 7 2" xfId="35552" xr:uid="{00000000-0005-0000-0000-0000DC8A0000}"/>
    <cellStyle name="Normal 21 7 3" xfId="35553" xr:uid="{00000000-0005-0000-0000-0000DD8A0000}"/>
    <cellStyle name="Normal 22" xfId="35554" xr:uid="{00000000-0005-0000-0000-0000DE8A0000}"/>
    <cellStyle name="Normal 22 2" xfId="35555" xr:uid="{00000000-0005-0000-0000-0000DF8A0000}"/>
    <cellStyle name="Normal 22 2 2" xfId="35556" xr:uid="{00000000-0005-0000-0000-0000E08A0000}"/>
    <cellStyle name="Normal 22 2 3" xfId="35557" xr:uid="{00000000-0005-0000-0000-0000E18A0000}"/>
    <cellStyle name="Normal 23" xfId="35558" xr:uid="{00000000-0005-0000-0000-0000E28A0000}"/>
    <cellStyle name="Normal 23 2" xfId="35559" xr:uid="{00000000-0005-0000-0000-0000E38A0000}"/>
    <cellStyle name="Normal 23 2 2" xfId="35560" xr:uid="{00000000-0005-0000-0000-0000E48A0000}"/>
    <cellStyle name="Normal 23 2 3" xfId="35561" xr:uid="{00000000-0005-0000-0000-0000E58A0000}"/>
    <cellStyle name="Normal 23 3" xfId="35562" xr:uid="{00000000-0005-0000-0000-0000E68A0000}"/>
    <cellStyle name="Normal 23 3 2" xfId="35563" xr:uid="{00000000-0005-0000-0000-0000E78A0000}"/>
    <cellStyle name="Normal 23 3 2 2" xfId="35564" xr:uid="{00000000-0005-0000-0000-0000E88A0000}"/>
    <cellStyle name="Normal 23 3 2 2 2" xfId="35565" xr:uid="{00000000-0005-0000-0000-0000E98A0000}"/>
    <cellStyle name="Normal 23 3 2 2 2 2" xfId="35566" xr:uid="{00000000-0005-0000-0000-0000EA8A0000}"/>
    <cellStyle name="Normal 23 3 2 2 3" xfId="35567" xr:uid="{00000000-0005-0000-0000-0000EB8A0000}"/>
    <cellStyle name="Normal 23 3 2 3" xfId="35568" xr:uid="{00000000-0005-0000-0000-0000EC8A0000}"/>
    <cellStyle name="Normal 23 3 2 3 2" xfId="35569" xr:uid="{00000000-0005-0000-0000-0000ED8A0000}"/>
    <cellStyle name="Normal 23 3 2 4" xfId="35570" xr:uid="{00000000-0005-0000-0000-0000EE8A0000}"/>
    <cellStyle name="Normal 23 3 3" xfId="35571" xr:uid="{00000000-0005-0000-0000-0000EF8A0000}"/>
    <cellStyle name="Normal 23 3 3 2" xfId="35572" xr:uid="{00000000-0005-0000-0000-0000F08A0000}"/>
    <cellStyle name="Normal 23 3 3 2 2" xfId="35573" xr:uid="{00000000-0005-0000-0000-0000F18A0000}"/>
    <cellStyle name="Normal 23 3 3 3" xfId="35574" xr:uid="{00000000-0005-0000-0000-0000F28A0000}"/>
    <cellStyle name="Normal 23 3 4" xfId="35575" xr:uid="{00000000-0005-0000-0000-0000F38A0000}"/>
    <cellStyle name="Normal 23 3 4 2" xfId="35576" xr:uid="{00000000-0005-0000-0000-0000F48A0000}"/>
    <cellStyle name="Normal 23 3 5" xfId="35577" xr:uid="{00000000-0005-0000-0000-0000F58A0000}"/>
    <cellStyle name="Normal 24" xfId="35578" xr:uid="{00000000-0005-0000-0000-0000F68A0000}"/>
    <cellStyle name="Normal 24 2" xfId="35579" xr:uid="{00000000-0005-0000-0000-0000F78A0000}"/>
    <cellStyle name="Normal 24 3" xfId="35580" xr:uid="{00000000-0005-0000-0000-0000F88A0000}"/>
    <cellStyle name="Normal 24 3 2" xfId="35581" xr:uid="{00000000-0005-0000-0000-0000F98A0000}"/>
    <cellStyle name="Normal 24 3 2 2" xfId="35582" xr:uid="{00000000-0005-0000-0000-0000FA8A0000}"/>
    <cellStyle name="Normal 24 3 2 2 2" xfId="35583" xr:uid="{00000000-0005-0000-0000-0000FB8A0000}"/>
    <cellStyle name="Normal 24 3 2 2 2 2" xfId="35584" xr:uid="{00000000-0005-0000-0000-0000FC8A0000}"/>
    <cellStyle name="Normal 24 3 2 2 3" xfId="35585" xr:uid="{00000000-0005-0000-0000-0000FD8A0000}"/>
    <cellStyle name="Normal 24 3 2 3" xfId="35586" xr:uid="{00000000-0005-0000-0000-0000FE8A0000}"/>
    <cellStyle name="Normal 24 3 2 3 2" xfId="35587" xr:uid="{00000000-0005-0000-0000-0000FF8A0000}"/>
    <cellStyle name="Normal 24 3 2 4" xfId="35588" xr:uid="{00000000-0005-0000-0000-0000008B0000}"/>
    <cellStyle name="Normal 24 3 3" xfId="35589" xr:uid="{00000000-0005-0000-0000-0000018B0000}"/>
    <cellStyle name="Normal 24 3 3 2" xfId="35590" xr:uid="{00000000-0005-0000-0000-0000028B0000}"/>
    <cellStyle name="Normal 24 3 3 2 2" xfId="35591" xr:uid="{00000000-0005-0000-0000-0000038B0000}"/>
    <cellStyle name="Normal 24 3 3 3" xfId="35592" xr:uid="{00000000-0005-0000-0000-0000048B0000}"/>
    <cellStyle name="Normal 24 3 4" xfId="35593" xr:uid="{00000000-0005-0000-0000-0000058B0000}"/>
    <cellStyle name="Normal 24 3 4 2" xfId="35594" xr:uid="{00000000-0005-0000-0000-0000068B0000}"/>
    <cellStyle name="Normal 24 3 5" xfId="35595" xr:uid="{00000000-0005-0000-0000-0000078B0000}"/>
    <cellStyle name="Normal 25" xfId="35596" xr:uid="{00000000-0005-0000-0000-0000088B0000}"/>
    <cellStyle name="Normal 25 2" xfId="35597" xr:uid="{00000000-0005-0000-0000-0000098B0000}"/>
    <cellStyle name="Normal 25 3" xfId="35598" xr:uid="{00000000-0005-0000-0000-00000A8B0000}"/>
    <cellStyle name="Normal 25 3 2" xfId="35599" xr:uid="{00000000-0005-0000-0000-00000B8B0000}"/>
    <cellStyle name="Normal 25 3 2 2" xfId="35600" xr:uid="{00000000-0005-0000-0000-00000C8B0000}"/>
    <cellStyle name="Normal 25 3 2 2 2" xfId="35601" xr:uid="{00000000-0005-0000-0000-00000D8B0000}"/>
    <cellStyle name="Normal 25 3 2 2 2 2" xfId="35602" xr:uid="{00000000-0005-0000-0000-00000E8B0000}"/>
    <cellStyle name="Normal 25 3 2 2 3" xfId="35603" xr:uid="{00000000-0005-0000-0000-00000F8B0000}"/>
    <cellStyle name="Normal 25 3 2 3" xfId="35604" xr:uid="{00000000-0005-0000-0000-0000108B0000}"/>
    <cellStyle name="Normal 25 3 2 3 2" xfId="35605" xr:uid="{00000000-0005-0000-0000-0000118B0000}"/>
    <cellStyle name="Normal 25 3 2 4" xfId="35606" xr:uid="{00000000-0005-0000-0000-0000128B0000}"/>
    <cellStyle name="Normal 25 3 3" xfId="35607" xr:uid="{00000000-0005-0000-0000-0000138B0000}"/>
    <cellStyle name="Normal 25 3 3 2" xfId="35608" xr:uid="{00000000-0005-0000-0000-0000148B0000}"/>
    <cellStyle name="Normal 25 3 3 2 2" xfId="35609" xr:uid="{00000000-0005-0000-0000-0000158B0000}"/>
    <cellStyle name="Normal 25 3 3 3" xfId="35610" xr:uid="{00000000-0005-0000-0000-0000168B0000}"/>
    <cellStyle name="Normal 25 3 4" xfId="35611" xr:uid="{00000000-0005-0000-0000-0000178B0000}"/>
    <cellStyle name="Normal 25 3 4 2" xfId="35612" xr:uid="{00000000-0005-0000-0000-0000188B0000}"/>
    <cellStyle name="Normal 25 3 5" xfId="35613" xr:uid="{00000000-0005-0000-0000-0000198B0000}"/>
    <cellStyle name="Normal 26" xfId="35614" xr:uid="{00000000-0005-0000-0000-00001A8B0000}"/>
    <cellStyle name="Normal 26 2" xfId="35615" xr:uid="{00000000-0005-0000-0000-00001B8B0000}"/>
    <cellStyle name="Normal 26 3" xfId="35616" xr:uid="{00000000-0005-0000-0000-00001C8B0000}"/>
    <cellStyle name="Normal 26 3 2" xfId="35617" xr:uid="{00000000-0005-0000-0000-00001D8B0000}"/>
    <cellStyle name="Normal 26 3 2 2" xfId="35618" xr:uid="{00000000-0005-0000-0000-00001E8B0000}"/>
    <cellStyle name="Normal 26 3 2 2 2" xfId="35619" xr:uid="{00000000-0005-0000-0000-00001F8B0000}"/>
    <cellStyle name="Normal 26 3 2 2 2 2" xfId="35620" xr:uid="{00000000-0005-0000-0000-0000208B0000}"/>
    <cellStyle name="Normal 26 3 2 2 3" xfId="35621" xr:uid="{00000000-0005-0000-0000-0000218B0000}"/>
    <cellStyle name="Normal 26 3 2 3" xfId="35622" xr:uid="{00000000-0005-0000-0000-0000228B0000}"/>
    <cellStyle name="Normal 26 3 2 3 2" xfId="35623" xr:uid="{00000000-0005-0000-0000-0000238B0000}"/>
    <cellStyle name="Normal 26 3 2 4" xfId="35624" xr:uid="{00000000-0005-0000-0000-0000248B0000}"/>
    <cellStyle name="Normal 26 3 3" xfId="35625" xr:uid="{00000000-0005-0000-0000-0000258B0000}"/>
    <cellStyle name="Normal 26 3 3 2" xfId="35626" xr:uid="{00000000-0005-0000-0000-0000268B0000}"/>
    <cellStyle name="Normal 26 3 3 2 2" xfId="35627" xr:uid="{00000000-0005-0000-0000-0000278B0000}"/>
    <cellStyle name="Normal 26 3 3 3" xfId="35628" xr:uid="{00000000-0005-0000-0000-0000288B0000}"/>
    <cellStyle name="Normal 26 3 4" xfId="35629" xr:uid="{00000000-0005-0000-0000-0000298B0000}"/>
    <cellStyle name="Normal 26 3 4 2" xfId="35630" xr:uid="{00000000-0005-0000-0000-00002A8B0000}"/>
    <cellStyle name="Normal 26 3 5" xfId="35631" xr:uid="{00000000-0005-0000-0000-00002B8B0000}"/>
    <cellStyle name="Normal 26 4" xfId="35632" xr:uid="{00000000-0005-0000-0000-00002C8B0000}"/>
    <cellStyle name="Normal 27" xfId="35633" xr:uid="{00000000-0005-0000-0000-00002D8B0000}"/>
    <cellStyle name="Normal 27 2" xfId="35634" xr:uid="{00000000-0005-0000-0000-00002E8B0000}"/>
    <cellStyle name="Normal 27 2 2" xfId="35635" xr:uid="{00000000-0005-0000-0000-00002F8B0000}"/>
    <cellStyle name="Normal 27 2 3" xfId="35636" xr:uid="{00000000-0005-0000-0000-0000308B0000}"/>
    <cellStyle name="Normal 27 3" xfId="35637" xr:uid="{00000000-0005-0000-0000-0000318B0000}"/>
    <cellStyle name="Normal 27 3 2" xfId="35638" xr:uid="{00000000-0005-0000-0000-0000328B0000}"/>
    <cellStyle name="Normal 27 3 2 2" xfId="35639" xr:uid="{00000000-0005-0000-0000-0000338B0000}"/>
    <cellStyle name="Normal 27 3 2 2 2" xfId="35640" xr:uid="{00000000-0005-0000-0000-0000348B0000}"/>
    <cellStyle name="Normal 27 3 2 2 2 2" xfId="35641" xr:uid="{00000000-0005-0000-0000-0000358B0000}"/>
    <cellStyle name="Normal 27 3 2 2 3" xfId="35642" xr:uid="{00000000-0005-0000-0000-0000368B0000}"/>
    <cellStyle name="Normal 27 3 2 3" xfId="35643" xr:uid="{00000000-0005-0000-0000-0000378B0000}"/>
    <cellStyle name="Normal 27 3 2 3 2" xfId="35644" xr:uid="{00000000-0005-0000-0000-0000388B0000}"/>
    <cellStyle name="Normal 27 3 2 4" xfId="35645" xr:uid="{00000000-0005-0000-0000-0000398B0000}"/>
    <cellStyle name="Normal 27 3 3" xfId="35646" xr:uid="{00000000-0005-0000-0000-00003A8B0000}"/>
    <cellStyle name="Normal 27 3 3 2" xfId="35647" xr:uid="{00000000-0005-0000-0000-00003B8B0000}"/>
    <cellStyle name="Normal 27 3 3 2 2" xfId="35648" xr:uid="{00000000-0005-0000-0000-00003C8B0000}"/>
    <cellStyle name="Normal 27 3 3 3" xfId="35649" xr:uid="{00000000-0005-0000-0000-00003D8B0000}"/>
    <cellStyle name="Normal 27 3 4" xfId="35650" xr:uid="{00000000-0005-0000-0000-00003E8B0000}"/>
    <cellStyle name="Normal 27 3 4 2" xfId="35651" xr:uid="{00000000-0005-0000-0000-00003F8B0000}"/>
    <cellStyle name="Normal 27 3 5" xfId="35652" xr:uid="{00000000-0005-0000-0000-0000408B0000}"/>
    <cellStyle name="Normal 27 4" xfId="35653" xr:uid="{00000000-0005-0000-0000-0000418B0000}"/>
    <cellStyle name="Normal 28" xfId="35654" xr:uid="{00000000-0005-0000-0000-0000428B0000}"/>
    <cellStyle name="Normal 28 2" xfId="35655" xr:uid="{00000000-0005-0000-0000-0000438B0000}"/>
    <cellStyle name="Normal 28 2 2" xfId="35656" xr:uid="{00000000-0005-0000-0000-0000448B0000}"/>
    <cellStyle name="Normal 28 2 3" xfId="35657" xr:uid="{00000000-0005-0000-0000-0000458B0000}"/>
    <cellStyle name="Normal 28 3" xfId="35658" xr:uid="{00000000-0005-0000-0000-0000468B0000}"/>
    <cellStyle name="Normal 28 4" xfId="35659" xr:uid="{00000000-0005-0000-0000-0000478B0000}"/>
    <cellStyle name="Normal 29" xfId="35660" xr:uid="{00000000-0005-0000-0000-0000488B0000}"/>
    <cellStyle name="Normal 29 2" xfId="35661" xr:uid="{00000000-0005-0000-0000-0000498B0000}"/>
    <cellStyle name="Normal 29 2 2" xfId="35662" xr:uid="{00000000-0005-0000-0000-00004A8B0000}"/>
    <cellStyle name="Normal 29 2 2 2" xfId="35663" xr:uid="{00000000-0005-0000-0000-00004B8B0000}"/>
    <cellStyle name="Normal 29 2 2 3" xfId="35664" xr:uid="{00000000-0005-0000-0000-00004C8B0000}"/>
    <cellStyle name="Normal 29 2 3" xfId="35665" xr:uid="{00000000-0005-0000-0000-00004D8B0000}"/>
    <cellStyle name="Normal 29 2 4" xfId="35666" xr:uid="{00000000-0005-0000-0000-00004E8B0000}"/>
    <cellStyle name="Normal 29 3" xfId="35667" xr:uid="{00000000-0005-0000-0000-00004F8B0000}"/>
    <cellStyle name="Normal 29 3 2" xfId="35668" xr:uid="{00000000-0005-0000-0000-0000508B0000}"/>
    <cellStyle name="Normal 29 3 2 2" xfId="35669" xr:uid="{00000000-0005-0000-0000-0000518B0000}"/>
    <cellStyle name="Normal 29 3 2 2 2" xfId="35670" xr:uid="{00000000-0005-0000-0000-0000528B0000}"/>
    <cellStyle name="Normal 29 3 2 2 2 2" xfId="35671" xr:uid="{00000000-0005-0000-0000-0000538B0000}"/>
    <cellStyle name="Normal 29 3 2 2 3" xfId="35672" xr:uid="{00000000-0005-0000-0000-0000548B0000}"/>
    <cellStyle name="Normal 29 3 2 3" xfId="35673" xr:uid="{00000000-0005-0000-0000-0000558B0000}"/>
    <cellStyle name="Normal 29 3 2 3 2" xfId="35674" xr:uid="{00000000-0005-0000-0000-0000568B0000}"/>
    <cellStyle name="Normal 29 3 2 4" xfId="35675" xr:uid="{00000000-0005-0000-0000-0000578B0000}"/>
    <cellStyle name="Normal 29 3 3" xfId="35676" xr:uid="{00000000-0005-0000-0000-0000588B0000}"/>
    <cellStyle name="Normal 29 3 3 2" xfId="35677" xr:uid="{00000000-0005-0000-0000-0000598B0000}"/>
    <cellStyle name="Normal 29 3 3 2 2" xfId="35678" xr:uid="{00000000-0005-0000-0000-00005A8B0000}"/>
    <cellStyle name="Normal 29 3 3 3" xfId="35679" xr:uid="{00000000-0005-0000-0000-00005B8B0000}"/>
    <cellStyle name="Normal 29 3 4" xfId="35680" xr:uid="{00000000-0005-0000-0000-00005C8B0000}"/>
    <cellStyle name="Normal 29 3 4 2" xfId="35681" xr:uid="{00000000-0005-0000-0000-00005D8B0000}"/>
    <cellStyle name="Normal 29 3 5" xfId="35682" xr:uid="{00000000-0005-0000-0000-00005E8B0000}"/>
    <cellStyle name="Normal 29 4" xfId="35683" xr:uid="{00000000-0005-0000-0000-00005F8B0000}"/>
    <cellStyle name="Normal 29 5" xfId="35684" xr:uid="{00000000-0005-0000-0000-0000608B0000}"/>
    <cellStyle name="Normal 3" xfId="35685" xr:uid="{00000000-0005-0000-0000-0000618B0000}"/>
    <cellStyle name="Normal 3 10" xfId="35686" xr:uid="{00000000-0005-0000-0000-0000628B0000}"/>
    <cellStyle name="Normal 3 11" xfId="35687" xr:uid="{00000000-0005-0000-0000-0000638B0000}"/>
    <cellStyle name="Normal 3 2" xfId="35688" xr:uid="{00000000-0005-0000-0000-0000648B0000}"/>
    <cellStyle name="Normal 3 2 2" xfId="35689" xr:uid="{00000000-0005-0000-0000-0000658B0000}"/>
    <cellStyle name="Normal 3 2 2 2" xfId="35690" xr:uid="{00000000-0005-0000-0000-0000668B0000}"/>
    <cellStyle name="Normal 3 2 2 2 2" xfId="35691" xr:uid="{00000000-0005-0000-0000-0000678B0000}"/>
    <cellStyle name="Normal 3 2 2 2 3" xfId="35692" xr:uid="{00000000-0005-0000-0000-0000688B0000}"/>
    <cellStyle name="Normal 3 2 2 3" xfId="35693" xr:uid="{00000000-0005-0000-0000-0000698B0000}"/>
    <cellStyle name="Normal 3 2 2 3 2" xfId="35694" xr:uid="{00000000-0005-0000-0000-00006A8B0000}"/>
    <cellStyle name="Normal 3 2 2 3 3" xfId="35695" xr:uid="{00000000-0005-0000-0000-00006B8B0000}"/>
    <cellStyle name="Normal 3 2 2 4" xfId="35696" xr:uid="{00000000-0005-0000-0000-00006C8B0000}"/>
    <cellStyle name="Normal 3 2 2 5" xfId="35697" xr:uid="{00000000-0005-0000-0000-00006D8B0000}"/>
    <cellStyle name="Normal 3 2 3" xfId="35698" xr:uid="{00000000-0005-0000-0000-00006E8B0000}"/>
    <cellStyle name="Normal 3 2 3 2" xfId="35699" xr:uid="{00000000-0005-0000-0000-00006F8B0000}"/>
    <cellStyle name="Normal 3 2 3 2 2" xfId="35700" xr:uid="{00000000-0005-0000-0000-0000708B0000}"/>
    <cellStyle name="Normal 3 2 3 2 2 2" xfId="35701" xr:uid="{00000000-0005-0000-0000-0000718B0000}"/>
    <cellStyle name="Normal 3 2 3 2 3" xfId="35702" xr:uid="{00000000-0005-0000-0000-0000728B0000}"/>
    <cellStyle name="Normal 3 2 3 3" xfId="35703" xr:uid="{00000000-0005-0000-0000-0000738B0000}"/>
    <cellStyle name="Normal 3 2 3 3 2" xfId="35704" xr:uid="{00000000-0005-0000-0000-0000748B0000}"/>
    <cellStyle name="Normal 3 2 3 4" xfId="35705" xr:uid="{00000000-0005-0000-0000-0000758B0000}"/>
    <cellStyle name="Normal 3 2 3 5" xfId="35706" xr:uid="{00000000-0005-0000-0000-0000768B0000}"/>
    <cellStyle name="Normal 3 2 4" xfId="35707" xr:uid="{00000000-0005-0000-0000-0000778B0000}"/>
    <cellStyle name="Normal 3 2 4 2" xfId="35708" xr:uid="{00000000-0005-0000-0000-0000788B0000}"/>
    <cellStyle name="Normal 3 2 4 2 2" xfId="35709" xr:uid="{00000000-0005-0000-0000-0000798B0000}"/>
    <cellStyle name="Normal 3 2 4 3" xfId="35710" xr:uid="{00000000-0005-0000-0000-00007A8B0000}"/>
    <cellStyle name="Normal 3 2 5" xfId="35711" xr:uid="{00000000-0005-0000-0000-00007B8B0000}"/>
    <cellStyle name="Normal 3 2 5 2" xfId="35712" xr:uid="{00000000-0005-0000-0000-00007C8B0000}"/>
    <cellStyle name="Normal 3 2 5 3" xfId="35713" xr:uid="{00000000-0005-0000-0000-00007D8B0000}"/>
    <cellStyle name="Normal 3 2 6" xfId="35714" xr:uid="{00000000-0005-0000-0000-00007E8B0000}"/>
    <cellStyle name="Normal 3 2 7" xfId="35715" xr:uid="{00000000-0005-0000-0000-00007F8B0000}"/>
    <cellStyle name="Normal 3 2 8" xfId="35716" xr:uid="{00000000-0005-0000-0000-0000808B0000}"/>
    <cellStyle name="Normal 3 3" xfId="6" xr:uid="{00000000-0005-0000-0000-0000818B0000}"/>
    <cellStyle name="Normal 3 3 2" xfId="35717" xr:uid="{00000000-0005-0000-0000-0000828B0000}"/>
    <cellStyle name="Normal 3 3 2 2" xfId="35718" xr:uid="{00000000-0005-0000-0000-0000838B0000}"/>
    <cellStyle name="Normal 3 3 3" xfId="35719" xr:uid="{00000000-0005-0000-0000-0000848B0000}"/>
    <cellStyle name="Normal 3 3 4" xfId="35720" xr:uid="{00000000-0005-0000-0000-0000858B0000}"/>
    <cellStyle name="Normal 3 4" xfId="35721" xr:uid="{00000000-0005-0000-0000-0000868B0000}"/>
    <cellStyle name="Normal 3 4 2" xfId="35722" xr:uid="{00000000-0005-0000-0000-0000878B0000}"/>
    <cellStyle name="Normal 3 4 2 2" xfId="35723" xr:uid="{00000000-0005-0000-0000-0000888B0000}"/>
    <cellStyle name="Normal 3 4 2 3" xfId="35724" xr:uid="{00000000-0005-0000-0000-0000898B0000}"/>
    <cellStyle name="Normal 3 4 3" xfId="35725" xr:uid="{00000000-0005-0000-0000-00008A8B0000}"/>
    <cellStyle name="Normal 3 4 3 2" xfId="35726" xr:uid="{00000000-0005-0000-0000-00008B8B0000}"/>
    <cellStyle name="Normal 3 4 4" xfId="35727" xr:uid="{00000000-0005-0000-0000-00008C8B0000}"/>
    <cellStyle name="Normal 3 4 5" xfId="35728" xr:uid="{00000000-0005-0000-0000-00008D8B0000}"/>
    <cellStyle name="Normal 3 5" xfId="35729" xr:uid="{00000000-0005-0000-0000-00008E8B0000}"/>
    <cellStyle name="Normal 3 5 2" xfId="35730" xr:uid="{00000000-0005-0000-0000-00008F8B0000}"/>
    <cellStyle name="Normal 3 5 2 2" xfId="35731" xr:uid="{00000000-0005-0000-0000-0000908B0000}"/>
    <cellStyle name="Normal 3 5 3" xfId="35732" xr:uid="{00000000-0005-0000-0000-0000918B0000}"/>
    <cellStyle name="Normal 3 6" xfId="35733" xr:uid="{00000000-0005-0000-0000-0000928B0000}"/>
    <cellStyle name="Normal 3 6 2" xfId="35734" xr:uid="{00000000-0005-0000-0000-0000938B0000}"/>
    <cellStyle name="Normal 3 6 2 2" xfId="35735" xr:uid="{00000000-0005-0000-0000-0000948B0000}"/>
    <cellStyle name="Normal 3 6 2 2 2" xfId="35736" xr:uid="{00000000-0005-0000-0000-0000958B0000}"/>
    <cellStyle name="Normal 3 6 2 3" xfId="35737" xr:uid="{00000000-0005-0000-0000-0000968B0000}"/>
    <cellStyle name="Normal 3 6 3" xfId="35738" xr:uid="{00000000-0005-0000-0000-0000978B0000}"/>
    <cellStyle name="Normal 3 6 3 2" xfId="35739" xr:uid="{00000000-0005-0000-0000-0000988B0000}"/>
    <cellStyle name="Normal 3 6 4" xfId="35740" xr:uid="{00000000-0005-0000-0000-0000998B0000}"/>
    <cellStyle name="Normal 3 7" xfId="35741" xr:uid="{00000000-0005-0000-0000-00009A8B0000}"/>
    <cellStyle name="Normal 3 7 2" xfId="35742" xr:uid="{00000000-0005-0000-0000-00009B8B0000}"/>
    <cellStyle name="Normal 3 7 2 2" xfId="35743" xr:uid="{00000000-0005-0000-0000-00009C8B0000}"/>
    <cellStyle name="Normal 3 7 3" xfId="35744" xr:uid="{00000000-0005-0000-0000-00009D8B0000}"/>
    <cellStyle name="Normal 3 8" xfId="35745" xr:uid="{00000000-0005-0000-0000-00009E8B0000}"/>
    <cellStyle name="Normal 3 8 2" xfId="35746" xr:uid="{00000000-0005-0000-0000-00009F8B0000}"/>
    <cellStyle name="Normal 3 9" xfId="35747" xr:uid="{00000000-0005-0000-0000-0000A08B0000}"/>
    <cellStyle name="Normal 3 9 2" xfId="35748" xr:uid="{00000000-0005-0000-0000-0000A18B0000}"/>
    <cellStyle name="Normal 30" xfId="35749" xr:uid="{00000000-0005-0000-0000-0000A28B0000}"/>
    <cellStyle name="Normal 30 2" xfId="35750" xr:uid="{00000000-0005-0000-0000-0000A38B0000}"/>
    <cellStyle name="Normal 30 3" xfId="35751" xr:uid="{00000000-0005-0000-0000-0000A48B0000}"/>
    <cellStyle name="Normal 30 3 2" xfId="35752" xr:uid="{00000000-0005-0000-0000-0000A58B0000}"/>
    <cellStyle name="Normal 30 3 2 2" xfId="35753" xr:uid="{00000000-0005-0000-0000-0000A68B0000}"/>
    <cellStyle name="Normal 30 3 2 2 2" xfId="35754" xr:uid="{00000000-0005-0000-0000-0000A78B0000}"/>
    <cellStyle name="Normal 30 3 2 2 2 2" xfId="35755" xr:uid="{00000000-0005-0000-0000-0000A88B0000}"/>
    <cellStyle name="Normal 30 3 2 2 3" xfId="35756" xr:uid="{00000000-0005-0000-0000-0000A98B0000}"/>
    <cellStyle name="Normal 30 3 2 3" xfId="35757" xr:uid="{00000000-0005-0000-0000-0000AA8B0000}"/>
    <cellStyle name="Normal 30 3 2 3 2" xfId="35758" xr:uid="{00000000-0005-0000-0000-0000AB8B0000}"/>
    <cellStyle name="Normal 30 3 2 4" xfId="35759" xr:uid="{00000000-0005-0000-0000-0000AC8B0000}"/>
    <cellStyle name="Normal 30 3 3" xfId="35760" xr:uid="{00000000-0005-0000-0000-0000AD8B0000}"/>
    <cellStyle name="Normal 30 3 3 2" xfId="35761" xr:uid="{00000000-0005-0000-0000-0000AE8B0000}"/>
    <cellStyle name="Normal 30 3 3 2 2" xfId="35762" xr:uid="{00000000-0005-0000-0000-0000AF8B0000}"/>
    <cellStyle name="Normal 30 3 3 3" xfId="35763" xr:uid="{00000000-0005-0000-0000-0000B08B0000}"/>
    <cellStyle name="Normal 30 3 4" xfId="35764" xr:uid="{00000000-0005-0000-0000-0000B18B0000}"/>
    <cellStyle name="Normal 30 3 4 2" xfId="35765" xr:uid="{00000000-0005-0000-0000-0000B28B0000}"/>
    <cellStyle name="Normal 30 3 5" xfId="35766" xr:uid="{00000000-0005-0000-0000-0000B38B0000}"/>
    <cellStyle name="Normal 30 4" xfId="35767" xr:uid="{00000000-0005-0000-0000-0000B48B0000}"/>
    <cellStyle name="Normal 31" xfId="35768" xr:uid="{00000000-0005-0000-0000-0000B58B0000}"/>
    <cellStyle name="Normal 31 2" xfId="35769" xr:uid="{00000000-0005-0000-0000-0000B68B0000}"/>
    <cellStyle name="Normal 31 2 2" xfId="35770" xr:uid="{00000000-0005-0000-0000-0000B78B0000}"/>
    <cellStyle name="Normal 31 3" xfId="35771" xr:uid="{00000000-0005-0000-0000-0000B88B0000}"/>
    <cellStyle name="Normal 32" xfId="35772" xr:uid="{00000000-0005-0000-0000-0000B98B0000}"/>
    <cellStyle name="Normal 32 2" xfId="35773" xr:uid="{00000000-0005-0000-0000-0000BA8B0000}"/>
    <cellStyle name="Normal 33" xfId="35774" xr:uid="{00000000-0005-0000-0000-0000BB8B0000}"/>
    <cellStyle name="Normal 33 2" xfId="35775" xr:uid="{00000000-0005-0000-0000-0000BC8B0000}"/>
    <cellStyle name="Normal 33 3" xfId="35776" xr:uid="{00000000-0005-0000-0000-0000BD8B0000}"/>
    <cellStyle name="Normal 34" xfId="35777" xr:uid="{00000000-0005-0000-0000-0000BE8B0000}"/>
    <cellStyle name="Normal 34 2" xfId="35778" xr:uid="{00000000-0005-0000-0000-0000BF8B0000}"/>
    <cellStyle name="Normal 34 3" xfId="35779" xr:uid="{00000000-0005-0000-0000-0000C08B0000}"/>
    <cellStyle name="Normal 34 4" xfId="35780" xr:uid="{00000000-0005-0000-0000-0000C18B0000}"/>
    <cellStyle name="Normal 35" xfId="35781" xr:uid="{00000000-0005-0000-0000-0000C28B0000}"/>
    <cellStyle name="Normal 35 2" xfId="35782" xr:uid="{00000000-0005-0000-0000-0000C38B0000}"/>
    <cellStyle name="Normal 35 2 2" xfId="35783" xr:uid="{00000000-0005-0000-0000-0000C48B0000}"/>
    <cellStyle name="Normal 35 3" xfId="35784" xr:uid="{00000000-0005-0000-0000-0000C58B0000}"/>
    <cellStyle name="Normal 35 4" xfId="35785" xr:uid="{00000000-0005-0000-0000-0000C68B0000}"/>
    <cellStyle name="Normal 36" xfId="35786" xr:uid="{00000000-0005-0000-0000-0000C78B0000}"/>
    <cellStyle name="Normal 36 2" xfId="35787" xr:uid="{00000000-0005-0000-0000-0000C88B0000}"/>
    <cellStyle name="Normal 36 3" xfId="35788" xr:uid="{00000000-0005-0000-0000-0000C98B0000}"/>
    <cellStyle name="Normal 37" xfId="35789" xr:uid="{00000000-0005-0000-0000-0000CA8B0000}"/>
    <cellStyle name="Normal 37 2" xfId="35790" xr:uid="{00000000-0005-0000-0000-0000CB8B0000}"/>
    <cellStyle name="Normal 37 3" xfId="35791" xr:uid="{00000000-0005-0000-0000-0000CC8B0000}"/>
    <cellStyle name="Normal 38" xfId="35792" xr:uid="{00000000-0005-0000-0000-0000CD8B0000}"/>
    <cellStyle name="Normal 38 2" xfId="35793" xr:uid="{00000000-0005-0000-0000-0000CE8B0000}"/>
    <cellStyle name="Normal 38 3" xfId="35794" xr:uid="{00000000-0005-0000-0000-0000CF8B0000}"/>
    <cellStyle name="Normal 39" xfId="35795" xr:uid="{00000000-0005-0000-0000-0000D08B0000}"/>
    <cellStyle name="Normal 39 2" xfId="35796" xr:uid="{00000000-0005-0000-0000-0000D18B0000}"/>
    <cellStyle name="Normal 39 3" xfId="35797" xr:uid="{00000000-0005-0000-0000-0000D28B0000}"/>
    <cellStyle name="Normal 4" xfId="35798" xr:uid="{00000000-0005-0000-0000-0000D38B0000}"/>
    <cellStyle name="Normal 4 10" xfId="35799" xr:uid="{00000000-0005-0000-0000-0000D48B0000}"/>
    <cellStyle name="Normal 4 11" xfId="35800" xr:uid="{00000000-0005-0000-0000-0000D58B0000}"/>
    <cellStyle name="Normal 4 12" xfId="35801" xr:uid="{00000000-0005-0000-0000-0000D68B0000}"/>
    <cellStyle name="Normal 4 13" xfId="35802" xr:uid="{00000000-0005-0000-0000-0000D78B0000}"/>
    <cellStyle name="Normal 4 14" xfId="35803" xr:uid="{00000000-0005-0000-0000-0000D88B0000}"/>
    <cellStyle name="Normal 4 15" xfId="35804" xr:uid="{00000000-0005-0000-0000-0000D98B0000}"/>
    <cellStyle name="Normal 4 16" xfId="35805" xr:uid="{00000000-0005-0000-0000-0000DA8B0000}"/>
    <cellStyle name="Normal 4 17" xfId="35806" xr:uid="{00000000-0005-0000-0000-0000DB8B0000}"/>
    <cellStyle name="Normal 4 18" xfId="35807" xr:uid="{00000000-0005-0000-0000-0000DC8B0000}"/>
    <cellStyle name="Normal 4 19" xfId="35808" xr:uid="{00000000-0005-0000-0000-0000DD8B0000}"/>
    <cellStyle name="Normal 4 2" xfId="35809" xr:uid="{00000000-0005-0000-0000-0000DE8B0000}"/>
    <cellStyle name="Normal 4 2 2" xfId="35810" xr:uid="{00000000-0005-0000-0000-0000DF8B0000}"/>
    <cellStyle name="Normal 4 2 2 2" xfId="35811" xr:uid="{00000000-0005-0000-0000-0000E08B0000}"/>
    <cellStyle name="Normal 4 2 3" xfId="35812" xr:uid="{00000000-0005-0000-0000-0000E18B0000}"/>
    <cellStyle name="Normal 4 2 4" xfId="35813" xr:uid="{00000000-0005-0000-0000-0000E28B0000}"/>
    <cellStyle name="Normal 4 20" xfId="35814" xr:uid="{00000000-0005-0000-0000-0000E38B0000}"/>
    <cellStyle name="Normal 4 21" xfId="35815" xr:uid="{00000000-0005-0000-0000-0000E48B0000}"/>
    <cellStyle name="Normal 4 22" xfId="35816" xr:uid="{00000000-0005-0000-0000-0000E58B0000}"/>
    <cellStyle name="Normal 4 23" xfId="35817" xr:uid="{00000000-0005-0000-0000-0000E68B0000}"/>
    <cellStyle name="Normal 4 24" xfId="35818" xr:uid="{00000000-0005-0000-0000-0000E78B0000}"/>
    <cellStyle name="Normal 4 25" xfId="35819" xr:uid="{00000000-0005-0000-0000-0000E88B0000}"/>
    <cellStyle name="Normal 4 26" xfId="35820" xr:uid="{00000000-0005-0000-0000-0000E98B0000}"/>
    <cellStyle name="Normal 4 27" xfId="35821" xr:uid="{00000000-0005-0000-0000-0000EA8B0000}"/>
    <cellStyle name="Normal 4 28" xfId="35822" xr:uid="{00000000-0005-0000-0000-0000EB8B0000}"/>
    <cellStyle name="Normal 4 29" xfId="35823" xr:uid="{00000000-0005-0000-0000-0000EC8B0000}"/>
    <cellStyle name="Normal 4 3" xfId="35824" xr:uid="{00000000-0005-0000-0000-0000ED8B0000}"/>
    <cellStyle name="Normal 4 3 2" xfId="35825" xr:uid="{00000000-0005-0000-0000-0000EE8B0000}"/>
    <cellStyle name="Normal 4 3 2 2" xfId="35826" xr:uid="{00000000-0005-0000-0000-0000EF8B0000}"/>
    <cellStyle name="Normal 4 3 2 3" xfId="35827" xr:uid="{00000000-0005-0000-0000-0000F08B0000}"/>
    <cellStyle name="Normal 4 3 2 4" xfId="35828" xr:uid="{00000000-0005-0000-0000-0000F18B0000}"/>
    <cellStyle name="Normal 4 3 3" xfId="35829" xr:uid="{00000000-0005-0000-0000-0000F28B0000}"/>
    <cellStyle name="Normal 4 3 3 2" xfId="35830" xr:uid="{00000000-0005-0000-0000-0000F38B0000}"/>
    <cellStyle name="Normal 4 3 3 3" xfId="35831" xr:uid="{00000000-0005-0000-0000-0000F48B0000}"/>
    <cellStyle name="Normal 4 3 4" xfId="35832" xr:uid="{00000000-0005-0000-0000-0000F58B0000}"/>
    <cellStyle name="Normal 4 30" xfId="35833" xr:uid="{00000000-0005-0000-0000-0000F68B0000}"/>
    <cellStyle name="Normal 4 31" xfId="35834" xr:uid="{00000000-0005-0000-0000-0000F78B0000}"/>
    <cellStyle name="Normal 4 32" xfId="35835" xr:uid="{00000000-0005-0000-0000-0000F88B0000}"/>
    <cellStyle name="Normal 4 33" xfId="35836" xr:uid="{00000000-0005-0000-0000-0000F98B0000}"/>
    <cellStyle name="Normal 4 34" xfId="35837" xr:uid="{00000000-0005-0000-0000-0000FA8B0000}"/>
    <cellStyle name="Normal 4 35" xfId="35838" xr:uid="{00000000-0005-0000-0000-0000FB8B0000}"/>
    <cellStyle name="Normal 4 36" xfId="35839" xr:uid="{00000000-0005-0000-0000-0000FC8B0000}"/>
    <cellStyle name="Normal 4 37" xfId="35840" xr:uid="{00000000-0005-0000-0000-0000FD8B0000}"/>
    <cellStyle name="Normal 4 38" xfId="35841" xr:uid="{00000000-0005-0000-0000-0000FE8B0000}"/>
    <cellStyle name="Normal 4 39" xfId="35842" xr:uid="{00000000-0005-0000-0000-0000FF8B0000}"/>
    <cellStyle name="Normal 4 4" xfId="35843" xr:uid="{00000000-0005-0000-0000-0000008C0000}"/>
    <cellStyle name="Normal 4 4 2" xfId="35844" xr:uid="{00000000-0005-0000-0000-0000018C0000}"/>
    <cellStyle name="Normal 4 4 2 2" xfId="35845" xr:uid="{00000000-0005-0000-0000-0000028C0000}"/>
    <cellStyle name="Normal 4 4 3" xfId="35846" xr:uid="{00000000-0005-0000-0000-0000038C0000}"/>
    <cellStyle name="Normal 4 4 3 2" xfId="35847" xr:uid="{00000000-0005-0000-0000-0000048C0000}"/>
    <cellStyle name="Normal 4 4 4" xfId="35848" xr:uid="{00000000-0005-0000-0000-0000058C0000}"/>
    <cellStyle name="Normal 4 4 5" xfId="35849" xr:uid="{00000000-0005-0000-0000-0000068C0000}"/>
    <cellStyle name="Normal 4 40" xfId="35850" xr:uid="{00000000-0005-0000-0000-0000078C0000}"/>
    <cellStyle name="Normal 4 41" xfId="35851" xr:uid="{00000000-0005-0000-0000-0000088C0000}"/>
    <cellStyle name="Normal 4 42" xfId="35852" xr:uid="{00000000-0005-0000-0000-0000098C0000}"/>
    <cellStyle name="Normal 4 43" xfId="35853" xr:uid="{00000000-0005-0000-0000-00000A8C0000}"/>
    <cellStyle name="Normal 4 44" xfId="35854" xr:uid="{00000000-0005-0000-0000-00000B8C0000}"/>
    <cellStyle name="Normal 4 45" xfId="35855" xr:uid="{00000000-0005-0000-0000-00000C8C0000}"/>
    <cellStyle name="Normal 4 46" xfId="35856" xr:uid="{00000000-0005-0000-0000-00000D8C0000}"/>
    <cellStyle name="Normal 4 47" xfId="35857" xr:uid="{00000000-0005-0000-0000-00000E8C0000}"/>
    <cellStyle name="Normal 4 48" xfId="35858" xr:uid="{00000000-0005-0000-0000-00000F8C0000}"/>
    <cellStyle name="Normal 4 49" xfId="35859" xr:uid="{00000000-0005-0000-0000-0000108C0000}"/>
    <cellStyle name="Normal 4 5" xfId="35860" xr:uid="{00000000-0005-0000-0000-0000118C0000}"/>
    <cellStyle name="Normal 4 5 2" xfId="35861" xr:uid="{00000000-0005-0000-0000-0000128C0000}"/>
    <cellStyle name="Normal 4 5 3" xfId="35862" xr:uid="{00000000-0005-0000-0000-0000138C0000}"/>
    <cellStyle name="Normal 4 50" xfId="35863" xr:uid="{00000000-0005-0000-0000-0000148C0000}"/>
    <cellStyle name="Normal 4 51" xfId="35864" xr:uid="{00000000-0005-0000-0000-0000158C0000}"/>
    <cellStyle name="Normal 4 52" xfId="35865" xr:uid="{00000000-0005-0000-0000-0000168C0000}"/>
    <cellStyle name="Normal 4 53" xfId="35866" xr:uid="{00000000-0005-0000-0000-0000178C0000}"/>
    <cellStyle name="Normal 4 54" xfId="35867" xr:uid="{00000000-0005-0000-0000-0000188C0000}"/>
    <cellStyle name="Normal 4 55" xfId="35868" xr:uid="{00000000-0005-0000-0000-0000198C0000}"/>
    <cellStyle name="Normal 4 56" xfId="35869" xr:uid="{00000000-0005-0000-0000-00001A8C0000}"/>
    <cellStyle name="Normal 4 57" xfId="35870" xr:uid="{00000000-0005-0000-0000-00001B8C0000}"/>
    <cellStyle name="Normal 4 58" xfId="35871" xr:uid="{00000000-0005-0000-0000-00001C8C0000}"/>
    <cellStyle name="Normal 4 59" xfId="35872" xr:uid="{00000000-0005-0000-0000-00001D8C0000}"/>
    <cellStyle name="Normal 4 6" xfId="35873" xr:uid="{00000000-0005-0000-0000-00001E8C0000}"/>
    <cellStyle name="Normal 4 60" xfId="35874" xr:uid="{00000000-0005-0000-0000-00001F8C0000}"/>
    <cellStyle name="Normal 4 61" xfId="35875" xr:uid="{00000000-0005-0000-0000-0000208C0000}"/>
    <cellStyle name="Normal 4 62" xfId="35876" xr:uid="{00000000-0005-0000-0000-0000218C0000}"/>
    <cellStyle name="Normal 4 63" xfId="35877" xr:uid="{00000000-0005-0000-0000-0000228C0000}"/>
    <cellStyle name="Normal 4 64" xfId="35878" xr:uid="{00000000-0005-0000-0000-0000238C0000}"/>
    <cellStyle name="Normal 4 65" xfId="35879" xr:uid="{00000000-0005-0000-0000-0000248C0000}"/>
    <cellStyle name="Normal 4 66" xfId="35880" xr:uid="{00000000-0005-0000-0000-0000258C0000}"/>
    <cellStyle name="Normal 4 67" xfId="35881" xr:uid="{00000000-0005-0000-0000-0000268C0000}"/>
    <cellStyle name="Normal 4 68" xfId="35882" xr:uid="{00000000-0005-0000-0000-0000278C0000}"/>
    <cellStyle name="Normal 4 69" xfId="35883" xr:uid="{00000000-0005-0000-0000-0000288C0000}"/>
    <cellStyle name="Normal 4 7" xfId="35884" xr:uid="{00000000-0005-0000-0000-0000298C0000}"/>
    <cellStyle name="Normal 4 70" xfId="35885" xr:uid="{00000000-0005-0000-0000-00002A8C0000}"/>
    <cellStyle name="Normal 4 71" xfId="35886" xr:uid="{00000000-0005-0000-0000-00002B8C0000}"/>
    <cellStyle name="Normal 4 72" xfId="35887" xr:uid="{00000000-0005-0000-0000-00002C8C0000}"/>
    <cellStyle name="Normal 4 73" xfId="35888" xr:uid="{00000000-0005-0000-0000-00002D8C0000}"/>
    <cellStyle name="Normal 4 74" xfId="35889" xr:uid="{00000000-0005-0000-0000-00002E8C0000}"/>
    <cellStyle name="Normal 4 75" xfId="35890" xr:uid="{00000000-0005-0000-0000-00002F8C0000}"/>
    <cellStyle name="Normal 4 76" xfId="35891" xr:uid="{00000000-0005-0000-0000-0000308C0000}"/>
    <cellStyle name="Normal 4 77" xfId="35892" xr:uid="{00000000-0005-0000-0000-0000318C0000}"/>
    <cellStyle name="Normal 4 78" xfId="35893" xr:uid="{00000000-0005-0000-0000-0000328C0000}"/>
    <cellStyle name="Normal 4 79" xfId="35894" xr:uid="{00000000-0005-0000-0000-0000338C0000}"/>
    <cellStyle name="Normal 4 8" xfId="35895" xr:uid="{00000000-0005-0000-0000-0000348C0000}"/>
    <cellStyle name="Normal 4 80" xfId="35896" xr:uid="{00000000-0005-0000-0000-0000358C0000}"/>
    <cellStyle name="Normal 4 81" xfId="35897" xr:uid="{00000000-0005-0000-0000-0000368C0000}"/>
    <cellStyle name="Normal 4 82" xfId="35898" xr:uid="{00000000-0005-0000-0000-0000378C0000}"/>
    <cellStyle name="Normal 4 82 2" xfId="35899" xr:uid="{00000000-0005-0000-0000-0000388C0000}"/>
    <cellStyle name="Normal 4 82 3" xfId="35900" xr:uid="{00000000-0005-0000-0000-0000398C0000}"/>
    <cellStyle name="Normal 4 83" xfId="35901" xr:uid="{00000000-0005-0000-0000-00003A8C0000}"/>
    <cellStyle name="Normal 4 83 2" xfId="35902" xr:uid="{00000000-0005-0000-0000-00003B8C0000}"/>
    <cellStyle name="Normal 4 83 3" xfId="35903" xr:uid="{00000000-0005-0000-0000-00003C8C0000}"/>
    <cellStyle name="Normal 4 84" xfId="35904" xr:uid="{00000000-0005-0000-0000-00003D8C0000}"/>
    <cellStyle name="Normal 4 84 2" xfId="35905" xr:uid="{00000000-0005-0000-0000-00003E8C0000}"/>
    <cellStyle name="Normal 4 84 3" xfId="35906" xr:uid="{00000000-0005-0000-0000-00003F8C0000}"/>
    <cellStyle name="Normal 4 9" xfId="35907" xr:uid="{00000000-0005-0000-0000-0000408C0000}"/>
    <cellStyle name="Normal 4_Commercial" xfId="35908" xr:uid="{00000000-0005-0000-0000-0000418C0000}"/>
    <cellStyle name="Normal 40" xfId="35909" xr:uid="{00000000-0005-0000-0000-0000428C0000}"/>
    <cellStyle name="Normal 40 2" xfId="35910" xr:uid="{00000000-0005-0000-0000-0000438C0000}"/>
    <cellStyle name="Normal 40 3" xfId="35911" xr:uid="{00000000-0005-0000-0000-0000448C0000}"/>
    <cellStyle name="Normal 41" xfId="35912" xr:uid="{00000000-0005-0000-0000-0000458C0000}"/>
    <cellStyle name="Normal 41 2" xfId="35913" xr:uid="{00000000-0005-0000-0000-0000468C0000}"/>
    <cellStyle name="Normal 41 3" xfId="35914" xr:uid="{00000000-0005-0000-0000-0000478C0000}"/>
    <cellStyle name="Normal 42" xfId="35915" xr:uid="{00000000-0005-0000-0000-0000488C0000}"/>
    <cellStyle name="Normal 42 2" xfId="35916" xr:uid="{00000000-0005-0000-0000-0000498C0000}"/>
    <cellStyle name="Normal 42 3" xfId="35917" xr:uid="{00000000-0005-0000-0000-00004A8C0000}"/>
    <cellStyle name="Normal 42 4" xfId="35918" xr:uid="{00000000-0005-0000-0000-00004B8C0000}"/>
    <cellStyle name="Normal 43" xfId="35919" xr:uid="{00000000-0005-0000-0000-00004C8C0000}"/>
    <cellStyle name="Normal 43 2" xfId="35920" xr:uid="{00000000-0005-0000-0000-00004D8C0000}"/>
    <cellStyle name="Normal 43 3" xfId="35921" xr:uid="{00000000-0005-0000-0000-00004E8C0000}"/>
    <cellStyle name="Normal 44" xfId="35922" xr:uid="{00000000-0005-0000-0000-00004F8C0000}"/>
    <cellStyle name="Normal 44 2" xfId="35923" xr:uid="{00000000-0005-0000-0000-0000508C0000}"/>
    <cellStyle name="Normal 44 3" xfId="35924" xr:uid="{00000000-0005-0000-0000-0000518C0000}"/>
    <cellStyle name="Normal 45" xfId="35925" xr:uid="{00000000-0005-0000-0000-0000528C0000}"/>
    <cellStyle name="Normal 45 2" xfId="35926" xr:uid="{00000000-0005-0000-0000-0000538C0000}"/>
    <cellStyle name="Normal 45 3" xfId="35927" xr:uid="{00000000-0005-0000-0000-0000548C0000}"/>
    <cellStyle name="Normal 46" xfId="35928" xr:uid="{00000000-0005-0000-0000-0000558C0000}"/>
    <cellStyle name="Normal 46 2" xfId="35929" xr:uid="{00000000-0005-0000-0000-0000568C0000}"/>
    <cellStyle name="Normal 46 3" xfId="35930" xr:uid="{00000000-0005-0000-0000-0000578C0000}"/>
    <cellStyle name="Normal 47" xfId="35931" xr:uid="{00000000-0005-0000-0000-0000588C0000}"/>
    <cellStyle name="Normal 47 2" xfId="35932" xr:uid="{00000000-0005-0000-0000-0000598C0000}"/>
    <cellStyle name="Normal 47 3" xfId="35933" xr:uid="{00000000-0005-0000-0000-00005A8C0000}"/>
    <cellStyle name="Normal 48" xfId="35934" xr:uid="{00000000-0005-0000-0000-00005B8C0000}"/>
    <cellStyle name="Normal 48 2" xfId="35935" xr:uid="{00000000-0005-0000-0000-00005C8C0000}"/>
    <cellStyle name="Normal 48 3" xfId="35936" xr:uid="{00000000-0005-0000-0000-00005D8C0000}"/>
    <cellStyle name="Normal 49" xfId="35937" xr:uid="{00000000-0005-0000-0000-00005E8C0000}"/>
    <cellStyle name="Normal 49 2" xfId="35938" xr:uid="{00000000-0005-0000-0000-00005F8C0000}"/>
    <cellStyle name="Normal 49 3" xfId="35939" xr:uid="{00000000-0005-0000-0000-0000608C0000}"/>
    <cellStyle name="Normal 5" xfId="35940" xr:uid="{00000000-0005-0000-0000-0000618C0000}"/>
    <cellStyle name="Normal 5 10" xfId="35941" xr:uid="{00000000-0005-0000-0000-0000628C0000}"/>
    <cellStyle name="Normal 5 11" xfId="35942" xr:uid="{00000000-0005-0000-0000-0000638C0000}"/>
    <cellStyle name="Normal 5 12" xfId="35943" xr:uid="{00000000-0005-0000-0000-0000648C0000}"/>
    <cellStyle name="Normal 5 13" xfId="35944" xr:uid="{00000000-0005-0000-0000-0000658C0000}"/>
    <cellStyle name="Normal 5 14" xfId="35945" xr:uid="{00000000-0005-0000-0000-0000668C0000}"/>
    <cellStyle name="Normal 5 15" xfId="35946" xr:uid="{00000000-0005-0000-0000-0000678C0000}"/>
    <cellStyle name="Normal 5 16" xfId="35947" xr:uid="{00000000-0005-0000-0000-0000688C0000}"/>
    <cellStyle name="Normal 5 17" xfId="35948" xr:uid="{00000000-0005-0000-0000-0000698C0000}"/>
    <cellStyle name="Normal 5 18" xfId="35949" xr:uid="{00000000-0005-0000-0000-00006A8C0000}"/>
    <cellStyle name="Normal 5 19" xfId="35950" xr:uid="{00000000-0005-0000-0000-00006B8C0000}"/>
    <cellStyle name="Normal 5 2" xfId="35951" xr:uid="{00000000-0005-0000-0000-00006C8C0000}"/>
    <cellStyle name="Normal 5 2 2" xfId="35952" xr:uid="{00000000-0005-0000-0000-00006D8C0000}"/>
    <cellStyle name="Normal 5 2 2 2" xfId="35953" xr:uid="{00000000-0005-0000-0000-00006E8C0000}"/>
    <cellStyle name="Normal 5 2 2 2 2" xfId="35954" xr:uid="{00000000-0005-0000-0000-00006F8C0000}"/>
    <cellStyle name="Normal 5 2 2 3" xfId="35955" xr:uid="{00000000-0005-0000-0000-0000708C0000}"/>
    <cellStyle name="Normal 5 2 3" xfId="35956" xr:uid="{00000000-0005-0000-0000-0000718C0000}"/>
    <cellStyle name="Normal 5 2 3 2" xfId="35957" xr:uid="{00000000-0005-0000-0000-0000728C0000}"/>
    <cellStyle name="Normal 5 2 4" xfId="35958" xr:uid="{00000000-0005-0000-0000-0000738C0000}"/>
    <cellStyle name="Normal 5 2 4 2" xfId="35959" xr:uid="{00000000-0005-0000-0000-0000748C0000}"/>
    <cellStyle name="Normal 5 2 5" xfId="35960" xr:uid="{00000000-0005-0000-0000-0000758C0000}"/>
    <cellStyle name="Normal 5 2 6" xfId="35961" xr:uid="{00000000-0005-0000-0000-0000768C0000}"/>
    <cellStyle name="Normal 5 20" xfId="35962" xr:uid="{00000000-0005-0000-0000-0000778C0000}"/>
    <cellStyle name="Normal 5 21" xfId="35963" xr:uid="{00000000-0005-0000-0000-0000788C0000}"/>
    <cellStyle name="Normal 5 22" xfId="35964" xr:uid="{00000000-0005-0000-0000-0000798C0000}"/>
    <cellStyle name="Normal 5 23" xfId="35965" xr:uid="{00000000-0005-0000-0000-00007A8C0000}"/>
    <cellStyle name="Normal 5 24" xfId="35966" xr:uid="{00000000-0005-0000-0000-00007B8C0000}"/>
    <cellStyle name="Normal 5 25" xfId="35967" xr:uid="{00000000-0005-0000-0000-00007C8C0000}"/>
    <cellStyle name="Normal 5 26" xfId="35968" xr:uid="{00000000-0005-0000-0000-00007D8C0000}"/>
    <cellStyle name="Normal 5 27" xfId="35969" xr:uid="{00000000-0005-0000-0000-00007E8C0000}"/>
    <cellStyle name="Normal 5 28" xfId="35970" xr:uid="{00000000-0005-0000-0000-00007F8C0000}"/>
    <cellStyle name="Normal 5 29" xfId="35971" xr:uid="{00000000-0005-0000-0000-0000808C0000}"/>
    <cellStyle name="Normal 5 3" xfId="35972" xr:uid="{00000000-0005-0000-0000-0000818C0000}"/>
    <cellStyle name="Normal 5 3 2" xfId="35973" xr:uid="{00000000-0005-0000-0000-0000828C0000}"/>
    <cellStyle name="Normal 5 3 2 2" xfId="35974" xr:uid="{00000000-0005-0000-0000-0000838C0000}"/>
    <cellStyle name="Normal 5 3 2 2 2" xfId="35975" xr:uid="{00000000-0005-0000-0000-0000848C0000}"/>
    <cellStyle name="Normal 5 3 2 3" xfId="35976" xr:uid="{00000000-0005-0000-0000-0000858C0000}"/>
    <cellStyle name="Normal 5 3 3" xfId="35977" xr:uid="{00000000-0005-0000-0000-0000868C0000}"/>
    <cellStyle name="Normal 5 3 3 2" xfId="35978" xr:uid="{00000000-0005-0000-0000-0000878C0000}"/>
    <cellStyle name="Normal 5 3 4" xfId="35979" xr:uid="{00000000-0005-0000-0000-0000888C0000}"/>
    <cellStyle name="Normal 5 3 4 2" xfId="35980" xr:uid="{00000000-0005-0000-0000-0000898C0000}"/>
    <cellStyle name="Normal 5 3 5" xfId="35981" xr:uid="{00000000-0005-0000-0000-00008A8C0000}"/>
    <cellStyle name="Normal 5 3 6" xfId="35982" xr:uid="{00000000-0005-0000-0000-00008B8C0000}"/>
    <cellStyle name="Normal 5 30" xfId="35983" xr:uid="{00000000-0005-0000-0000-00008C8C0000}"/>
    <cellStyle name="Normal 5 31" xfId="35984" xr:uid="{00000000-0005-0000-0000-00008D8C0000}"/>
    <cellStyle name="Normal 5 32" xfId="35985" xr:uid="{00000000-0005-0000-0000-00008E8C0000}"/>
    <cellStyle name="Normal 5 33" xfId="35986" xr:uid="{00000000-0005-0000-0000-00008F8C0000}"/>
    <cellStyle name="Normal 5 34" xfId="35987" xr:uid="{00000000-0005-0000-0000-0000908C0000}"/>
    <cellStyle name="Normal 5 35" xfId="35988" xr:uid="{00000000-0005-0000-0000-0000918C0000}"/>
    <cellStyle name="Normal 5 36" xfId="35989" xr:uid="{00000000-0005-0000-0000-0000928C0000}"/>
    <cellStyle name="Normal 5 37" xfId="35990" xr:uid="{00000000-0005-0000-0000-0000938C0000}"/>
    <cellStyle name="Normal 5 38" xfId="35991" xr:uid="{00000000-0005-0000-0000-0000948C0000}"/>
    <cellStyle name="Normal 5 39" xfId="35992" xr:uid="{00000000-0005-0000-0000-0000958C0000}"/>
    <cellStyle name="Normal 5 4" xfId="35993" xr:uid="{00000000-0005-0000-0000-0000968C0000}"/>
    <cellStyle name="Normal 5 4 2" xfId="35994" xr:uid="{00000000-0005-0000-0000-0000978C0000}"/>
    <cellStyle name="Normal 5 4 2 2" xfId="35995" xr:uid="{00000000-0005-0000-0000-0000988C0000}"/>
    <cellStyle name="Normal 5 4 2 3" xfId="35996" xr:uid="{00000000-0005-0000-0000-0000998C0000}"/>
    <cellStyle name="Normal 5 4 3" xfId="35997" xr:uid="{00000000-0005-0000-0000-00009A8C0000}"/>
    <cellStyle name="Normal 5 4 3 2" xfId="35998" xr:uid="{00000000-0005-0000-0000-00009B8C0000}"/>
    <cellStyle name="Normal 5 4 3 3" xfId="35999" xr:uid="{00000000-0005-0000-0000-00009C8C0000}"/>
    <cellStyle name="Normal 5 40" xfId="36000" xr:uid="{00000000-0005-0000-0000-00009D8C0000}"/>
    <cellStyle name="Normal 5 41" xfId="36001" xr:uid="{00000000-0005-0000-0000-00009E8C0000}"/>
    <cellStyle name="Normal 5 42" xfId="36002" xr:uid="{00000000-0005-0000-0000-00009F8C0000}"/>
    <cellStyle name="Normal 5 43" xfId="36003" xr:uid="{00000000-0005-0000-0000-0000A08C0000}"/>
    <cellStyle name="Normal 5 44" xfId="36004" xr:uid="{00000000-0005-0000-0000-0000A18C0000}"/>
    <cellStyle name="Normal 5 45" xfId="36005" xr:uid="{00000000-0005-0000-0000-0000A28C0000}"/>
    <cellStyle name="Normal 5 46" xfId="36006" xr:uid="{00000000-0005-0000-0000-0000A38C0000}"/>
    <cellStyle name="Normal 5 47" xfId="36007" xr:uid="{00000000-0005-0000-0000-0000A48C0000}"/>
    <cellStyle name="Normal 5 48" xfId="36008" xr:uid="{00000000-0005-0000-0000-0000A58C0000}"/>
    <cellStyle name="Normal 5 49" xfId="36009" xr:uid="{00000000-0005-0000-0000-0000A68C0000}"/>
    <cellStyle name="Normal 5 5" xfId="36010" xr:uid="{00000000-0005-0000-0000-0000A78C0000}"/>
    <cellStyle name="Normal 5 5 2" xfId="36011" xr:uid="{00000000-0005-0000-0000-0000A88C0000}"/>
    <cellStyle name="Normal 5 5 2 2" xfId="36012" xr:uid="{00000000-0005-0000-0000-0000A98C0000}"/>
    <cellStyle name="Normal 5 5 2 2 2" xfId="36013" xr:uid="{00000000-0005-0000-0000-0000AA8C0000}"/>
    <cellStyle name="Normal 5 5 2 3" xfId="36014" xr:uid="{00000000-0005-0000-0000-0000AB8C0000}"/>
    <cellStyle name="Normal 5 5 3" xfId="36015" xr:uid="{00000000-0005-0000-0000-0000AC8C0000}"/>
    <cellStyle name="Normal 5 5 3 2" xfId="36016" xr:uid="{00000000-0005-0000-0000-0000AD8C0000}"/>
    <cellStyle name="Normal 5 5 4" xfId="36017" xr:uid="{00000000-0005-0000-0000-0000AE8C0000}"/>
    <cellStyle name="Normal 5 5 4 2" xfId="36018" xr:uid="{00000000-0005-0000-0000-0000AF8C0000}"/>
    <cellStyle name="Normal 5 5 5" xfId="36019" xr:uid="{00000000-0005-0000-0000-0000B08C0000}"/>
    <cellStyle name="Normal 5 5 6" xfId="36020" xr:uid="{00000000-0005-0000-0000-0000B18C0000}"/>
    <cellStyle name="Normal 5 50" xfId="36021" xr:uid="{00000000-0005-0000-0000-0000B28C0000}"/>
    <cellStyle name="Normal 5 51" xfId="36022" xr:uid="{00000000-0005-0000-0000-0000B38C0000}"/>
    <cellStyle name="Normal 5 52" xfId="36023" xr:uid="{00000000-0005-0000-0000-0000B48C0000}"/>
    <cellStyle name="Normal 5 53" xfId="36024" xr:uid="{00000000-0005-0000-0000-0000B58C0000}"/>
    <cellStyle name="Normal 5 54" xfId="36025" xr:uid="{00000000-0005-0000-0000-0000B68C0000}"/>
    <cellStyle name="Normal 5 55" xfId="36026" xr:uid="{00000000-0005-0000-0000-0000B78C0000}"/>
    <cellStyle name="Normal 5 56" xfId="36027" xr:uid="{00000000-0005-0000-0000-0000B88C0000}"/>
    <cellStyle name="Normal 5 57" xfId="36028" xr:uid="{00000000-0005-0000-0000-0000B98C0000}"/>
    <cellStyle name="Normal 5 58" xfId="36029" xr:uid="{00000000-0005-0000-0000-0000BA8C0000}"/>
    <cellStyle name="Normal 5 59" xfId="36030" xr:uid="{00000000-0005-0000-0000-0000BB8C0000}"/>
    <cellStyle name="Normal 5 6" xfId="36031" xr:uid="{00000000-0005-0000-0000-0000BC8C0000}"/>
    <cellStyle name="Normal 5 6 2" xfId="36032" xr:uid="{00000000-0005-0000-0000-0000BD8C0000}"/>
    <cellStyle name="Normal 5 60" xfId="36033" xr:uid="{00000000-0005-0000-0000-0000BE8C0000}"/>
    <cellStyle name="Normal 5 61" xfId="36034" xr:uid="{00000000-0005-0000-0000-0000BF8C0000}"/>
    <cellStyle name="Normal 5 62" xfId="36035" xr:uid="{00000000-0005-0000-0000-0000C08C0000}"/>
    <cellStyle name="Normal 5 63" xfId="36036" xr:uid="{00000000-0005-0000-0000-0000C18C0000}"/>
    <cellStyle name="Normal 5 64" xfId="36037" xr:uid="{00000000-0005-0000-0000-0000C28C0000}"/>
    <cellStyle name="Normal 5 65" xfId="36038" xr:uid="{00000000-0005-0000-0000-0000C38C0000}"/>
    <cellStyle name="Normal 5 66" xfId="36039" xr:uid="{00000000-0005-0000-0000-0000C48C0000}"/>
    <cellStyle name="Normal 5 67" xfId="36040" xr:uid="{00000000-0005-0000-0000-0000C58C0000}"/>
    <cellStyle name="Normal 5 68" xfId="36041" xr:uid="{00000000-0005-0000-0000-0000C68C0000}"/>
    <cellStyle name="Normal 5 69" xfId="36042" xr:uid="{00000000-0005-0000-0000-0000C78C0000}"/>
    <cellStyle name="Normal 5 7" xfId="36043" xr:uid="{00000000-0005-0000-0000-0000C88C0000}"/>
    <cellStyle name="Normal 5 70" xfId="36044" xr:uid="{00000000-0005-0000-0000-0000C98C0000}"/>
    <cellStyle name="Normal 5 71" xfId="36045" xr:uid="{00000000-0005-0000-0000-0000CA8C0000}"/>
    <cellStyle name="Normal 5 72" xfId="36046" xr:uid="{00000000-0005-0000-0000-0000CB8C0000}"/>
    <cellStyle name="Normal 5 73" xfId="36047" xr:uid="{00000000-0005-0000-0000-0000CC8C0000}"/>
    <cellStyle name="Normal 5 74" xfId="36048" xr:uid="{00000000-0005-0000-0000-0000CD8C0000}"/>
    <cellStyle name="Normal 5 75" xfId="36049" xr:uid="{00000000-0005-0000-0000-0000CE8C0000}"/>
    <cellStyle name="Normal 5 76" xfId="36050" xr:uid="{00000000-0005-0000-0000-0000CF8C0000}"/>
    <cellStyle name="Normal 5 77" xfId="36051" xr:uid="{00000000-0005-0000-0000-0000D08C0000}"/>
    <cellStyle name="Normal 5 78" xfId="36052" xr:uid="{00000000-0005-0000-0000-0000D18C0000}"/>
    <cellStyle name="Normal 5 79" xfId="36053" xr:uid="{00000000-0005-0000-0000-0000D28C0000}"/>
    <cellStyle name="Normal 5 8" xfId="36054" xr:uid="{00000000-0005-0000-0000-0000D38C0000}"/>
    <cellStyle name="Normal 5 80" xfId="36055" xr:uid="{00000000-0005-0000-0000-0000D48C0000}"/>
    <cellStyle name="Normal 5 81" xfId="36056" xr:uid="{00000000-0005-0000-0000-0000D58C0000}"/>
    <cellStyle name="Normal 5 81 2" xfId="36057" xr:uid="{00000000-0005-0000-0000-0000D68C0000}"/>
    <cellStyle name="Normal 5 81 3" xfId="36058" xr:uid="{00000000-0005-0000-0000-0000D78C0000}"/>
    <cellStyle name="Normal 5 82" xfId="36059" xr:uid="{00000000-0005-0000-0000-0000D88C0000}"/>
    <cellStyle name="Normal 5 82 2" xfId="36060" xr:uid="{00000000-0005-0000-0000-0000D98C0000}"/>
    <cellStyle name="Normal 5 82 3" xfId="36061" xr:uid="{00000000-0005-0000-0000-0000DA8C0000}"/>
    <cellStyle name="Normal 5 9" xfId="36062" xr:uid="{00000000-0005-0000-0000-0000DB8C0000}"/>
    <cellStyle name="Normal 5_Commercial" xfId="36063" xr:uid="{00000000-0005-0000-0000-0000DC8C0000}"/>
    <cellStyle name="Normal 50" xfId="36064" xr:uid="{00000000-0005-0000-0000-0000DD8C0000}"/>
    <cellStyle name="Normal 50 2" xfId="36065" xr:uid="{00000000-0005-0000-0000-0000DE8C0000}"/>
    <cellStyle name="Normal 50 3" xfId="36066" xr:uid="{00000000-0005-0000-0000-0000DF8C0000}"/>
    <cellStyle name="Normal 51" xfId="36067" xr:uid="{00000000-0005-0000-0000-0000E08C0000}"/>
    <cellStyle name="Normal 51 2" xfId="36068" xr:uid="{00000000-0005-0000-0000-0000E18C0000}"/>
    <cellStyle name="Normal 51 2 2" xfId="36069" xr:uid="{00000000-0005-0000-0000-0000E28C0000}"/>
    <cellStyle name="Normal 51 2 2 2" xfId="36070" xr:uid="{00000000-0005-0000-0000-0000E38C0000}"/>
    <cellStyle name="Normal 51 2 3" xfId="36071" xr:uid="{00000000-0005-0000-0000-0000E48C0000}"/>
    <cellStyle name="Normal 51 2 3 2" xfId="36072" xr:uid="{00000000-0005-0000-0000-0000E58C0000}"/>
    <cellStyle name="Normal 51 2 4" xfId="36073" xr:uid="{00000000-0005-0000-0000-0000E68C0000}"/>
    <cellStyle name="Normal 51 3" xfId="36074" xr:uid="{00000000-0005-0000-0000-0000E78C0000}"/>
    <cellStyle name="Normal 51 3 2" xfId="36075" xr:uid="{00000000-0005-0000-0000-0000E88C0000}"/>
    <cellStyle name="Normal 51 4" xfId="36076" xr:uid="{00000000-0005-0000-0000-0000E98C0000}"/>
    <cellStyle name="Normal 51 4 2" xfId="36077" xr:uid="{00000000-0005-0000-0000-0000EA8C0000}"/>
    <cellStyle name="Normal 51 5" xfId="36078" xr:uid="{00000000-0005-0000-0000-0000EB8C0000}"/>
    <cellStyle name="Normal 52" xfId="36079" xr:uid="{00000000-0005-0000-0000-0000EC8C0000}"/>
    <cellStyle name="Normal 52 2" xfId="36080" xr:uid="{00000000-0005-0000-0000-0000ED8C0000}"/>
    <cellStyle name="Normal 52 2 2" xfId="36081" xr:uid="{00000000-0005-0000-0000-0000EE8C0000}"/>
    <cellStyle name="Normal 52 2 2 2" xfId="36082" xr:uid="{00000000-0005-0000-0000-0000EF8C0000}"/>
    <cellStyle name="Normal 52 2 3" xfId="36083" xr:uid="{00000000-0005-0000-0000-0000F08C0000}"/>
    <cellStyle name="Normal 52 2 3 2" xfId="36084" xr:uid="{00000000-0005-0000-0000-0000F18C0000}"/>
    <cellStyle name="Normal 52 2 4" xfId="36085" xr:uid="{00000000-0005-0000-0000-0000F28C0000}"/>
    <cellStyle name="Normal 52 3" xfId="36086" xr:uid="{00000000-0005-0000-0000-0000F38C0000}"/>
    <cellStyle name="Normal 52 3 2" xfId="36087" xr:uid="{00000000-0005-0000-0000-0000F48C0000}"/>
    <cellStyle name="Normal 52 4" xfId="36088" xr:uid="{00000000-0005-0000-0000-0000F58C0000}"/>
    <cellStyle name="Normal 52 4 2" xfId="36089" xr:uid="{00000000-0005-0000-0000-0000F68C0000}"/>
    <cellStyle name="Normal 52 5" xfId="36090" xr:uid="{00000000-0005-0000-0000-0000F78C0000}"/>
    <cellStyle name="Normal 53" xfId="36091" xr:uid="{00000000-0005-0000-0000-0000F88C0000}"/>
    <cellStyle name="Normal 53 2" xfId="36092" xr:uid="{00000000-0005-0000-0000-0000F98C0000}"/>
    <cellStyle name="Normal 53 2 2" xfId="36093" xr:uid="{00000000-0005-0000-0000-0000FA8C0000}"/>
    <cellStyle name="Normal 53 2 2 2" xfId="36094" xr:uid="{00000000-0005-0000-0000-0000FB8C0000}"/>
    <cellStyle name="Normal 53 2 3" xfId="36095" xr:uid="{00000000-0005-0000-0000-0000FC8C0000}"/>
    <cellStyle name="Normal 53 2 3 2" xfId="36096" xr:uid="{00000000-0005-0000-0000-0000FD8C0000}"/>
    <cellStyle name="Normal 53 2 4" xfId="36097" xr:uid="{00000000-0005-0000-0000-0000FE8C0000}"/>
    <cellStyle name="Normal 53 3" xfId="36098" xr:uid="{00000000-0005-0000-0000-0000FF8C0000}"/>
    <cellStyle name="Normal 53 3 2" xfId="36099" xr:uid="{00000000-0005-0000-0000-0000008D0000}"/>
    <cellStyle name="Normal 53 4" xfId="36100" xr:uid="{00000000-0005-0000-0000-0000018D0000}"/>
    <cellStyle name="Normal 53 4 2" xfId="36101" xr:uid="{00000000-0005-0000-0000-0000028D0000}"/>
    <cellStyle name="Normal 53 5" xfId="36102" xr:uid="{00000000-0005-0000-0000-0000038D0000}"/>
    <cellStyle name="Normal 54" xfId="36103" xr:uid="{00000000-0005-0000-0000-0000048D0000}"/>
    <cellStyle name="Normal 54 2" xfId="36104" xr:uid="{00000000-0005-0000-0000-0000058D0000}"/>
    <cellStyle name="Normal 54 2 2" xfId="36105" xr:uid="{00000000-0005-0000-0000-0000068D0000}"/>
    <cellStyle name="Normal 54 2 2 2" xfId="36106" xr:uid="{00000000-0005-0000-0000-0000078D0000}"/>
    <cellStyle name="Normal 54 2 3" xfId="36107" xr:uid="{00000000-0005-0000-0000-0000088D0000}"/>
    <cellStyle name="Normal 54 2 3 2" xfId="36108" xr:uid="{00000000-0005-0000-0000-0000098D0000}"/>
    <cellStyle name="Normal 54 2 4" xfId="36109" xr:uid="{00000000-0005-0000-0000-00000A8D0000}"/>
    <cellStyle name="Normal 54 3" xfId="36110" xr:uid="{00000000-0005-0000-0000-00000B8D0000}"/>
    <cellStyle name="Normal 54 3 2" xfId="36111" xr:uid="{00000000-0005-0000-0000-00000C8D0000}"/>
    <cellStyle name="Normal 54 4" xfId="36112" xr:uid="{00000000-0005-0000-0000-00000D8D0000}"/>
    <cellStyle name="Normal 54 4 2" xfId="36113" xr:uid="{00000000-0005-0000-0000-00000E8D0000}"/>
    <cellStyle name="Normal 54 5" xfId="36114" xr:uid="{00000000-0005-0000-0000-00000F8D0000}"/>
    <cellStyle name="Normal 55" xfId="36115" xr:uid="{00000000-0005-0000-0000-0000108D0000}"/>
    <cellStyle name="Normal 55 2" xfId="36116" xr:uid="{00000000-0005-0000-0000-0000118D0000}"/>
    <cellStyle name="Normal 55 2 2" xfId="36117" xr:uid="{00000000-0005-0000-0000-0000128D0000}"/>
    <cellStyle name="Normal 55 3" xfId="36118" xr:uid="{00000000-0005-0000-0000-0000138D0000}"/>
    <cellStyle name="Normal 55 3 2" xfId="36119" xr:uid="{00000000-0005-0000-0000-0000148D0000}"/>
    <cellStyle name="Normal 55 4" xfId="36120" xr:uid="{00000000-0005-0000-0000-0000158D0000}"/>
    <cellStyle name="Normal 56" xfId="36121" xr:uid="{00000000-0005-0000-0000-0000168D0000}"/>
    <cellStyle name="Normal 56 2" xfId="36122" xr:uid="{00000000-0005-0000-0000-0000178D0000}"/>
    <cellStyle name="Normal 56 2 2" xfId="36123" xr:uid="{00000000-0005-0000-0000-0000188D0000}"/>
    <cellStyle name="Normal 56 3" xfId="36124" xr:uid="{00000000-0005-0000-0000-0000198D0000}"/>
    <cellStyle name="Normal 56 3 2" xfId="36125" xr:uid="{00000000-0005-0000-0000-00001A8D0000}"/>
    <cellStyle name="Normal 56 4" xfId="36126" xr:uid="{00000000-0005-0000-0000-00001B8D0000}"/>
    <cellStyle name="Normal 57" xfId="36127" xr:uid="{00000000-0005-0000-0000-00001C8D0000}"/>
    <cellStyle name="Normal 57 2" xfId="36128" xr:uid="{00000000-0005-0000-0000-00001D8D0000}"/>
    <cellStyle name="Normal 57 2 2" xfId="36129" xr:uid="{00000000-0005-0000-0000-00001E8D0000}"/>
    <cellStyle name="Normal 57 3" xfId="36130" xr:uid="{00000000-0005-0000-0000-00001F8D0000}"/>
    <cellStyle name="Normal 57 3 2" xfId="36131" xr:uid="{00000000-0005-0000-0000-0000208D0000}"/>
    <cellStyle name="Normal 57 4" xfId="36132" xr:uid="{00000000-0005-0000-0000-0000218D0000}"/>
    <cellStyle name="Normal 58" xfId="36133" xr:uid="{00000000-0005-0000-0000-0000228D0000}"/>
    <cellStyle name="Normal 58 2" xfId="36134" xr:uid="{00000000-0005-0000-0000-0000238D0000}"/>
    <cellStyle name="Normal 58 2 2" xfId="36135" xr:uid="{00000000-0005-0000-0000-0000248D0000}"/>
    <cellStyle name="Normal 58 3" xfId="36136" xr:uid="{00000000-0005-0000-0000-0000258D0000}"/>
    <cellStyle name="Normal 58 3 2" xfId="36137" xr:uid="{00000000-0005-0000-0000-0000268D0000}"/>
    <cellStyle name="Normal 58 4" xfId="36138" xr:uid="{00000000-0005-0000-0000-0000278D0000}"/>
    <cellStyle name="Normal 59" xfId="36139" xr:uid="{00000000-0005-0000-0000-0000288D0000}"/>
    <cellStyle name="Normal 59 2" xfId="36140" xr:uid="{00000000-0005-0000-0000-0000298D0000}"/>
    <cellStyle name="Normal 59 2 2" xfId="36141" xr:uid="{00000000-0005-0000-0000-00002A8D0000}"/>
    <cellStyle name="Normal 59 3" xfId="36142" xr:uid="{00000000-0005-0000-0000-00002B8D0000}"/>
    <cellStyle name="Normal 59 3 2" xfId="36143" xr:uid="{00000000-0005-0000-0000-00002C8D0000}"/>
    <cellStyle name="Normal 59 4" xfId="36144" xr:uid="{00000000-0005-0000-0000-00002D8D0000}"/>
    <cellStyle name="Normal 6" xfId="36145" xr:uid="{00000000-0005-0000-0000-00002E8D0000}"/>
    <cellStyle name="Normal 6 2" xfId="36146" xr:uid="{00000000-0005-0000-0000-00002F8D0000}"/>
    <cellStyle name="Normal 6 2 2" xfId="36147" xr:uid="{00000000-0005-0000-0000-0000308D0000}"/>
    <cellStyle name="Normal 6 2 2 2" xfId="36148" xr:uid="{00000000-0005-0000-0000-0000318D0000}"/>
    <cellStyle name="Normal 6 2 2 2 2" xfId="36149" xr:uid="{00000000-0005-0000-0000-0000328D0000}"/>
    <cellStyle name="Normal 6 2 2 3" xfId="36150" xr:uid="{00000000-0005-0000-0000-0000338D0000}"/>
    <cellStyle name="Normal 6 2 3" xfId="36151" xr:uid="{00000000-0005-0000-0000-0000348D0000}"/>
    <cellStyle name="Normal 6 2 3 2" xfId="36152" xr:uid="{00000000-0005-0000-0000-0000358D0000}"/>
    <cellStyle name="Normal 6 2 3 3" xfId="36153" xr:uid="{00000000-0005-0000-0000-0000368D0000}"/>
    <cellStyle name="Normal 6 2 4" xfId="36154" xr:uid="{00000000-0005-0000-0000-0000378D0000}"/>
    <cellStyle name="Normal 6 2 4 2" xfId="36155" xr:uid="{00000000-0005-0000-0000-0000388D0000}"/>
    <cellStyle name="Normal 6 2 5" xfId="36156" xr:uid="{00000000-0005-0000-0000-0000398D0000}"/>
    <cellStyle name="Normal 6 3" xfId="36157" xr:uid="{00000000-0005-0000-0000-00003A8D0000}"/>
    <cellStyle name="Normal 6 3 2" xfId="36158" xr:uid="{00000000-0005-0000-0000-00003B8D0000}"/>
    <cellStyle name="Normal 6 3 2 2" xfId="36159" xr:uid="{00000000-0005-0000-0000-00003C8D0000}"/>
    <cellStyle name="Normal 6 3 2 2 2" xfId="36160" xr:uid="{00000000-0005-0000-0000-00003D8D0000}"/>
    <cellStyle name="Normal 6 3 2 3" xfId="36161" xr:uid="{00000000-0005-0000-0000-00003E8D0000}"/>
    <cellStyle name="Normal 6 3 3" xfId="36162" xr:uid="{00000000-0005-0000-0000-00003F8D0000}"/>
    <cellStyle name="Normal 6 3 3 2" xfId="36163" xr:uid="{00000000-0005-0000-0000-0000408D0000}"/>
    <cellStyle name="Normal 6 3 4" xfId="36164" xr:uid="{00000000-0005-0000-0000-0000418D0000}"/>
    <cellStyle name="Normal 6 3 4 2" xfId="36165" xr:uid="{00000000-0005-0000-0000-0000428D0000}"/>
    <cellStyle name="Normal 6 3 5" xfId="36166" xr:uid="{00000000-0005-0000-0000-0000438D0000}"/>
    <cellStyle name="Normal 6 3 6" xfId="7" xr:uid="{00000000-0005-0000-0000-0000448D0000}"/>
    <cellStyle name="Normal 6 4" xfId="36167" xr:uid="{00000000-0005-0000-0000-0000458D0000}"/>
    <cellStyle name="Normal 6 4 2" xfId="36168" xr:uid="{00000000-0005-0000-0000-0000468D0000}"/>
    <cellStyle name="Normal 6 4 2 2" xfId="36169" xr:uid="{00000000-0005-0000-0000-0000478D0000}"/>
    <cellStyle name="Normal 6 4 2 2 2" xfId="36170" xr:uid="{00000000-0005-0000-0000-0000488D0000}"/>
    <cellStyle name="Normal 6 4 2 3" xfId="36171" xr:uid="{00000000-0005-0000-0000-0000498D0000}"/>
    <cellStyle name="Normal 6 4 3" xfId="36172" xr:uid="{00000000-0005-0000-0000-00004A8D0000}"/>
    <cellStyle name="Normal 6 4 3 2" xfId="36173" xr:uid="{00000000-0005-0000-0000-00004B8D0000}"/>
    <cellStyle name="Normal 6 4 4" xfId="36174" xr:uid="{00000000-0005-0000-0000-00004C8D0000}"/>
    <cellStyle name="Normal 6 4 4 2" xfId="36175" xr:uid="{00000000-0005-0000-0000-00004D8D0000}"/>
    <cellStyle name="Normal 6 4 5" xfId="36176" xr:uid="{00000000-0005-0000-0000-00004E8D0000}"/>
    <cellStyle name="Normal 6 5" xfId="36177" xr:uid="{00000000-0005-0000-0000-00004F8D0000}"/>
    <cellStyle name="Normal 6 5 2" xfId="36178" xr:uid="{00000000-0005-0000-0000-0000508D0000}"/>
    <cellStyle name="Normal 6 5 2 2" xfId="36179" xr:uid="{00000000-0005-0000-0000-0000518D0000}"/>
    <cellStyle name="Normal 6 5 2 2 2" xfId="36180" xr:uid="{00000000-0005-0000-0000-0000528D0000}"/>
    <cellStyle name="Normal 6 5 2 3" xfId="36181" xr:uid="{00000000-0005-0000-0000-0000538D0000}"/>
    <cellStyle name="Normal 6 5 3" xfId="36182" xr:uid="{00000000-0005-0000-0000-0000548D0000}"/>
    <cellStyle name="Normal 6 5 3 2" xfId="36183" xr:uid="{00000000-0005-0000-0000-0000558D0000}"/>
    <cellStyle name="Normal 6 5 4" xfId="36184" xr:uid="{00000000-0005-0000-0000-0000568D0000}"/>
    <cellStyle name="Normal 6 5 4 2" xfId="36185" xr:uid="{00000000-0005-0000-0000-0000578D0000}"/>
    <cellStyle name="Normal 6 5 5" xfId="36186" xr:uid="{00000000-0005-0000-0000-0000588D0000}"/>
    <cellStyle name="Normal 6 6" xfId="36187" xr:uid="{00000000-0005-0000-0000-0000598D0000}"/>
    <cellStyle name="Normal 6 6 2" xfId="36188" xr:uid="{00000000-0005-0000-0000-00005A8D0000}"/>
    <cellStyle name="Normal 6 6 2 2" xfId="36189" xr:uid="{00000000-0005-0000-0000-00005B8D0000}"/>
    <cellStyle name="Normal 6 6 3" xfId="36190" xr:uid="{00000000-0005-0000-0000-00005C8D0000}"/>
    <cellStyle name="Normal 6 7" xfId="36191" xr:uid="{00000000-0005-0000-0000-00005D8D0000}"/>
    <cellStyle name="Normal 6 7 2" xfId="36192" xr:uid="{00000000-0005-0000-0000-00005E8D0000}"/>
    <cellStyle name="Normal 6 8" xfId="36193" xr:uid="{00000000-0005-0000-0000-00005F8D0000}"/>
    <cellStyle name="Normal 6 8 2" xfId="36194" xr:uid="{00000000-0005-0000-0000-0000608D0000}"/>
    <cellStyle name="Normal 6 9" xfId="36195" xr:uid="{00000000-0005-0000-0000-0000618D0000}"/>
    <cellStyle name="Normal 60" xfId="36196" xr:uid="{00000000-0005-0000-0000-0000628D0000}"/>
    <cellStyle name="Normal 60 2" xfId="36197" xr:uid="{00000000-0005-0000-0000-0000638D0000}"/>
    <cellStyle name="Normal 60 2 2" xfId="36198" xr:uid="{00000000-0005-0000-0000-0000648D0000}"/>
    <cellStyle name="Normal 60 3" xfId="36199" xr:uid="{00000000-0005-0000-0000-0000658D0000}"/>
    <cellStyle name="Normal 60 3 2" xfId="36200" xr:uid="{00000000-0005-0000-0000-0000668D0000}"/>
    <cellStyle name="Normal 60 4" xfId="36201" xr:uid="{00000000-0005-0000-0000-0000678D0000}"/>
    <cellStyle name="Normal 61" xfId="36202" xr:uid="{00000000-0005-0000-0000-0000688D0000}"/>
    <cellStyle name="Normal 61 2" xfId="36203" xr:uid="{00000000-0005-0000-0000-0000698D0000}"/>
    <cellStyle name="Normal 61 2 2" xfId="36204" xr:uid="{00000000-0005-0000-0000-00006A8D0000}"/>
    <cellStyle name="Normal 61 3" xfId="36205" xr:uid="{00000000-0005-0000-0000-00006B8D0000}"/>
    <cellStyle name="Normal 61 4" xfId="36206" xr:uid="{00000000-0005-0000-0000-00006C8D0000}"/>
    <cellStyle name="Normal 62" xfId="36207" xr:uid="{00000000-0005-0000-0000-00006D8D0000}"/>
    <cellStyle name="Normal 62 2" xfId="36208" xr:uid="{00000000-0005-0000-0000-00006E8D0000}"/>
    <cellStyle name="Normal 62 3" xfId="36209" xr:uid="{00000000-0005-0000-0000-00006F8D0000}"/>
    <cellStyle name="Normal 62 3 2" xfId="36210" xr:uid="{00000000-0005-0000-0000-0000708D0000}"/>
    <cellStyle name="Normal 62 4" xfId="36211" xr:uid="{00000000-0005-0000-0000-0000718D0000}"/>
    <cellStyle name="Normal 62 4 2" xfId="36212" xr:uid="{00000000-0005-0000-0000-0000728D0000}"/>
    <cellStyle name="Normal 62 5" xfId="36213" xr:uid="{00000000-0005-0000-0000-0000738D0000}"/>
    <cellStyle name="Normal 63" xfId="36214" xr:uid="{00000000-0005-0000-0000-0000748D0000}"/>
    <cellStyle name="Normal 63 2" xfId="36215" xr:uid="{00000000-0005-0000-0000-0000758D0000}"/>
    <cellStyle name="Normal 63 3" xfId="36216" xr:uid="{00000000-0005-0000-0000-0000768D0000}"/>
    <cellStyle name="Normal 63 3 2" xfId="36217" xr:uid="{00000000-0005-0000-0000-0000778D0000}"/>
    <cellStyle name="Normal 63 4" xfId="36218" xr:uid="{00000000-0005-0000-0000-0000788D0000}"/>
    <cellStyle name="Normal 63 4 2" xfId="36219" xr:uid="{00000000-0005-0000-0000-0000798D0000}"/>
    <cellStyle name="Normal 63 5" xfId="36220" xr:uid="{00000000-0005-0000-0000-00007A8D0000}"/>
    <cellStyle name="Normal 64" xfId="36221" xr:uid="{00000000-0005-0000-0000-00007B8D0000}"/>
    <cellStyle name="Normal 64 2" xfId="36222" xr:uid="{00000000-0005-0000-0000-00007C8D0000}"/>
    <cellStyle name="Normal 64 3" xfId="36223" xr:uid="{00000000-0005-0000-0000-00007D8D0000}"/>
    <cellStyle name="Normal 64 3 2" xfId="36224" xr:uid="{00000000-0005-0000-0000-00007E8D0000}"/>
    <cellStyle name="Normal 64 4" xfId="36225" xr:uid="{00000000-0005-0000-0000-00007F8D0000}"/>
    <cellStyle name="Normal 65" xfId="36226" xr:uid="{00000000-0005-0000-0000-0000808D0000}"/>
    <cellStyle name="Normal 65 2" xfId="36227" xr:uid="{00000000-0005-0000-0000-0000818D0000}"/>
    <cellStyle name="Normal 65 3" xfId="36228" xr:uid="{00000000-0005-0000-0000-0000828D0000}"/>
    <cellStyle name="Normal 65 3 2" xfId="36229" xr:uid="{00000000-0005-0000-0000-0000838D0000}"/>
    <cellStyle name="Normal 65 4" xfId="36230" xr:uid="{00000000-0005-0000-0000-0000848D0000}"/>
    <cellStyle name="Normal 66" xfId="36231" xr:uid="{00000000-0005-0000-0000-0000858D0000}"/>
    <cellStyle name="Normal 66 2" xfId="36232" xr:uid="{00000000-0005-0000-0000-0000868D0000}"/>
    <cellStyle name="Normal 66 3" xfId="36233" xr:uid="{00000000-0005-0000-0000-0000878D0000}"/>
    <cellStyle name="Normal 66 3 2" xfId="36234" xr:uid="{00000000-0005-0000-0000-0000888D0000}"/>
    <cellStyle name="Normal 66 4" xfId="36235" xr:uid="{00000000-0005-0000-0000-0000898D0000}"/>
    <cellStyle name="Normal 66 4 2" xfId="36236" xr:uid="{00000000-0005-0000-0000-00008A8D0000}"/>
    <cellStyle name="Normal 66 5" xfId="36237" xr:uid="{00000000-0005-0000-0000-00008B8D0000}"/>
    <cellStyle name="Normal 67" xfId="36238" xr:uid="{00000000-0005-0000-0000-00008C8D0000}"/>
    <cellStyle name="Normal 67 2" xfId="36239" xr:uid="{00000000-0005-0000-0000-00008D8D0000}"/>
    <cellStyle name="Normal 67 2 2" xfId="36240" xr:uid="{00000000-0005-0000-0000-00008E8D0000}"/>
    <cellStyle name="Normal 67 3" xfId="36241" xr:uid="{00000000-0005-0000-0000-00008F8D0000}"/>
    <cellStyle name="Normal 68" xfId="36242" xr:uid="{00000000-0005-0000-0000-0000908D0000}"/>
    <cellStyle name="Normal 68 2" xfId="36243" xr:uid="{00000000-0005-0000-0000-0000918D0000}"/>
    <cellStyle name="Normal 68 3" xfId="36244" xr:uid="{00000000-0005-0000-0000-0000928D0000}"/>
    <cellStyle name="Normal 69" xfId="36245" xr:uid="{00000000-0005-0000-0000-0000938D0000}"/>
    <cellStyle name="Normal 69 2" xfId="36246" xr:uid="{00000000-0005-0000-0000-0000948D0000}"/>
    <cellStyle name="Normal 69 3" xfId="36247" xr:uid="{00000000-0005-0000-0000-0000958D0000}"/>
    <cellStyle name="Normal 7" xfId="36248" xr:uid="{00000000-0005-0000-0000-0000968D0000}"/>
    <cellStyle name="Normal 7 10" xfId="36249" xr:uid="{00000000-0005-0000-0000-0000978D0000}"/>
    <cellStyle name="Normal 7 11" xfId="36250" xr:uid="{00000000-0005-0000-0000-0000988D0000}"/>
    <cellStyle name="Normal 7 12" xfId="36251" xr:uid="{00000000-0005-0000-0000-0000998D0000}"/>
    <cellStyle name="Normal 7 13" xfId="36252" xr:uid="{00000000-0005-0000-0000-00009A8D0000}"/>
    <cellStyle name="Normal 7 14" xfId="36253" xr:uid="{00000000-0005-0000-0000-00009B8D0000}"/>
    <cellStyle name="Normal 7 15" xfId="36254" xr:uid="{00000000-0005-0000-0000-00009C8D0000}"/>
    <cellStyle name="Normal 7 16" xfId="36255" xr:uid="{00000000-0005-0000-0000-00009D8D0000}"/>
    <cellStyle name="Normal 7 17" xfId="36256" xr:uid="{00000000-0005-0000-0000-00009E8D0000}"/>
    <cellStyle name="Normal 7 18" xfId="36257" xr:uid="{00000000-0005-0000-0000-00009F8D0000}"/>
    <cellStyle name="Normal 7 19" xfId="36258" xr:uid="{00000000-0005-0000-0000-0000A08D0000}"/>
    <cellStyle name="Normal 7 2" xfId="36259" xr:uid="{00000000-0005-0000-0000-0000A18D0000}"/>
    <cellStyle name="Normal 7 2 2" xfId="36260" xr:uid="{00000000-0005-0000-0000-0000A28D0000}"/>
    <cellStyle name="Normal 7 2 2 2" xfId="36261" xr:uid="{00000000-0005-0000-0000-0000A38D0000}"/>
    <cellStyle name="Normal 7 2 2 2 2" xfId="36262" xr:uid="{00000000-0005-0000-0000-0000A48D0000}"/>
    <cellStyle name="Normal 7 2 2 3" xfId="36263" xr:uid="{00000000-0005-0000-0000-0000A58D0000}"/>
    <cellStyle name="Normal 7 2 3" xfId="36264" xr:uid="{00000000-0005-0000-0000-0000A68D0000}"/>
    <cellStyle name="Normal 7 2 3 2" xfId="36265" xr:uid="{00000000-0005-0000-0000-0000A78D0000}"/>
    <cellStyle name="Normal 7 2 4" xfId="36266" xr:uid="{00000000-0005-0000-0000-0000A88D0000}"/>
    <cellStyle name="Normal 7 2 4 2" xfId="36267" xr:uid="{00000000-0005-0000-0000-0000A98D0000}"/>
    <cellStyle name="Normal 7 2 5" xfId="36268" xr:uid="{00000000-0005-0000-0000-0000AA8D0000}"/>
    <cellStyle name="Normal 7 20" xfId="36269" xr:uid="{00000000-0005-0000-0000-0000AB8D0000}"/>
    <cellStyle name="Normal 7 21" xfId="36270" xr:uid="{00000000-0005-0000-0000-0000AC8D0000}"/>
    <cellStyle name="Normal 7 22" xfId="36271" xr:uid="{00000000-0005-0000-0000-0000AD8D0000}"/>
    <cellStyle name="Normal 7 23" xfId="36272" xr:uid="{00000000-0005-0000-0000-0000AE8D0000}"/>
    <cellStyle name="Normal 7 24" xfId="36273" xr:uid="{00000000-0005-0000-0000-0000AF8D0000}"/>
    <cellStyle name="Normal 7 25" xfId="36274" xr:uid="{00000000-0005-0000-0000-0000B08D0000}"/>
    <cellStyle name="Normal 7 26" xfId="36275" xr:uid="{00000000-0005-0000-0000-0000B18D0000}"/>
    <cellStyle name="Normal 7 27" xfId="36276" xr:uid="{00000000-0005-0000-0000-0000B28D0000}"/>
    <cellStyle name="Normal 7 28" xfId="36277" xr:uid="{00000000-0005-0000-0000-0000B38D0000}"/>
    <cellStyle name="Normal 7 29" xfId="36278" xr:uid="{00000000-0005-0000-0000-0000B48D0000}"/>
    <cellStyle name="Normal 7 3" xfId="36279" xr:uid="{00000000-0005-0000-0000-0000B58D0000}"/>
    <cellStyle name="Normal 7 3 2" xfId="36280" xr:uid="{00000000-0005-0000-0000-0000B68D0000}"/>
    <cellStyle name="Normal 7 3 2 2" xfId="36281" xr:uid="{00000000-0005-0000-0000-0000B78D0000}"/>
    <cellStyle name="Normal 7 3 2 2 2" xfId="36282" xr:uid="{00000000-0005-0000-0000-0000B88D0000}"/>
    <cellStyle name="Normal 7 3 2 3" xfId="36283" xr:uid="{00000000-0005-0000-0000-0000B98D0000}"/>
    <cellStyle name="Normal 7 3 3" xfId="36284" xr:uid="{00000000-0005-0000-0000-0000BA8D0000}"/>
    <cellStyle name="Normal 7 3 3 2" xfId="36285" xr:uid="{00000000-0005-0000-0000-0000BB8D0000}"/>
    <cellStyle name="Normal 7 3 4" xfId="36286" xr:uid="{00000000-0005-0000-0000-0000BC8D0000}"/>
    <cellStyle name="Normal 7 3 4 2" xfId="36287" xr:uid="{00000000-0005-0000-0000-0000BD8D0000}"/>
    <cellStyle name="Normal 7 3 5" xfId="36288" xr:uid="{00000000-0005-0000-0000-0000BE8D0000}"/>
    <cellStyle name="Normal 7 3 6" xfId="36289" xr:uid="{00000000-0005-0000-0000-0000BF8D0000}"/>
    <cellStyle name="Normal 7 30" xfId="36290" xr:uid="{00000000-0005-0000-0000-0000C08D0000}"/>
    <cellStyle name="Normal 7 31" xfId="36291" xr:uid="{00000000-0005-0000-0000-0000C18D0000}"/>
    <cellStyle name="Normal 7 32" xfId="36292" xr:uid="{00000000-0005-0000-0000-0000C28D0000}"/>
    <cellStyle name="Normal 7 33" xfId="36293" xr:uid="{00000000-0005-0000-0000-0000C38D0000}"/>
    <cellStyle name="Normal 7 34" xfId="36294" xr:uid="{00000000-0005-0000-0000-0000C48D0000}"/>
    <cellStyle name="Normal 7 35" xfId="36295" xr:uid="{00000000-0005-0000-0000-0000C58D0000}"/>
    <cellStyle name="Normal 7 36" xfId="36296" xr:uid="{00000000-0005-0000-0000-0000C68D0000}"/>
    <cellStyle name="Normal 7 37" xfId="36297" xr:uid="{00000000-0005-0000-0000-0000C78D0000}"/>
    <cellStyle name="Normal 7 38" xfId="36298" xr:uid="{00000000-0005-0000-0000-0000C88D0000}"/>
    <cellStyle name="Normal 7 39" xfId="36299" xr:uid="{00000000-0005-0000-0000-0000C98D0000}"/>
    <cellStyle name="Normal 7 4" xfId="36300" xr:uid="{00000000-0005-0000-0000-0000CA8D0000}"/>
    <cellStyle name="Normal 7 4 2" xfId="36301" xr:uid="{00000000-0005-0000-0000-0000CB8D0000}"/>
    <cellStyle name="Normal 7 4 2 2" xfId="36302" xr:uid="{00000000-0005-0000-0000-0000CC8D0000}"/>
    <cellStyle name="Normal 7 4 2 2 2" xfId="36303" xr:uid="{00000000-0005-0000-0000-0000CD8D0000}"/>
    <cellStyle name="Normal 7 4 2 3" xfId="36304" xr:uid="{00000000-0005-0000-0000-0000CE8D0000}"/>
    <cellStyle name="Normal 7 4 3" xfId="36305" xr:uid="{00000000-0005-0000-0000-0000CF8D0000}"/>
    <cellStyle name="Normal 7 4 3 2" xfId="36306" xr:uid="{00000000-0005-0000-0000-0000D08D0000}"/>
    <cellStyle name="Normal 7 4 4" xfId="36307" xr:uid="{00000000-0005-0000-0000-0000D18D0000}"/>
    <cellStyle name="Normal 7 4 4 2" xfId="36308" xr:uid="{00000000-0005-0000-0000-0000D28D0000}"/>
    <cellStyle name="Normal 7 4 5" xfId="36309" xr:uid="{00000000-0005-0000-0000-0000D38D0000}"/>
    <cellStyle name="Normal 7 4 6" xfId="36310" xr:uid="{00000000-0005-0000-0000-0000D48D0000}"/>
    <cellStyle name="Normal 7 40" xfId="36311" xr:uid="{00000000-0005-0000-0000-0000D58D0000}"/>
    <cellStyle name="Normal 7 41" xfId="36312" xr:uid="{00000000-0005-0000-0000-0000D68D0000}"/>
    <cellStyle name="Normal 7 42" xfId="36313" xr:uid="{00000000-0005-0000-0000-0000D78D0000}"/>
    <cellStyle name="Normal 7 43" xfId="36314" xr:uid="{00000000-0005-0000-0000-0000D88D0000}"/>
    <cellStyle name="Normal 7 44" xfId="36315" xr:uid="{00000000-0005-0000-0000-0000D98D0000}"/>
    <cellStyle name="Normal 7 45" xfId="36316" xr:uid="{00000000-0005-0000-0000-0000DA8D0000}"/>
    <cellStyle name="Normal 7 46" xfId="36317" xr:uid="{00000000-0005-0000-0000-0000DB8D0000}"/>
    <cellStyle name="Normal 7 47" xfId="36318" xr:uid="{00000000-0005-0000-0000-0000DC8D0000}"/>
    <cellStyle name="Normal 7 48" xfId="36319" xr:uid="{00000000-0005-0000-0000-0000DD8D0000}"/>
    <cellStyle name="Normal 7 49" xfId="36320" xr:uid="{00000000-0005-0000-0000-0000DE8D0000}"/>
    <cellStyle name="Normal 7 5" xfId="36321" xr:uid="{00000000-0005-0000-0000-0000DF8D0000}"/>
    <cellStyle name="Normal 7 5 2" xfId="36322" xr:uid="{00000000-0005-0000-0000-0000E08D0000}"/>
    <cellStyle name="Normal 7 5 2 2" xfId="36323" xr:uid="{00000000-0005-0000-0000-0000E18D0000}"/>
    <cellStyle name="Normal 7 5 3" xfId="36324" xr:uid="{00000000-0005-0000-0000-0000E28D0000}"/>
    <cellStyle name="Normal 7 5 4" xfId="36325" xr:uid="{00000000-0005-0000-0000-0000E38D0000}"/>
    <cellStyle name="Normal 7 50" xfId="36326" xr:uid="{00000000-0005-0000-0000-0000E48D0000}"/>
    <cellStyle name="Normal 7 51" xfId="36327" xr:uid="{00000000-0005-0000-0000-0000E58D0000}"/>
    <cellStyle name="Normal 7 52" xfId="36328" xr:uid="{00000000-0005-0000-0000-0000E68D0000}"/>
    <cellStyle name="Normal 7 53" xfId="36329" xr:uid="{00000000-0005-0000-0000-0000E78D0000}"/>
    <cellStyle name="Normal 7 54" xfId="36330" xr:uid="{00000000-0005-0000-0000-0000E88D0000}"/>
    <cellStyle name="Normal 7 55" xfId="36331" xr:uid="{00000000-0005-0000-0000-0000E98D0000}"/>
    <cellStyle name="Normal 7 56" xfId="36332" xr:uid="{00000000-0005-0000-0000-0000EA8D0000}"/>
    <cellStyle name="Normal 7 57" xfId="36333" xr:uid="{00000000-0005-0000-0000-0000EB8D0000}"/>
    <cellStyle name="Normal 7 58" xfId="36334" xr:uid="{00000000-0005-0000-0000-0000EC8D0000}"/>
    <cellStyle name="Normal 7 59" xfId="36335" xr:uid="{00000000-0005-0000-0000-0000ED8D0000}"/>
    <cellStyle name="Normal 7 6" xfId="36336" xr:uid="{00000000-0005-0000-0000-0000EE8D0000}"/>
    <cellStyle name="Normal 7 6 2" xfId="36337" xr:uid="{00000000-0005-0000-0000-0000EF8D0000}"/>
    <cellStyle name="Normal 7 6 3" xfId="36338" xr:uid="{00000000-0005-0000-0000-0000F08D0000}"/>
    <cellStyle name="Normal 7 60" xfId="36339" xr:uid="{00000000-0005-0000-0000-0000F18D0000}"/>
    <cellStyle name="Normal 7 61" xfId="36340" xr:uid="{00000000-0005-0000-0000-0000F28D0000}"/>
    <cellStyle name="Normal 7 62" xfId="36341" xr:uid="{00000000-0005-0000-0000-0000F38D0000}"/>
    <cellStyle name="Normal 7 63" xfId="36342" xr:uid="{00000000-0005-0000-0000-0000F48D0000}"/>
    <cellStyle name="Normal 7 64" xfId="36343" xr:uid="{00000000-0005-0000-0000-0000F58D0000}"/>
    <cellStyle name="Normal 7 65" xfId="36344" xr:uid="{00000000-0005-0000-0000-0000F68D0000}"/>
    <cellStyle name="Normal 7 66" xfId="36345" xr:uid="{00000000-0005-0000-0000-0000F78D0000}"/>
    <cellStyle name="Normal 7 67" xfId="36346" xr:uid="{00000000-0005-0000-0000-0000F88D0000}"/>
    <cellStyle name="Normal 7 68" xfId="36347" xr:uid="{00000000-0005-0000-0000-0000F98D0000}"/>
    <cellStyle name="Normal 7 69" xfId="36348" xr:uid="{00000000-0005-0000-0000-0000FA8D0000}"/>
    <cellStyle name="Normal 7 7" xfId="36349" xr:uid="{00000000-0005-0000-0000-0000FB8D0000}"/>
    <cellStyle name="Normal 7 7 2" xfId="36350" xr:uid="{00000000-0005-0000-0000-0000FC8D0000}"/>
    <cellStyle name="Normal 7 7 3" xfId="36351" xr:uid="{00000000-0005-0000-0000-0000FD8D0000}"/>
    <cellStyle name="Normal 7 70" xfId="36352" xr:uid="{00000000-0005-0000-0000-0000FE8D0000}"/>
    <cellStyle name="Normal 7 71" xfId="36353" xr:uid="{00000000-0005-0000-0000-0000FF8D0000}"/>
    <cellStyle name="Normal 7 72" xfId="36354" xr:uid="{00000000-0005-0000-0000-0000008E0000}"/>
    <cellStyle name="Normal 7 73" xfId="36355" xr:uid="{00000000-0005-0000-0000-0000018E0000}"/>
    <cellStyle name="Normal 7 74" xfId="36356" xr:uid="{00000000-0005-0000-0000-0000028E0000}"/>
    <cellStyle name="Normal 7 75" xfId="36357" xr:uid="{00000000-0005-0000-0000-0000038E0000}"/>
    <cellStyle name="Normal 7 76" xfId="36358" xr:uid="{00000000-0005-0000-0000-0000048E0000}"/>
    <cellStyle name="Normal 7 77" xfId="36359" xr:uid="{00000000-0005-0000-0000-0000058E0000}"/>
    <cellStyle name="Normal 7 78" xfId="36360" xr:uid="{00000000-0005-0000-0000-0000068E0000}"/>
    <cellStyle name="Normal 7 79" xfId="36361" xr:uid="{00000000-0005-0000-0000-0000078E0000}"/>
    <cellStyle name="Normal 7 8" xfId="36362" xr:uid="{00000000-0005-0000-0000-0000088E0000}"/>
    <cellStyle name="Normal 7 8 2" xfId="36363" xr:uid="{00000000-0005-0000-0000-0000098E0000}"/>
    <cellStyle name="Normal 7 80" xfId="36364" xr:uid="{00000000-0005-0000-0000-00000A8E0000}"/>
    <cellStyle name="Normal 7 81" xfId="36365" xr:uid="{00000000-0005-0000-0000-00000B8E0000}"/>
    <cellStyle name="Normal 7 81 2" xfId="36366" xr:uid="{00000000-0005-0000-0000-00000C8E0000}"/>
    <cellStyle name="Normal 7 81 3" xfId="36367" xr:uid="{00000000-0005-0000-0000-00000D8E0000}"/>
    <cellStyle name="Normal 7 82" xfId="36368" xr:uid="{00000000-0005-0000-0000-00000E8E0000}"/>
    <cellStyle name="Normal 7 83" xfId="36369" xr:uid="{00000000-0005-0000-0000-00000F8E0000}"/>
    <cellStyle name="Normal 7 84" xfId="36370" xr:uid="{00000000-0005-0000-0000-0000108E0000}"/>
    <cellStyle name="Normal 7 9" xfId="36371" xr:uid="{00000000-0005-0000-0000-0000118E0000}"/>
    <cellStyle name="Normal 70" xfId="36372" xr:uid="{00000000-0005-0000-0000-0000128E0000}"/>
    <cellStyle name="Normal 70 2" xfId="36373" xr:uid="{00000000-0005-0000-0000-0000138E0000}"/>
    <cellStyle name="Normal 70 3" xfId="36374" xr:uid="{00000000-0005-0000-0000-0000148E0000}"/>
    <cellStyle name="Normal 71" xfId="36375" xr:uid="{00000000-0005-0000-0000-0000158E0000}"/>
    <cellStyle name="Normal 71 2" xfId="36376" xr:uid="{00000000-0005-0000-0000-0000168E0000}"/>
    <cellStyle name="Normal 71 3" xfId="36377" xr:uid="{00000000-0005-0000-0000-0000178E0000}"/>
    <cellStyle name="Normal 71 3 2" xfId="36378" xr:uid="{00000000-0005-0000-0000-0000188E0000}"/>
    <cellStyle name="Normal 71 3 2 2" xfId="36379" xr:uid="{00000000-0005-0000-0000-0000198E0000}"/>
    <cellStyle name="Normal 71 3 2 2 2" xfId="36380" xr:uid="{00000000-0005-0000-0000-00001A8E0000}"/>
    <cellStyle name="Normal 71 3 2 3" xfId="36381" xr:uid="{00000000-0005-0000-0000-00001B8E0000}"/>
    <cellStyle name="Normal 71 3 3" xfId="36382" xr:uid="{00000000-0005-0000-0000-00001C8E0000}"/>
    <cellStyle name="Normal 71 3 3 2" xfId="36383" xr:uid="{00000000-0005-0000-0000-00001D8E0000}"/>
    <cellStyle name="Normal 71 3 4" xfId="36384" xr:uid="{00000000-0005-0000-0000-00001E8E0000}"/>
    <cellStyle name="Normal 71 4" xfId="36385" xr:uid="{00000000-0005-0000-0000-00001F8E0000}"/>
    <cellStyle name="Normal 72" xfId="36386" xr:uid="{00000000-0005-0000-0000-0000208E0000}"/>
    <cellStyle name="Normal 72 2" xfId="36387" xr:uid="{00000000-0005-0000-0000-0000218E0000}"/>
    <cellStyle name="Normal 72 2 2" xfId="36388" xr:uid="{00000000-0005-0000-0000-0000228E0000}"/>
    <cellStyle name="Normal 72 2 2 2" xfId="36389" xr:uid="{00000000-0005-0000-0000-0000238E0000}"/>
    <cellStyle name="Normal 72 2 3" xfId="36390" xr:uid="{00000000-0005-0000-0000-0000248E0000}"/>
    <cellStyle name="Normal 72 3" xfId="36391" xr:uid="{00000000-0005-0000-0000-0000258E0000}"/>
    <cellStyle name="Normal 72 3 2" xfId="36392" xr:uid="{00000000-0005-0000-0000-0000268E0000}"/>
    <cellStyle name="Normal 72 4" xfId="36393" xr:uid="{00000000-0005-0000-0000-0000278E0000}"/>
    <cellStyle name="Normal 73" xfId="36394" xr:uid="{00000000-0005-0000-0000-0000288E0000}"/>
    <cellStyle name="Normal 73 2" xfId="36395" xr:uid="{00000000-0005-0000-0000-0000298E0000}"/>
    <cellStyle name="Normal 73 3" xfId="36396" xr:uid="{00000000-0005-0000-0000-00002A8E0000}"/>
    <cellStyle name="Normal 73 3 2" xfId="36397" xr:uid="{00000000-0005-0000-0000-00002B8E0000}"/>
    <cellStyle name="Normal 73 3 2 2" xfId="36398" xr:uid="{00000000-0005-0000-0000-00002C8E0000}"/>
    <cellStyle name="Normal 73 3 2 2 2" xfId="36399" xr:uid="{00000000-0005-0000-0000-00002D8E0000}"/>
    <cellStyle name="Normal 73 3 2 3" xfId="36400" xr:uid="{00000000-0005-0000-0000-00002E8E0000}"/>
    <cellStyle name="Normal 73 3 3" xfId="36401" xr:uid="{00000000-0005-0000-0000-00002F8E0000}"/>
    <cellStyle name="Normal 73 3 3 2" xfId="36402" xr:uid="{00000000-0005-0000-0000-0000308E0000}"/>
    <cellStyle name="Normal 73 3 4" xfId="36403" xr:uid="{00000000-0005-0000-0000-0000318E0000}"/>
    <cellStyle name="Normal 73 4" xfId="36404" xr:uid="{00000000-0005-0000-0000-0000328E0000}"/>
    <cellStyle name="Normal 74" xfId="36405" xr:uid="{00000000-0005-0000-0000-0000338E0000}"/>
    <cellStyle name="Normal 74 2" xfId="36406" xr:uid="{00000000-0005-0000-0000-0000348E0000}"/>
    <cellStyle name="Normal 74 3" xfId="36407" xr:uid="{00000000-0005-0000-0000-0000358E0000}"/>
    <cellStyle name="Normal 75" xfId="36408" xr:uid="{00000000-0005-0000-0000-0000368E0000}"/>
    <cellStyle name="Normal 75 2" xfId="36409" xr:uid="{00000000-0005-0000-0000-0000378E0000}"/>
    <cellStyle name="Normal 75 3" xfId="36410" xr:uid="{00000000-0005-0000-0000-0000388E0000}"/>
    <cellStyle name="Normal 76" xfId="36411" xr:uid="{00000000-0005-0000-0000-0000398E0000}"/>
    <cellStyle name="Normal 76 2" xfId="36412" xr:uid="{00000000-0005-0000-0000-00003A8E0000}"/>
    <cellStyle name="Normal 76 3" xfId="36413" xr:uid="{00000000-0005-0000-0000-00003B8E0000}"/>
    <cellStyle name="Normal 77" xfId="36414" xr:uid="{00000000-0005-0000-0000-00003C8E0000}"/>
    <cellStyle name="Normal 77 2" xfId="36415" xr:uid="{00000000-0005-0000-0000-00003D8E0000}"/>
    <cellStyle name="Normal 78" xfId="36416" xr:uid="{00000000-0005-0000-0000-00003E8E0000}"/>
    <cellStyle name="Normal 78 2" xfId="36417" xr:uid="{00000000-0005-0000-0000-00003F8E0000}"/>
    <cellStyle name="Normal 79" xfId="36418" xr:uid="{00000000-0005-0000-0000-0000408E0000}"/>
    <cellStyle name="Normal 79 2" xfId="36419" xr:uid="{00000000-0005-0000-0000-0000418E0000}"/>
    <cellStyle name="Normal 8" xfId="36420" xr:uid="{00000000-0005-0000-0000-0000428E0000}"/>
    <cellStyle name="Normal 8 2" xfId="36421" xr:uid="{00000000-0005-0000-0000-0000438E0000}"/>
    <cellStyle name="Normal 8 2 2" xfId="36422" xr:uid="{00000000-0005-0000-0000-0000448E0000}"/>
    <cellStyle name="Normal 8 2 2 2" xfId="36423" xr:uid="{00000000-0005-0000-0000-0000458E0000}"/>
    <cellStyle name="Normal 8 2 3" xfId="36424" xr:uid="{00000000-0005-0000-0000-0000468E0000}"/>
    <cellStyle name="Normal 8 2 4" xfId="36425" xr:uid="{00000000-0005-0000-0000-0000478E0000}"/>
    <cellStyle name="Normal 8 3" xfId="36426" xr:uid="{00000000-0005-0000-0000-0000488E0000}"/>
    <cellStyle name="Normal 8 3 2" xfId="36427" xr:uid="{00000000-0005-0000-0000-0000498E0000}"/>
    <cellStyle name="Normal 8 3 2 2" xfId="36428" xr:uid="{00000000-0005-0000-0000-00004A8E0000}"/>
    <cellStyle name="Normal 8 3 3" xfId="36429" xr:uid="{00000000-0005-0000-0000-00004B8E0000}"/>
    <cellStyle name="Normal 8 3 3 2" xfId="36430" xr:uid="{00000000-0005-0000-0000-00004C8E0000}"/>
    <cellStyle name="Normal 8 3 4" xfId="36431" xr:uid="{00000000-0005-0000-0000-00004D8E0000}"/>
    <cellStyle name="Normal 8 3 5" xfId="36432" xr:uid="{00000000-0005-0000-0000-00004E8E0000}"/>
    <cellStyle name="Normal 8 4" xfId="36433" xr:uid="{00000000-0005-0000-0000-00004F8E0000}"/>
    <cellStyle name="Normal 8 4 2" xfId="36434" xr:uid="{00000000-0005-0000-0000-0000508E0000}"/>
    <cellStyle name="Normal 8 5" xfId="36435" xr:uid="{00000000-0005-0000-0000-0000518E0000}"/>
    <cellStyle name="Normal 8 5 2" xfId="36436" xr:uid="{00000000-0005-0000-0000-0000528E0000}"/>
    <cellStyle name="Normal 80" xfId="36437" xr:uid="{00000000-0005-0000-0000-0000538E0000}"/>
    <cellStyle name="Normal 80 2" xfId="36438" xr:uid="{00000000-0005-0000-0000-0000548E0000}"/>
    <cellStyle name="Normal 81" xfId="36439" xr:uid="{00000000-0005-0000-0000-0000558E0000}"/>
    <cellStyle name="Normal 81 2" xfId="36440" xr:uid="{00000000-0005-0000-0000-0000568E0000}"/>
    <cellStyle name="Normal 82" xfId="36441" xr:uid="{00000000-0005-0000-0000-0000578E0000}"/>
    <cellStyle name="Normal 82 2" xfId="36442" xr:uid="{00000000-0005-0000-0000-0000588E0000}"/>
    <cellStyle name="Normal 83" xfId="36443" xr:uid="{00000000-0005-0000-0000-0000598E0000}"/>
    <cellStyle name="Normal 83 2" xfId="36444" xr:uid="{00000000-0005-0000-0000-00005A8E0000}"/>
    <cellStyle name="Normal 83 2 2" xfId="36445" xr:uid="{00000000-0005-0000-0000-00005B8E0000}"/>
    <cellStyle name="Normal 83 3" xfId="36446" xr:uid="{00000000-0005-0000-0000-00005C8E0000}"/>
    <cellStyle name="Normal 84" xfId="36447" xr:uid="{00000000-0005-0000-0000-00005D8E0000}"/>
    <cellStyle name="Normal 84 2" xfId="36448" xr:uid="{00000000-0005-0000-0000-00005E8E0000}"/>
    <cellStyle name="Normal 84 2 2" xfId="36449" xr:uid="{00000000-0005-0000-0000-00005F8E0000}"/>
    <cellStyle name="Normal 84 3" xfId="36450" xr:uid="{00000000-0005-0000-0000-0000608E0000}"/>
    <cellStyle name="Normal 85" xfId="36451" xr:uid="{00000000-0005-0000-0000-0000618E0000}"/>
    <cellStyle name="Normal 85 2" xfId="36452" xr:uid="{00000000-0005-0000-0000-0000628E0000}"/>
    <cellStyle name="Normal 85 2 2" xfId="36453" xr:uid="{00000000-0005-0000-0000-0000638E0000}"/>
    <cellStyle name="Normal 85 3" xfId="36454" xr:uid="{00000000-0005-0000-0000-0000648E0000}"/>
    <cellStyle name="Normal 86" xfId="36455" xr:uid="{00000000-0005-0000-0000-0000658E0000}"/>
    <cellStyle name="Normal 86 2" xfId="36456" xr:uid="{00000000-0005-0000-0000-0000668E0000}"/>
    <cellStyle name="Normal 86 2 2" xfId="36457" xr:uid="{00000000-0005-0000-0000-0000678E0000}"/>
    <cellStyle name="Normal 86 3" xfId="36458" xr:uid="{00000000-0005-0000-0000-0000688E0000}"/>
    <cellStyle name="Normal 87" xfId="36459" xr:uid="{00000000-0005-0000-0000-0000698E0000}"/>
    <cellStyle name="Normal 87 2" xfId="36460" xr:uid="{00000000-0005-0000-0000-00006A8E0000}"/>
    <cellStyle name="Normal 87 2 2" xfId="36461" xr:uid="{00000000-0005-0000-0000-00006B8E0000}"/>
    <cellStyle name="Normal 87 3" xfId="36462" xr:uid="{00000000-0005-0000-0000-00006C8E0000}"/>
    <cellStyle name="Normal 88" xfId="36463" xr:uid="{00000000-0005-0000-0000-00006D8E0000}"/>
    <cellStyle name="Normal 88 2" xfId="36464" xr:uid="{00000000-0005-0000-0000-00006E8E0000}"/>
    <cellStyle name="Normal 88 2 2" xfId="36465" xr:uid="{00000000-0005-0000-0000-00006F8E0000}"/>
    <cellStyle name="Normal 88 3" xfId="36466" xr:uid="{00000000-0005-0000-0000-0000708E0000}"/>
    <cellStyle name="Normal 89" xfId="36467" xr:uid="{00000000-0005-0000-0000-0000718E0000}"/>
    <cellStyle name="Normal 89 2" xfId="36468" xr:uid="{00000000-0005-0000-0000-0000728E0000}"/>
    <cellStyle name="Normal 89 2 2" xfId="36469" xr:uid="{00000000-0005-0000-0000-0000738E0000}"/>
    <cellStyle name="Normal 89 3" xfId="36470" xr:uid="{00000000-0005-0000-0000-0000748E0000}"/>
    <cellStyle name="Normal 9" xfId="36471" xr:uid="{00000000-0005-0000-0000-0000758E0000}"/>
    <cellStyle name="Normal 9 2" xfId="36472" xr:uid="{00000000-0005-0000-0000-0000768E0000}"/>
    <cellStyle name="Normal 9 2 2" xfId="36473" xr:uid="{00000000-0005-0000-0000-0000778E0000}"/>
    <cellStyle name="Normal 9 2 3" xfId="36474" xr:uid="{00000000-0005-0000-0000-0000788E0000}"/>
    <cellStyle name="Normal 9 3" xfId="36475" xr:uid="{00000000-0005-0000-0000-0000798E0000}"/>
    <cellStyle name="Normal 9 3 2" xfId="36476" xr:uid="{00000000-0005-0000-0000-00007A8E0000}"/>
    <cellStyle name="Normal 9 3 2 2" xfId="36477" xr:uid="{00000000-0005-0000-0000-00007B8E0000}"/>
    <cellStyle name="Normal 9 3 3" xfId="36478" xr:uid="{00000000-0005-0000-0000-00007C8E0000}"/>
    <cellStyle name="Normal 9 3 3 2" xfId="36479" xr:uid="{00000000-0005-0000-0000-00007D8E0000}"/>
    <cellStyle name="Normal 9 3 4" xfId="36480" xr:uid="{00000000-0005-0000-0000-00007E8E0000}"/>
    <cellStyle name="Normal 9 3 5" xfId="36481" xr:uid="{00000000-0005-0000-0000-00007F8E0000}"/>
    <cellStyle name="Normal 9 4" xfId="36482" xr:uid="{00000000-0005-0000-0000-0000808E0000}"/>
    <cellStyle name="Normal 9 5" xfId="36483" xr:uid="{00000000-0005-0000-0000-0000818E0000}"/>
    <cellStyle name="Normal 9 6" xfId="36484" xr:uid="{00000000-0005-0000-0000-0000828E0000}"/>
    <cellStyle name="Normal 90" xfId="36485" xr:uid="{00000000-0005-0000-0000-0000838E0000}"/>
    <cellStyle name="Normal 91" xfId="36486" xr:uid="{00000000-0005-0000-0000-0000848E0000}"/>
    <cellStyle name="Normal 92" xfId="36487" xr:uid="{00000000-0005-0000-0000-0000858E0000}"/>
    <cellStyle name="Normal 93" xfId="36488" xr:uid="{00000000-0005-0000-0000-0000868E0000}"/>
    <cellStyle name="Normal 94" xfId="36489" xr:uid="{00000000-0005-0000-0000-0000878E0000}"/>
    <cellStyle name="Normal 95" xfId="36490" xr:uid="{00000000-0005-0000-0000-0000888E0000}"/>
    <cellStyle name="Normal 96" xfId="36491" xr:uid="{00000000-0005-0000-0000-0000898E0000}"/>
    <cellStyle name="Normal 97" xfId="36492" xr:uid="{00000000-0005-0000-0000-00008A8E0000}"/>
    <cellStyle name="Normal 98" xfId="36493" xr:uid="{00000000-0005-0000-0000-00008B8E0000}"/>
    <cellStyle name="Normal 99" xfId="36494" xr:uid="{00000000-0005-0000-0000-00008C8E0000}"/>
    <cellStyle name="Not Implemented" xfId="36495" xr:uid="{00000000-0005-0000-0000-00008D8E0000}"/>
    <cellStyle name="Note 2" xfId="36496" xr:uid="{00000000-0005-0000-0000-00008E8E0000}"/>
    <cellStyle name="Note 2 10" xfId="36497" xr:uid="{00000000-0005-0000-0000-00008F8E0000}"/>
    <cellStyle name="Note 2 11" xfId="36498" xr:uid="{00000000-0005-0000-0000-0000908E0000}"/>
    <cellStyle name="Note 2 12" xfId="36499" xr:uid="{00000000-0005-0000-0000-0000918E0000}"/>
    <cellStyle name="Note 2 2" xfId="36500" xr:uid="{00000000-0005-0000-0000-0000928E0000}"/>
    <cellStyle name="Note 2 2 10" xfId="36501" xr:uid="{00000000-0005-0000-0000-0000938E0000}"/>
    <cellStyle name="Note 2 2 10 2" xfId="36502" xr:uid="{00000000-0005-0000-0000-0000948E0000}"/>
    <cellStyle name="Note 2 2 10 2 2" xfId="36503" xr:uid="{00000000-0005-0000-0000-0000958E0000}"/>
    <cellStyle name="Note 2 2 10 2 3" xfId="36504" xr:uid="{00000000-0005-0000-0000-0000968E0000}"/>
    <cellStyle name="Note 2 2 10 2 4" xfId="36505" xr:uid="{00000000-0005-0000-0000-0000978E0000}"/>
    <cellStyle name="Note 2 2 10 2 5" xfId="36506" xr:uid="{00000000-0005-0000-0000-0000988E0000}"/>
    <cellStyle name="Note 2 2 10 2 6" xfId="36507" xr:uid="{00000000-0005-0000-0000-0000998E0000}"/>
    <cellStyle name="Note 2 2 10 3" xfId="36508" xr:uid="{00000000-0005-0000-0000-00009A8E0000}"/>
    <cellStyle name="Note 2 2 10 4" xfId="36509" xr:uid="{00000000-0005-0000-0000-00009B8E0000}"/>
    <cellStyle name="Note 2 2 10 5" xfId="36510" xr:uid="{00000000-0005-0000-0000-00009C8E0000}"/>
    <cellStyle name="Note 2 2 10 6" xfId="36511" xr:uid="{00000000-0005-0000-0000-00009D8E0000}"/>
    <cellStyle name="Note 2 2 10 7" xfId="36512" xr:uid="{00000000-0005-0000-0000-00009E8E0000}"/>
    <cellStyle name="Note 2 2 11" xfId="36513" xr:uid="{00000000-0005-0000-0000-00009F8E0000}"/>
    <cellStyle name="Note 2 2 11 2" xfId="36514" xr:uid="{00000000-0005-0000-0000-0000A08E0000}"/>
    <cellStyle name="Note 2 2 11 2 2" xfId="36515" xr:uid="{00000000-0005-0000-0000-0000A18E0000}"/>
    <cellStyle name="Note 2 2 11 2 3" xfId="36516" xr:uid="{00000000-0005-0000-0000-0000A28E0000}"/>
    <cellStyle name="Note 2 2 11 2 4" xfId="36517" xr:uid="{00000000-0005-0000-0000-0000A38E0000}"/>
    <cellStyle name="Note 2 2 11 2 5" xfId="36518" xr:uid="{00000000-0005-0000-0000-0000A48E0000}"/>
    <cellStyle name="Note 2 2 11 2 6" xfId="36519" xr:uid="{00000000-0005-0000-0000-0000A58E0000}"/>
    <cellStyle name="Note 2 2 11 3" xfId="36520" xr:uid="{00000000-0005-0000-0000-0000A68E0000}"/>
    <cellStyle name="Note 2 2 11 4" xfId="36521" xr:uid="{00000000-0005-0000-0000-0000A78E0000}"/>
    <cellStyle name="Note 2 2 11 5" xfId="36522" xr:uid="{00000000-0005-0000-0000-0000A88E0000}"/>
    <cellStyle name="Note 2 2 11 6" xfId="36523" xr:uid="{00000000-0005-0000-0000-0000A98E0000}"/>
    <cellStyle name="Note 2 2 11 7" xfId="36524" xr:uid="{00000000-0005-0000-0000-0000AA8E0000}"/>
    <cellStyle name="Note 2 2 12" xfId="36525" xr:uid="{00000000-0005-0000-0000-0000AB8E0000}"/>
    <cellStyle name="Note 2 2 12 2" xfId="36526" xr:uid="{00000000-0005-0000-0000-0000AC8E0000}"/>
    <cellStyle name="Note 2 2 12 2 2" xfId="36527" xr:uid="{00000000-0005-0000-0000-0000AD8E0000}"/>
    <cellStyle name="Note 2 2 12 2 3" xfId="36528" xr:uid="{00000000-0005-0000-0000-0000AE8E0000}"/>
    <cellStyle name="Note 2 2 12 2 4" xfId="36529" xr:uid="{00000000-0005-0000-0000-0000AF8E0000}"/>
    <cellStyle name="Note 2 2 12 2 5" xfId="36530" xr:uid="{00000000-0005-0000-0000-0000B08E0000}"/>
    <cellStyle name="Note 2 2 12 2 6" xfId="36531" xr:uid="{00000000-0005-0000-0000-0000B18E0000}"/>
    <cellStyle name="Note 2 2 12 3" xfId="36532" xr:uid="{00000000-0005-0000-0000-0000B28E0000}"/>
    <cellStyle name="Note 2 2 12 4" xfId="36533" xr:uid="{00000000-0005-0000-0000-0000B38E0000}"/>
    <cellStyle name="Note 2 2 12 5" xfId="36534" xr:uid="{00000000-0005-0000-0000-0000B48E0000}"/>
    <cellStyle name="Note 2 2 12 6" xfId="36535" xr:uid="{00000000-0005-0000-0000-0000B58E0000}"/>
    <cellStyle name="Note 2 2 12 7" xfId="36536" xr:uid="{00000000-0005-0000-0000-0000B68E0000}"/>
    <cellStyle name="Note 2 2 13" xfId="36537" xr:uid="{00000000-0005-0000-0000-0000B78E0000}"/>
    <cellStyle name="Note 2 2 13 2" xfId="36538" xr:uid="{00000000-0005-0000-0000-0000B88E0000}"/>
    <cellStyle name="Note 2 2 13 2 2" xfId="36539" xr:uid="{00000000-0005-0000-0000-0000B98E0000}"/>
    <cellStyle name="Note 2 2 13 2 3" xfId="36540" xr:uid="{00000000-0005-0000-0000-0000BA8E0000}"/>
    <cellStyle name="Note 2 2 13 2 4" xfId="36541" xr:uid="{00000000-0005-0000-0000-0000BB8E0000}"/>
    <cellStyle name="Note 2 2 13 2 5" xfId="36542" xr:uid="{00000000-0005-0000-0000-0000BC8E0000}"/>
    <cellStyle name="Note 2 2 13 2 6" xfId="36543" xr:uid="{00000000-0005-0000-0000-0000BD8E0000}"/>
    <cellStyle name="Note 2 2 13 3" xfId="36544" xr:uid="{00000000-0005-0000-0000-0000BE8E0000}"/>
    <cellStyle name="Note 2 2 13 4" xfId="36545" xr:uid="{00000000-0005-0000-0000-0000BF8E0000}"/>
    <cellStyle name="Note 2 2 13 5" xfId="36546" xr:uid="{00000000-0005-0000-0000-0000C08E0000}"/>
    <cellStyle name="Note 2 2 13 6" xfId="36547" xr:uid="{00000000-0005-0000-0000-0000C18E0000}"/>
    <cellStyle name="Note 2 2 13 7" xfId="36548" xr:uid="{00000000-0005-0000-0000-0000C28E0000}"/>
    <cellStyle name="Note 2 2 14" xfId="36549" xr:uid="{00000000-0005-0000-0000-0000C38E0000}"/>
    <cellStyle name="Note 2 2 14 2" xfId="36550" xr:uid="{00000000-0005-0000-0000-0000C48E0000}"/>
    <cellStyle name="Note 2 2 14 2 2" xfId="36551" xr:uid="{00000000-0005-0000-0000-0000C58E0000}"/>
    <cellStyle name="Note 2 2 14 2 3" xfId="36552" xr:uid="{00000000-0005-0000-0000-0000C68E0000}"/>
    <cellStyle name="Note 2 2 14 2 4" xfId="36553" xr:uid="{00000000-0005-0000-0000-0000C78E0000}"/>
    <cellStyle name="Note 2 2 14 2 5" xfId="36554" xr:uid="{00000000-0005-0000-0000-0000C88E0000}"/>
    <cellStyle name="Note 2 2 14 2 6" xfId="36555" xr:uid="{00000000-0005-0000-0000-0000C98E0000}"/>
    <cellStyle name="Note 2 2 14 3" xfId="36556" xr:uid="{00000000-0005-0000-0000-0000CA8E0000}"/>
    <cellStyle name="Note 2 2 14 4" xfId="36557" xr:uid="{00000000-0005-0000-0000-0000CB8E0000}"/>
    <cellStyle name="Note 2 2 14 5" xfId="36558" xr:uid="{00000000-0005-0000-0000-0000CC8E0000}"/>
    <cellStyle name="Note 2 2 14 6" xfId="36559" xr:uid="{00000000-0005-0000-0000-0000CD8E0000}"/>
    <cellStyle name="Note 2 2 14 7" xfId="36560" xr:uid="{00000000-0005-0000-0000-0000CE8E0000}"/>
    <cellStyle name="Note 2 2 15" xfId="36561" xr:uid="{00000000-0005-0000-0000-0000CF8E0000}"/>
    <cellStyle name="Note 2 2 15 2" xfId="36562" xr:uid="{00000000-0005-0000-0000-0000D08E0000}"/>
    <cellStyle name="Note 2 2 15 2 2" xfId="36563" xr:uid="{00000000-0005-0000-0000-0000D18E0000}"/>
    <cellStyle name="Note 2 2 15 2 3" xfId="36564" xr:uid="{00000000-0005-0000-0000-0000D28E0000}"/>
    <cellStyle name="Note 2 2 15 2 4" xfId="36565" xr:uid="{00000000-0005-0000-0000-0000D38E0000}"/>
    <cellStyle name="Note 2 2 15 2 5" xfId="36566" xr:uid="{00000000-0005-0000-0000-0000D48E0000}"/>
    <cellStyle name="Note 2 2 15 2 6" xfId="36567" xr:uid="{00000000-0005-0000-0000-0000D58E0000}"/>
    <cellStyle name="Note 2 2 15 3" xfId="36568" xr:uid="{00000000-0005-0000-0000-0000D68E0000}"/>
    <cellStyle name="Note 2 2 15 4" xfId="36569" xr:uid="{00000000-0005-0000-0000-0000D78E0000}"/>
    <cellStyle name="Note 2 2 15 5" xfId="36570" xr:uid="{00000000-0005-0000-0000-0000D88E0000}"/>
    <cellStyle name="Note 2 2 15 6" xfId="36571" xr:uid="{00000000-0005-0000-0000-0000D98E0000}"/>
    <cellStyle name="Note 2 2 15 7" xfId="36572" xr:uid="{00000000-0005-0000-0000-0000DA8E0000}"/>
    <cellStyle name="Note 2 2 16" xfId="36573" xr:uid="{00000000-0005-0000-0000-0000DB8E0000}"/>
    <cellStyle name="Note 2 2 16 2" xfId="36574" xr:uid="{00000000-0005-0000-0000-0000DC8E0000}"/>
    <cellStyle name="Note 2 2 16 2 2" xfId="36575" xr:uid="{00000000-0005-0000-0000-0000DD8E0000}"/>
    <cellStyle name="Note 2 2 16 2 3" xfId="36576" xr:uid="{00000000-0005-0000-0000-0000DE8E0000}"/>
    <cellStyle name="Note 2 2 16 2 4" xfId="36577" xr:uid="{00000000-0005-0000-0000-0000DF8E0000}"/>
    <cellStyle name="Note 2 2 16 2 5" xfId="36578" xr:uid="{00000000-0005-0000-0000-0000E08E0000}"/>
    <cellStyle name="Note 2 2 16 2 6" xfId="36579" xr:uid="{00000000-0005-0000-0000-0000E18E0000}"/>
    <cellStyle name="Note 2 2 16 3" xfId="36580" xr:uid="{00000000-0005-0000-0000-0000E28E0000}"/>
    <cellStyle name="Note 2 2 16 4" xfId="36581" xr:uid="{00000000-0005-0000-0000-0000E38E0000}"/>
    <cellStyle name="Note 2 2 16 5" xfId="36582" xr:uid="{00000000-0005-0000-0000-0000E48E0000}"/>
    <cellStyle name="Note 2 2 16 6" xfId="36583" xr:uid="{00000000-0005-0000-0000-0000E58E0000}"/>
    <cellStyle name="Note 2 2 16 7" xfId="36584" xr:uid="{00000000-0005-0000-0000-0000E68E0000}"/>
    <cellStyle name="Note 2 2 17" xfId="36585" xr:uid="{00000000-0005-0000-0000-0000E78E0000}"/>
    <cellStyle name="Note 2 2 17 2" xfId="36586" xr:uid="{00000000-0005-0000-0000-0000E88E0000}"/>
    <cellStyle name="Note 2 2 17 2 2" xfId="36587" xr:uid="{00000000-0005-0000-0000-0000E98E0000}"/>
    <cellStyle name="Note 2 2 17 2 3" xfId="36588" xr:uid="{00000000-0005-0000-0000-0000EA8E0000}"/>
    <cellStyle name="Note 2 2 17 2 4" xfId="36589" xr:uid="{00000000-0005-0000-0000-0000EB8E0000}"/>
    <cellStyle name="Note 2 2 17 2 5" xfId="36590" xr:uid="{00000000-0005-0000-0000-0000EC8E0000}"/>
    <cellStyle name="Note 2 2 17 2 6" xfId="36591" xr:uid="{00000000-0005-0000-0000-0000ED8E0000}"/>
    <cellStyle name="Note 2 2 17 3" xfId="36592" xr:uid="{00000000-0005-0000-0000-0000EE8E0000}"/>
    <cellStyle name="Note 2 2 17 4" xfId="36593" xr:uid="{00000000-0005-0000-0000-0000EF8E0000}"/>
    <cellStyle name="Note 2 2 17 5" xfId="36594" xr:uid="{00000000-0005-0000-0000-0000F08E0000}"/>
    <cellStyle name="Note 2 2 17 6" xfId="36595" xr:uid="{00000000-0005-0000-0000-0000F18E0000}"/>
    <cellStyle name="Note 2 2 17 7" xfId="36596" xr:uid="{00000000-0005-0000-0000-0000F28E0000}"/>
    <cellStyle name="Note 2 2 18" xfId="36597" xr:uid="{00000000-0005-0000-0000-0000F38E0000}"/>
    <cellStyle name="Note 2 2 18 2" xfId="36598" xr:uid="{00000000-0005-0000-0000-0000F48E0000}"/>
    <cellStyle name="Note 2 2 18 2 2" xfId="36599" xr:uid="{00000000-0005-0000-0000-0000F58E0000}"/>
    <cellStyle name="Note 2 2 18 2 3" xfId="36600" xr:uid="{00000000-0005-0000-0000-0000F68E0000}"/>
    <cellStyle name="Note 2 2 18 2 4" xfId="36601" xr:uid="{00000000-0005-0000-0000-0000F78E0000}"/>
    <cellStyle name="Note 2 2 18 2 5" xfId="36602" xr:uid="{00000000-0005-0000-0000-0000F88E0000}"/>
    <cellStyle name="Note 2 2 18 2 6" xfId="36603" xr:uid="{00000000-0005-0000-0000-0000F98E0000}"/>
    <cellStyle name="Note 2 2 18 3" xfId="36604" xr:uid="{00000000-0005-0000-0000-0000FA8E0000}"/>
    <cellStyle name="Note 2 2 18 4" xfId="36605" xr:uid="{00000000-0005-0000-0000-0000FB8E0000}"/>
    <cellStyle name="Note 2 2 18 5" xfId="36606" xr:uid="{00000000-0005-0000-0000-0000FC8E0000}"/>
    <cellStyle name="Note 2 2 18 6" xfId="36607" xr:uid="{00000000-0005-0000-0000-0000FD8E0000}"/>
    <cellStyle name="Note 2 2 18 7" xfId="36608" xr:uid="{00000000-0005-0000-0000-0000FE8E0000}"/>
    <cellStyle name="Note 2 2 19" xfId="36609" xr:uid="{00000000-0005-0000-0000-0000FF8E0000}"/>
    <cellStyle name="Note 2 2 19 2" xfId="36610" xr:uid="{00000000-0005-0000-0000-0000008F0000}"/>
    <cellStyle name="Note 2 2 19 2 2" xfId="36611" xr:uid="{00000000-0005-0000-0000-0000018F0000}"/>
    <cellStyle name="Note 2 2 19 2 3" xfId="36612" xr:uid="{00000000-0005-0000-0000-0000028F0000}"/>
    <cellStyle name="Note 2 2 19 2 4" xfId="36613" xr:uid="{00000000-0005-0000-0000-0000038F0000}"/>
    <cellStyle name="Note 2 2 19 2 5" xfId="36614" xr:uid="{00000000-0005-0000-0000-0000048F0000}"/>
    <cellStyle name="Note 2 2 19 2 6" xfId="36615" xr:uid="{00000000-0005-0000-0000-0000058F0000}"/>
    <cellStyle name="Note 2 2 19 3" xfId="36616" xr:uid="{00000000-0005-0000-0000-0000068F0000}"/>
    <cellStyle name="Note 2 2 19 4" xfId="36617" xr:uid="{00000000-0005-0000-0000-0000078F0000}"/>
    <cellStyle name="Note 2 2 19 5" xfId="36618" xr:uid="{00000000-0005-0000-0000-0000088F0000}"/>
    <cellStyle name="Note 2 2 19 6" xfId="36619" xr:uid="{00000000-0005-0000-0000-0000098F0000}"/>
    <cellStyle name="Note 2 2 19 7" xfId="36620" xr:uid="{00000000-0005-0000-0000-00000A8F0000}"/>
    <cellStyle name="Note 2 2 2" xfId="36621" xr:uid="{00000000-0005-0000-0000-00000B8F0000}"/>
    <cellStyle name="Note 2 2 2 10" xfId="36622" xr:uid="{00000000-0005-0000-0000-00000C8F0000}"/>
    <cellStyle name="Note 2 2 2 10 2" xfId="36623" xr:uid="{00000000-0005-0000-0000-00000D8F0000}"/>
    <cellStyle name="Note 2 2 2 10 3" xfId="36624" xr:uid="{00000000-0005-0000-0000-00000E8F0000}"/>
    <cellStyle name="Note 2 2 2 10 4" xfId="36625" xr:uid="{00000000-0005-0000-0000-00000F8F0000}"/>
    <cellStyle name="Note 2 2 2 10 5" xfId="36626" xr:uid="{00000000-0005-0000-0000-0000108F0000}"/>
    <cellStyle name="Note 2 2 2 10 6" xfId="36627" xr:uid="{00000000-0005-0000-0000-0000118F0000}"/>
    <cellStyle name="Note 2 2 2 11" xfId="36628" xr:uid="{00000000-0005-0000-0000-0000128F0000}"/>
    <cellStyle name="Note 2 2 2 11 2" xfId="36629" xr:uid="{00000000-0005-0000-0000-0000138F0000}"/>
    <cellStyle name="Note 2 2 2 11 3" xfId="36630" xr:uid="{00000000-0005-0000-0000-0000148F0000}"/>
    <cellStyle name="Note 2 2 2 11 4" xfId="36631" xr:uid="{00000000-0005-0000-0000-0000158F0000}"/>
    <cellStyle name="Note 2 2 2 11 5" xfId="36632" xr:uid="{00000000-0005-0000-0000-0000168F0000}"/>
    <cellStyle name="Note 2 2 2 11 6" xfId="36633" xr:uid="{00000000-0005-0000-0000-0000178F0000}"/>
    <cellStyle name="Note 2 2 2 12" xfId="36634" xr:uid="{00000000-0005-0000-0000-0000188F0000}"/>
    <cellStyle name="Note 2 2 2 13" xfId="36635" xr:uid="{00000000-0005-0000-0000-0000198F0000}"/>
    <cellStyle name="Note 2 2 2 14" xfId="36636" xr:uid="{00000000-0005-0000-0000-00001A8F0000}"/>
    <cellStyle name="Note 2 2 2 15" xfId="36637" xr:uid="{00000000-0005-0000-0000-00001B8F0000}"/>
    <cellStyle name="Note 2 2 2 2" xfId="36638" xr:uid="{00000000-0005-0000-0000-00001C8F0000}"/>
    <cellStyle name="Note 2 2 2 2 10" xfId="36639" xr:uid="{00000000-0005-0000-0000-00001D8F0000}"/>
    <cellStyle name="Note 2 2 2 2 11" xfId="36640" xr:uid="{00000000-0005-0000-0000-00001E8F0000}"/>
    <cellStyle name="Note 2 2 2 2 12" xfId="36641" xr:uid="{00000000-0005-0000-0000-00001F8F0000}"/>
    <cellStyle name="Note 2 2 2 2 13" xfId="36642" xr:uid="{00000000-0005-0000-0000-0000208F0000}"/>
    <cellStyle name="Note 2 2 2 2 2" xfId="36643" xr:uid="{00000000-0005-0000-0000-0000218F0000}"/>
    <cellStyle name="Note 2 2 2 2 2 2" xfId="36644" xr:uid="{00000000-0005-0000-0000-0000228F0000}"/>
    <cellStyle name="Note 2 2 2 2 2 2 2" xfId="36645" xr:uid="{00000000-0005-0000-0000-0000238F0000}"/>
    <cellStyle name="Note 2 2 2 2 2 2 2 2" xfId="36646" xr:uid="{00000000-0005-0000-0000-0000248F0000}"/>
    <cellStyle name="Note 2 2 2 2 2 2 2 3" xfId="36647" xr:uid="{00000000-0005-0000-0000-0000258F0000}"/>
    <cellStyle name="Note 2 2 2 2 2 2 2 4" xfId="36648" xr:uid="{00000000-0005-0000-0000-0000268F0000}"/>
    <cellStyle name="Note 2 2 2 2 2 2 2 5" xfId="36649" xr:uid="{00000000-0005-0000-0000-0000278F0000}"/>
    <cellStyle name="Note 2 2 2 2 2 2 2 6" xfId="36650" xr:uid="{00000000-0005-0000-0000-0000288F0000}"/>
    <cellStyle name="Note 2 2 2 2 2 2 3" xfId="36651" xr:uid="{00000000-0005-0000-0000-0000298F0000}"/>
    <cellStyle name="Note 2 2 2 2 2 2 4" xfId="36652" xr:uid="{00000000-0005-0000-0000-00002A8F0000}"/>
    <cellStyle name="Note 2 2 2 2 2 2 5" xfId="36653" xr:uid="{00000000-0005-0000-0000-00002B8F0000}"/>
    <cellStyle name="Note 2 2 2 2 2 2 6" xfId="36654" xr:uid="{00000000-0005-0000-0000-00002C8F0000}"/>
    <cellStyle name="Note 2 2 2 2 2 3" xfId="36655" xr:uid="{00000000-0005-0000-0000-00002D8F0000}"/>
    <cellStyle name="Note 2 2 2 2 2 3 2" xfId="36656" xr:uid="{00000000-0005-0000-0000-00002E8F0000}"/>
    <cellStyle name="Note 2 2 2 2 2 3 2 2" xfId="36657" xr:uid="{00000000-0005-0000-0000-00002F8F0000}"/>
    <cellStyle name="Note 2 2 2 2 2 3 2 3" xfId="36658" xr:uid="{00000000-0005-0000-0000-0000308F0000}"/>
    <cellStyle name="Note 2 2 2 2 2 3 2 4" xfId="36659" xr:uid="{00000000-0005-0000-0000-0000318F0000}"/>
    <cellStyle name="Note 2 2 2 2 2 3 2 5" xfId="36660" xr:uid="{00000000-0005-0000-0000-0000328F0000}"/>
    <cellStyle name="Note 2 2 2 2 2 3 2 6" xfId="36661" xr:uid="{00000000-0005-0000-0000-0000338F0000}"/>
    <cellStyle name="Note 2 2 2 2 2 3 3" xfId="36662" xr:uid="{00000000-0005-0000-0000-0000348F0000}"/>
    <cellStyle name="Note 2 2 2 2 2 3 4" xfId="36663" xr:uid="{00000000-0005-0000-0000-0000358F0000}"/>
    <cellStyle name="Note 2 2 2 2 2 3 5" xfId="36664" xr:uid="{00000000-0005-0000-0000-0000368F0000}"/>
    <cellStyle name="Note 2 2 2 2 2 3 6" xfId="36665" xr:uid="{00000000-0005-0000-0000-0000378F0000}"/>
    <cellStyle name="Note 2 2 2 2 2 4" xfId="36666" xr:uid="{00000000-0005-0000-0000-0000388F0000}"/>
    <cellStyle name="Note 2 2 2 2 2 4 2" xfId="36667" xr:uid="{00000000-0005-0000-0000-0000398F0000}"/>
    <cellStyle name="Note 2 2 2 2 2 4 3" xfId="36668" xr:uid="{00000000-0005-0000-0000-00003A8F0000}"/>
    <cellStyle name="Note 2 2 2 2 2 4 4" xfId="36669" xr:uid="{00000000-0005-0000-0000-00003B8F0000}"/>
    <cellStyle name="Note 2 2 2 2 2 4 5" xfId="36670" xr:uid="{00000000-0005-0000-0000-00003C8F0000}"/>
    <cellStyle name="Note 2 2 2 2 2 4 6" xfId="36671" xr:uid="{00000000-0005-0000-0000-00003D8F0000}"/>
    <cellStyle name="Note 2 2 2 2 2 5" xfId="36672" xr:uid="{00000000-0005-0000-0000-00003E8F0000}"/>
    <cellStyle name="Note 2 2 2 2 2 6" xfId="36673" xr:uid="{00000000-0005-0000-0000-00003F8F0000}"/>
    <cellStyle name="Note 2 2 2 2 2 7" xfId="36674" xr:uid="{00000000-0005-0000-0000-0000408F0000}"/>
    <cellStyle name="Note 2 2 2 2 2 8" xfId="36675" xr:uid="{00000000-0005-0000-0000-0000418F0000}"/>
    <cellStyle name="Note 2 2 2 2 3" xfId="36676" xr:uid="{00000000-0005-0000-0000-0000428F0000}"/>
    <cellStyle name="Note 2 2 2 2 3 2" xfId="36677" xr:uid="{00000000-0005-0000-0000-0000438F0000}"/>
    <cellStyle name="Note 2 2 2 2 3 2 2" xfId="36678" xr:uid="{00000000-0005-0000-0000-0000448F0000}"/>
    <cellStyle name="Note 2 2 2 2 3 2 2 2" xfId="36679" xr:uid="{00000000-0005-0000-0000-0000458F0000}"/>
    <cellStyle name="Note 2 2 2 2 3 2 2 3" xfId="36680" xr:uid="{00000000-0005-0000-0000-0000468F0000}"/>
    <cellStyle name="Note 2 2 2 2 3 2 2 4" xfId="36681" xr:uid="{00000000-0005-0000-0000-0000478F0000}"/>
    <cellStyle name="Note 2 2 2 2 3 2 2 5" xfId="36682" xr:uid="{00000000-0005-0000-0000-0000488F0000}"/>
    <cellStyle name="Note 2 2 2 2 3 2 2 6" xfId="36683" xr:uid="{00000000-0005-0000-0000-0000498F0000}"/>
    <cellStyle name="Note 2 2 2 2 3 2 3" xfId="36684" xr:uid="{00000000-0005-0000-0000-00004A8F0000}"/>
    <cellStyle name="Note 2 2 2 2 3 2 4" xfId="36685" xr:uid="{00000000-0005-0000-0000-00004B8F0000}"/>
    <cellStyle name="Note 2 2 2 2 3 2 5" xfId="36686" xr:uid="{00000000-0005-0000-0000-00004C8F0000}"/>
    <cellStyle name="Note 2 2 2 2 3 2 6" xfId="36687" xr:uid="{00000000-0005-0000-0000-00004D8F0000}"/>
    <cellStyle name="Note 2 2 2 2 3 3" xfId="36688" xr:uid="{00000000-0005-0000-0000-00004E8F0000}"/>
    <cellStyle name="Note 2 2 2 2 3 3 2" xfId="36689" xr:uid="{00000000-0005-0000-0000-00004F8F0000}"/>
    <cellStyle name="Note 2 2 2 2 3 3 2 2" xfId="36690" xr:uid="{00000000-0005-0000-0000-0000508F0000}"/>
    <cellStyle name="Note 2 2 2 2 3 3 2 3" xfId="36691" xr:uid="{00000000-0005-0000-0000-0000518F0000}"/>
    <cellStyle name="Note 2 2 2 2 3 3 2 4" xfId="36692" xr:uid="{00000000-0005-0000-0000-0000528F0000}"/>
    <cellStyle name="Note 2 2 2 2 3 3 2 5" xfId="36693" xr:uid="{00000000-0005-0000-0000-0000538F0000}"/>
    <cellStyle name="Note 2 2 2 2 3 3 2 6" xfId="36694" xr:uid="{00000000-0005-0000-0000-0000548F0000}"/>
    <cellStyle name="Note 2 2 2 2 3 3 3" xfId="36695" xr:uid="{00000000-0005-0000-0000-0000558F0000}"/>
    <cellStyle name="Note 2 2 2 2 3 3 4" xfId="36696" xr:uid="{00000000-0005-0000-0000-0000568F0000}"/>
    <cellStyle name="Note 2 2 2 2 3 3 5" xfId="36697" xr:uid="{00000000-0005-0000-0000-0000578F0000}"/>
    <cellStyle name="Note 2 2 2 2 3 3 6" xfId="36698" xr:uid="{00000000-0005-0000-0000-0000588F0000}"/>
    <cellStyle name="Note 2 2 2 2 3 4" xfId="36699" xr:uid="{00000000-0005-0000-0000-0000598F0000}"/>
    <cellStyle name="Note 2 2 2 2 3 4 2" xfId="36700" xr:uid="{00000000-0005-0000-0000-00005A8F0000}"/>
    <cellStyle name="Note 2 2 2 2 3 4 3" xfId="36701" xr:uid="{00000000-0005-0000-0000-00005B8F0000}"/>
    <cellStyle name="Note 2 2 2 2 3 4 4" xfId="36702" xr:uid="{00000000-0005-0000-0000-00005C8F0000}"/>
    <cellStyle name="Note 2 2 2 2 3 4 5" xfId="36703" xr:uid="{00000000-0005-0000-0000-00005D8F0000}"/>
    <cellStyle name="Note 2 2 2 2 3 4 6" xfId="36704" xr:uid="{00000000-0005-0000-0000-00005E8F0000}"/>
    <cellStyle name="Note 2 2 2 2 3 5" xfId="36705" xr:uid="{00000000-0005-0000-0000-00005F8F0000}"/>
    <cellStyle name="Note 2 2 2 2 3 6" xfId="36706" xr:uid="{00000000-0005-0000-0000-0000608F0000}"/>
    <cellStyle name="Note 2 2 2 2 3 7" xfId="36707" xr:uid="{00000000-0005-0000-0000-0000618F0000}"/>
    <cellStyle name="Note 2 2 2 2 3 8" xfId="36708" xr:uid="{00000000-0005-0000-0000-0000628F0000}"/>
    <cellStyle name="Note 2 2 2 2 4" xfId="36709" xr:uid="{00000000-0005-0000-0000-0000638F0000}"/>
    <cellStyle name="Note 2 2 2 2 4 2" xfId="36710" xr:uid="{00000000-0005-0000-0000-0000648F0000}"/>
    <cellStyle name="Note 2 2 2 2 4 2 2" xfId="36711" xr:uid="{00000000-0005-0000-0000-0000658F0000}"/>
    <cellStyle name="Note 2 2 2 2 4 2 2 2" xfId="36712" xr:uid="{00000000-0005-0000-0000-0000668F0000}"/>
    <cellStyle name="Note 2 2 2 2 4 2 2 3" xfId="36713" xr:uid="{00000000-0005-0000-0000-0000678F0000}"/>
    <cellStyle name="Note 2 2 2 2 4 2 2 4" xfId="36714" xr:uid="{00000000-0005-0000-0000-0000688F0000}"/>
    <cellStyle name="Note 2 2 2 2 4 2 2 5" xfId="36715" xr:uid="{00000000-0005-0000-0000-0000698F0000}"/>
    <cellStyle name="Note 2 2 2 2 4 2 2 6" xfId="36716" xr:uid="{00000000-0005-0000-0000-00006A8F0000}"/>
    <cellStyle name="Note 2 2 2 2 4 2 3" xfId="36717" xr:uid="{00000000-0005-0000-0000-00006B8F0000}"/>
    <cellStyle name="Note 2 2 2 2 4 2 4" xfId="36718" xr:uid="{00000000-0005-0000-0000-00006C8F0000}"/>
    <cellStyle name="Note 2 2 2 2 4 2 5" xfId="36719" xr:uid="{00000000-0005-0000-0000-00006D8F0000}"/>
    <cellStyle name="Note 2 2 2 2 4 2 6" xfId="36720" xr:uid="{00000000-0005-0000-0000-00006E8F0000}"/>
    <cellStyle name="Note 2 2 2 2 4 3" xfId="36721" xr:uid="{00000000-0005-0000-0000-00006F8F0000}"/>
    <cellStyle name="Note 2 2 2 2 4 3 2" xfId="36722" xr:uid="{00000000-0005-0000-0000-0000708F0000}"/>
    <cellStyle name="Note 2 2 2 2 4 3 2 2" xfId="36723" xr:uid="{00000000-0005-0000-0000-0000718F0000}"/>
    <cellStyle name="Note 2 2 2 2 4 3 2 3" xfId="36724" xr:uid="{00000000-0005-0000-0000-0000728F0000}"/>
    <cellStyle name="Note 2 2 2 2 4 3 2 4" xfId="36725" xr:uid="{00000000-0005-0000-0000-0000738F0000}"/>
    <cellStyle name="Note 2 2 2 2 4 3 2 5" xfId="36726" xr:uid="{00000000-0005-0000-0000-0000748F0000}"/>
    <cellStyle name="Note 2 2 2 2 4 3 2 6" xfId="36727" xr:uid="{00000000-0005-0000-0000-0000758F0000}"/>
    <cellStyle name="Note 2 2 2 2 4 3 3" xfId="36728" xr:uid="{00000000-0005-0000-0000-0000768F0000}"/>
    <cellStyle name="Note 2 2 2 2 4 3 4" xfId="36729" xr:uid="{00000000-0005-0000-0000-0000778F0000}"/>
    <cellStyle name="Note 2 2 2 2 4 3 5" xfId="36730" xr:uid="{00000000-0005-0000-0000-0000788F0000}"/>
    <cellStyle name="Note 2 2 2 2 4 3 6" xfId="36731" xr:uid="{00000000-0005-0000-0000-0000798F0000}"/>
    <cellStyle name="Note 2 2 2 2 4 4" xfId="36732" xr:uid="{00000000-0005-0000-0000-00007A8F0000}"/>
    <cellStyle name="Note 2 2 2 2 4 4 2" xfId="36733" xr:uid="{00000000-0005-0000-0000-00007B8F0000}"/>
    <cellStyle name="Note 2 2 2 2 4 4 3" xfId="36734" xr:uid="{00000000-0005-0000-0000-00007C8F0000}"/>
    <cellStyle name="Note 2 2 2 2 4 4 4" xfId="36735" xr:uid="{00000000-0005-0000-0000-00007D8F0000}"/>
    <cellStyle name="Note 2 2 2 2 4 4 5" xfId="36736" xr:uid="{00000000-0005-0000-0000-00007E8F0000}"/>
    <cellStyle name="Note 2 2 2 2 4 4 6" xfId="36737" xr:uid="{00000000-0005-0000-0000-00007F8F0000}"/>
    <cellStyle name="Note 2 2 2 2 4 5" xfId="36738" xr:uid="{00000000-0005-0000-0000-0000808F0000}"/>
    <cellStyle name="Note 2 2 2 2 4 6" xfId="36739" xr:uid="{00000000-0005-0000-0000-0000818F0000}"/>
    <cellStyle name="Note 2 2 2 2 4 7" xfId="36740" xr:uid="{00000000-0005-0000-0000-0000828F0000}"/>
    <cellStyle name="Note 2 2 2 2 4 8" xfId="36741" xr:uid="{00000000-0005-0000-0000-0000838F0000}"/>
    <cellStyle name="Note 2 2 2 2 5" xfId="36742" xr:uid="{00000000-0005-0000-0000-0000848F0000}"/>
    <cellStyle name="Note 2 2 2 2 5 2" xfId="36743" xr:uid="{00000000-0005-0000-0000-0000858F0000}"/>
    <cellStyle name="Note 2 2 2 2 5 2 2" xfId="36744" xr:uid="{00000000-0005-0000-0000-0000868F0000}"/>
    <cellStyle name="Note 2 2 2 2 5 2 2 2" xfId="36745" xr:uid="{00000000-0005-0000-0000-0000878F0000}"/>
    <cellStyle name="Note 2 2 2 2 5 2 2 3" xfId="36746" xr:uid="{00000000-0005-0000-0000-0000888F0000}"/>
    <cellStyle name="Note 2 2 2 2 5 2 2 4" xfId="36747" xr:uid="{00000000-0005-0000-0000-0000898F0000}"/>
    <cellStyle name="Note 2 2 2 2 5 2 2 5" xfId="36748" xr:uid="{00000000-0005-0000-0000-00008A8F0000}"/>
    <cellStyle name="Note 2 2 2 2 5 2 2 6" xfId="36749" xr:uid="{00000000-0005-0000-0000-00008B8F0000}"/>
    <cellStyle name="Note 2 2 2 2 5 2 3" xfId="36750" xr:uid="{00000000-0005-0000-0000-00008C8F0000}"/>
    <cellStyle name="Note 2 2 2 2 5 2 4" xfId="36751" xr:uid="{00000000-0005-0000-0000-00008D8F0000}"/>
    <cellStyle name="Note 2 2 2 2 5 2 5" xfId="36752" xr:uid="{00000000-0005-0000-0000-00008E8F0000}"/>
    <cellStyle name="Note 2 2 2 2 5 2 6" xfId="36753" xr:uid="{00000000-0005-0000-0000-00008F8F0000}"/>
    <cellStyle name="Note 2 2 2 2 5 3" xfId="36754" xr:uid="{00000000-0005-0000-0000-0000908F0000}"/>
    <cellStyle name="Note 2 2 2 2 5 3 2" xfId="36755" xr:uid="{00000000-0005-0000-0000-0000918F0000}"/>
    <cellStyle name="Note 2 2 2 2 5 3 2 2" xfId="36756" xr:uid="{00000000-0005-0000-0000-0000928F0000}"/>
    <cellStyle name="Note 2 2 2 2 5 3 2 3" xfId="36757" xr:uid="{00000000-0005-0000-0000-0000938F0000}"/>
    <cellStyle name="Note 2 2 2 2 5 3 2 4" xfId="36758" xr:uid="{00000000-0005-0000-0000-0000948F0000}"/>
    <cellStyle name="Note 2 2 2 2 5 3 2 5" xfId="36759" xr:uid="{00000000-0005-0000-0000-0000958F0000}"/>
    <cellStyle name="Note 2 2 2 2 5 3 2 6" xfId="36760" xr:uid="{00000000-0005-0000-0000-0000968F0000}"/>
    <cellStyle name="Note 2 2 2 2 5 3 3" xfId="36761" xr:uid="{00000000-0005-0000-0000-0000978F0000}"/>
    <cellStyle name="Note 2 2 2 2 5 3 4" xfId="36762" xr:uid="{00000000-0005-0000-0000-0000988F0000}"/>
    <cellStyle name="Note 2 2 2 2 5 3 5" xfId="36763" xr:uid="{00000000-0005-0000-0000-0000998F0000}"/>
    <cellStyle name="Note 2 2 2 2 5 3 6" xfId="36764" xr:uid="{00000000-0005-0000-0000-00009A8F0000}"/>
    <cellStyle name="Note 2 2 2 2 5 4" xfId="36765" xr:uid="{00000000-0005-0000-0000-00009B8F0000}"/>
    <cellStyle name="Note 2 2 2 2 5 4 2" xfId="36766" xr:uid="{00000000-0005-0000-0000-00009C8F0000}"/>
    <cellStyle name="Note 2 2 2 2 5 4 3" xfId="36767" xr:uid="{00000000-0005-0000-0000-00009D8F0000}"/>
    <cellStyle name="Note 2 2 2 2 5 4 4" xfId="36768" xr:uid="{00000000-0005-0000-0000-00009E8F0000}"/>
    <cellStyle name="Note 2 2 2 2 5 4 5" xfId="36769" xr:uid="{00000000-0005-0000-0000-00009F8F0000}"/>
    <cellStyle name="Note 2 2 2 2 5 4 6" xfId="36770" xr:uid="{00000000-0005-0000-0000-0000A08F0000}"/>
    <cellStyle name="Note 2 2 2 2 5 5" xfId="36771" xr:uid="{00000000-0005-0000-0000-0000A18F0000}"/>
    <cellStyle name="Note 2 2 2 2 5 6" xfId="36772" xr:uid="{00000000-0005-0000-0000-0000A28F0000}"/>
    <cellStyle name="Note 2 2 2 2 5 7" xfId="36773" xr:uid="{00000000-0005-0000-0000-0000A38F0000}"/>
    <cellStyle name="Note 2 2 2 2 5 8" xfId="36774" xr:uid="{00000000-0005-0000-0000-0000A48F0000}"/>
    <cellStyle name="Note 2 2 2 2 6" xfId="36775" xr:uid="{00000000-0005-0000-0000-0000A58F0000}"/>
    <cellStyle name="Note 2 2 2 2 6 2" xfId="36776" xr:uid="{00000000-0005-0000-0000-0000A68F0000}"/>
    <cellStyle name="Note 2 2 2 2 6 2 2" xfId="36777" xr:uid="{00000000-0005-0000-0000-0000A78F0000}"/>
    <cellStyle name="Note 2 2 2 2 6 2 3" xfId="36778" xr:uid="{00000000-0005-0000-0000-0000A88F0000}"/>
    <cellStyle name="Note 2 2 2 2 6 2 4" xfId="36779" xr:uid="{00000000-0005-0000-0000-0000A98F0000}"/>
    <cellStyle name="Note 2 2 2 2 6 2 5" xfId="36780" xr:uid="{00000000-0005-0000-0000-0000AA8F0000}"/>
    <cellStyle name="Note 2 2 2 2 6 2 6" xfId="36781" xr:uid="{00000000-0005-0000-0000-0000AB8F0000}"/>
    <cellStyle name="Note 2 2 2 2 6 3" xfId="36782" xr:uid="{00000000-0005-0000-0000-0000AC8F0000}"/>
    <cellStyle name="Note 2 2 2 2 6 4" xfId="36783" xr:uid="{00000000-0005-0000-0000-0000AD8F0000}"/>
    <cellStyle name="Note 2 2 2 2 6 5" xfId="36784" xr:uid="{00000000-0005-0000-0000-0000AE8F0000}"/>
    <cellStyle name="Note 2 2 2 2 6 6" xfId="36785" xr:uid="{00000000-0005-0000-0000-0000AF8F0000}"/>
    <cellStyle name="Note 2 2 2 2 7" xfId="36786" xr:uid="{00000000-0005-0000-0000-0000B08F0000}"/>
    <cellStyle name="Note 2 2 2 2 7 2" xfId="36787" xr:uid="{00000000-0005-0000-0000-0000B18F0000}"/>
    <cellStyle name="Note 2 2 2 2 7 2 2" xfId="36788" xr:uid="{00000000-0005-0000-0000-0000B28F0000}"/>
    <cellStyle name="Note 2 2 2 2 7 2 3" xfId="36789" xr:uid="{00000000-0005-0000-0000-0000B38F0000}"/>
    <cellStyle name="Note 2 2 2 2 7 2 4" xfId="36790" xr:uid="{00000000-0005-0000-0000-0000B48F0000}"/>
    <cellStyle name="Note 2 2 2 2 7 2 5" xfId="36791" xr:uid="{00000000-0005-0000-0000-0000B58F0000}"/>
    <cellStyle name="Note 2 2 2 2 7 2 6" xfId="36792" xr:uid="{00000000-0005-0000-0000-0000B68F0000}"/>
    <cellStyle name="Note 2 2 2 2 7 3" xfId="36793" xr:uid="{00000000-0005-0000-0000-0000B78F0000}"/>
    <cellStyle name="Note 2 2 2 2 7 4" xfId="36794" xr:uid="{00000000-0005-0000-0000-0000B88F0000}"/>
    <cellStyle name="Note 2 2 2 2 7 5" xfId="36795" xr:uid="{00000000-0005-0000-0000-0000B98F0000}"/>
    <cellStyle name="Note 2 2 2 2 7 6" xfId="36796" xr:uid="{00000000-0005-0000-0000-0000BA8F0000}"/>
    <cellStyle name="Note 2 2 2 2 8" xfId="36797" xr:uid="{00000000-0005-0000-0000-0000BB8F0000}"/>
    <cellStyle name="Note 2 2 2 2 8 2" xfId="36798" xr:uid="{00000000-0005-0000-0000-0000BC8F0000}"/>
    <cellStyle name="Note 2 2 2 2 8 3" xfId="36799" xr:uid="{00000000-0005-0000-0000-0000BD8F0000}"/>
    <cellStyle name="Note 2 2 2 2 8 4" xfId="36800" xr:uid="{00000000-0005-0000-0000-0000BE8F0000}"/>
    <cellStyle name="Note 2 2 2 2 8 5" xfId="36801" xr:uid="{00000000-0005-0000-0000-0000BF8F0000}"/>
    <cellStyle name="Note 2 2 2 2 8 6" xfId="36802" xr:uid="{00000000-0005-0000-0000-0000C08F0000}"/>
    <cellStyle name="Note 2 2 2 2 9" xfId="36803" xr:uid="{00000000-0005-0000-0000-0000C18F0000}"/>
    <cellStyle name="Note 2 2 2 2 9 2" xfId="36804" xr:uid="{00000000-0005-0000-0000-0000C28F0000}"/>
    <cellStyle name="Note 2 2 2 2 9 3" xfId="36805" xr:uid="{00000000-0005-0000-0000-0000C38F0000}"/>
    <cellStyle name="Note 2 2 2 2 9 4" xfId="36806" xr:uid="{00000000-0005-0000-0000-0000C48F0000}"/>
    <cellStyle name="Note 2 2 2 2 9 5" xfId="36807" xr:uid="{00000000-0005-0000-0000-0000C58F0000}"/>
    <cellStyle name="Note 2 2 2 2 9 6" xfId="36808" xr:uid="{00000000-0005-0000-0000-0000C68F0000}"/>
    <cellStyle name="Note 2 2 2 3" xfId="36809" xr:uid="{00000000-0005-0000-0000-0000C78F0000}"/>
    <cellStyle name="Note 2 2 2 3 2" xfId="36810" xr:uid="{00000000-0005-0000-0000-0000C88F0000}"/>
    <cellStyle name="Note 2 2 2 3 2 2" xfId="36811" xr:uid="{00000000-0005-0000-0000-0000C98F0000}"/>
    <cellStyle name="Note 2 2 2 3 2 2 2" xfId="36812" xr:uid="{00000000-0005-0000-0000-0000CA8F0000}"/>
    <cellStyle name="Note 2 2 2 3 2 2 3" xfId="36813" xr:uid="{00000000-0005-0000-0000-0000CB8F0000}"/>
    <cellStyle name="Note 2 2 2 3 2 2 4" xfId="36814" xr:uid="{00000000-0005-0000-0000-0000CC8F0000}"/>
    <cellStyle name="Note 2 2 2 3 2 2 5" xfId="36815" xr:uid="{00000000-0005-0000-0000-0000CD8F0000}"/>
    <cellStyle name="Note 2 2 2 3 2 2 6" xfId="36816" xr:uid="{00000000-0005-0000-0000-0000CE8F0000}"/>
    <cellStyle name="Note 2 2 2 3 2 3" xfId="36817" xr:uid="{00000000-0005-0000-0000-0000CF8F0000}"/>
    <cellStyle name="Note 2 2 2 3 2 4" xfId="36818" xr:uid="{00000000-0005-0000-0000-0000D08F0000}"/>
    <cellStyle name="Note 2 2 2 3 2 5" xfId="36819" xr:uid="{00000000-0005-0000-0000-0000D18F0000}"/>
    <cellStyle name="Note 2 2 2 3 2 6" xfId="36820" xr:uid="{00000000-0005-0000-0000-0000D28F0000}"/>
    <cellStyle name="Note 2 2 2 3 3" xfId="36821" xr:uid="{00000000-0005-0000-0000-0000D38F0000}"/>
    <cellStyle name="Note 2 2 2 3 3 2" xfId="36822" xr:uid="{00000000-0005-0000-0000-0000D48F0000}"/>
    <cellStyle name="Note 2 2 2 3 3 2 2" xfId="36823" xr:uid="{00000000-0005-0000-0000-0000D58F0000}"/>
    <cellStyle name="Note 2 2 2 3 3 2 3" xfId="36824" xr:uid="{00000000-0005-0000-0000-0000D68F0000}"/>
    <cellStyle name="Note 2 2 2 3 3 2 4" xfId="36825" xr:uid="{00000000-0005-0000-0000-0000D78F0000}"/>
    <cellStyle name="Note 2 2 2 3 3 2 5" xfId="36826" xr:uid="{00000000-0005-0000-0000-0000D88F0000}"/>
    <cellStyle name="Note 2 2 2 3 3 2 6" xfId="36827" xr:uid="{00000000-0005-0000-0000-0000D98F0000}"/>
    <cellStyle name="Note 2 2 2 3 3 3" xfId="36828" xr:uid="{00000000-0005-0000-0000-0000DA8F0000}"/>
    <cellStyle name="Note 2 2 2 3 3 4" xfId="36829" xr:uid="{00000000-0005-0000-0000-0000DB8F0000}"/>
    <cellStyle name="Note 2 2 2 3 3 5" xfId="36830" xr:uid="{00000000-0005-0000-0000-0000DC8F0000}"/>
    <cellStyle name="Note 2 2 2 3 3 6" xfId="36831" xr:uid="{00000000-0005-0000-0000-0000DD8F0000}"/>
    <cellStyle name="Note 2 2 2 3 4" xfId="36832" xr:uid="{00000000-0005-0000-0000-0000DE8F0000}"/>
    <cellStyle name="Note 2 2 2 3 4 2" xfId="36833" xr:uid="{00000000-0005-0000-0000-0000DF8F0000}"/>
    <cellStyle name="Note 2 2 2 3 4 3" xfId="36834" xr:uid="{00000000-0005-0000-0000-0000E08F0000}"/>
    <cellStyle name="Note 2 2 2 3 4 4" xfId="36835" xr:uid="{00000000-0005-0000-0000-0000E18F0000}"/>
    <cellStyle name="Note 2 2 2 3 4 5" xfId="36836" xr:uid="{00000000-0005-0000-0000-0000E28F0000}"/>
    <cellStyle name="Note 2 2 2 3 4 6" xfId="36837" xr:uid="{00000000-0005-0000-0000-0000E38F0000}"/>
    <cellStyle name="Note 2 2 2 3 5" xfId="36838" xr:uid="{00000000-0005-0000-0000-0000E48F0000}"/>
    <cellStyle name="Note 2 2 2 3 6" xfId="36839" xr:uid="{00000000-0005-0000-0000-0000E58F0000}"/>
    <cellStyle name="Note 2 2 2 3 7" xfId="36840" xr:uid="{00000000-0005-0000-0000-0000E68F0000}"/>
    <cellStyle name="Note 2 2 2 3 8" xfId="36841" xr:uid="{00000000-0005-0000-0000-0000E78F0000}"/>
    <cellStyle name="Note 2 2 2 4" xfId="36842" xr:uid="{00000000-0005-0000-0000-0000E88F0000}"/>
    <cellStyle name="Note 2 2 2 4 2" xfId="36843" xr:uid="{00000000-0005-0000-0000-0000E98F0000}"/>
    <cellStyle name="Note 2 2 2 4 2 2" xfId="36844" xr:uid="{00000000-0005-0000-0000-0000EA8F0000}"/>
    <cellStyle name="Note 2 2 2 4 2 2 2" xfId="36845" xr:uid="{00000000-0005-0000-0000-0000EB8F0000}"/>
    <cellStyle name="Note 2 2 2 4 2 2 3" xfId="36846" xr:uid="{00000000-0005-0000-0000-0000EC8F0000}"/>
    <cellStyle name="Note 2 2 2 4 2 2 4" xfId="36847" xr:uid="{00000000-0005-0000-0000-0000ED8F0000}"/>
    <cellStyle name="Note 2 2 2 4 2 2 5" xfId="36848" xr:uid="{00000000-0005-0000-0000-0000EE8F0000}"/>
    <cellStyle name="Note 2 2 2 4 2 2 6" xfId="36849" xr:uid="{00000000-0005-0000-0000-0000EF8F0000}"/>
    <cellStyle name="Note 2 2 2 4 2 3" xfId="36850" xr:uid="{00000000-0005-0000-0000-0000F08F0000}"/>
    <cellStyle name="Note 2 2 2 4 2 4" xfId="36851" xr:uid="{00000000-0005-0000-0000-0000F18F0000}"/>
    <cellStyle name="Note 2 2 2 4 2 5" xfId="36852" xr:uid="{00000000-0005-0000-0000-0000F28F0000}"/>
    <cellStyle name="Note 2 2 2 4 2 6" xfId="36853" xr:uid="{00000000-0005-0000-0000-0000F38F0000}"/>
    <cellStyle name="Note 2 2 2 4 3" xfId="36854" xr:uid="{00000000-0005-0000-0000-0000F48F0000}"/>
    <cellStyle name="Note 2 2 2 4 3 2" xfId="36855" xr:uid="{00000000-0005-0000-0000-0000F58F0000}"/>
    <cellStyle name="Note 2 2 2 4 3 2 2" xfId="36856" xr:uid="{00000000-0005-0000-0000-0000F68F0000}"/>
    <cellStyle name="Note 2 2 2 4 3 2 3" xfId="36857" xr:uid="{00000000-0005-0000-0000-0000F78F0000}"/>
    <cellStyle name="Note 2 2 2 4 3 2 4" xfId="36858" xr:uid="{00000000-0005-0000-0000-0000F88F0000}"/>
    <cellStyle name="Note 2 2 2 4 3 2 5" xfId="36859" xr:uid="{00000000-0005-0000-0000-0000F98F0000}"/>
    <cellStyle name="Note 2 2 2 4 3 2 6" xfId="36860" xr:uid="{00000000-0005-0000-0000-0000FA8F0000}"/>
    <cellStyle name="Note 2 2 2 4 3 3" xfId="36861" xr:uid="{00000000-0005-0000-0000-0000FB8F0000}"/>
    <cellStyle name="Note 2 2 2 4 3 4" xfId="36862" xr:uid="{00000000-0005-0000-0000-0000FC8F0000}"/>
    <cellStyle name="Note 2 2 2 4 3 5" xfId="36863" xr:uid="{00000000-0005-0000-0000-0000FD8F0000}"/>
    <cellStyle name="Note 2 2 2 4 3 6" xfId="36864" xr:uid="{00000000-0005-0000-0000-0000FE8F0000}"/>
    <cellStyle name="Note 2 2 2 4 4" xfId="36865" xr:uid="{00000000-0005-0000-0000-0000FF8F0000}"/>
    <cellStyle name="Note 2 2 2 4 4 2" xfId="36866" xr:uid="{00000000-0005-0000-0000-000000900000}"/>
    <cellStyle name="Note 2 2 2 4 4 3" xfId="36867" xr:uid="{00000000-0005-0000-0000-000001900000}"/>
    <cellStyle name="Note 2 2 2 4 4 4" xfId="36868" xr:uid="{00000000-0005-0000-0000-000002900000}"/>
    <cellStyle name="Note 2 2 2 4 4 5" xfId="36869" xr:uid="{00000000-0005-0000-0000-000003900000}"/>
    <cellStyle name="Note 2 2 2 4 4 6" xfId="36870" xr:uid="{00000000-0005-0000-0000-000004900000}"/>
    <cellStyle name="Note 2 2 2 4 5" xfId="36871" xr:uid="{00000000-0005-0000-0000-000005900000}"/>
    <cellStyle name="Note 2 2 2 4 6" xfId="36872" xr:uid="{00000000-0005-0000-0000-000006900000}"/>
    <cellStyle name="Note 2 2 2 4 7" xfId="36873" xr:uid="{00000000-0005-0000-0000-000007900000}"/>
    <cellStyle name="Note 2 2 2 4 8" xfId="36874" xr:uid="{00000000-0005-0000-0000-000008900000}"/>
    <cellStyle name="Note 2 2 2 5" xfId="36875" xr:uid="{00000000-0005-0000-0000-000009900000}"/>
    <cellStyle name="Note 2 2 2 5 2" xfId="36876" xr:uid="{00000000-0005-0000-0000-00000A900000}"/>
    <cellStyle name="Note 2 2 2 5 2 2" xfId="36877" xr:uid="{00000000-0005-0000-0000-00000B900000}"/>
    <cellStyle name="Note 2 2 2 5 2 2 2" xfId="36878" xr:uid="{00000000-0005-0000-0000-00000C900000}"/>
    <cellStyle name="Note 2 2 2 5 2 2 3" xfId="36879" xr:uid="{00000000-0005-0000-0000-00000D900000}"/>
    <cellStyle name="Note 2 2 2 5 2 2 4" xfId="36880" xr:uid="{00000000-0005-0000-0000-00000E900000}"/>
    <cellStyle name="Note 2 2 2 5 2 2 5" xfId="36881" xr:uid="{00000000-0005-0000-0000-00000F900000}"/>
    <cellStyle name="Note 2 2 2 5 2 2 6" xfId="36882" xr:uid="{00000000-0005-0000-0000-000010900000}"/>
    <cellStyle name="Note 2 2 2 5 2 3" xfId="36883" xr:uid="{00000000-0005-0000-0000-000011900000}"/>
    <cellStyle name="Note 2 2 2 5 2 4" xfId="36884" xr:uid="{00000000-0005-0000-0000-000012900000}"/>
    <cellStyle name="Note 2 2 2 5 2 5" xfId="36885" xr:uid="{00000000-0005-0000-0000-000013900000}"/>
    <cellStyle name="Note 2 2 2 5 2 6" xfId="36886" xr:uid="{00000000-0005-0000-0000-000014900000}"/>
    <cellStyle name="Note 2 2 2 5 3" xfId="36887" xr:uid="{00000000-0005-0000-0000-000015900000}"/>
    <cellStyle name="Note 2 2 2 5 3 2" xfId="36888" xr:uid="{00000000-0005-0000-0000-000016900000}"/>
    <cellStyle name="Note 2 2 2 5 3 2 2" xfId="36889" xr:uid="{00000000-0005-0000-0000-000017900000}"/>
    <cellStyle name="Note 2 2 2 5 3 2 3" xfId="36890" xr:uid="{00000000-0005-0000-0000-000018900000}"/>
    <cellStyle name="Note 2 2 2 5 3 2 4" xfId="36891" xr:uid="{00000000-0005-0000-0000-000019900000}"/>
    <cellStyle name="Note 2 2 2 5 3 2 5" xfId="36892" xr:uid="{00000000-0005-0000-0000-00001A900000}"/>
    <cellStyle name="Note 2 2 2 5 3 2 6" xfId="36893" xr:uid="{00000000-0005-0000-0000-00001B900000}"/>
    <cellStyle name="Note 2 2 2 5 3 3" xfId="36894" xr:uid="{00000000-0005-0000-0000-00001C900000}"/>
    <cellStyle name="Note 2 2 2 5 3 4" xfId="36895" xr:uid="{00000000-0005-0000-0000-00001D900000}"/>
    <cellStyle name="Note 2 2 2 5 3 5" xfId="36896" xr:uid="{00000000-0005-0000-0000-00001E900000}"/>
    <cellStyle name="Note 2 2 2 5 3 6" xfId="36897" xr:uid="{00000000-0005-0000-0000-00001F900000}"/>
    <cellStyle name="Note 2 2 2 5 4" xfId="36898" xr:uid="{00000000-0005-0000-0000-000020900000}"/>
    <cellStyle name="Note 2 2 2 5 4 2" xfId="36899" xr:uid="{00000000-0005-0000-0000-000021900000}"/>
    <cellStyle name="Note 2 2 2 5 4 3" xfId="36900" xr:uid="{00000000-0005-0000-0000-000022900000}"/>
    <cellStyle name="Note 2 2 2 5 4 4" xfId="36901" xr:uid="{00000000-0005-0000-0000-000023900000}"/>
    <cellStyle name="Note 2 2 2 5 4 5" xfId="36902" xr:uid="{00000000-0005-0000-0000-000024900000}"/>
    <cellStyle name="Note 2 2 2 5 4 6" xfId="36903" xr:uid="{00000000-0005-0000-0000-000025900000}"/>
    <cellStyle name="Note 2 2 2 5 5" xfId="36904" xr:uid="{00000000-0005-0000-0000-000026900000}"/>
    <cellStyle name="Note 2 2 2 5 6" xfId="36905" xr:uid="{00000000-0005-0000-0000-000027900000}"/>
    <cellStyle name="Note 2 2 2 5 7" xfId="36906" xr:uid="{00000000-0005-0000-0000-000028900000}"/>
    <cellStyle name="Note 2 2 2 5 8" xfId="36907" xr:uid="{00000000-0005-0000-0000-000029900000}"/>
    <cellStyle name="Note 2 2 2 6" xfId="36908" xr:uid="{00000000-0005-0000-0000-00002A900000}"/>
    <cellStyle name="Note 2 2 2 6 2" xfId="36909" xr:uid="{00000000-0005-0000-0000-00002B900000}"/>
    <cellStyle name="Note 2 2 2 6 2 2" xfId="36910" xr:uid="{00000000-0005-0000-0000-00002C900000}"/>
    <cellStyle name="Note 2 2 2 6 2 2 2" xfId="36911" xr:uid="{00000000-0005-0000-0000-00002D900000}"/>
    <cellStyle name="Note 2 2 2 6 2 2 3" xfId="36912" xr:uid="{00000000-0005-0000-0000-00002E900000}"/>
    <cellStyle name="Note 2 2 2 6 2 2 4" xfId="36913" xr:uid="{00000000-0005-0000-0000-00002F900000}"/>
    <cellStyle name="Note 2 2 2 6 2 2 5" xfId="36914" xr:uid="{00000000-0005-0000-0000-000030900000}"/>
    <cellStyle name="Note 2 2 2 6 2 2 6" xfId="36915" xr:uid="{00000000-0005-0000-0000-000031900000}"/>
    <cellStyle name="Note 2 2 2 6 2 3" xfId="36916" xr:uid="{00000000-0005-0000-0000-000032900000}"/>
    <cellStyle name="Note 2 2 2 6 2 4" xfId="36917" xr:uid="{00000000-0005-0000-0000-000033900000}"/>
    <cellStyle name="Note 2 2 2 6 2 5" xfId="36918" xr:uid="{00000000-0005-0000-0000-000034900000}"/>
    <cellStyle name="Note 2 2 2 6 2 6" xfId="36919" xr:uid="{00000000-0005-0000-0000-000035900000}"/>
    <cellStyle name="Note 2 2 2 6 3" xfId="36920" xr:uid="{00000000-0005-0000-0000-000036900000}"/>
    <cellStyle name="Note 2 2 2 6 3 2" xfId="36921" xr:uid="{00000000-0005-0000-0000-000037900000}"/>
    <cellStyle name="Note 2 2 2 6 3 2 2" xfId="36922" xr:uid="{00000000-0005-0000-0000-000038900000}"/>
    <cellStyle name="Note 2 2 2 6 3 2 3" xfId="36923" xr:uid="{00000000-0005-0000-0000-000039900000}"/>
    <cellStyle name="Note 2 2 2 6 3 2 4" xfId="36924" xr:uid="{00000000-0005-0000-0000-00003A900000}"/>
    <cellStyle name="Note 2 2 2 6 3 2 5" xfId="36925" xr:uid="{00000000-0005-0000-0000-00003B900000}"/>
    <cellStyle name="Note 2 2 2 6 3 2 6" xfId="36926" xr:uid="{00000000-0005-0000-0000-00003C900000}"/>
    <cellStyle name="Note 2 2 2 6 3 3" xfId="36927" xr:uid="{00000000-0005-0000-0000-00003D900000}"/>
    <cellStyle name="Note 2 2 2 6 3 4" xfId="36928" xr:uid="{00000000-0005-0000-0000-00003E900000}"/>
    <cellStyle name="Note 2 2 2 6 3 5" xfId="36929" xr:uid="{00000000-0005-0000-0000-00003F900000}"/>
    <cellStyle name="Note 2 2 2 6 3 6" xfId="36930" xr:uid="{00000000-0005-0000-0000-000040900000}"/>
    <cellStyle name="Note 2 2 2 6 4" xfId="36931" xr:uid="{00000000-0005-0000-0000-000041900000}"/>
    <cellStyle name="Note 2 2 2 6 4 2" xfId="36932" xr:uid="{00000000-0005-0000-0000-000042900000}"/>
    <cellStyle name="Note 2 2 2 6 4 3" xfId="36933" xr:uid="{00000000-0005-0000-0000-000043900000}"/>
    <cellStyle name="Note 2 2 2 6 4 4" xfId="36934" xr:uid="{00000000-0005-0000-0000-000044900000}"/>
    <cellStyle name="Note 2 2 2 6 4 5" xfId="36935" xr:uid="{00000000-0005-0000-0000-000045900000}"/>
    <cellStyle name="Note 2 2 2 6 4 6" xfId="36936" xr:uid="{00000000-0005-0000-0000-000046900000}"/>
    <cellStyle name="Note 2 2 2 6 5" xfId="36937" xr:uid="{00000000-0005-0000-0000-000047900000}"/>
    <cellStyle name="Note 2 2 2 6 6" xfId="36938" xr:uid="{00000000-0005-0000-0000-000048900000}"/>
    <cellStyle name="Note 2 2 2 6 7" xfId="36939" xr:uid="{00000000-0005-0000-0000-000049900000}"/>
    <cellStyle name="Note 2 2 2 6 8" xfId="36940" xr:uid="{00000000-0005-0000-0000-00004A900000}"/>
    <cellStyle name="Note 2 2 2 7" xfId="36941" xr:uid="{00000000-0005-0000-0000-00004B900000}"/>
    <cellStyle name="Note 2 2 2 7 2" xfId="36942" xr:uid="{00000000-0005-0000-0000-00004C900000}"/>
    <cellStyle name="Note 2 2 2 7 2 2" xfId="36943" xr:uid="{00000000-0005-0000-0000-00004D900000}"/>
    <cellStyle name="Note 2 2 2 7 2 2 2" xfId="36944" xr:uid="{00000000-0005-0000-0000-00004E900000}"/>
    <cellStyle name="Note 2 2 2 7 2 2 3" xfId="36945" xr:uid="{00000000-0005-0000-0000-00004F900000}"/>
    <cellStyle name="Note 2 2 2 7 2 2 4" xfId="36946" xr:uid="{00000000-0005-0000-0000-000050900000}"/>
    <cellStyle name="Note 2 2 2 7 2 2 5" xfId="36947" xr:uid="{00000000-0005-0000-0000-000051900000}"/>
    <cellStyle name="Note 2 2 2 7 2 2 6" xfId="36948" xr:uid="{00000000-0005-0000-0000-000052900000}"/>
    <cellStyle name="Note 2 2 2 7 2 3" xfId="36949" xr:uid="{00000000-0005-0000-0000-000053900000}"/>
    <cellStyle name="Note 2 2 2 7 2 4" xfId="36950" xr:uid="{00000000-0005-0000-0000-000054900000}"/>
    <cellStyle name="Note 2 2 2 7 2 5" xfId="36951" xr:uid="{00000000-0005-0000-0000-000055900000}"/>
    <cellStyle name="Note 2 2 2 7 2 6" xfId="36952" xr:uid="{00000000-0005-0000-0000-000056900000}"/>
    <cellStyle name="Note 2 2 2 7 3" xfId="36953" xr:uid="{00000000-0005-0000-0000-000057900000}"/>
    <cellStyle name="Note 2 2 2 7 3 2" xfId="36954" xr:uid="{00000000-0005-0000-0000-000058900000}"/>
    <cellStyle name="Note 2 2 2 7 3 2 2" xfId="36955" xr:uid="{00000000-0005-0000-0000-000059900000}"/>
    <cellStyle name="Note 2 2 2 7 3 2 3" xfId="36956" xr:uid="{00000000-0005-0000-0000-00005A900000}"/>
    <cellStyle name="Note 2 2 2 7 3 2 4" xfId="36957" xr:uid="{00000000-0005-0000-0000-00005B900000}"/>
    <cellStyle name="Note 2 2 2 7 3 2 5" xfId="36958" xr:uid="{00000000-0005-0000-0000-00005C900000}"/>
    <cellStyle name="Note 2 2 2 7 3 2 6" xfId="36959" xr:uid="{00000000-0005-0000-0000-00005D900000}"/>
    <cellStyle name="Note 2 2 2 7 3 3" xfId="36960" xr:uid="{00000000-0005-0000-0000-00005E900000}"/>
    <cellStyle name="Note 2 2 2 7 3 4" xfId="36961" xr:uid="{00000000-0005-0000-0000-00005F900000}"/>
    <cellStyle name="Note 2 2 2 7 3 5" xfId="36962" xr:uid="{00000000-0005-0000-0000-000060900000}"/>
    <cellStyle name="Note 2 2 2 7 3 6" xfId="36963" xr:uid="{00000000-0005-0000-0000-000061900000}"/>
    <cellStyle name="Note 2 2 2 7 4" xfId="36964" xr:uid="{00000000-0005-0000-0000-000062900000}"/>
    <cellStyle name="Note 2 2 2 7 4 2" xfId="36965" xr:uid="{00000000-0005-0000-0000-000063900000}"/>
    <cellStyle name="Note 2 2 2 7 4 3" xfId="36966" xr:uid="{00000000-0005-0000-0000-000064900000}"/>
    <cellStyle name="Note 2 2 2 7 4 4" xfId="36967" xr:uid="{00000000-0005-0000-0000-000065900000}"/>
    <cellStyle name="Note 2 2 2 7 4 5" xfId="36968" xr:uid="{00000000-0005-0000-0000-000066900000}"/>
    <cellStyle name="Note 2 2 2 7 4 6" xfId="36969" xr:uid="{00000000-0005-0000-0000-000067900000}"/>
    <cellStyle name="Note 2 2 2 7 5" xfId="36970" xr:uid="{00000000-0005-0000-0000-000068900000}"/>
    <cellStyle name="Note 2 2 2 7 6" xfId="36971" xr:uid="{00000000-0005-0000-0000-000069900000}"/>
    <cellStyle name="Note 2 2 2 7 7" xfId="36972" xr:uid="{00000000-0005-0000-0000-00006A900000}"/>
    <cellStyle name="Note 2 2 2 7 8" xfId="36973" xr:uid="{00000000-0005-0000-0000-00006B900000}"/>
    <cellStyle name="Note 2 2 2 8" xfId="36974" xr:uid="{00000000-0005-0000-0000-00006C900000}"/>
    <cellStyle name="Note 2 2 2 8 2" xfId="36975" xr:uid="{00000000-0005-0000-0000-00006D900000}"/>
    <cellStyle name="Note 2 2 2 8 2 2" xfId="36976" xr:uid="{00000000-0005-0000-0000-00006E900000}"/>
    <cellStyle name="Note 2 2 2 8 2 3" xfId="36977" xr:uid="{00000000-0005-0000-0000-00006F900000}"/>
    <cellStyle name="Note 2 2 2 8 2 4" xfId="36978" xr:uid="{00000000-0005-0000-0000-000070900000}"/>
    <cellStyle name="Note 2 2 2 8 2 5" xfId="36979" xr:uid="{00000000-0005-0000-0000-000071900000}"/>
    <cellStyle name="Note 2 2 2 8 2 6" xfId="36980" xr:uid="{00000000-0005-0000-0000-000072900000}"/>
    <cellStyle name="Note 2 2 2 8 3" xfId="36981" xr:uid="{00000000-0005-0000-0000-000073900000}"/>
    <cellStyle name="Note 2 2 2 8 4" xfId="36982" xr:uid="{00000000-0005-0000-0000-000074900000}"/>
    <cellStyle name="Note 2 2 2 8 5" xfId="36983" xr:uid="{00000000-0005-0000-0000-000075900000}"/>
    <cellStyle name="Note 2 2 2 8 6" xfId="36984" xr:uid="{00000000-0005-0000-0000-000076900000}"/>
    <cellStyle name="Note 2 2 2 9" xfId="36985" xr:uid="{00000000-0005-0000-0000-000077900000}"/>
    <cellStyle name="Note 2 2 2 9 2" xfId="36986" xr:uid="{00000000-0005-0000-0000-000078900000}"/>
    <cellStyle name="Note 2 2 2 9 2 2" xfId="36987" xr:uid="{00000000-0005-0000-0000-000079900000}"/>
    <cellStyle name="Note 2 2 2 9 2 3" xfId="36988" xr:uid="{00000000-0005-0000-0000-00007A900000}"/>
    <cellStyle name="Note 2 2 2 9 2 4" xfId="36989" xr:uid="{00000000-0005-0000-0000-00007B900000}"/>
    <cellStyle name="Note 2 2 2 9 2 5" xfId="36990" xr:uid="{00000000-0005-0000-0000-00007C900000}"/>
    <cellStyle name="Note 2 2 2 9 2 6" xfId="36991" xr:uid="{00000000-0005-0000-0000-00007D900000}"/>
    <cellStyle name="Note 2 2 2 9 3" xfId="36992" xr:uid="{00000000-0005-0000-0000-00007E900000}"/>
    <cellStyle name="Note 2 2 2 9 4" xfId="36993" xr:uid="{00000000-0005-0000-0000-00007F900000}"/>
    <cellStyle name="Note 2 2 2 9 5" xfId="36994" xr:uid="{00000000-0005-0000-0000-000080900000}"/>
    <cellStyle name="Note 2 2 2 9 6" xfId="36995" xr:uid="{00000000-0005-0000-0000-000081900000}"/>
    <cellStyle name="Note 2 2 20" xfId="36996" xr:uid="{00000000-0005-0000-0000-000082900000}"/>
    <cellStyle name="Note 2 2 20 2" xfId="36997" xr:uid="{00000000-0005-0000-0000-000083900000}"/>
    <cellStyle name="Note 2 2 20 2 2" xfId="36998" xr:uid="{00000000-0005-0000-0000-000084900000}"/>
    <cellStyle name="Note 2 2 20 2 3" xfId="36999" xr:uid="{00000000-0005-0000-0000-000085900000}"/>
    <cellStyle name="Note 2 2 20 2 4" xfId="37000" xr:uid="{00000000-0005-0000-0000-000086900000}"/>
    <cellStyle name="Note 2 2 20 2 5" xfId="37001" xr:uid="{00000000-0005-0000-0000-000087900000}"/>
    <cellStyle name="Note 2 2 20 2 6" xfId="37002" xr:uid="{00000000-0005-0000-0000-000088900000}"/>
    <cellStyle name="Note 2 2 20 3" xfId="37003" xr:uid="{00000000-0005-0000-0000-000089900000}"/>
    <cellStyle name="Note 2 2 20 4" xfId="37004" xr:uid="{00000000-0005-0000-0000-00008A900000}"/>
    <cellStyle name="Note 2 2 20 5" xfId="37005" xr:uid="{00000000-0005-0000-0000-00008B900000}"/>
    <cellStyle name="Note 2 2 20 6" xfId="37006" xr:uid="{00000000-0005-0000-0000-00008C900000}"/>
    <cellStyle name="Note 2 2 20 7" xfId="37007" xr:uid="{00000000-0005-0000-0000-00008D900000}"/>
    <cellStyle name="Note 2 2 21" xfId="37008" xr:uid="{00000000-0005-0000-0000-00008E900000}"/>
    <cellStyle name="Note 2 2 21 2" xfId="37009" xr:uid="{00000000-0005-0000-0000-00008F900000}"/>
    <cellStyle name="Note 2 2 21 2 2" xfId="37010" xr:uid="{00000000-0005-0000-0000-000090900000}"/>
    <cellStyle name="Note 2 2 21 2 3" xfId="37011" xr:uid="{00000000-0005-0000-0000-000091900000}"/>
    <cellStyle name="Note 2 2 21 2 4" xfId="37012" xr:uid="{00000000-0005-0000-0000-000092900000}"/>
    <cellStyle name="Note 2 2 21 2 5" xfId="37013" xr:uid="{00000000-0005-0000-0000-000093900000}"/>
    <cellStyle name="Note 2 2 21 2 6" xfId="37014" xr:uid="{00000000-0005-0000-0000-000094900000}"/>
    <cellStyle name="Note 2 2 21 3" xfId="37015" xr:uid="{00000000-0005-0000-0000-000095900000}"/>
    <cellStyle name="Note 2 2 21 4" xfId="37016" xr:uid="{00000000-0005-0000-0000-000096900000}"/>
    <cellStyle name="Note 2 2 21 5" xfId="37017" xr:uid="{00000000-0005-0000-0000-000097900000}"/>
    <cellStyle name="Note 2 2 21 6" xfId="37018" xr:uid="{00000000-0005-0000-0000-000098900000}"/>
    <cellStyle name="Note 2 2 21 7" xfId="37019" xr:uid="{00000000-0005-0000-0000-000099900000}"/>
    <cellStyle name="Note 2 2 22" xfId="37020" xr:uid="{00000000-0005-0000-0000-00009A900000}"/>
    <cellStyle name="Note 2 2 22 2" xfId="37021" xr:uid="{00000000-0005-0000-0000-00009B900000}"/>
    <cellStyle name="Note 2 2 22 2 2" xfId="37022" xr:uid="{00000000-0005-0000-0000-00009C900000}"/>
    <cellStyle name="Note 2 2 22 2 3" xfId="37023" xr:uid="{00000000-0005-0000-0000-00009D900000}"/>
    <cellStyle name="Note 2 2 22 2 4" xfId="37024" xr:uid="{00000000-0005-0000-0000-00009E900000}"/>
    <cellStyle name="Note 2 2 22 2 5" xfId="37025" xr:uid="{00000000-0005-0000-0000-00009F900000}"/>
    <cellStyle name="Note 2 2 22 2 6" xfId="37026" xr:uid="{00000000-0005-0000-0000-0000A0900000}"/>
    <cellStyle name="Note 2 2 22 3" xfId="37027" xr:uid="{00000000-0005-0000-0000-0000A1900000}"/>
    <cellStyle name="Note 2 2 22 4" xfId="37028" xr:uid="{00000000-0005-0000-0000-0000A2900000}"/>
    <cellStyle name="Note 2 2 22 5" xfId="37029" xr:uid="{00000000-0005-0000-0000-0000A3900000}"/>
    <cellStyle name="Note 2 2 22 6" xfId="37030" xr:uid="{00000000-0005-0000-0000-0000A4900000}"/>
    <cellStyle name="Note 2 2 22 7" xfId="37031" xr:uid="{00000000-0005-0000-0000-0000A5900000}"/>
    <cellStyle name="Note 2 2 23" xfId="37032" xr:uid="{00000000-0005-0000-0000-0000A6900000}"/>
    <cellStyle name="Note 2 2 23 2" xfId="37033" xr:uid="{00000000-0005-0000-0000-0000A7900000}"/>
    <cellStyle name="Note 2 2 23 2 2" xfId="37034" xr:uid="{00000000-0005-0000-0000-0000A8900000}"/>
    <cellStyle name="Note 2 2 23 2 3" xfId="37035" xr:uid="{00000000-0005-0000-0000-0000A9900000}"/>
    <cellStyle name="Note 2 2 23 2 4" xfId="37036" xr:uid="{00000000-0005-0000-0000-0000AA900000}"/>
    <cellStyle name="Note 2 2 23 2 5" xfId="37037" xr:uid="{00000000-0005-0000-0000-0000AB900000}"/>
    <cellStyle name="Note 2 2 23 2 6" xfId="37038" xr:uid="{00000000-0005-0000-0000-0000AC900000}"/>
    <cellStyle name="Note 2 2 23 3" xfId="37039" xr:uid="{00000000-0005-0000-0000-0000AD900000}"/>
    <cellStyle name="Note 2 2 23 4" xfId="37040" xr:uid="{00000000-0005-0000-0000-0000AE900000}"/>
    <cellStyle name="Note 2 2 23 5" xfId="37041" xr:uid="{00000000-0005-0000-0000-0000AF900000}"/>
    <cellStyle name="Note 2 2 23 6" xfId="37042" xr:uid="{00000000-0005-0000-0000-0000B0900000}"/>
    <cellStyle name="Note 2 2 23 7" xfId="37043" xr:uid="{00000000-0005-0000-0000-0000B1900000}"/>
    <cellStyle name="Note 2 2 24" xfId="37044" xr:uid="{00000000-0005-0000-0000-0000B2900000}"/>
    <cellStyle name="Note 2 2 24 2" xfId="37045" xr:uid="{00000000-0005-0000-0000-0000B3900000}"/>
    <cellStyle name="Note 2 2 24 2 2" xfId="37046" xr:uid="{00000000-0005-0000-0000-0000B4900000}"/>
    <cellStyle name="Note 2 2 24 2 3" xfId="37047" xr:uid="{00000000-0005-0000-0000-0000B5900000}"/>
    <cellStyle name="Note 2 2 24 2 4" xfId="37048" xr:uid="{00000000-0005-0000-0000-0000B6900000}"/>
    <cellStyle name="Note 2 2 24 2 5" xfId="37049" xr:uid="{00000000-0005-0000-0000-0000B7900000}"/>
    <cellStyle name="Note 2 2 24 2 6" xfId="37050" xr:uid="{00000000-0005-0000-0000-0000B8900000}"/>
    <cellStyle name="Note 2 2 24 3" xfId="37051" xr:uid="{00000000-0005-0000-0000-0000B9900000}"/>
    <cellStyle name="Note 2 2 24 4" xfId="37052" xr:uid="{00000000-0005-0000-0000-0000BA900000}"/>
    <cellStyle name="Note 2 2 24 5" xfId="37053" xr:uid="{00000000-0005-0000-0000-0000BB900000}"/>
    <cellStyle name="Note 2 2 24 6" xfId="37054" xr:uid="{00000000-0005-0000-0000-0000BC900000}"/>
    <cellStyle name="Note 2 2 24 7" xfId="37055" xr:uid="{00000000-0005-0000-0000-0000BD900000}"/>
    <cellStyle name="Note 2 2 25" xfId="37056" xr:uid="{00000000-0005-0000-0000-0000BE900000}"/>
    <cellStyle name="Note 2 2 25 2" xfId="37057" xr:uid="{00000000-0005-0000-0000-0000BF900000}"/>
    <cellStyle name="Note 2 2 25 2 2" xfId="37058" xr:uid="{00000000-0005-0000-0000-0000C0900000}"/>
    <cellStyle name="Note 2 2 25 2 3" xfId="37059" xr:uid="{00000000-0005-0000-0000-0000C1900000}"/>
    <cellStyle name="Note 2 2 25 2 4" xfId="37060" xr:uid="{00000000-0005-0000-0000-0000C2900000}"/>
    <cellStyle name="Note 2 2 25 2 5" xfId="37061" xr:uid="{00000000-0005-0000-0000-0000C3900000}"/>
    <cellStyle name="Note 2 2 25 2 6" xfId="37062" xr:uid="{00000000-0005-0000-0000-0000C4900000}"/>
    <cellStyle name="Note 2 2 25 3" xfId="37063" xr:uid="{00000000-0005-0000-0000-0000C5900000}"/>
    <cellStyle name="Note 2 2 25 4" xfId="37064" xr:uid="{00000000-0005-0000-0000-0000C6900000}"/>
    <cellStyle name="Note 2 2 25 5" xfId="37065" xr:uid="{00000000-0005-0000-0000-0000C7900000}"/>
    <cellStyle name="Note 2 2 25 6" xfId="37066" xr:uid="{00000000-0005-0000-0000-0000C8900000}"/>
    <cellStyle name="Note 2 2 25 7" xfId="37067" xr:uid="{00000000-0005-0000-0000-0000C9900000}"/>
    <cellStyle name="Note 2 2 26" xfId="37068" xr:uid="{00000000-0005-0000-0000-0000CA900000}"/>
    <cellStyle name="Note 2 2 26 2" xfId="37069" xr:uid="{00000000-0005-0000-0000-0000CB900000}"/>
    <cellStyle name="Note 2 2 26 2 2" xfId="37070" xr:uid="{00000000-0005-0000-0000-0000CC900000}"/>
    <cellStyle name="Note 2 2 26 2 3" xfId="37071" xr:uid="{00000000-0005-0000-0000-0000CD900000}"/>
    <cellStyle name="Note 2 2 26 2 4" xfId="37072" xr:uid="{00000000-0005-0000-0000-0000CE900000}"/>
    <cellStyle name="Note 2 2 26 2 5" xfId="37073" xr:uid="{00000000-0005-0000-0000-0000CF900000}"/>
    <cellStyle name="Note 2 2 26 2 6" xfId="37074" xr:uid="{00000000-0005-0000-0000-0000D0900000}"/>
    <cellStyle name="Note 2 2 26 3" xfId="37075" xr:uid="{00000000-0005-0000-0000-0000D1900000}"/>
    <cellStyle name="Note 2 2 26 4" xfId="37076" xr:uid="{00000000-0005-0000-0000-0000D2900000}"/>
    <cellStyle name="Note 2 2 26 5" xfId="37077" xr:uid="{00000000-0005-0000-0000-0000D3900000}"/>
    <cellStyle name="Note 2 2 26 6" xfId="37078" xr:uid="{00000000-0005-0000-0000-0000D4900000}"/>
    <cellStyle name="Note 2 2 26 7" xfId="37079" xr:uid="{00000000-0005-0000-0000-0000D5900000}"/>
    <cellStyle name="Note 2 2 27" xfId="37080" xr:uid="{00000000-0005-0000-0000-0000D6900000}"/>
    <cellStyle name="Note 2 2 27 2" xfId="37081" xr:uid="{00000000-0005-0000-0000-0000D7900000}"/>
    <cellStyle name="Note 2 2 27 2 2" xfId="37082" xr:uid="{00000000-0005-0000-0000-0000D8900000}"/>
    <cellStyle name="Note 2 2 27 2 3" xfId="37083" xr:uid="{00000000-0005-0000-0000-0000D9900000}"/>
    <cellStyle name="Note 2 2 27 2 4" xfId="37084" xr:uid="{00000000-0005-0000-0000-0000DA900000}"/>
    <cellStyle name="Note 2 2 27 2 5" xfId="37085" xr:uid="{00000000-0005-0000-0000-0000DB900000}"/>
    <cellStyle name="Note 2 2 27 2 6" xfId="37086" xr:uid="{00000000-0005-0000-0000-0000DC900000}"/>
    <cellStyle name="Note 2 2 27 3" xfId="37087" xr:uid="{00000000-0005-0000-0000-0000DD900000}"/>
    <cellStyle name="Note 2 2 27 4" xfId="37088" xr:uid="{00000000-0005-0000-0000-0000DE900000}"/>
    <cellStyle name="Note 2 2 27 5" xfId="37089" xr:uid="{00000000-0005-0000-0000-0000DF900000}"/>
    <cellStyle name="Note 2 2 27 6" xfId="37090" xr:uid="{00000000-0005-0000-0000-0000E0900000}"/>
    <cellStyle name="Note 2 2 27 7" xfId="37091" xr:uid="{00000000-0005-0000-0000-0000E1900000}"/>
    <cellStyle name="Note 2 2 28" xfId="37092" xr:uid="{00000000-0005-0000-0000-0000E2900000}"/>
    <cellStyle name="Note 2 2 28 2" xfId="37093" xr:uid="{00000000-0005-0000-0000-0000E3900000}"/>
    <cellStyle name="Note 2 2 28 2 2" xfId="37094" xr:uid="{00000000-0005-0000-0000-0000E4900000}"/>
    <cellStyle name="Note 2 2 28 2 3" xfId="37095" xr:uid="{00000000-0005-0000-0000-0000E5900000}"/>
    <cellStyle name="Note 2 2 28 2 4" xfId="37096" xr:uid="{00000000-0005-0000-0000-0000E6900000}"/>
    <cellStyle name="Note 2 2 28 2 5" xfId="37097" xr:uid="{00000000-0005-0000-0000-0000E7900000}"/>
    <cellStyle name="Note 2 2 28 2 6" xfId="37098" xr:uid="{00000000-0005-0000-0000-0000E8900000}"/>
    <cellStyle name="Note 2 2 28 3" xfId="37099" xr:uid="{00000000-0005-0000-0000-0000E9900000}"/>
    <cellStyle name="Note 2 2 28 4" xfId="37100" xr:uid="{00000000-0005-0000-0000-0000EA900000}"/>
    <cellStyle name="Note 2 2 28 5" xfId="37101" xr:uid="{00000000-0005-0000-0000-0000EB900000}"/>
    <cellStyle name="Note 2 2 28 6" xfId="37102" xr:uid="{00000000-0005-0000-0000-0000EC900000}"/>
    <cellStyle name="Note 2 2 28 7" xfId="37103" xr:uid="{00000000-0005-0000-0000-0000ED900000}"/>
    <cellStyle name="Note 2 2 29" xfId="37104" xr:uid="{00000000-0005-0000-0000-0000EE900000}"/>
    <cellStyle name="Note 2 2 29 2" xfId="37105" xr:uid="{00000000-0005-0000-0000-0000EF900000}"/>
    <cellStyle name="Note 2 2 29 2 2" xfId="37106" xr:uid="{00000000-0005-0000-0000-0000F0900000}"/>
    <cellStyle name="Note 2 2 29 2 3" xfId="37107" xr:uid="{00000000-0005-0000-0000-0000F1900000}"/>
    <cellStyle name="Note 2 2 29 2 4" xfId="37108" xr:uid="{00000000-0005-0000-0000-0000F2900000}"/>
    <cellStyle name="Note 2 2 29 2 5" xfId="37109" xr:uid="{00000000-0005-0000-0000-0000F3900000}"/>
    <cellStyle name="Note 2 2 29 2 6" xfId="37110" xr:uid="{00000000-0005-0000-0000-0000F4900000}"/>
    <cellStyle name="Note 2 2 29 3" xfId="37111" xr:uid="{00000000-0005-0000-0000-0000F5900000}"/>
    <cellStyle name="Note 2 2 29 4" xfId="37112" xr:uid="{00000000-0005-0000-0000-0000F6900000}"/>
    <cellStyle name="Note 2 2 29 5" xfId="37113" xr:uid="{00000000-0005-0000-0000-0000F7900000}"/>
    <cellStyle name="Note 2 2 29 6" xfId="37114" xr:uid="{00000000-0005-0000-0000-0000F8900000}"/>
    <cellStyle name="Note 2 2 29 7" xfId="37115" xr:uid="{00000000-0005-0000-0000-0000F9900000}"/>
    <cellStyle name="Note 2 2 3" xfId="37116" xr:uid="{00000000-0005-0000-0000-0000FA900000}"/>
    <cellStyle name="Note 2 2 3 2" xfId="37117" xr:uid="{00000000-0005-0000-0000-0000FB900000}"/>
    <cellStyle name="Note 2 2 3 2 2" xfId="37118" xr:uid="{00000000-0005-0000-0000-0000FC900000}"/>
    <cellStyle name="Note 2 2 3 2 2 2" xfId="37119" xr:uid="{00000000-0005-0000-0000-0000FD900000}"/>
    <cellStyle name="Note 2 2 3 2 2 3" xfId="37120" xr:uid="{00000000-0005-0000-0000-0000FE900000}"/>
    <cellStyle name="Note 2 2 3 2 2 4" xfId="37121" xr:uid="{00000000-0005-0000-0000-0000FF900000}"/>
    <cellStyle name="Note 2 2 3 2 2 5" xfId="37122" xr:uid="{00000000-0005-0000-0000-000000910000}"/>
    <cellStyle name="Note 2 2 3 2 2 6" xfId="37123" xr:uid="{00000000-0005-0000-0000-000001910000}"/>
    <cellStyle name="Note 2 2 3 2 3" xfId="37124" xr:uid="{00000000-0005-0000-0000-000002910000}"/>
    <cellStyle name="Note 2 2 3 2 3 2" xfId="37125" xr:uid="{00000000-0005-0000-0000-000003910000}"/>
    <cellStyle name="Note 2 2 3 2 3 3" xfId="37126" xr:uid="{00000000-0005-0000-0000-000004910000}"/>
    <cellStyle name="Note 2 2 3 2 3 4" xfId="37127" xr:uid="{00000000-0005-0000-0000-000005910000}"/>
    <cellStyle name="Note 2 2 3 2 3 5" xfId="37128" xr:uid="{00000000-0005-0000-0000-000006910000}"/>
    <cellStyle name="Note 2 2 3 2 3 6" xfId="37129" xr:uid="{00000000-0005-0000-0000-000007910000}"/>
    <cellStyle name="Note 2 2 3 2 4" xfId="37130" xr:uid="{00000000-0005-0000-0000-000008910000}"/>
    <cellStyle name="Note 2 2 3 2 5" xfId="37131" xr:uid="{00000000-0005-0000-0000-000009910000}"/>
    <cellStyle name="Note 2 2 3 2 6" xfId="37132" xr:uid="{00000000-0005-0000-0000-00000A910000}"/>
    <cellStyle name="Note 2 2 3 2 7" xfId="37133" xr:uid="{00000000-0005-0000-0000-00000B910000}"/>
    <cellStyle name="Note 2 2 3 3" xfId="37134" xr:uid="{00000000-0005-0000-0000-00000C910000}"/>
    <cellStyle name="Note 2 2 3 3 2" xfId="37135" xr:uid="{00000000-0005-0000-0000-00000D910000}"/>
    <cellStyle name="Note 2 2 3 3 2 2" xfId="37136" xr:uid="{00000000-0005-0000-0000-00000E910000}"/>
    <cellStyle name="Note 2 2 3 3 2 3" xfId="37137" xr:uid="{00000000-0005-0000-0000-00000F910000}"/>
    <cellStyle name="Note 2 2 3 3 2 4" xfId="37138" xr:uid="{00000000-0005-0000-0000-000010910000}"/>
    <cellStyle name="Note 2 2 3 3 2 5" xfId="37139" xr:uid="{00000000-0005-0000-0000-000011910000}"/>
    <cellStyle name="Note 2 2 3 3 2 6" xfId="37140" xr:uid="{00000000-0005-0000-0000-000012910000}"/>
    <cellStyle name="Note 2 2 3 3 3" xfId="37141" xr:uid="{00000000-0005-0000-0000-000013910000}"/>
    <cellStyle name="Note 2 2 3 3 4" xfId="37142" xr:uid="{00000000-0005-0000-0000-000014910000}"/>
    <cellStyle name="Note 2 2 3 3 5" xfId="37143" xr:uid="{00000000-0005-0000-0000-000015910000}"/>
    <cellStyle name="Note 2 2 3 3 6" xfId="37144" xr:uid="{00000000-0005-0000-0000-000016910000}"/>
    <cellStyle name="Note 2 2 3 4" xfId="37145" xr:uid="{00000000-0005-0000-0000-000017910000}"/>
    <cellStyle name="Note 2 2 3 4 2" xfId="37146" xr:uid="{00000000-0005-0000-0000-000018910000}"/>
    <cellStyle name="Note 2 2 3 4 3" xfId="37147" xr:uid="{00000000-0005-0000-0000-000019910000}"/>
    <cellStyle name="Note 2 2 3 4 4" xfId="37148" xr:uid="{00000000-0005-0000-0000-00001A910000}"/>
    <cellStyle name="Note 2 2 3 4 5" xfId="37149" xr:uid="{00000000-0005-0000-0000-00001B910000}"/>
    <cellStyle name="Note 2 2 3 4 6" xfId="37150" xr:uid="{00000000-0005-0000-0000-00001C910000}"/>
    <cellStyle name="Note 2 2 3 5" xfId="37151" xr:uid="{00000000-0005-0000-0000-00001D910000}"/>
    <cellStyle name="Note 2 2 3 5 2" xfId="37152" xr:uid="{00000000-0005-0000-0000-00001E910000}"/>
    <cellStyle name="Note 2 2 3 5 3" xfId="37153" xr:uid="{00000000-0005-0000-0000-00001F910000}"/>
    <cellStyle name="Note 2 2 3 5 4" xfId="37154" xr:uid="{00000000-0005-0000-0000-000020910000}"/>
    <cellStyle name="Note 2 2 3 5 5" xfId="37155" xr:uid="{00000000-0005-0000-0000-000021910000}"/>
    <cellStyle name="Note 2 2 3 5 6" xfId="37156" xr:uid="{00000000-0005-0000-0000-000022910000}"/>
    <cellStyle name="Note 2 2 3 6" xfId="37157" xr:uid="{00000000-0005-0000-0000-000023910000}"/>
    <cellStyle name="Note 2 2 3 7" xfId="37158" xr:uid="{00000000-0005-0000-0000-000024910000}"/>
    <cellStyle name="Note 2 2 3 8" xfId="37159" xr:uid="{00000000-0005-0000-0000-000025910000}"/>
    <cellStyle name="Note 2 2 3 9" xfId="37160" xr:uid="{00000000-0005-0000-0000-000026910000}"/>
    <cellStyle name="Note 2 2 30" xfId="37161" xr:uid="{00000000-0005-0000-0000-000027910000}"/>
    <cellStyle name="Note 2 2 30 2" xfId="37162" xr:uid="{00000000-0005-0000-0000-000028910000}"/>
    <cellStyle name="Note 2 2 30 2 2" xfId="37163" xr:uid="{00000000-0005-0000-0000-000029910000}"/>
    <cellStyle name="Note 2 2 30 2 3" xfId="37164" xr:uid="{00000000-0005-0000-0000-00002A910000}"/>
    <cellStyle name="Note 2 2 30 2 4" xfId="37165" xr:uid="{00000000-0005-0000-0000-00002B910000}"/>
    <cellStyle name="Note 2 2 30 2 5" xfId="37166" xr:uid="{00000000-0005-0000-0000-00002C910000}"/>
    <cellStyle name="Note 2 2 30 2 6" xfId="37167" xr:uid="{00000000-0005-0000-0000-00002D910000}"/>
    <cellStyle name="Note 2 2 30 3" xfId="37168" xr:uid="{00000000-0005-0000-0000-00002E910000}"/>
    <cellStyle name="Note 2 2 30 4" xfId="37169" xr:uid="{00000000-0005-0000-0000-00002F910000}"/>
    <cellStyle name="Note 2 2 30 5" xfId="37170" xr:uid="{00000000-0005-0000-0000-000030910000}"/>
    <cellStyle name="Note 2 2 30 6" xfId="37171" xr:uid="{00000000-0005-0000-0000-000031910000}"/>
    <cellStyle name="Note 2 2 30 7" xfId="37172" xr:uid="{00000000-0005-0000-0000-000032910000}"/>
    <cellStyle name="Note 2 2 31" xfId="37173" xr:uid="{00000000-0005-0000-0000-000033910000}"/>
    <cellStyle name="Note 2 2 31 2" xfId="37174" xr:uid="{00000000-0005-0000-0000-000034910000}"/>
    <cellStyle name="Note 2 2 31 2 2" xfId="37175" xr:uid="{00000000-0005-0000-0000-000035910000}"/>
    <cellStyle name="Note 2 2 31 2 3" xfId="37176" xr:uid="{00000000-0005-0000-0000-000036910000}"/>
    <cellStyle name="Note 2 2 31 2 4" xfId="37177" xr:uid="{00000000-0005-0000-0000-000037910000}"/>
    <cellStyle name="Note 2 2 31 2 5" xfId="37178" xr:uid="{00000000-0005-0000-0000-000038910000}"/>
    <cellStyle name="Note 2 2 31 2 6" xfId="37179" xr:uid="{00000000-0005-0000-0000-000039910000}"/>
    <cellStyle name="Note 2 2 31 3" xfId="37180" xr:uid="{00000000-0005-0000-0000-00003A910000}"/>
    <cellStyle name="Note 2 2 31 4" xfId="37181" xr:uid="{00000000-0005-0000-0000-00003B910000}"/>
    <cellStyle name="Note 2 2 31 5" xfId="37182" xr:uid="{00000000-0005-0000-0000-00003C910000}"/>
    <cellStyle name="Note 2 2 31 6" xfId="37183" xr:uid="{00000000-0005-0000-0000-00003D910000}"/>
    <cellStyle name="Note 2 2 31 7" xfId="37184" xr:uid="{00000000-0005-0000-0000-00003E910000}"/>
    <cellStyle name="Note 2 2 32" xfId="37185" xr:uid="{00000000-0005-0000-0000-00003F910000}"/>
    <cellStyle name="Note 2 2 32 2" xfId="37186" xr:uid="{00000000-0005-0000-0000-000040910000}"/>
    <cellStyle name="Note 2 2 32 2 2" xfId="37187" xr:uid="{00000000-0005-0000-0000-000041910000}"/>
    <cellStyle name="Note 2 2 32 2 3" xfId="37188" xr:uid="{00000000-0005-0000-0000-000042910000}"/>
    <cellStyle name="Note 2 2 32 2 4" xfId="37189" xr:uid="{00000000-0005-0000-0000-000043910000}"/>
    <cellStyle name="Note 2 2 32 2 5" xfId="37190" xr:uid="{00000000-0005-0000-0000-000044910000}"/>
    <cellStyle name="Note 2 2 32 2 6" xfId="37191" xr:uid="{00000000-0005-0000-0000-000045910000}"/>
    <cellStyle name="Note 2 2 32 3" xfId="37192" xr:uid="{00000000-0005-0000-0000-000046910000}"/>
    <cellStyle name="Note 2 2 32 4" xfId="37193" xr:uid="{00000000-0005-0000-0000-000047910000}"/>
    <cellStyle name="Note 2 2 32 5" xfId="37194" xr:uid="{00000000-0005-0000-0000-000048910000}"/>
    <cellStyle name="Note 2 2 32 6" xfId="37195" xr:uid="{00000000-0005-0000-0000-000049910000}"/>
    <cellStyle name="Note 2 2 32 7" xfId="37196" xr:uid="{00000000-0005-0000-0000-00004A910000}"/>
    <cellStyle name="Note 2 2 33" xfId="37197" xr:uid="{00000000-0005-0000-0000-00004B910000}"/>
    <cellStyle name="Note 2 2 33 2" xfId="37198" xr:uid="{00000000-0005-0000-0000-00004C910000}"/>
    <cellStyle name="Note 2 2 33 2 2" xfId="37199" xr:uid="{00000000-0005-0000-0000-00004D910000}"/>
    <cellStyle name="Note 2 2 33 2 3" xfId="37200" xr:uid="{00000000-0005-0000-0000-00004E910000}"/>
    <cellStyle name="Note 2 2 33 2 4" xfId="37201" xr:uid="{00000000-0005-0000-0000-00004F910000}"/>
    <cellStyle name="Note 2 2 33 2 5" xfId="37202" xr:uid="{00000000-0005-0000-0000-000050910000}"/>
    <cellStyle name="Note 2 2 33 2 6" xfId="37203" xr:uid="{00000000-0005-0000-0000-000051910000}"/>
    <cellStyle name="Note 2 2 33 3" xfId="37204" xr:uid="{00000000-0005-0000-0000-000052910000}"/>
    <cellStyle name="Note 2 2 33 4" xfId="37205" xr:uid="{00000000-0005-0000-0000-000053910000}"/>
    <cellStyle name="Note 2 2 33 5" xfId="37206" xr:uid="{00000000-0005-0000-0000-000054910000}"/>
    <cellStyle name="Note 2 2 33 6" xfId="37207" xr:uid="{00000000-0005-0000-0000-000055910000}"/>
    <cellStyle name="Note 2 2 33 7" xfId="37208" xr:uid="{00000000-0005-0000-0000-000056910000}"/>
    <cellStyle name="Note 2 2 34" xfId="37209" xr:uid="{00000000-0005-0000-0000-000057910000}"/>
    <cellStyle name="Note 2 2 34 2" xfId="37210" xr:uid="{00000000-0005-0000-0000-000058910000}"/>
    <cellStyle name="Note 2 2 34 2 2" xfId="37211" xr:uid="{00000000-0005-0000-0000-000059910000}"/>
    <cellStyle name="Note 2 2 34 2 3" xfId="37212" xr:uid="{00000000-0005-0000-0000-00005A910000}"/>
    <cellStyle name="Note 2 2 34 2 4" xfId="37213" xr:uid="{00000000-0005-0000-0000-00005B910000}"/>
    <cellStyle name="Note 2 2 34 2 5" xfId="37214" xr:uid="{00000000-0005-0000-0000-00005C910000}"/>
    <cellStyle name="Note 2 2 34 2 6" xfId="37215" xr:uid="{00000000-0005-0000-0000-00005D910000}"/>
    <cellStyle name="Note 2 2 34 3" xfId="37216" xr:uid="{00000000-0005-0000-0000-00005E910000}"/>
    <cellStyle name="Note 2 2 34 4" xfId="37217" xr:uid="{00000000-0005-0000-0000-00005F910000}"/>
    <cellStyle name="Note 2 2 34 5" xfId="37218" xr:uid="{00000000-0005-0000-0000-000060910000}"/>
    <cellStyle name="Note 2 2 34 6" xfId="37219" xr:uid="{00000000-0005-0000-0000-000061910000}"/>
    <cellStyle name="Note 2 2 34 7" xfId="37220" xr:uid="{00000000-0005-0000-0000-000062910000}"/>
    <cellStyle name="Note 2 2 35" xfId="37221" xr:uid="{00000000-0005-0000-0000-000063910000}"/>
    <cellStyle name="Note 2 2 35 2" xfId="37222" xr:uid="{00000000-0005-0000-0000-000064910000}"/>
    <cellStyle name="Note 2 2 35 2 2" xfId="37223" xr:uid="{00000000-0005-0000-0000-000065910000}"/>
    <cellStyle name="Note 2 2 35 2 3" xfId="37224" xr:uid="{00000000-0005-0000-0000-000066910000}"/>
    <cellStyle name="Note 2 2 35 2 4" xfId="37225" xr:uid="{00000000-0005-0000-0000-000067910000}"/>
    <cellStyle name="Note 2 2 35 2 5" xfId="37226" xr:uid="{00000000-0005-0000-0000-000068910000}"/>
    <cellStyle name="Note 2 2 35 2 6" xfId="37227" xr:uid="{00000000-0005-0000-0000-000069910000}"/>
    <cellStyle name="Note 2 2 35 3" xfId="37228" xr:uid="{00000000-0005-0000-0000-00006A910000}"/>
    <cellStyle name="Note 2 2 35 4" xfId="37229" xr:uid="{00000000-0005-0000-0000-00006B910000}"/>
    <cellStyle name="Note 2 2 35 5" xfId="37230" xr:uid="{00000000-0005-0000-0000-00006C910000}"/>
    <cellStyle name="Note 2 2 35 6" xfId="37231" xr:uid="{00000000-0005-0000-0000-00006D910000}"/>
    <cellStyle name="Note 2 2 35 7" xfId="37232" xr:uid="{00000000-0005-0000-0000-00006E910000}"/>
    <cellStyle name="Note 2 2 36" xfId="37233" xr:uid="{00000000-0005-0000-0000-00006F910000}"/>
    <cellStyle name="Note 2 2 36 2" xfId="37234" xr:uid="{00000000-0005-0000-0000-000070910000}"/>
    <cellStyle name="Note 2 2 36 2 2" xfId="37235" xr:uid="{00000000-0005-0000-0000-000071910000}"/>
    <cellStyle name="Note 2 2 36 2 3" xfId="37236" xr:uid="{00000000-0005-0000-0000-000072910000}"/>
    <cellStyle name="Note 2 2 36 2 4" xfId="37237" xr:uid="{00000000-0005-0000-0000-000073910000}"/>
    <cellStyle name="Note 2 2 36 2 5" xfId="37238" xr:uid="{00000000-0005-0000-0000-000074910000}"/>
    <cellStyle name="Note 2 2 36 2 6" xfId="37239" xr:uid="{00000000-0005-0000-0000-000075910000}"/>
    <cellStyle name="Note 2 2 36 3" xfId="37240" xr:uid="{00000000-0005-0000-0000-000076910000}"/>
    <cellStyle name="Note 2 2 36 4" xfId="37241" xr:uid="{00000000-0005-0000-0000-000077910000}"/>
    <cellStyle name="Note 2 2 36 5" xfId="37242" xr:uid="{00000000-0005-0000-0000-000078910000}"/>
    <cellStyle name="Note 2 2 36 6" xfId="37243" xr:uid="{00000000-0005-0000-0000-000079910000}"/>
    <cellStyle name="Note 2 2 36 7" xfId="37244" xr:uid="{00000000-0005-0000-0000-00007A910000}"/>
    <cellStyle name="Note 2 2 37" xfId="37245" xr:uid="{00000000-0005-0000-0000-00007B910000}"/>
    <cellStyle name="Note 2 2 37 2" xfId="37246" xr:uid="{00000000-0005-0000-0000-00007C910000}"/>
    <cellStyle name="Note 2 2 37 2 2" xfId="37247" xr:uid="{00000000-0005-0000-0000-00007D910000}"/>
    <cellStyle name="Note 2 2 37 2 3" xfId="37248" xr:uid="{00000000-0005-0000-0000-00007E910000}"/>
    <cellStyle name="Note 2 2 37 2 4" xfId="37249" xr:uid="{00000000-0005-0000-0000-00007F910000}"/>
    <cellStyle name="Note 2 2 37 2 5" xfId="37250" xr:uid="{00000000-0005-0000-0000-000080910000}"/>
    <cellStyle name="Note 2 2 37 2 6" xfId="37251" xr:uid="{00000000-0005-0000-0000-000081910000}"/>
    <cellStyle name="Note 2 2 37 3" xfId="37252" xr:uid="{00000000-0005-0000-0000-000082910000}"/>
    <cellStyle name="Note 2 2 37 4" xfId="37253" xr:uid="{00000000-0005-0000-0000-000083910000}"/>
    <cellStyle name="Note 2 2 37 5" xfId="37254" xr:uid="{00000000-0005-0000-0000-000084910000}"/>
    <cellStyle name="Note 2 2 37 6" xfId="37255" xr:uid="{00000000-0005-0000-0000-000085910000}"/>
    <cellStyle name="Note 2 2 37 7" xfId="37256" xr:uid="{00000000-0005-0000-0000-000086910000}"/>
    <cellStyle name="Note 2 2 38" xfId="37257" xr:uid="{00000000-0005-0000-0000-000087910000}"/>
    <cellStyle name="Note 2 2 38 2" xfId="37258" xr:uid="{00000000-0005-0000-0000-000088910000}"/>
    <cellStyle name="Note 2 2 38 2 2" xfId="37259" xr:uid="{00000000-0005-0000-0000-000089910000}"/>
    <cellStyle name="Note 2 2 38 2 3" xfId="37260" xr:uid="{00000000-0005-0000-0000-00008A910000}"/>
    <cellStyle name="Note 2 2 38 2 4" xfId="37261" xr:uid="{00000000-0005-0000-0000-00008B910000}"/>
    <cellStyle name="Note 2 2 38 2 5" xfId="37262" xr:uid="{00000000-0005-0000-0000-00008C910000}"/>
    <cellStyle name="Note 2 2 38 2 6" xfId="37263" xr:uid="{00000000-0005-0000-0000-00008D910000}"/>
    <cellStyle name="Note 2 2 38 3" xfId="37264" xr:uid="{00000000-0005-0000-0000-00008E910000}"/>
    <cellStyle name="Note 2 2 38 4" xfId="37265" xr:uid="{00000000-0005-0000-0000-00008F910000}"/>
    <cellStyle name="Note 2 2 38 5" xfId="37266" xr:uid="{00000000-0005-0000-0000-000090910000}"/>
    <cellStyle name="Note 2 2 38 6" xfId="37267" xr:uid="{00000000-0005-0000-0000-000091910000}"/>
    <cellStyle name="Note 2 2 38 7" xfId="37268" xr:uid="{00000000-0005-0000-0000-000092910000}"/>
    <cellStyle name="Note 2 2 39" xfId="37269" xr:uid="{00000000-0005-0000-0000-000093910000}"/>
    <cellStyle name="Note 2 2 39 2" xfId="37270" xr:uid="{00000000-0005-0000-0000-000094910000}"/>
    <cellStyle name="Note 2 2 39 2 2" xfId="37271" xr:uid="{00000000-0005-0000-0000-000095910000}"/>
    <cellStyle name="Note 2 2 39 2 3" xfId="37272" xr:uid="{00000000-0005-0000-0000-000096910000}"/>
    <cellStyle name="Note 2 2 39 2 4" xfId="37273" xr:uid="{00000000-0005-0000-0000-000097910000}"/>
    <cellStyle name="Note 2 2 39 2 5" xfId="37274" xr:uid="{00000000-0005-0000-0000-000098910000}"/>
    <cellStyle name="Note 2 2 39 2 6" xfId="37275" xr:uid="{00000000-0005-0000-0000-000099910000}"/>
    <cellStyle name="Note 2 2 39 3" xfId="37276" xr:uid="{00000000-0005-0000-0000-00009A910000}"/>
    <cellStyle name="Note 2 2 39 4" xfId="37277" xr:uid="{00000000-0005-0000-0000-00009B910000}"/>
    <cellStyle name="Note 2 2 39 5" xfId="37278" xr:uid="{00000000-0005-0000-0000-00009C910000}"/>
    <cellStyle name="Note 2 2 39 6" xfId="37279" xr:uid="{00000000-0005-0000-0000-00009D910000}"/>
    <cellStyle name="Note 2 2 39 7" xfId="37280" xr:uid="{00000000-0005-0000-0000-00009E910000}"/>
    <cellStyle name="Note 2 2 4" xfId="37281" xr:uid="{00000000-0005-0000-0000-00009F910000}"/>
    <cellStyle name="Note 2 2 4 2" xfId="37282" xr:uid="{00000000-0005-0000-0000-0000A0910000}"/>
    <cellStyle name="Note 2 2 4 2 2" xfId="37283" xr:uid="{00000000-0005-0000-0000-0000A1910000}"/>
    <cellStyle name="Note 2 2 4 2 2 2" xfId="37284" xr:uid="{00000000-0005-0000-0000-0000A2910000}"/>
    <cellStyle name="Note 2 2 4 2 2 3" xfId="37285" xr:uid="{00000000-0005-0000-0000-0000A3910000}"/>
    <cellStyle name="Note 2 2 4 2 2 4" xfId="37286" xr:uid="{00000000-0005-0000-0000-0000A4910000}"/>
    <cellStyle name="Note 2 2 4 2 2 5" xfId="37287" xr:uid="{00000000-0005-0000-0000-0000A5910000}"/>
    <cellStyle name="Note 2 2 4 2 2 6" xfId="37288" xr:uid="{00000000-0005-0000-0000-0000A6910000}"/>
    <cellStyle name="Note 2 2 4 2 3" xfId="37289" xr:uid="{00000000-0005-0000-0000-0000A7910000}"/>
    <cellStyle name="Note 2 2 4 2 3 2" xfId="37290" xr:uid="{00000000-0005-0000-0000-0000A8910000}"/>
    <cellStyle name="Note 2 2 4 2 3 3" xfId="37291" xr:uid="{00000000-0005-0000-0000-0000A9910000}"/>
    <cellStyle name="Note 2 2 4 2 3 4" xfId="37292" xr:uid="{00000000-0005-0000-0000-0000AA910000}"/>
    <cellStyle name="Note 2 2 4 2 3 5" xfId="37293" xr:uid="{00000000-0005-0000-0000-0000AB910000}"/>
    <cellStyle name="Note 2 2 4 2 3 6" xfId="37294" xr:uid="{00000000-0005-0000-0000-0000AC910000}"/>
    <cellStyle name="Note 2 2 4 2 4" xfId="37295" xr:uid="{00000000-0005-0000-0000-0000AD910000}"/>
    <cellStyle name="Note 2 2 4 2 5" xfId="37296" xr:uid="{00000000-0005-0000-0000-0000AE910000}"/>
    <cellStyle name="Note 2 2 4 2 6" xfId="37297" xr:uid="{00000000-0005-0000-0000-0000AF910000}"/>
    <cellStyle name="Note 2 2 4 2 7" xfId="37298" xr:uid="{00000000-0005-0000-0000-0000B0910000}"/>
    <cellStyle name="Note 2 2 4 3" xfId="37299" xr:uid="{00000000-0005-0000-0000-0000B1910000}"/>
    <cellStyle name="Note 2 2 4 3 2" xfId="37300" xr:uid="{00000000-0005-0000-0000-0000B2910000}"/>
    <cellStyle name="Note 2 2 4 3 2 2" xfId="37301" xr:uid="{00000000-0005-0000-0000-0000B3910000}"/>
    <cellStyle name="Note 2 2 4 3 2 3" xfId="37302" xr:uid="{00000000-0005-0000-0000-0000B4910000}"/>
    <cellStyle name="Note 2 2 4 3 2 4" xfId="37303" xr:uid="{00000000-0005-0000-0000-0000B5910000}"/>
    <cellStyle name="Note 2 2 4 3 2 5" xfId="37304" xr:uid="{00000000-0005-0000-0000-0000B6910000}"/>
    <cellStyle name="Note 2 2 4 3 2 6" xfId="37305" xr:uid="{00000000-0005-0000-0000-0000B7910000}"/>
    <cellStyle name="Note 2 2 4 3 3" xfId="37306" xr:uid="{00000000-0005-0000-0000-0000B8910000}"/>
    <cellStyle name="Note 2 2 4 3 4" xfId="37307" xr:uid="{00000000-0005-0000-0000-0000B9910000}"/>
    <cellStyle name="Note 2 2 4 3 5" xfId="37308" xr:uid="{00000000-0005-0000-0000-0000BA910000}"/>
    <cellStyle name="Note 2 2 4 3 6" xfId="37309" xr:uid="{00000000-0005-0000-0000-0000BB910000}"/>
    <cellStyle name="Note 2 2 4 4" xfId="37310" xr:uid="{00000000-0005-0000-0000-0000BC910000}"/>
    <cellStyle name="Note 2 2 4 4 2" xfId="37311" xr:uid="{00000000-0005-0000-0000-0000BD910000}"/>
    <cellStyle name="Note 2 2 4 4 3" xfId="37312" xr:uid="{00000000-0005-0000-0000-0000BE910000}"/>
    <cellStyle name="Note 2 2 4 4 4" xfId="37313" xr:uid="{00000000-0005-0000-0000-0000BF910000}"/>
    <cellStyle name="Note 2 2 4 4 5" xfId="37314" xr:uid="{00000000-0005-0000-0000-0000C0910000}"/>
    <cellStyle name="Note 2 2 4 4 6" xfId="37315" xr:uid="{00000000-0005-0000-0000-0000C1910000}"/>
    <cellStyle name="Note 2 2 4 5" xfId="37316" xr:uid="{00000000-0005-0000-0000-0000C2910000}"/>
    <cellStyle name="Note 2 2 4 5 2" xfId="37317" xr:uid="{00000000-0005-0000-0000-0000C3910000}"/>
    <cellStyle name="Note 2 2 4 5 3" xfId="37318" xr:uid="{00000000-0005-0000-0000-0000C4910000}"/>
    <cellStyle name="Note 2 2 4 5 4" xfId="37319" xr:uid="{00000000-0005-0000-0000-0000C5910000}"/>
    <cellStyle name="Note 2 2 4 5 5" xfId="37320" xr:uid="{00000000-0005-0000-0000-0000C6910000}"/>
    <cellStyle name="Note 2 2 4 5 6" xfId="37321" xr:uid="{00000000-0005-0000-0000-0000C7910000}"/>
    <cellStyle name="Note 2 2 4 6" xfId="37322" xr:uid="{00000000-0005-0000-0000-0000C8910000}"/>
    <cellStyle name="Note 2 2 4 7" xfId="37323" xr:uid="{00000000-0005-0000-0000-0000C9910000}"/>
    <cellStyle name="Note 2 2 4 8" xfId="37324" xr:uid="{00000000-0005-0000-0000-0000CA910000}"/>
    <cellStyle name="Note 2 2 4 9" xfId="37325" xr:uid="{00000000-0005-0000-0000-0000CB910000}"/>
    <cellStyle name="Note 2 2 40" xfId="37326" xr:uid="{00000000-0005-0000-0000-0000CC910000}"/>
    <cellStyle name="Note 2 2 40 2" xfId="37327" xr:uid="{00000000-0005-0000-0000-0000CD910000}"/>
    <cellStyle name="Note 2 2 40 2 2" xfId="37328" xr:uid="{00000000-0005-0000-0000-0000CE910000}"/>
    <cellStyle name="Note 2 2 40 2 3" xfId="37329" xr:uid="{00000000-0005-0000-0000-0000CF910000}"/>
    <cellStyle name="Note 2 2 40 2 4" xfId="37330" xr:uid="{00000000-0005-0000-0000-0000D0910000}"/>
    <cellStyle name="Note 2 2 40 2 5" xfId="37331" xr:uid="{00000000-0005-0000-0000-0000D1910000}"/>
    <cellStyle name="Note 2 2 40 2 6" xfId="37332" xr:uid="{00000000-0005-0000-0000-0000D2910000}"/>
    <cellStyle name="Note 2 2 40 3" xfId="37333" xr:uid="{00000000-0005-0000-0000-0000D3910000}"/>
    <cellStyle name="Note 2 2 40 4" xfId="37334" xr:uid="{00000000-0005-0000-0000-0000D4910000}"/>
    <cellStyle name="Note 2 2 40 5" xfId="37335" xr:uid="{00000000-0005-0000-0000-0000D5910000}"/>
    <cellStyle name="Note 2 2 40 6" xfId="37336" xr:uid="{00000000-0005-0000-0000-0000D6910000}"/>
    <cellStyle name="Note 2 2 40 7" xfId="37337" xr:uid="{00000000-0005-0000-0000-0000D7910000}"/>
    <cellStyle name="Note 2 2 41" xfId="37338" xr:uid="{00000000-0005-0000-0000-0000D8910000}"/>
    <cellStyle name="Note 2 2 41 2" xfId="37339" xr:uid="{00000000-0005-0000-0000-0000D9910000}"/>
    <cellStyle name="Note 2 2 41 2 2" xfId="37340" xr:uid="{00000000-0005-0000-0000-0000DA910000}"/>
    <cellStyle name="Note 2 2 41 2 3" xfId="37341" xr:uid="{00000000-0005-0000-0000-0000DB910000}"/>
    <cellStyle name="Note 2 2 41 2 4" xfId="37342" xr:uid="{00000000-0005-0000-0000-0000DC910000}"/>
    <cellStyle name="Note 2 2 41 2 5" xfId="37343" xr:uid="{00000000-0005-0000-0000-0000DD910000}"/>
    <cellStyle name="Note 2 2 41 2 6" xfId="37344" xr:uid="{00000000-0005-0000-0000-0000DE910000}"/>
    <cellStyle name="Note 2 2 41 3" xfId="37345" xr:uid="{00000000-0005-0000-0000-0000DF910000}"/>
    <cellStyle name="Note 2 2 41 4" xfId="37346" xr:uid="{00000000-0005-0000-0000-0000E0910000}"/>
    <cellStyle name="Note 2 2 41 5" xfId="37347" xr:uid="{00000000-0005-0000-0000-0000E1910000}"/>
    <cellStyle name="Note 2 2 41 6" xfId="37348" xr:uid="{00000000-0005-0000-0000-0000E2910000}"/>
    <cellStyle name="Note 2 2 41 7" xfId="37349" xr:uid="{00000000-0005-0000-0000-0000E3910000}"/>
    <cellStyle name="Note 2 2 42" xfId="37350" xr:uid="{00000000-0005-0000-0000-0000E4910000}"/>
    <cellStyle name="Note 2 2 42 2" xfId="37351" xr:uid="{00000000-0005-0000-0000-0000E5910000}"/>
    <cellStyle name="Note 2 2 42 3" xfId="37352" xr:uid="{00000000-0005-0000-0000-0000E6910000}"/>
    <cellStyle name="Note 2 2 42 4" xfId="37353" xr:uid="{00000000-0005-0000-0000-0000E7910000}"/>
    <cellStyle name="Note 2 2 42 5" xfId="37354" xr:uid="{00000000-0005-0000-0000-0000E8910000}"/>
    <cellStyle name="Note 2 2 42 6" xfId="37355" xr:uid="{00000000-0005-0000-0000-0000E9910000}"/>
    <cellStyle name="Note 2 2 43" xfId="37356" xr:uid="{00000000-0005-0000-0000-0000EA910000}"/>
    <cellStyle name="Note 2 2 43 2" xfId="37357" xr:uid="{00000000-0005-0000-0000-0000EB910000}"/>
    <cellStyle name="Note 2 2 43 3" xfId="37358" xr:uid="{00000000-0005-0000-0000-0000EC910000}"/>
    <cellStyle name="Note 2 2 43 4" xfId="37359" xr:uid="{00000000-0005-0000-0000-0000ED910000}"/>
    <cellStyle name="Note 2 2 43 5" xfId="37360" xr:uid="{00000000-0005-0000-0000-0000EE910000}"/>
    <cellStyle name="Note 2 2 43 6" xfId="37361" xr:uid="{00000000-0005-0000-0000-0000EF910000}"/>
    <cellStyle name="Note 2 2 44" xfId="37362" xr:uid="{00000000-0005-0000-0000-0000F0910000}"/>
    <cellStyle name="Note 2 2 45" xfId="37363" xr:uid="{00000000-0005-0000-0000-0000F1910000}"/>
    <cellStyle name="Note 2 2 46" xfId="37364" xr:uid="{00000000-0005-0000-0000-0000F2910000}"/>
    <cellStyle name="Note 2 2 47" xfId="37365" xr:uid="{00000000-0005-0000-0000-0000F3910000}"/>
    <cellStyle name="Note 2 2 5" xfId="37366" xr:uid="{00000000-0005-0000-0000-0000F4910000}"/>
    <cellStyle name="Note 2 2 5 2" xfId="37367" xr:uid="{00000000-0005-0000-0000-0000F5910000}"/>
    <cellStyle name="Note 2 2 5 2 2" xfId="37368" xr:uid="{00000000-0005-0000-0000-0000F6910000}"/>
    <cellStyle name="Note 2 2 5 2 3" xfId="37369" xr:uid="{00000000-0005-0000-0000-0000F7910000}"/>
    <cellStyle name="Note 2 2 5 2 4" xfId="37370" xr:uid="{00000000-0005-0000-0000-0000F8910000}"/>
    <cellStyle name="Note 2 2 5 2 5" xfId="37371" xr:uid="{00000000-0005-0000-0000-0000F9910000}"/>
    <cellStyle name="Note 2 2 5 2 6" xfId="37372" xr:uid="{00000000-0005-0000-0000-0000FA910000}"/>
    <cellStyle name="Note 2 2 5 3" xfId="37373" xr:uid="{00000000-0005-0000-0000-0000FB910000}"/>
    <cellStyle name="Note 2 2 5 3 2" xfId="37374" xr:uid="{00000000-0005-0000-0000-0000FC910000}"/>
    <cellStyle name="Note 2 2 5 3 3" xfId="37375" xr:uid="{00000000-0005-0000-0000-0000FD910000}"/>
    <cellStyle name="Note 2 2 5 3 4" xfId="37376" xr:uid="{00000000-0005-0000-0000-0000FE910000}"/>
    <cellStyle name="Note 2 2 5 3 5" xfId="37377" xr:uid="{00000000-0005-0000-0000-0000FF910000}"/>
    <cellStyle name="Note 2 2 5 3 6" xfId="37378" xr:uid="{00000000-0005-0000-0000-000000920000}"/>
    <cellStyle name="Note 2 2 5 4" xfId="37379" xr:uid="{00000000-0005-0000-0000-000001920000}"/>
    <cellStyle name="Note 2 2 5 5" xfId="37380" xr:uid="{00000000-0005-0000-0000-000002920000}"/>
    <cellStyle name="Note 2 2 5 6" xfId="37381" xr:uid="{00000000-0005-0000-0000-000003920000}"/>
    <cellStyle name="Note 2 2 5 7" xfId="37382" xr:uid="{00000000-0005-0000-0000-000004920000}"/>
    <cellStyle name="Note 2 2 5 8" xfId="37383" xr:uid="{00000000-0005-0000-0000-000005920000}"/>
    <cellStyle name="Note 2 2 6" xfId="37384" xr:uid="{00000000-0005-0000-0000-000006920000}"/>
    <cellStyle name="Note 2 2 6 2" xfId="37385" xr:uid="{00000000-0005-0000-0000-000007920000}"/>
    <cellStyle name="Note 2 2 6 2 2" xfId="37386" xr:uid="{00000000-0005-0000-0000-000008920000}"/>
    <cellStyle name="Note 2 2 6 2 3" xfId="37387" xr:uid="{00000000-0005-0000-0000-000009920000}"/>
    <cellStyle name="Note 2 2 6 2 4" xfId="37388" xr:uid="{00000000-0005-0000-0000-00000A920000}"/>
    <cellStyle name="Note 2 2 6 2 5" xfId="37389" xr:uid="{00000000-0005-0000-0000-00000B920000}"/>
    <cellStyle name="Note 2 2 6 2 6" xfId="37390" xr:uid="{00000000-0005-0000-0000-00000C920000}"/>
    <cellStyle name="Note 2 2 6 3" xfId="37391" xr:uid="{00000000-0005-0000-0000-00000D920000}"/>
    <cellStyle name="Note 2 2 6 4" xfId="37392" xr:uid="{00000000-0005-0000-0000-00000E920000}"/>
    <cellStyle name="Note 2 2 6 5" xfId="37393" xr:uid="{00000000-0005-0000-0000-00000F920000}"/>
    <cellStyle name="Note 2 2 6 6" xfId="37394" xr:uid="{00000000-0005-0000-0000-000010920000}"/>
    <cellStyle name="Note 2 2 6 7" xfId="37395" xr:uid="{00000000-0005-0000-0000-000011920000}"/>
    <cellStyle name="Note 2 2 7" xfId="37396" xr:uid="{00000000-0005-0000-0000-000012920000}"/>
    <cellStyle name="Note 2 2 7 2" xfId="37397" xr:uid="{00000000-0005-0000-0000-000013920000}"/>
    <cellStyle name="Note 2 2 7 2 2" xfId="37398" xr:uid="{00000000-0005-0000-0000-000014920000}"/>
    <cellStyle name="Note 2 2 7 2 3" xfId="37399" xr:uid="{00000000-0005-0000-0000-000015920000}"/>
    <cellStyle name="Note 2 2 7 2 4" xfId="37400" xr:uid="{00000000-0005-0000-0000-000016920000}"/>
    <cellStyle name="Note 2 2 7 2 5" xfId="37401" xr:uid="{00000000-0005-0000-0000-000017920000}"/>
    <cellStyle name="Note 2 2 7 2 6" xfId="37402" xr:uid="{00000000-0005-0000-0000-000018920000}"/>
    <cellStyle name="Note 2 2 7 3" xfId="37403" xr:uid="{00000000-0005-0000-0000-000019920000}"/>
    <cellStyle name="Note 2 2 7 4" xfId="37404" xr:uid="{00000000-0005-0000-0000-00001A920000}"/>
    <cellStyle name="Note 2 2 7 5" xfId="37405" xr:uid="{00000000-0005-0000-0000-00001B920000}"/>
    <cellStyle name="Note 2 2 7 6" xfId="37406" xr:uid="{00000000-0005-0000-0000-00001C920000}"/>
    <cellStyle name="Note 2 2 7 7" xfId="37407" xr:uid="{00000000-0005-0000-0000-00001D920000}"/>
    <cellStyle name="Note 2 2 8" xfId="37408" xr:uid="{00000000-0005-0000-0000-00001E920000}"/>
    <cellStyle name="Note 2 2 8 2" xfId="37409" xr:uid="{00000000-0005-0000-0000-00001F920000}"/>
    <cellStyle name="Note 2 2 8 2 2" xfId="37410" xr:uid="{00000000-0005-0000-0000-000020920000}"/>
    <cellStyle name="Note 2 2 8 2 3" xfId="37411" xr:uid="{00000000-0005-0000-0000-000021920000}"/>
    <cellStyle name="Note 2 2 8 2 4" xfId="37412" xr:uid="{00000000-0005-0000-0000-000022920000}"/>
    <cellStyle name="Note 2 2 8 2 5" xfId="37413" xr:uid="{00000000-0005-0000-0000-000023920000}"/>
    <cellStyle name="Note 2 2 8 2 6" xfId="37414" xr:uid="{00000000-0005-0000-0000-000024920000}"/>
    <cellStyle name="Note 2 2 8 3" xfId="37415" xr:uid="{00000000-0005-0000-0000-000025920000}"/>
    <cellStyle name="Note 2 2 8 4" xfId="37416" xr:uid="{00000000-0005-0000-0000-000026920000}"/>
    <cellStyle name="Note 2 2 8 5" xfId="37417" xr:uid="{00000000-0005-0000-0000-000027920000}"/>
    <cellStyle name="Note 2 2 8 6" xfId="37418" xr:uid="{00000000-0005-0000-0000-000028920000}"/>
    <cellStyle name="Note 2 2 8 7" xfId="37419" xr:uid="{00000000-0005-0000-0000-000029920000}"/>
    <cellStyle name="Note 2 2 9" xfId="37420" xr:uid="{00000000-0005-0000-0000-00002A920000}"/>
    <cellStyle name="Note 2 2 9 2" xfId="37421" xr:uid="{00000000-0005-0000-0000-00002B920000}"/>
    <cellStyle name="Note 2 2 9 2 2" xfId="37422" xr:uid="{00000000-0005-0000-0000-00002C920000}"/>
    <cellStyle name="Note 2 2 9 2 3" xfId="37423" xr:uid="{00000000-0005-0000-0000-00002D920000}"/>
    <cellStyle name="Note 2 2 9 2 4" xfId="37424" xr:uid="{00000000-0005-0000-0000-00002E920000}"/>
    <cellStyle name="Note 2 2 9 2 5" xfId="37425" xr:uid="{00000000-0005-0000-0000-00002F920000}"/>
    <cellStyle name="Note 2 2 9 2 6" xfId="37426" xr:uid="{00000000-0005-0000-0000-000030920000}"/>
    <cellStyle name="Note 2 2 9 3" xfId="37427" xr:uid="{00000000-0005-0000-0000-000031920000}"/>
    <cellStyle name="Note 2 2 9 4" xfId="37428" xr:uid="{00000000-0005-0000-0000-000032920000}"/>
    <cellStyle name="Note 2 2 9 5" xfId="37429" xr:uid="{00000000-0005-0000-0000-000033920000}"/>
    <cellStyle name="Note 2 2 9 6" xfId="37430" xr:uid="{00000000-0005-0000-0000-000034920000}"/>
    <cellStyle name="Note 2 2 9 7" xfId="37431" xr:uid="{00000000-0005-0000-0000-000035920000}"/>
    <cellStyle name="Note 2 3" xfId="37432" xr:uid="{00000000-0005-0000-0000-000036920000}"/>
    <cellStyle name="Note 2 3 10" xfId="37433" xr:uid="{00000000-0005-0000-0000-000037920000}"/>
    <cellStyle name="Note 2 3 10 2" xfId="37434" xr:uid="{00000000-0005-0000-0000-000038920000}"/>
    <cellStyle name="Note 2 3 10 2 2" xfId="37435" xr:uid="{00000000-0005-0000-0000-000039920000}"/>
    <cellStyle name="Note 2 3 10 2 3" xfId="37436" xr:uid="{00000000-0005-0000-0000-00003A920000}"/>
    <cellStyle name="Note 2 3 10 2 4" xfId="37437" xr:uid="{00000000-0005-0000-0000-00003B920000}"/>
    <cellStyle name="Note 2 3 10 2 5" xfId="37438" xr:uid="{00000000-0005-0000-0000-00003C920000}"/>
    <cellStyle name="Note 2 3 10 2 6" xfId="37439" xr:uid="{00000000-0005-0000-0000-00003D920000}"/>
    <cellStyle name="Note 2 3 10 3" xfId="37440" xr:uid="{00000000-0005-0000-0000-00003E920000}"/>
    <cellStyle name="Note 2 3 10 4" xfId="37441" xr:uid="{00000000-0005-0000-0000-00003F920000}"/>
    <cellStyle name="Note 2 3 10 5" xfId="37442" xr:uid="{00000000-0005-0000-0000-000040920000}"/>
    <cellStyle name="Note 2 3 10 6" xfId="37443" xr:uid="{00000000-0005-0000-0000-000041920000}"/>
    <cellStyle name="Note 2 3 10 7" xfId="37444" xr:uid="{00000000-0005-0000-0000-000042920000}"/>
    <cellStyle name="Note 2 3 11" xfId="37445" xr:uid="{00000000-0005-0000-0000-000043920000}"/>
    <cellStyle name="Note 2 3 11 2" xfId="37446" xr:uid="{00000000-0005-0000-0000-000044920000}"/>
    <cellStyle name="Note 2 3 11 2 2" xfId="37447" xr:uid="{00000000-0005-0000-0000-000045920000}"/>
    <cellStyle name="Note 2 3 11 2 3" xfId="37448" xr:uid="{00000000-0005-0000-0000-000046920000}"/>
    <cellStyle name="Note 2 3 11 2 4" xfId="37449" xr:uid="{00000000-0005-0000-0000-000047920000}"/>
    <cellStyle name="Note 2 3 11 2 5" xfId="37450" xr:uid="{00000000-0005-0000-0000-000048920000}"/>
    <cellStyle name="Note 2 3 11 2 6" xfId="37451" xr:uid="{00000000-0005-0000-0000-000049920000}"/>
    <cellStyle name="Note 2 3 11 3" xfId="37452" xr:uid="{00000000-0005-0000-0000-00004A920000}"/>
    <cellStyle name="Note 2 3 11 4" xfId="37453" xr:uid="{00000000-0005-0000-0000-00004B920000}"/>
    <cellStyle name="Note 2 3 11 5" xfId="37454" xr:uid="{00000000-0005-0000-0000-00004C920000}"/>
    <cellStyle name="Note 2 3 11 6" xfId="37455" xr:uid="{00000000-0005-0000-0000-00004D920000}"/>
    <cellStyle name="Note 2 3 11 7" xfId="37456" xr:uid="{00000000-0005-0000-0000-00004E920000}"/>
    <cellStyle name="Note 2 3 12" xfId="37457" xr:uid="{00000000-0005-0000-0000-00004F920000}"/>
    <cellStyle name="Note 2 3 12 2" xfId="37458" xr:uid="{00000000-0005-0000-0000-000050920000}"/>
    <cellStyle name="Note 2 3 12 2 2" xfId="37459" xr:uid="{00000000-0005-0000-0000-000051920000}"/>
    <cellStyle name="Note 2 3 12 2 3" xfId="37460" xr:uid="{00000000-0005-0000-0000-000052920000}"/>
    <cellStyle name="Note 2 3 12 2 4" xfId="37461" xr:uid="{00000000-0005-0000-0000-000053920000}"/>
    <cellStyle name="Note 2 3 12 2 5" xfId="37462" xr:uid="{00000000-0005-0000-0000-000054920000}"/>
    <cellStyle name="Note 2 3 12 2 6" xfId="37463" xr:uid="{00000000-0005-0000-0000-000055920000}"/>
    <cellStyle name="Note 2 3 12 3" xfId="37464" xr:uid="{00000000-0005-0000-0000-000056920000}"/>
    <cellStyle name="Note 2 3 12 4" xfId="37465" xr:uid="{00000000-0005-0000-0000-000057920000}"/>
    <cellStyle name="Note 2 3 12 5" xfId="37466" xr:uid="{00000000-0005-0000-0000-000058920000}"/>
    <cellStyle name="Note 2 3 12 6" xfId="37467" xr:uid="{00000000-0005-0000-0000-000059920000}"/>
    <cellStyle name="Note 2 3 12 7" xfId="37468" xr:uid="{00000000-0005-0000-0000-00005A920000}"/>
    <cellStyle name="Note 2 3 13" xfId="37469" xr:uid="{00000000-0005-0000-0000-00005B920000}"/>
    <cellStyle name="Note 2 3 13 2" xfId="37470" xr:uid="{00000000-0005-0000-0000-00005C920000}"/>
    <cellStyle name="Note 2 3 13 2 2" xfId="37471" xr:uid="{00000000-0005-0000-0000-00005D920000}"/>
    <cellStyle name="Note 2 3 13 2 3" xfId="37472" xr:uid="{00000000-0005-0000-0000-00005E920000}"/>
    <cellStyle name="Note 2 3 13 2 4" xfId="37473" xr:uid="{00000000-0005-0000-0000-00005F920000}"/>
    <cellStyle name="Note 2 3 13 2 5" xfId="37474" xr:uid="{00000000-0005-0000-0000-000060920000}"/>
    <cellStyle name="Note 2 3 13 2 6" xfId="37475" xr:uid="{00000000-0005-0000-0000-000061920000}"/>
    <cellStyle name="Note 2 3 13 3" xfId="37476" xr:uid="{00000000-0005-0000-0000-000062920000}"/>
    <cellStyle name="Note 2 3 13 4" xfId="37477" xr:uid="{00000000-0005-0000-0000-000063920000}"/>
    <cellStyle name="Note 2 3 13 5" xfId="37478" xr:uid="{00000000-0005-0000-0000-000064920000}"/>
    <cellStyle name="Note 2 3 13 6" xfId="37479" xr:uid="{00000000-0005-0000-0000-000065920000}"/>
    <cellStyle name="Note 2 3 13 7" xfId="37480" xr:uid="{00000000-0005-0000-0000-000066920000}"/>
    <cellStyle name="Note 2 3 14" xfId="37481" xr:uid="{00000000-0005-0000-0000-000067920000}"/>
    <cellStyle name="Note 2 3 14 2" xfId="37482" xr:uid="{00000000-0005-0000-0000-000068920000}"/>
    <cellStyle name="Note 2 3 14 2 2" xfId="37483" xr:uid="{00000000-0005-0000-0000-000069920000}"/>
    <cellStyle name="Note 2 3 14 2 3" xfId="37484" xr:uid="{00000000-0005-0000-0000-00006A920000}"/>
    <cellStyle name="Note 2 3 14 2 4" xfId="37485" xr:uid="{00000000-0005-0000-0000-00006B920000}"/>
    <cellStyle name="Note 2 3 14 2 5" xfId="37486" xr:uid="{00000000-0005-0000-0000-00006C920000}"/>
    <cellStyle name="Note 2 3 14 2 6" xfId="37487" xr:uid="{00000000-0005-0000-0000-00006D920000}"/>
    <cellStyle name="Note 2 3 14 3" xfId="37488" xr:uid="{00000000-0005-0000-0000-00006E920000}"/>
    <cellStyle name="Note 2 3 14 4" xfId="37489" xr:uid="{00000000-0005-0000-0000-00006F920000}"/>
    <cellStyle name="Note 2 3 14 5" xfId="37490" xr:uid="{00000000-0005-0000-0000-000070920000}"/>
    <cellStyle name="Note 2 3 14 6" xfId="37491" xr:uid="{00000000-0005-0000-0000-000071920000}"/>
    <cellStyle name="Note 2 3 14 7" xfId="37492" xr:uid="{00000000-0005-0000-0000-000072920000}"/>
    <cellStyle name="Note 2 3 15" xfId="37493" xr:uid="{00000000-0005-0000-0000-000073920000}"/>
    <cellStyle name="Note 2 3 15 2" xfId="37494" xr:uid="{00000000-0005-0000-0000-000074920000}"/>
    <cellStyle name="Note 2 3 15 2 2" xfId="37495" xr:uid="{00000000-0005-0000-0000-000075920000}"/>
    <cellStyle name="Note 2 3 15 2 3" xfId="37496" xr:uid="{00000000-0005-0000-0000-000076920000}"/>
    <cellStyle name="Note 2 3 15 2 4" xfId="37497" xr:uid="{00000000-0005-0000-0000-000077920000}"/>
    <cellStyle name="Note 2 3 15 2 5" xfId="37498" xr:uid="{00000000-0005-0000-0000-000078920000}"/>
    <cellStyle name="Note 2 3 15 2 6" xfId="37499" xr:uid="{00000000-0005-0000-0000-000079920000}"/>
    <cellStyle name="Note 2 3 15 3" xfId="37500" xr:uid="{00000000-0005-0000-0000-00007A920000}"/>
    <cellStyle name="Note 2 3 15 4" xfId="37501" xr:uid="{00000000-0005-0000-0000-00007B920000}"/>
    <cellStyle name="Note 2 3 15 5" xfId="37502" xr:uid="{00000000-0005-0000-0000-00007C920000}"/>
    <cellStyle name="Note 2 3 15 6" xfId="37503" xr:uid="{00000000-0005-0000-0000-00007D920000}"/>
    <cellStyle name="Note 2 3 15 7" xfId="37504" xr:uid="{00000000-0005-0000-0000-00007E920000}"/>
    <cellStyle name="Note 2 3 16" xfId="37505" xr:uid="{00000000-0005-0000-0000-00007F920000}"/>
    <cellStyle name="Note 2 3 16 2" xfId="37506" xr:uid="{00000000-0005-0000-0000-000080920000}"/>
    <cellStyle name="Note 2 3 16 2 2" xfId="37507" xr:uid="{00000000-0005-0000-0000-000081920000}"/>
    <cellStyle name="Note 2 3 16 2 3" xfId="37508" xr:uid="{00000000-0005-0000-0000-000082920000}"/>
    <cellStyle name="Note 2 3 16 2 4" xfId="37509" xr:uid="{00000000-0005-0000-0000-000083920000}"/>
    <cellStyle name="Note 2 3 16 2 5" xfId="37510" xr:uid="{00000000-0005-0000-0000-000084920000}"/>
    <cellStyle name="Note 2 3 16 2 6" xfId="37511" xr:uid="{00000000-0005-0000-0000-000085920000}"/>
    <cellStyle name="Note 2 3 16 3" xfId="37512" xr:uid="{00000000-0005-0000-0000-000086920000}"/>
    <cellStyle name="Note 2 3 16 4" xfId="37513" xr:uid="{00000000-0005-0000-0000-000087920000}"/>
    <cellStyle name="Note 2 3 16 5" xfId="37514" xr:uid="{00000000-0005-0000-0000-000088920000}"/>
    <cellStyle name="Note 2 3 16 6" xfId="37515" xr:uid="{00000000-0005-0000-0000-000089920000}"/>
    <cellStyle name="Note 2 3 16 7" xfId="37516" xr:uid="{00000000-0005-0000-0000-00008A920000}"/>
    <cellStyle name="Note 2 3 17" xfId="37517" xr:uid="{00000000-0005-0000-0000-00008B920000}"/>
    <cellStyle name="Note 2 3 17 2" xfId="37518" xr:uid="{00000000-0005-0000-0000-00008C920000}"/>
    <cellStyle name="Note 2 3 17 2 2" xfId="37519" xr:uid="{00000000-0005-0000-0000-00008D920000}"/>
    <cellStyle name="Note 2 3 17 2 3" xfId="37520" xr:uid="{00000000-0005-0000-0000-00008E920000}"/>
    <cellStyle name="Note 2 3 17 2 4" xfId="37521" xr:uid="{00000000-0005-0000-0000-00008F920000}"/>
    <cellStyle name="Note 2 3 17 2 5" xfId="37522" xr:uid="{00000000-0005-0000-0000-000090920000}"/>
    <cellStyle name="Note 2 3 17 2 6" xfId="37523" xr:uid="{00000000-0005-0000-0000-000091920000}"/>
    <cellStyle name="Note 2 3 17 3" xfId="37524" xr:uid="{00000000-0005-0000-0000-000092920000}"/>
    <cellStyle name="Note 2 3 17 4" xfId="37525" xr:uid="{00000000-0005-0000-0000-000093920000}"/>
    <cellStyle name="Note 2 3 17 5" xfId="37526" xr:uid="{00000000-0005-0000-0000-000094920000}"/>
    <cellStyle name="Note 2 3 17 6" xfId="37527" xr:uid="{00000000-0005-0000-0000-000095920000}"/>
    <cellStyle name="Note 2 3 17 7" xfId="37528" xr:uid="{00000000-0005-0000-0000-000096920000}"/>
    <cellStyle name="Note 2 3 18" xfId="37529" xr:uid="{00000000-0005-0000-0000-000097920000}"/>
    <cellStyle name="Note 2 3 18 2" xfId="37530" xr:uid="{00000000-0005-0000-0000-000098920000}"/>
    <cellStyle name="Note 2 3 18 2 2" xfId="37531" xr:uid="{00000000-0005-0000-0000-000099920000}"/>
    <cellStyle name="Note 2 3 18 2 3" xfId="37532" xr:uid="{00000000-0005-0000-0000-00009A920000}"/>
    <cellStyle name="Note 2 3 18 2 4" xfId="37533" xr:uid="{00000000-0005-0000-0000-00009B920000}"/>
    <cellStyle name="Note 2 3 18 2 5" xfId="37534" xr:uid="{00000000-0005-0000-0000-00009C920000}"/>
    <cellStyle name="Note 2 3 18 2 6" xfId="37535" xr:uid="{00000000-0005-0000-0000-00009D920000}"/>
    <cellStyle name="Note 2 3 18 3" xfId="37536" xr:uid="{00000000-0005-0000-0000-00009E920000}"/>
    <cellStyle name="Note 2 3 18 4" xfId="37537" xr:uid="{00000000-0005-0000-0000-00009F920000}"/>
    <cellStyle name="Note 2 3 18 5" xfId="37538" xr:uid="{00000000-0005-0000-0000-0000A0920000}"/>
    <cellStyle name="Note 2 3 18 6" xfId="37539" xr:uid="{00000000-0005-0000-0000-0000A1920000}"/>
    <cellStyle name="Note 2 3 18 7" xfId="37540" xr:uid="{00000000-0005-0000-0000-0000A2920000}"/>
    <cellStyle name="Note 2 3 19" xfId="37541" xr:uid="{00000000-0005-0000-0000-0000A3920000}"/>
    <cellStyle name="Note 2 3 19 2" xfId="37542" xr:uid="{00000000-0005-0000-0000-0000A4920000}"/>
    <cellStyle name="Note 2 3 19 2 2" xfId="37543" xr:uid="{00000000-0005-0000-0000-0000A5920000}"/>
    <cellStyle name="Note 2 3 19 2 3" xfId="37544" xr:uid="{00000000-0005-0000-0000-0000A6920000}"/>
    <cellStyle name="Note 2 3 19 2 4" xfId="37545" xr:uid="{00000000-0005-0000-0000-0000A7920000}"/>
    <cellStyle name="Note 2 3 19 2 5" xfId="37546" xr:uid="{00000000-0005-0000-0000-0000A8920000}"/>
    <cellStyle name="Note 2 3 19 2 6" xfId="37547" xr:uid="{00000000-0005-0000-0000-0000A9920000}"/>
    <cellStyle name="Note 2 3 19 3" xfId="37548" xr:uid="{00000000-0005-0000-0000-0000AA920000}"/>
    <cellStyle name="Note 2 3 19 4" xfId="37549" xr:uid="{00000000-0005-0000-0000-0000AB920000}"/>
    <cellStyle name="Note 2 3 19 5" xfId="37550" xr:uid="{00000000-0005-0000-0000-0000AC920000}"/>
    <cellStyle name="Note 2 3 19 6" xfId="37551" xr:uid="{00000000-0005-0000-0000-0000AD920000}"/>
    <cellStyle name="Note 2 3 19 7" xfId="37552" xr:uid="{00000000-0005-0000-0000-0000AE920000}"/>
    <cellStyle name="Note 2 3 2" xfId="37553" xr:uid="{00000000-0005-0000-0000-0000AF920000}"/>
    <cellStyle name="Note 2 3 2 2" xfId="37554" xr:uid="{00000000-0005-0000-0000-0000B0920000}"/>
    <cellStyle name="Note 2 3 2 2 2" xfId="37555" xr:uid="{00000000-0005-0000-0000-0000B1920000}"/>
    <cellStyle name="Note 2 3 2 2 3" xfId="37556" xr:uid="{00000000-0005-0000-0000-0000B2920000}"/>
    <cellStyle name="Note 2 3 2 2 3 2" xfId="37557" xr:uid="{00000000-0005-0000-0000-0000B3920000}"/>
    <cellStyle name="Note 2 3 2 2 3 3" xfId="37558" xr:uid="{00000000-0005-0000-0000-0000B4920000}"/>
    <cellStyle name="Note 2 3 2 2 3 4" xfId="37559" xr:uid="{00000000-0005-0000-0000-0000B5920000}"/>
    <cellStyle name="Note 2 3 2 2 3 5" xfId="37560" xr:uid="{00000000-0005-0000-0000-0000B6920000}"/>
    <cellStyle name="Note 2 3 2 2 3 6" xfId="37561" xr:uid="{00000000-0005-0000-0000-0000B7920000}"/>
    <cellStyle name="Note 2 3 2 3" xfId="37562" xr:uid="{00000000-0005-0000-0000-0000B8920000}"/>
    <cellStyle name="Note 2 3 2 4" xfId="37563" xr:uid="{00000000-0005-0000-0000-0000B9920000}"/>
    <cellStyle name="Note 2 3 2 4 2" xfId="37564" xr:uid="{00000000-0005-0000-0000-0000BA920000}"/>
    <cellStyle name="Note 2 3 2 4 3" xfId="37565" xr:uid="{00000000-0005-0000-0000-0000BB920000}"/>
    <cellStyle name="Note 2 3 2 4 4" xfId="37566" xr:uid="{00000000-0005-0000-0000-0000BC920000}"/>
    <cellStyle name="Note 2 3 2 4 5" xfId="37567" xr:uid="{00000000-0005-0000-0000-0000BD920000}"/>
    <cellStyle name="Note 2 3 2 4 6" xfId="37568" xr:uid="{00000000-0005-0000-0000-0000BE920000}"/>
    <cellStyle name="Note 2 3 20" xfId="37569" xr:uid="{00000000-0005-0000-0000-0000BF920000}"/>
    <cellStyle name="Note 2 3 20 2" xfId="37570" xr:uid="{00000000-0005-0000-0000-0000C0920000}"/>
    <cellStyle name="Note 2 3 20 2 2" xfId="37571" xr:uid="{00000000-0005-0000-0000-0000C1920000}"/>
    <cellStyle name="Note 2 3 20 2 3" xfId="37572" xr:uid="{00000000-0005-0000-0000-0000C2920000}"/>
    <cellStyle name="Note 2 3 20 2 4" xfId="37573" xr:uid="{00000000-0005-0000-0000-0000C3920000}"/>
    <cellStyle name="Note 2 3 20 2 5" xfId="37574" xr:uid="{00000000-0005-0000-0000-0000C4920000}"/>
    <cellStyle name="Note 2 3 20 2 6" xfId="37575" xr:uid="{00000000-0005-0000-0000-0000C5920000}"/>
    <cellStyle name="Note 2 3 20 3" xfId="37576" xr:uid="{00000000-0005-0000-0000-0000C6920000}"/>
    <cellStyle name="Note 2 3 20 4" xfId="37577" xr:uid="{00000000-0005-0000-0000-0000C7920000}"/>
    <cellStyle name="Note 2 3 20 5" xfId="37578" xr:uid="{00000000-0005-0000-0000-0000C8920000}"/>
    <cellStyle name="Note 2 3 20 6" xfId="37579" xr:uid="{00000000-0005-0000-0000-0000C9920000}"/>
    <cellStyle name="Note 2 3 20 7" xfId="37580" xr:uid="{00000000-0005-0000-0000-0000CA920000}"/>
    <cellStyle name="Note 2 3 21" xfId="37581" xr:uid="{00000000-0005-0000-0000-0000CB920000}"/>
    <cellStyle name="Note 2 3 21 2" xfId="37582" xr:uid="{00000000-0005-0000-0000-0000CC920000}"/>
    <cellStyle name="Note 2 3 21 2 2" xfId="37583" xr:uid="{00000000-0005-0000-0000-0000CD920000}"/>
    <cellStyle name="Note 2 3 21 2 3" xfId="37584" xr:uid="{00000000-0005-0000-0000-0000CE920000}"/>
    <cellStyle name="Note 2 3 21 2 4" xfId="37585" xr:uid="{00000000-0005-0000-0000-0000CF920000}"/>
    <cellStyle name="Note 2 3 21 2 5" xfId="37586" xr:uid="{00000000-0005-0000-0000-0000D0920000}"/>
    <cellStyle name="Note 2 3 21 2 6" xfId="37587" xr:uid="{00000000-0005-0000-0000-0000D1920000}"/>
    <cellStyle name="Note 2 3 21 3" xfId="37588" xr:uid="{00000000-0005-0000-0000-0000D2920000}"/>
    <cellStyle name="Note 2 3 21 4" xfId="37589" xr:uid="{00000000-0005-0000-0000-0000D3920000}"/>
    <cellStyle name="Note 2 3 21 5" xfId="37590" xr:uid="{00000000-0005-0000-0000-0000D4920000}"/>
    <cellStyle name="Note 2 3 21 6" xfId="37591" xr:uid="{00000000-0005-0000-0000-0000D5920000}"/>
    <cellStyle name="Note 2 3 21 7" xfId="37592" xr:uid="{00000000-0005-0000-0000-0000D6920000}"/>
    <cellStyle name="Note 2 3 22" xfId="37593" xr:uid="{00000000-0005-0000-0000-0000D7920000}"/>
    <cellStyle name="Note 2 3 22 2" xfId="37594" xr:uid="{00000000-0005-0000-0000-0000D8920000}"/>
    <cellStyle name="Note 2 3 22 2 2" xfId="37595" xr:uid="{00000000-0005-0000-0000-0000D9920000}"/>
    <cellStyle name="Note 2 3 22 2 3" xfId="37596" xr:uid="{00000000-0005-0000-0000-0000DA920000}"/>
    <cellStyle name="Note 2 3 22 2 4" xfId="37597" xr:uid="{00000000-0005-0000-0000-0000DB920000}"/>
    <cellStyle name="Note 2 3 22 2 5" xfId="37598" xr:uid="{00000000-0005-0000-0000-0000DC920000}"/>
    <cellStyle name="Note 2 3 22 2 6" xfId="37599" xr:uid="{00000000-0005-0000-0000-0000DD920000}"/>
    <cellStyle name="Note 2 3 22 3" xfId="37600" xr:uid="{00000000-0005-0000-0000-0000DE920000}"/>
    <cellStyle name="Note 2 3 22 4" xfId="37601" xr:uid="{00000000-0005-0000-0000-0000DF920000}"/>
    <cellStyle name="Note 2 3 22 5" xfId="37602" xr:uid="{00000000-0005-0000-0000-0000E0920000}"/>
    <cellStyle name="Note 2 3 22 6" xfId="37603" xr:uid="{00000000-0005-0000-0000-0000E1920000}"/>
    <cellStyle name="Note 2 3 22 7" xfId="37604" xr:uid="{00000000-0005-0000-0000-0000E2920000}"/>
    <cellStyle name="Note 2 3 23" xfId="37605" xr:uid="{00000000-0005-0000-0000-0000E3920000}"/>
    <cellStyle name="Note 2 3 23 2" xfId="37606" xr:uid="{00000000-0005-0000-0000-0000E4920000}"/>
    <cellStyle name="Note 2 3 23 2 2" xfId="37607" xr:uid="{00000000-0005-0000-0000-0000E5920000}"/>
    <cellStyle name="Note 2 3 23 2 3" xfId="37608" xr:uid="{00000000-0005-0000-0000-0000E6920000}"/>
    <cellStyle name="Note 2 3 23 2 4" xfId="37609" xr:uid="{00000000-0005-0000-0000-0000E7920000}"/>
    <cellStyle name="Note 2 3 23 2 5" xfId="37610" xr:uid="{00000000-0005-0000-0000-0000E8920000}"/>
    <cellStyle name="Note 2 3 23 2 6" xfId="37611" xr:uid="{00000000-0005-0000-0000-0000E9920000}"/>
    <cellStyle name="Note 2 3 23 3" xfId="37612" xr:uid="{00000000-0005-0000-0000-0000EA920000}"/>
    <cellStyle name="Note 2 3 23 4" xfId="37613" xr:uid="{00000000-0005-0000-0000-0000EB920000}"/>
    <cellStyle name="Note 2 3 23 5" xfId="37614" xr:uid="{00000000-0005-0000-0000-0000EC920000}"/>
    <cellStyle name="Note 2 3 23 6" xfId="37615" xr:uid="{00000000-0005-0000-0000-0000ED920000}"/>
    <cellStyle name="Note 2 3 23 7" xfId="37616" xr:uid="{00000000-0005-0000-0000-0000EE920000}"/>
    <cellStyle name="Note 2 3 24" xfId="37617" xr:uid="{00000000-0005-0000-0000-0000EF920000}"/>
    <cellStyle name="Note 2 3 24 2" xfId="37618" xr:uid="{00000000-0005-0000-0000-0000F0920000}"/>
    <cellStyle name="Note 2 3 24 2 2" xfId="37619" xr:uid="{00000000-0005-0000-0000-0000F1920000}"/>
    <cellStyle name="Note 2 3 24 2 3" xfId="37620" xr:uid="{00000000-0005-0000-0000-0000F2920000}"/>
    <cellStyle name="Note 2 3 24 2 4" xfId="37621" xr:uid="{00000000-0005-0000-0000-0000F3920000}"/>
    <cellStyle name="Note 2 3 24 2 5" xfId="37622" xr:uid="{00000000-0005-0000-0000-0000F4920000}"/>
    <cellStyle name="Note 2 3 24 2 6" xfId="37623" xr:uid="{00000000-0005-0000-0000-0000F5920000}"/>
    <cellStyle name="Note 2 3 24 3" xfId="37624" xr:uid="{00000000-0005-0000-0000-0000F6920000}"/>
    <cellStyle name="Note 2 3 24 4" xfId="37625" xr:uid="{00000000-0005-0000-0000-0000F7920000}"/>
    <cellStyle name="Note 2 3 24 5" xfId="37626" xr:uid="{00000000-0005-0000-0000-0000F8920000}"/>
    <cellStyle name="Note 2 3 24 6" xfId="37627" xr:uid="{00000000-0005-0000-0000-0000F9920000}"/>
    <cellStyle name="Note 2 3 24 7" xfId="37628" xr:uid="{00000000-0005-0000-0000-0000FA920000}"/>
    <cellStyle name="Note 2 3 25" xfId="37629" xr:uid="{00000000-0005-0000-0000-0000FB920000}"/>
    <cellStyle name="Note 2 3 25 2" xfId="37630" xr:uid="{00000000-0005-0000-0000-0000FC920000}"/>
    <cellStyle name="Note 2 3 25 2 2" xfId="37631" xr:uid="{00000000-0005-0000-0000-0000FD920000}"/>
    <cellStyle name="Note 2 3 25 2 3" xfId="37632" xr:uid="{00000000-0005-0000-0000-0000FE920000}"/>
    <cellStyle name="Note 2 3 25 2 4" xfId="37633" xr:uid="{00000000-0005-0000-0000-0000FF920000}"/>
    <cellStyle name="Note 2 3 25 2 5" xfId="37634" xr:uid="{00000000-0005-0000-0000-000000930000}"/>
    <cellStyle name="Note 2 3 25 2 6" xfId="37635" xr:uid="{00000000-0005-0000-0000-000001930000}"/>
    <cellStyle name="Note 2 3 25 3" xfId="37636" xr:uid="{00000000-0005-0000-0000-000002930000}"/>
    <cellStyle name="Note 2 3 25 4" xfId="37637" xr:uid="{00000000-0005-0000-0000-000003930000}"/>
    <cellStyle name="Note 2 3 25 5" xfId="37638" xr:uid="{00000000-0005-0000-0000-000004930000}"/>
    <cellStyle name="Note 2 3 25 6" xfId="37639" xr:uid="{00000000-0005-0000-0000-000005930000}"/>
    <cellStyle name="Note 2 3 25 7" xfId="37640" xr:uid="{00000000-0005-0000-0000-000006930000}"/>
    <cellStyle name="Note 2 3 26" xfId="37641" xr:uid="{00000000-0005-0000-0000-000007930000}"/>
    <cellStyle name="Note 2 3 26 2" xfId="37642" xr:uid="{00000000-0005-0000-0000-000008930000}"/>
    <cellStyle name="Note 2 3 26 2 2" xfId="37643" xr:uid="{00000000-0005-0000-0000-000009930000}"/>
    <cellStyle name="Note 2 3 26 2 3" xfId="37644" xr:uid="{00000000-0005-0000-0000-00000A930000}"/>
    <cellStyle name="Note 2 3 26 2 4" xfId="37645" xr:uid="{00000000-0005-0000-0000-00000B930000}"/>
    <cellStyle name="Note 2 3 26 2 5" xfId="37646" xr:uid="{00000000-0005-0000-0000-00000C930000}"/>
    <cellStyle name="Note 2 3 26 2 6" xfId="37647" xr:uid="{00000000-0005-0000-0000-00000D930000}"/>
    <cellStyle name="Note 2 3 26 3" xfId="37648" xr:uid="{00000000-0005-0000-0000-00000E930000}"/>
    <cellStyle name="Note 2 3 26 4" xfId="37649" xr:uid="{00000000-0005-0000-0000-00000F930000}"/>
    <cellStyle name="Note 2 3 26 5" xfId="37650" xr:uid="{00000000-0005-0000-0000-000010930000}"/>
    <cellStyle name="Note 2 3 26 6" xfId="37651" xr:uid="{00000000-0005-0000-0000-000011930000}"/>
    <cellStyle name="Note 2 3 26 7" xfId="37652" xr:uid="{00000000-0005-0000-0000-000012930000}"/>
    <cellStyle name="Note 2 3 27" xfId="37653" xr:uid="{00000000-0005-0000-0000-000013930000}"/>
    <cellStyle name="Note 2 3 27 2" xfId="37654" xr:uid="{00000000-0005-0000-0000-000014930000}"/>
    <cellStyle name="Note 2 3 27 2 2" xfId="37655" xr:uid="{00000000-0005-0000-0000-000015930000}"/>
    <cellStyle name="Note 2 3 27 2 3" xfId="37656" xr:uid="{00000000-0005-0000-0000-000016930000}"/>
    <cellStyle name="Note 2 3 27 2 4" xfId="37657" xr:uid="{00000000-0005-0000-0000-000017930000}"/>
    <cellStyle name="Note 2 3 27 2 5" xfId="37658" xr:uid="{00000000-0005-0000-0000-000018930000}"/>
    <cellStyle name="Note 2 3 27 2 6" xfId="37659" xr:uid="{00000000-0005-0000-0000-000019930000}"/>
    <cellStyle name="Note 2 3 27 3" xfId="37660" xr:uid="{00000000-0005-0000-0000-00001A930000}"/>
    <cellStyle name="Note 2 3 27 4" xfId="37661" xr:uid="{00000000-0005-0000-0000-00001B930000}"/>
    <cellStyle name="Note 2 3 27 5" xfId="37662" xr:uid="{00000000-0005-0000-0000-00001C930000}"/>
    <cellStyle name="Note 2 3 27 6" xfId="37663" xr:uid="{00000000-0005-0000-0000-00001D930000}"/>
    <cellStyle name="Note 2 3 27 7" xfId="37664" xr:uid="{00000000-0005-0000-0000-00001E930000}"/>
    <cellStyle name="Note 2 3 28" xfId="37665" xr:uid="{00000000-0005-0000-0000-00001F930000}"/>
    <cellStyle name="Note 2 3 28 2" xfId="37666" xr:uid="{00000000-0005-0000-0000-000020930000}"/>
    <cellStyle name="Note 2 3 28 2 2" xfId="37667" xr:uid="{00000000-0005-0000-0000-000021930000}"/>
    <cellStyle name="Note 2 3 28 2 3" xfId="37668" xr:uid="{00000000-0005-0000-0000-000022930000}"/>
    <cellStyle name="Note 2 3 28 2 4" xfId="37669" xr:uid="{00000000-0005-0000-0000-000023930000}"/>
    <cellStyle name="Note 2 3 28 2 5" xfId="37670" xr:uid="{00000000-0005-0000-0000-000024930000}"/>
    <cellStyle name="Note 2 3 28 2 6" xfId="37671" xr:uid="{00000000-0005-0000-0000-000025930000}"/>
    <cellStyle name="Note 2 3 28 3" xfId="37672" xr:uid="{00000000-0005-0000-0000-000026930000}"/>
    <cellStyle name="Note 2 3 28 4" xfId="37673" xr:uid="{00000000-0005-0000-0000-000027930000}"/>
    <cellStyle name="Note 2 3 28 5" xfId="37674" xr:uid="{00000000-0005-0000-0000-000028930000}"/>
    <cellStyle name="Note 2 3 28 6" xfId="37675" xr:uid="{00000000-0005-0000-0000-000029930000}"/>
    <cellStyle name="Note 2 3 28 7" xfId="37676" xr:uid="{00000000-0005-0000-0000-00002A930000}"/>
    <cellStyle name="Note 2 3 29" xfId="37677" xr:uid="{00000000-0005-0000-0000-00002B930000}"/>
    <cellStyle name="Note 2 3 29 2" xfId="37678" xr:uid="{00000000-0005-0000-0000-00002C930000}"/>
    <cellStyle name="Note 2 3 29 2 2" xfId="37679" xr:uid="{00000000-0005-0000-0000-00002D930000}"/>
    <cellStyle name="Note 2 3 29 2 3" xfId="37680" xr:uid="{00000000-0005-0000-0000-00002E930000}"/>
    <cellStyle name="Note 2 3 29 2 4" xfId="37681" xr:uid="{00000000-0005-0000-0000-00002F930000}"/>
    <cellStyle name="Note 2 3 29 2 5" xfId="37682" xr:uid="{00000000-0005-0000-0000-000030930000}"/>
    <cellStyle name="Note 2 3 29 2 6" xfId="37683" xr:uid="{00000000-0005-0000-0000-000031930000}"/>
    <cellStyle name="Note 2 3 29 3" xfId="37684" xr:uid="{00000000-0005-0000-0000-000032930000}"/>
    <cellStyle name="Note 2 3 29 4" xfId="37685" xr:uid="{00000000-0005-0000-0000-000033930000}"/>
    <cellStyle name="Note 2 3 29 5" xfId="37686" xr:uid="{00000000-0005-0000-0000-000034930000}"/>
    <cellStyle name="Note 2 3 29 6" xfId="37687" xr:uid="{00000000-0005-0000-0000-000035930000}"/>
    <cellStyle name="Note 2 3 29 7" xfId="37688" xr:uid="{00000000-0005-0000-0000-000036930000}"/>
    <cellStyle name="Note 2 3 3" xfId="37689" xr:uid="{00000000-0005-0000-0000-000037930000}"/>
    <cellStyle name="Note 2 3 3 2" xfId="37690" xr:uid="{00000000-0005-0000-0000-000038930000}"/>
    <cellStyle name="Note 2 3 3 2 2" xfId="37691" xr:uid="{00000000-0005-0000-0000-000039930000}"/>
    <cellStyle name="Note 2 3 3 2 2 2" xfId="37692" xr:uid="{00000000-0005-0000-0000-00003A930000}"/>
    <cellStyle name="Note 2 3 3 2 2 3" xfId="37693" xr:uid="{00000000-0005-0000-0000-00003B930000}"/>
    <cellStyle name="Note 2 3 3 2 2 4" xfId="37694" xr:uid="{00000000-0005-0000-0000-00003C930000}"/>
    <cellStyle name="Note 2 3 3 2 2 5" xfId="37695" xr:uid="{00000000-0005-0000-0000-00003D930000}"/>
    <cellStyle name="Note 2 3 3 2 2 6" xfId="37696" xr:uid="{00000000-0005-0000-0000-00003E930000}"/>
    <cellStyle name="Note 2 3 3 3" xfId="37697" xr:uid="{00000000-0005-0000-0000-00003F930000}"/>
    <cellStyle name="Note 2 3 3 3 2" xfId="37698" xr:uid="{00000000-0005-0000-0000-000040930000}"/>
    <cellStyle name="Note 2 3 3 3 3" xfId="37699" xr:uid="{00000000-0005-0000-0000-000041930000}"/>
    <cellStyle name="Note 2 3 3 3 4" xfId="37700" xr:uid="{00000000-0005-0000-0000-000042930000}"/>
    <cellStyle name="Note 2 3 3 3 5" xfId="37701" xr:uid="{00000000-0005-0000-0000-000043930000}"/>
    <cellStyle name="Note 2 3 3 3 6" xfId="37702" xr:uid="{00000000-0005-0000-0000-000044930000}"/>
    <cellStyle name="Note 2 3 30" xfId="37703" xr:uid="{00000000-0005-0000-0000-000045930000}"/>
    <cellStyle name="Note 2 3 30 2" xfId="37704" xr:uid="{00000000-0005-0000-0000-000046930000}"/>
    <cellStyle name="Note 2 3 30 2 2" xfId="37705" xr:uid="{00000000-0005-0000-0000-000047930000}"/>
    <cellStyle name="Note 2 3 30 2 3" xfId="37706" xr:uid="{00000000-0005-0000-0000-000048930000}"/>
    <cellStyle name="Note 2 3 30 2 4" xfId="37707" xr:uid="{00000000-0005-0000-0000-000049930000}"/>
    <cellStyle name="Note 2 3 30 2 5" xfId="37708" xr:uid="{00000000-0005-0000-0000-00004A930000}"/>
    <cellStyle name="Note 2 3 30 2 6" xfId="37709" xr:uid="{00000000-0005-0000-0000-00004B930000}"/>
    <cellStyle name="Note 2 3 30 3" xfId="37710" xr:uid="{00000000-0005-0000-0000-00004C930000}"/>
    <cellStyle name="Note 2 3 30 4" xfId="37711" xr:uid="{00000000-0005-0000-0000-00004D930000}"/>
    <cellStyle name="Note 2 3 30 5" xfId="37712" xr:uid="{00000000-0005-0000-0000-00004E930000}"/>
    <cellStyle name="Note 2 3 30 6" xfId="37713" xr:uid="{00000000-0005-0000-0000-00004F930000}"/>
    <cellStyle name="Note 2 3 30 7" xfId="37714" xr:uid="{00000000-0005-0000-0000-000050930000}"/>
    <cellStyle name="Note 2 3 31" xfId="37715" xr:uid="{00000000-0005-0000-0000-000051930000}"/>
    <cellStyle name="Note 2 3 31 2" xfId="37716" xr:uid="{00000000-0005-0000-0000-000052930000}"/>
    <cellStyle name="Note 2 3 31 2 2" xfId="37717" xr:uid="{00000000-0005-0000-0000-000053930000}"/>
    <cellStyle name="Note 2 3 31 2 3" xfId="37718" xr:uid="{00000000-0005-0000-0000-000054930000}"/>
    <cellStyle name="Note 2 3 31 2 4" xfId="37719" xr:uid="{00000000-0005-0000-0000-000055930000}"/>
    <cellStyle name="Note 2 3 31 2 5" xfId="37720" xr:uid="{00000000-0005-0000-0000-000056930000}"/>
    <cellStyle name="Note 2 3 31 2 6" xfId="37721" xr:uid="{00000000-0005-0000-0000-000057930000}"/>
    <cellStyle name="Note 2 3 31 3" xfId="37722" xr:uid="{00000000-0005-0000-0000-000058930000}"/>
    <cellStyle name="Note 2 3 31 4" xfId="37723" xr:uid="{00000000-0005-0000-0000-000059930000}"/>
    <cellStyle name="Note 2 3 31 5" xfId="37724" xr:uid="{00000000-0005-0000-0000-00005A930000}"/>
    <cellStyle name="Note 2 3 31 6" xfId="37725" xr:uid="{00000000-0005-0000-0000-00005B930000}"/>
    <cellStyle name="Note 2 3 31 7" xfId="37726" xr:uid="{00000000-0005-0000-0000-00005C930000}"/>
    <cellStyle name="Note 2 3 32" xfId="37727" xr:uid="{00000000-0005-0000-0000-00005D930000}"/>
    <cellStyle name="Note 2 3 32 2" xfId="37728" xr:uid="{00000000-0005-0000-0000-00005E930000}"/>
    <cellStyle name="Note 2 3 32 2 2" xfId="37729" xr:uid="{00000000-0005-0000-0000-00005F930000}"/>
    <cellStyle name="Note 2 3 32 2 3" xfId="37730" xr:uid="{00000000-0005-0000-0000-000060930000}"/>
    <cellStyle name="Note 2 3 32 2 4" xfId="37731" xr:uid="{00000000-0005-0000-0000-000061930000}"/>
    <cellStyle name="Note 2 3 32 2 5" xfId="37732" xr:uid="{00000000-0005-0000-0000-000062930000}"/>
    <cellStyle name="Note 2 3 32 2 6" xfId="37733" xr:uid="{00000000-0005-0000-0000-000063930000}"/>
    <cellStyle name="Note 2 3 32 3" xfId="37734" xr:uid="{00000000-0005-0000-0000-000064930000}"/>
    <cellStyle name="Note 2 3 32 4" xfId="37735" xr:uid="{00000000-0005-0000-0000-000065930000}"/>
    <cellStyle name="Note 2 3 32 5" xfId="37736" xr:uid="{00000000-0005-0000-0000-000066930000}"/>
    <cellStyle name="Note 2 3 32 6" xfId="37737" xr:uid="{00000000-0005-0000-0000-000067930000}"/>
    <cellStyle name="Note 2 3 32 7" xfId="37738" xr:uid="{00000000-0005-0000-0000-000068930000}"/>
    <cellStyle name="Note 2 3 33" xfId="37739" xr:uid="{00000000-0005-0000-0000-000069930000}"/>
    <cellStyle name="Note 2 3 33 2" xfId="37740" xr:uid="{00000000-0005-0000-0000-00006A930000}"/>
    <cellStyle name="Note 2 3 33 2 2" xfId="37741" xr:uid="{00000000-0005-0000-0000-00006B930000}"/>
    <cellStyle name="Note 2 3 33 2 3" xfId="37742" xr:uid="{00000000-0005-0000-0000-00006C930000}"/>
    <cellStyle name="Note 2 3 33 2 4" xfId="37743" xr:uid="{00000000-0005-0000-0000-00006D930000}"/>
    <cellStyle name="Note 2 3 33 2 5" xfId="37744" xr:uid="{00000000-0005-0000-0000-00006E930000}"/>
    <cellStyle name="Note 2 3 33 2 6" xfId="37745" xr:uid="{00000000-0005-0000-0000-00006F930000}"/>
    <cellStyle name="Note 2 3 33 3" xfId="37746" xr:uid="{00000000-0005-0000-0000-000070930000}"/>
    <cellStyle name="Note 2 3 33 4" xfId="37747" xr:uid="{00000000-0005-0000-0000-000071930000}"/>
    <cellStyle name="Note 2 3 33 5" xfId="37748" xr:uid="{00000000-0005-0000-0000-000072930000}"/>
    <cellStyle name="Note 2 3 33 6" xfId="37749" xr:uid="{00000000-0005-0000-0000-000073930000}"/>
    <cellStyle name="Note 2 3 33 7" xfId="37750" xr:uid="{00000000-0005-0000-0000-000074930000}"/>
    <cellStyle name="Note 2 3 34" xfId="37751" xr:uid="{00000000-0005-0000-0000-000075930000}"/>
    <cellStyle name="Note 2 3 34 2" xfId="37752" xr:uid="{00000000-0005-0000-0000-000076930000}"/>
    <cellStyle name="Note 2 3 34 2 2" xfId="37753" xr:uid="{00000000-0005-0000-0000-000077930000}"/>
    <cellStyle name="Note 2 3 34 2 3" xfId="37754" xr:uid="{00000000-0005-0000-0000-000078930000}"/>
    <cellStyle name="Note 2 3 34 2 4" xfId="37755" xr:uid="{00000000-0005-0000-0000-000079930000}"/>
    <cellStyle name="Note 2 3 34 2 5" xfId="37756" xr:uid="{00000000-0005-0000-0000-00007A930000}"/>
    <cellStyle name="Note 2 3 34 2 6" xfId="37757" xr:uid="{00000000-0005-0000-0000-00007B930000}"/>
    <cellStyle name="Note 2 3 34 3" xfId="37758" xr:uid="{00000000-0005-0000-0000-00007C930000}"/>
    <cellStyle name="Note 2 3 34 4" xfId="37759" xr:uid="{00000000-0005-0000-0000-00007D930000}"/>
    <cellStyle name="Note 2 3 34 5" xfId="37760" xr:uid="{00000000-0005-0000-0000-00007E930000}"/>
    <cellStyle name="Note 2 3 34 6" xfId="37761" xr:uid="{00000000-0005-0000-0000-00007F930000}"/>
    <cellStyle name="Note 2 3 34 7" xfId="37762" xr:uid="{00000000-0005-0000-0000-000080930000}"/>
    <cellStyle name="Note 2 3 35" xfId="37763" xr:uid="{00000000-0005-0000-0000-000081930000}"/>
    <cellStyle name="Note 2 3 35 2" xfId="37764" xr:uid="{00000000-0005-0000-0000-000082930000}"/>
    <cellStyle name="Note 2 3 35 2 2" xfId="37765" xr:uid="{00000000-0005-0000-0000-000083930000}"/>
    <cellStyle name="Note 2 3 35 2 3" xfId="37766" xr:uid="{00000000-0005-0000-0000-000084930000}"/>
    <cellStyle name="Note 2 3 35 2 4" xfId="37767" xr:uid="{00000000-0005-0000-0000-000085930000}"/>
    <cellStyle name="Note 2 3 35 2 5" xfId="37768" xr:uid="{00000000-0005-0000-0000-000086930000}"/>
    <cellStyle name="Note 2 3 35 2 6" xfId="37769" xr:uid="{00000000-0005-0000-0000-000087930000}"/>
    <cellStyle name="Note 2 3 35 3" xfId="37770" xr:uid="{00000000-0005-0000-0000-000088930000}"/>
    <cellStyle name="Note 2 3 35 4" xfId="37771" xr:uid="{00000000-0005-0000-0000-000089930000}"/>
    <cellStyle name="Note 2 3 35 5" xfId="37772" xr:uid="{00000000-0005-0000-0000-00008A930000}"/>
    <cellStyle name="Note 2 3 35 6" xfId="37773" xr:uid="{00000000-0005-0000-0000-00008B930000}"/>
    <cellStyle name="Note 2 3 35 7" xfId="37774" xr:uid="{00000000-0005-0000-0000-00008C930000}"/>
    <cellStyle name="Note 2 3 36" xfId="37775" xr:uid="{00000000-0005-0000-0000-00008D930000}"/>
    <cellStyle name="Note 2 3 36 2" xfId="37776" xr:uid="{00000000-0005-0000-0000-00008E930000}"/>
    <cellStyle name="Note 2 3 36 2 2" xfId="37777" xr:uid="{00000000-0005-0000-0000-00008F930000}"/>
    <cellStyle name="Note 2 3 36 2 3" xfId="37778" xr:uid="{00000000-0005-0000-0000-000090930000}"/>
    <cellStyle name="Note 2 3 36 2 4" xfId="37779" xr:uid="{00000000-0005-0000-0000-000091930000}"/>
    <cellStyle name="Note 2 3 36 2 5" xfId="37780" xr:uid="{00000000-0005-0000-0000-000092930000}"/>
    <cellStyle name="Note 2 3 36 2 6" xfId="37781" xr:uid="{00000000-0005-0000-0000-000093930000}"/>
    <cellStyle name="Note 2 3 36 3" xfId="37782" xr:uid="{00000000-0005-0000-0000-000094930000}"/>
    <cellStyle name="Note 2 3 36 4" xfId="37783" xr:uid="{00000000-0005-0000-0000-000095930000}"/>
    <cellStyle name="Note 2 3 36 5" xfId="37784" xr:uid="{00000000-0005-0000-0000-000096930000}"/>
    <cellStyle name="Note 2 3 36 6" xfId="37785" xr:uid="{00000000-0005-0000-0000-000097930000}"/>
    <cellStyle name="Note 2 3 36 7" xfId="37786" xr:uid="{00000000-0005-0000-0000-000098930000}"/>
    <cellStyle name="Note 2 3 37" xfId="37787" xr:uid="{00000000-0005-0000-0000-000099930000}"/>
    <cellStyle name="Note 2 3 37 2" xfId="37788" xr:uid="{00000000-0005-0000-0000-00009A930000}"/>
    <cellStyle name="Note 2 3 37 2 2" xfId="37789" xr:uid="{00000000-0005-0000-0000-00009B930000}"/>
    <cellStyle name="Note 2 3 37 2 3" xfId="37790" xr:uid="{00000000-0005-0000-0000-00009C930000}"/>
    <cellStyle name="Note 2 3 37 2 4" xfId="37791" xr:uid="{00000000-0005-0000-0000-00009D930000}"/>
    <cellStyle name="Note 2 3 37 2 5" xfId="37792" xr:uid="{00000000-0005-0000-0000-00009E930000}"/>
    <cellStyle name="Note 2 3 37 2 6" xfId="37793" xr:uid="{00000000-0005-0000-0000-00009F930000}"/>
    <cellStyle name="Note 2 3 37 3" xfId="37794" xr:uid="{00000000-0005-0000-0000-0000A0930000}"/>
    <cellStyle name="Note 2 3 37 4" xfId="37795" xr:uid="{00000000-0005-0000-0000-0000A1930000}"/>
    <cellStyle name="Note 2 3 37 5" xfId="37796" xr:uid="{00000000-0005-0000-0000-0000A2930000}"/>
    <cellStyle name="Note 2 3 37 6" xfId="37797" xr:uid="{00000000-0005-0000-0000-0000A3930000}"/>
    <cellStyle name="Note 2 3 37 7" xfId="37798" xr:uid="{00000000-0005-0000-0000-0000A4930000}"/>
    <cellStyle name="Note 2 3 38" xfId="37799" xr:uid="{00000000-0005-0000-0000-0000A5930000}"/>
    <cellStyle name="Note 2 3 38 2" xfId="37800" xr:uid="{00000000-0005-0000-0000-0000A6930000}"/>
    <cellStyle name="Note 2 3 38 2 2" xfId="37801" xr:uid="{00000000-0005-0000-0000-0000A7930000}"/>
    <cellStyle name="Note 2 3 38 2 3" xfId="37802" xr:uid="{00000000-0005-0000-0000-0000A8930000}"/>
    <cellStyle name="Note 2 3 38 2 4" xfId="37803" xr:uid="{00000000-0005-0000-0000-0000A9930000}"/>
    <cellStyle name="Note 2 3 38 2 5" xfId="37804" xr:uid="{00000000-0005-0000-0000-0000AA930000}"/>
    <cellStyle name="Note 2 3 38 2 6" xfId="37805" xr:uid="{00000000-0005-0000-0000-0000AB930000}"/>
    <cellStyle name="Note 2 3 38 3" xfId="37806" xr:uid="{00000000-0005-0000-0000-0000AC930000}"/>
    <cellStyle name="Note 2 3 38 4" xfId="37807" xr:uid="{00000000-0005-0000-0000-0000AD930000}"/>
    <cellStyle name="Note 2 3 38 5" xfId="37808" xr:uid="{00000000-0005-0000-0000-0000AE930000}"/>
    <cellStyle name="Note 2 3 38 6" xfId="37809" xr:uid="{00000000-0005-0000-0000-0000AF930000}"/>
    <cellStyle name="Note 2 3 38 7" xfId="37810" xr:uid="{00000000-0005-0000-0000-0000B0930000}"/>
    <cellStyle name="Note 2 3 39" xfId="37811" xr:uid="{00000000-0005-0000-0000-0000B1930000}"/>
    <cellStyle name="Note 2 3 39 2" xfId="37812" xr:uid="{00000000-0005-0000-0000-0000B2930000}"/>
    <cellStyle name="Note 2 3 39 2 2" xfId="37813" xr:uid="{00000000-0005-0000-0000-0000B3930000}"/>
    <cellStyle name="Note 2 3 39 2 3" xfId="37814" xr:uid="{00000000-0005-0000-0000-0000B4930000}"/>
    <cellStyle name="Note 2 3 39 2 4" xfId="37815" xr:uid="{00000000-0005-0000-0000-0000B5930000}"/>
    <cellStyle name="Note 2 3 39 2 5" xfId="37816" xr:uid="{00000000-0005-0000-0000-0000B6930000}"/>
    <cellStyle name="Note 2 3 39 2 6" xfId="37817" xr:uid="{00000000-0005-0000-0000-0000B7930000}"/>
    <cellStyle name="Note 2 3 39 3" xfId="37818" xr:uid="{00000000-0005-0000-0000-0000B8930000}"/>
    <cellStyle name="Note 2 3 39 4" xfId="37819" xr:uid="{00000000-0005-0000-0000-0000B9930000}"/>
    <cellStyle name="Note 2 3 39 5" xfId="37820" xr:uid="{00000000-0005-0000-0000-0000BA930000}"/>
    <cellStyle name="Note 2 3 39 6" xfId="37821" xr:uid="{00000000-0005-0000-0000-0000BB930000}"/>
    <cellStyle name="Note 2 3 39 7" xfId="37822" xr:uid="{00000000-0005-0000-0000-0000BC930000}"/>
    <cellStyle name="Note 2 3 4" xfId="37823" xr:uid="{00000000-0005-0000-0000-0000BD930000}"/>
    <cellStyle name="Note 2 3 4 2" xfId="37824" xr:uid="{00000000-0005-0000-0000-0000BE930000}"/>
    <cellStyle name="Note 2 3 4 2 2" xfId="37825" xr:uid="{00000000-0005-0000-0000-0000BF930000}"/>
    <cellStyle name="Note 2 3 4 2 3" xfId="37826" xr:uid="{00000000-0005-0000-0000-0000C0930000}"/>
    <cellStyle name="Note 2 3 4 2 4" xfId="37827" xr:uid="{00000000-0005-0000-0000-0000C1930000}"/>
    <cellStyle name="Note 2 3 4 2 5" xfId="37828" xr:uid="{00000000-0005-0000-0000-0000C2930000}"/>
    <cellStyle name="Note 2 3 4 2 6" xfId="37829" xr:uid="{00000000-0005-0000-0000-0000C3930000}"/>
    <cellStyle name="Note 2 3 4 3" xfId="37830" xr:uid="{00000000-0005-0000-0000-0000C4930000}"/>
    <cellStyle name="Note 2 3 4 3 2" xfId="37831" xr:uid="{00000000-0005-0000-0000-0000C5930000}"/>
    <cellStyle name="Note 2 3 4 3 3" xfId="37832" xr:uid="{00000000-0005-0000-0000-0000C6930000}"/>
    <cellStyle name="Note 2 3 4 3 4" xfId="37833" xr:uid="{00000000-0005-0000-0000-0000C7930000}"/>
    <cellStyle name="Note 2 3 4 3 5" xfId="37834" xr:uid="{00000000-0005-0000-0000-0000C8930000}"/>
    <cellStyle name="Note 2 3 4 3 6" xfId="37835" xr:uid="{00000000-0005-0000-0000-0000C9930000}"/>
    <cellStyle name="Note 2 3 40" xfId="37836" xr:uid="{00000000-0005-0000-0000-0000CA930000}"/>
    <cellStyle name="Note 2 3 40 2" xfId="37837" xr:uid="{00000000-0005-0000-0000-0000CB930000}"/>
    <cellStyle name="Note 2 3 40 2 2" xfId="37838" xr:uid="{00000000-0005-0000-0000-0000CC930000}"/>
    <cellStyle name="Note 2 3 40 2 3" xfId="37839" xr:uid="{00000000-0005-0000-0000-0000CD930000}"/>
    <cellStyle name="Note 2 3 40 2 4" xfId="37840" xr:uid="{00000000-0005-0000-0000-0000CE930000}"/>
    <cellStyle name="Note 2 3 40 2 5" xfId="37841" xr:uid="{00000000-0005-0000-0000-0000CF930000}"/>
    <cellStyle name="Note 2 3 40 2 6" xfId="37842" xr:uid="{00000000-0005-0000-0000-0000D0930000}"/>
    <cellStyle name="Note 2 3 40 3" xfId="37843" xr:uid="{00000000-0005-0000-0000-0000D1930000}"/>
    <cellStyle name="Note 2 3 40 4" xfId="37844" xr:uid="{00000000-0005-0000-0000-0000D2930000}"/>
    <cellStyle name="Note 2 3 40 5" xfId="37845" xr:uid="{00000000-0005-0000-0000-0000D3930000}"/>
    <cellStyle name="Note 2 3 40 6" xfId="37846" xr:uid="{00000000-0005-0000-0000-0000D4930000}"/>
    <cellStyle name="Note 2 3 40 7" xfId="37847" xr:uid="{00000000-0005-0000-0000-0000D5930000}"/>
    <cellStyle name="Note 2 3 41" xfId="37848" xr:uid="{00000000-0005-0000-0000-0000D6930000}"/>
    <cellStyle name="Note 2 3 41 2" xfId="37849" xr:uid="{00000000-0005-0000-0000-0000D7930000}"/>
    <cellStyle name="Note 2 3 41 2 2" xfId="37850" xr:uid="{00000000-0005-0000-0000-0000D8930000}"/>
    <cellStyle name="Note 2 3 41 2 3" xfId="37851" xr:uid="{00000000-0005-0000-0000-0000D9930000}"/>
    <cellStyle name="Note 2 3 41 2 4" xfId="37852" xr:uid="{00000000-0005-0000-0000-0000DA930000}"/>
    <cellStyle name="Note 2 3 41 2 5" xfId="37853" xr:uid="{00000000-0005-0000-0000-0000DB930000}"/>
    <cellStyle name="Note 2 3 41 2 6" xfId="37854" xr:uid="{00000000-0005-0000-0000-0000DC930000}"/>
    <cellStyle name="Note 2 3 41 3" xfId="37855" xr:uid="{00000000-0005-0000-0000-0000DD930000}"/>
    <cellStyle name="Note 2 3 41 4" xfId="37856" xr:uid="{00000000-0005-0000-0000-0000DE930000}"/>
    <cellStyle name="Note 2 3 41 5" xfId="37857" xr:uid="{00000000-0005-0000-0000-0000DF930000}"/>
    <cellStyle name="Note 2 3 41 6" xfId="37858" xr:uid="{00000000-0005-0000-0000-0000E0930000}"/>
    <cellStyle name="Note 2 3 41 7" xfId="37859" xr:uid="{00000000-0005-0000-0000-0000E1930000}"/>
    <cellStyle name="Note 2 3 42" xfId="37860" xr:uid="{00000000-0005-0000-0000-0000E2930000}"/>
    <cellStyle name="Note 2 3 42 2" xfId="37861" xr:uid="{00000000-0005-0000-0000-0000E3930000}"/>
    <cellStyle name="Note 2 3 42 3" xfId="37862" xr:uid="{00000000-0005-0000-0000-0000E4930000}"/>
    <cellStyle name="Note 2 3 42 4" xfId="37863" xr:uid="{00000000-0005-0000-0000-0000E5930000}"/>
    <cellStyle name="Note 2 3 42 5" xfId="37864" xr:uid="{00000000-0005-0000-0000-0000E6930000}"/>
    <cellStyle name="Note 2 3 42 6" xfId="37865" xr:uid="{00000000-0005-0000-0000-0000E7930000}"/>
    <cellStyle name="Note 2 3 43" xfId="37866" xr:uid="{00000000-0005-0000-0000-0000E8930000}"/>
    <cellStyle name="Note 2 3 43 2" xfId="37867" xr:uid="{00000000-0005-0000-0000-0000E9930000}"/>
    <cellStyle name="Note 2 3 43 3" xfId="37868" xr:uid="{00000000-0005-0000-0000-0000EA930000}"/>
    <cellStyle name="Note 2 3 43 4" xfId="37869" xr:uid="{00000000-0005-0000-0000-0000EB930000}"/>
    <cellStyle name="Note 2 3 43 5" xfId="37870" xr:uid="{00000000-0005-0000-0000-0000EC930000}"/>
    <cellStyle name="Note 2 3 43 6" xfId="37871" xr:uid="{00000000-0005-0000-0000-0000ED930000}"/>
    <cellStyle name="Note 2 3 44" xfId="37872" xr:uid="{00000000-0005-0000-0000-0000EE930000}"/>
    <cellStyle name="Note 2 3 45" xfId="37873" xr:uid="{00000000-0005-0000-0000-0000EF930000}"/>
    <cellStyle name="Note 2 3 46" xfId="37874" xr:uid="{00000000-0005-0000-0000-0000F0930000}"/>
    <cellStyle name="Note 2 3 47" xfId="37875" xr:uid="{00000000-0005-0000-0000-0000F1930000}"/>
    <cellStyle name="Note 2 3 5" xfId="37876" xr:uid="{00000000-0005-0000-0000-0000F2930000}"/>
    <cellStyle name="Note 2 3 5 2" xfId="37877" xr:uid="{00000000-0005-0000-0000-0000F3930000}"/>
    <cellStyle name="Note 2 3 5 2 2" xfId="37878" xr:uid="{00000000-0005-0000-0000-0000F4930000}"/>
    <cellStyle name="Note 2 3 5 2 3" xfId="37879" xr:uid="{00000000-0005-0000-0000-0000F5930000}"/>
    <cellStyle name="Note 2 3 5 2 4" xfId="37880" xr:uid="{00000000-0005-0000-0000-0000F6930000}"/>
    <cellStyle name="Note 2 3 5 2 5" xfId="37881" xr:uid="{00000000-0005-0000-0000-0000F7930000}"/>
    <cellStyle name="Note 2 3 5 2 6" xfId="37882" xr:uid="{00000000-0005-0000-0000-0000F8930000}"/>
    <cellStyle name="Note 2 3 5 3" xfId="37883" xr:uid="{00000000-0005-0000-0000-0000F9930000}"/>
    <cellStyle name="Note 2 3 5 3 2" xfId="37884" xr:uid="{00000000-0005-0000-0000-0000FA930000}"/>
    <cellStyle name="Note 2 3 5 3 3" xfId="37885" xr:uid="{00000000-0005-0000-0000-0000FB930000}"/>
    <cellStyle name="Note 2 3 5 3 4" xfId="37886" xr:uid="{00000000-0005-0000-0000-0000FC930000}"/>
    <cellStyle name="Note 2 3 5 3 5" xfId="37887" xr:uid="{00000000-0005-0000-0000-0000FD930000}"/>
    <cellStyle name="Note 2 3 5 3 6" xfId="37888" xr:uid="{00000000-0005-0000-0000-0000FE930000}"/>
    <cellStyle name="Note 2 3 5 4" xfId="37889" xr:uid="{00000000-0005-0000-0000-0000FF930000}"/>
    <cellStyle name="Note 2 3 5 5" xfId="37890" xr:uid="{00000000-0005-0000-0000-000000940000}"/>
    <cellStyle name="Note 2 3 5 6" xfId="37891" xr:uid="{00000000-0005-0000-0000-000001940000}"/>
    <cellStyle name="Note 2 3 5 7" xfId="37892" xr:uid="{00000000-0005-0000-0000-000002940000}"/>
    <cellStyle name="Note 2 3 5 8" xfId="37893" xr:uid="{00000000-0005-0000-0000-000003940000}"/>
    <cellStyle name="Note 2 3 6" xfId="37894" xr:uid="{00000000-0005-0000-0000-000004940000}"/>
    <cellStyle name="Note 2 3 6 2" xfId="37895" xr:uid="{00000000-0005-0000-0000-000005940000}"/>
    <cellStyle name="Note 2 3 6 2 2" xfId="37896" xr:uid="{00000000-0005-0000-0000-000006940000}"/>
    <cellStyle name="Note 2 3 6 2 3" xfId="37897" xr:uid="{00000000-0005-0000-0000-000007940000}"/>
    <cellStyle name="Note 2 3 6 2 4" xfId="37898" xr:uid="{00000000-0005-0000-0000-000008940000}"/>
    <cellStyle name="Note 2 3 6 2 5" xfId="37899" xr:uid="{00000000-0005-0000-0000-000009940000}"/>
    <cellStyle name="Note 2 3 6 2 6" xfId="37900" xr:uid="{00000000-0005-0000-0000-00000A940000}"/>
    <cellStyle name="Note 2 3 6 3" xfId="37901" xr:uid="{00000000-0005-0000-0000-00000B940000}"/>
    <cellStyle name="Note 2 3 6 4" xfId="37902" xr:uid="{00000000-0005-0000-0000-00000C940000}"/>
    <cellStyle name="Note 2 3 6 5" xfId="37903" xr:uid="{00000000-0005-0000-0000-00000D940000}"/>
    <cellStyle name="Note 2 3 6 6" xfId="37904" xr:uid="{00000000-0005-0000-0000-00000E940000}"/>
    <cellStyle name="Note 2 3 6 7" xfId="37905" xr:uid="{00000000-0005-0000-0000-00000F940000}"/>
    <cellStyle name="Note 2 3 7" xfId="37906" xr:uid="{00000000-0005-0000-0000-000010940000}"/>
    <cellStyle name="Note 2 3 7 2" xfId="37907" xr:uid="{00000000-0005-0000-0000-000011940000}"/>
    <cellStyle name="Note 2 3 7 2 2" xfId="37908" xr:uid="{00000000-0005-0000-0000-000012940000}"/>
    <cellStyle name="Note 2 3 7 2 3" xfId="37909" xr:uid="{00000000-0005-0000-0000-000013940000}"/>
    <cellStyle name="Note 2 3 7 2 4" xfId="37910" xr:uid="{00000000-0005-0000-0000-000014940000}"/>
    <cellStyle name="Note 2 3 7 2 5" xfId="37911" xr:uid="{00000000-0005-0000-0000-000015940000}"/>
    <cellStyle name="Note 2 3 7 2 6" xfId="37912" xr:uid="{00000000-0005-0000-0000-000016940000}"/>
    <cellStyle name="Note 2 3 7 3" xfId="37913" xr:uid="{00000000-0005-0000-0000-000017940000}"/>
    <cellStyle name="Note 2 3 7 4" xfId="37914" xr:uid="{00000000-0005-0000-0000-000018940000}"/>
    <cellStyle name="Note 2 3 7 5" xfId="37915" xr:uid="{00000000-0005-0000-0000-000019940000}"/>
    <cellStyle name="Note 2 3 7 6" xfId="37916" xr:uid="{00000000-0005-0000-0000-00001A940000}"/>
    <cellStyle name="Note 2 3 7 7" xfId="37917" xr:uid="{00000000-0005-0000-0000-00001B940000}"/>
    <cellStyle name="Note 2 3 8" xfId="37918" xr:uid="{00000000-0005-0000-0000-00001C940000}"/>
    <cellStyle name="Note 2 3 8 2" xfId="37919" xr:uid="{00000000-0005-0000-0000-00001D940000}"/>
    <cellStyle name="Note 2 3 8 2 2" xfId="37920" xr:uid="{00000000-0005-0000-0000-00001E940000}"/>
    <cellStyle name="Note 2 3 8 2 3" xfId="37921" xr:uid="{00000000-0005-0000-0000-00001F940000}"/>
    <cellStyle name="Note 2 3 8 2 4" xfId="37922" xr:uid="{00000000-0005-0000-0000-000020940000}"/>
    <cellStyle name="Note 2 3 8 2 5" xfId="37923" xr:uid="{00000000-0005-0000-0000-000021940000}"/>
    <cellStyle name="Note 2 3 8 2 6" xfId="37924" xr:uid="{00000000-0005-0000-0000-000022940000}"/>
    <cellStyle name="Note 2 3 8 3" xfId="37925" xr:uid="{00000000-0005-0000-0000-000023940000}"/>
    <cellStyle name="Note 2 3 8 4" xfId="37926" xr:uid="{00000000-0005-0000-0000-000024940000}"/>
    <cellStyle name="Note 2 3 8 5" xfId="37927" xr:uid="{00000000-0005-0000-0000-000025940000}"/>
    <cellStyle name="Note 2 3 8 6" xfId="37928" xr:uid="{00000000-0005-0000-0000-000026940000}"/>
    <cellStyle name="Note 2 3 8 7" xfId="37929" xr:uid="{00000000-0005-0000-0000-000027940000}"/>
    <cellStyle name="Note 2 3 9" xfId="37930" xr:uid="{00000000-0005-0000-0000-000028940000}"/>
    <cellStyle name="Note 2 3 9 2" xfId="37931" xr:uid="{00000000-0005-0000-0000-000029940000}"/>
    <cellStyle name="Note 2 3 9 2 2" xfId="37932" xr:uid="{00000000-0005-0000-0000-00002A940000}"/>
    <cellStyle name="Note 2 3 9 2 3" xfId="37933" xr:uid="{00000000-0005-0000-0000-00002B940000}"/>
    <cellStyle name="Note 2 3 9 2 4" xfId="37934" xr:uid="{00000000-0005-0000-0000-00002C940000}"/>
    <cellStyle name="Note 2 3 9 2 5" xfId="37935" xr:uid="{00000000-0005-0000-0000-00002D940000}"/>
    <cellStyle name="Note 2 3 9 2 6" xfId="37936" xr:uid="{00000000-0005-0000-0000-00002E940000}"/>
    <cellStyle name="Note 2 3 9 3" xfId="37937" xr:uid="{00000000-0005-0000-0000-00002F940000}"/>
    <cellStyle name="Note 2 3 9 4" xfId="37938" xr:uid="{00000000-0005-0000-0000-000030940000}"/>
    <cellStyle name="Note 2 3 9 5" xfId="37939" xr:uid="{00000000-0005-0000-0000-000031940000}"/>
    <cellStyle name="Note 2 3 9 6" xfId="37940" xr:uid="{00000000-0005-0000-0000-000032940000}"/>
    <cellStyle name="Note 2 3 9 7" xfId="37941" xr:uid="{00000000-0005-0000-0000-000033940000}"/>
    <cellStyle name="Note 2 4" xfId="37942" xr:uid="{00000000-0005-0000-0000-000034940000}"/>
    <cellStyle name="Note 2 4 10" xfId="37943" xr:uid="{00000000-0005-0000-0000-000035940000}"/>
    <cellStyle name="Note 2 4 10 2" xfId="37944" xr:uid="{00000000-0005-0000-0000-000036940000}"/>
    <cellStyle name="Note 2 4 10 2 2" xfId="37945" xr:uid="{00000000-0005-0000-0000-000037940000}"/>
    <cellStyle name="Note 2 4 10 2 3" xfId="37946" xr:uid="{00000000-0005-0000-0000-000038940000}"/>
    <cellStyle name="Note 2 4 10 2 4" xfId="37947" xr:uid="{00000000-0005-0000-0000-000039940000}"/>
    <cellStyle name="Note 2 4 10 2 5" xfId="37948" xr:uid="{00000000-0005-0000-0000-00003A940000}"/>
    <cellStyle name="Note 2 4 10 3" xfId="37949" xr:uid="{00000000-0005-0000-0000-00003B940000}"/>
    <cellStyle name="Note 2 4 10 4" xfId="37950" xr:uid="{00000000-0005-0000-0000-00003C940000}"/>
    <cellStyle name="Note 2 4 10 5" xfId="37951" xr:uid="{00000000-0005-0000-0000-00003D940000}"/>
    <cellStyle name="Note 2 4 10 6" xfId="37952" xr:uid="{00000000-0005-0000-0000-00003E940000}"/>
    <cellStyle name="Note 2 4 11" xfId="37953" xr:uid="{00000000-0005-0000-0000-00003F940000}"/>
    <cellStyle name="Note 2 4 11 2" xfId="37954" xr:uid="{00000000-0005-0000-0000-000040940000}"/>
    <cellStyle name="Note 2 4 11 2 2" xfId="37955" xr:uid="{00000000-0005-0000-0000-000041940000}"/>
    <cellStyle name="Note 2 4 11 2 3" xfId="37956" xr:uid="{00000000-0005-0000-0000-000042940000}"/>
    <cellStyle name="Note 2 4 11 2 4" xfId="37957" xr:uid="{00000000-0005-0000-0000-000043940000}"/>
    <cellStyle name="Note 2 4 11 2 5" xfId="37958" xr:uid="{00000000-0005-0000-0000-000044940000}"/>
    <cellStyle name="Note 2 4 11 3" xfId="37959" xr:uid="{00000000-0005-0000-0000-000045940000}"/>
    <cellStyle name="Note 2 4 11 4" xfId="37960" xr:uid="{00000000-0005-0000-0000-000046940000}"/>
    <cellStyle name="Note 2 4 11 5" xfId="37961" xr:uid="{00000000-0005-0000-0000-000047940000}"/>
    <cellStyle name="Note 2 4 11 6" xfId="37962" xr:uid="{00000000-0005-0000-0000-000048940000}"/>
    <cellStyle name="Note 2 4 12" xfId="37963" xr:uid="{00000000-0005-0000-0000-000049940000}"/>
    <cellStyle name="Note 2 4 12 2" xfId="37964" xr:uid="{00000000-0005-0000-0000-00004A940000}"/>
    <cellStyle name="Note 2 4 12 2 2" xfId="37965" xr:uid="{00000000-0005-0000-0000-00004B940000}"/>
    <cellStyle name="Note 2 4 12 2 3" xfId="37966" xr:uid="{00000000-0005-0000-0000-00004C940000}"/>
    <cellStyle name="Note 2 4 12 2 4" xfId="37967" xr:uid="{00000000-0005-0000-0000-00004D940000}"/>
    <cellStyle name="Note 2 4 12 2 5" xfId="37968" xr:uid="{00000000-0005-0000-0000-00004E940000}"/>
    <cellStyle name="Note 2 4 12 3" xfId="37969" xr:uid="{00000000-0005-0000-0000-00004F940000}"/>
    <cellStyle name="Note 2 4 12 4" xfId="37970" xr:uid="{00000000-0005-0000-0000-000050940000}"/>
    <cellStyle name="Note 2 4 12 5" xfId="37971" xr:uid="{00000000-0005-0000-0000-000051940000}"/>
    <cellStyle name="Note 2 4 12 6" xfId="37972" xr:uid="{00000000-0005-0000-0000-000052940000}"/>
    <cellStyle name="Note 2 4 13" xfId="37973" xr:uid="{00000000-0005-0000-0000-000053940000}"/>
    <cellStyle name="Note 2 4 13 2" xfId="37974" xr:uid="{00000000-0005-0000-0000-000054940000}"/>
    <cellStyle name="Note 2 4 13 2 2" xfId="37975" xr:uid="{00000000-0005-0000-0000-000055940000}"/>
    <cellStyle name="Note 2 4 13 2 3" xfId="37976" xr:uid="{00000000-0005-0000-0000-000056940000}"/>
    <cellStyle name="Note 2 4 13 2 4" xfId="37977" xr:uid="{00000000-0005-0000-0000-000057940000}"/>
    <cellStyle name="Note 2 4 13 2 5" xfId="37978" xr:uid="{00000000-0005-0000-0000-000058940000}"/>
    <cellStyle name="Note 2 4 13 3" xfId="37979" xr:uid="{00000000-0005-0000-0000-000059940000}"/>
    <cellStyle name="Note 2 4 13 4" xfId="37980" xr:uid="{00000000-0005-0000-0000-00005A940000}"/>
    <cellStyle name="Note 2 4 13 5" xfId="37981" xr:uid="{00000000-0005-0000-0000-00005B940000}"/>
    <cellStyle name="Note 2 4 13 6" xfId="37982" xr:uid="{00000000-0005-0000-0000-00005C940000}"/>
    <cellStyle name="Note 2 4 14" xfId="37983" xr:uid="{00000000-0005-0000-0000-00005D940000}"/>
    <cellStyle name="Note 2 4 14 2" xfId="37984" xr:uid="{00000000-0005-0000-0000-00005E940000}"/>
    <cellStyle name="Note 2 4 14 2 2" xfId="37985" xr:uid="{00000000-0005-0000-0000-00005F940000}"/>
    <cellStyle name="Note 2 4 14 2 3" xfId="37986" xr:uid="{00000000-0005-0000-0000-000060940000}"/>
    <cellStyle name="Note 2 4 14 2 4" xfId="37987" xr:uid="{00000000-0005-0000-0000-000061940000}"/>
    <cellStyle name="Note 2 4 14 2 5" xfId="37988" xr:uid="{00000000-0005-0000-0000-000062940000}"/>
    <cellStyle name="Note 2 4 14 3" xfId="37989" xr:uid="{00000000-0005-0000-0000-000063940000}"/>
    <cellStyle name="Note 2 4 14 4" xfId="37990" xr:uid="{00000000-0005-0000-0000-000064940000}"/>
    <cellStyle name="Note 2 4 14 5" xfId="37991" xr:uid="{00000000-0005-0000-0000-000065940000}"/>
    <cellStyle name="Note 2 4 14 6" xfId="37992" xr:uid="{00000000-0005-0000-0000-000066940000}"/>
    <cellStyle name="Note 2 4 15" xfId="37993" xr:uid="{00000000-0005-0000-0000-000067940000}"/>
    <cellStyle name="Note 2 4 15 2" xfId="37994" xr:uid="{00000000-0005-0000-0000-000068940000}"/>
    <cellStyle name="Note 2 4 15 2 2" xfId="37995" xr:uid="{00000000-0005-0000-0000-000069940000}"/>
    <cellStyle name="Note 2 4 15 2 3" xfId="37996" xr:uid="{00000000-0005-0000-0000-00006A940000}"/>
    <cellStyle name="Note 2 4 15 2 4" xfId="37997" xr:uid="{00000000-0005-0000-0000-00006B940000}"/>
    <cellStyle name="Note 2 4 15 2 5" xfId="37998" xr:uid="{00000000-0005-0000-0000-00006C940000}"/>
    <cellStyle name="Note 2 4 15 3" xfId="37999" xr:uid="{00000000-0005-0000-0000-00006D940000}"/>
    <cellStyle name="Note 2 4 15 4" xfId="38000" xr:uid="{00000000-0005-0000-0000-00006E940000}"/>
    <cellStyle name="Note 2 4 15 5" xfId="38001" xr:uid="{00000000-0005-0000-0000-00006F940000}"/>
    <cellStyle name="Note 2 4 15 6" xfId="38002" xr:uid="{00000000-0005-0000-0000-000070940000}"/>
    <cellStyle name="Note 2 4 16" xfId="38003" xr:uid="{00000000-0005-0000-0000-000071940000}"/>
    <cellStyle name="Note 2 4 16 2" xfId="38004" xr:uid="{00000000-0005-0000-0000-000072940000}"/>
    <cellStyle name="Note 2 4 16 2 2" xfId="38005" xr:uid="{00000000-0005-0000-0000-000073940000}"/>
    <cellStyle name="Note 2 4 16 2 3" xfId="38006" xr:uid="{00000000-0005-0000-0000-000074940000}"/>
    <cellStyle name="Note 2 4 16 2 4" xfId="38007" xr:uid="{00000000-0005-0000-0000-000075940000}"/>
    <cellStyle name="Note 2 4 16 2 5" xfId="38008" xr:uid="{00000000-0005-0000-0000-000076940000}"/>
    <cellStyle name="Note 2 4 16 3" xfId="38009" xr:uid="{00000000-0005-0000-0000-000077940000}"/>
    <cellStyle name="Note 2 4 16 4" xfId="38010" xr:uid="{00000000-0005-0000-0000-000078940000}"/>
    <cellStyle name="Note 2 4 16 5" xfId="38011" xr:uid="{00000000-0005-0000-0000-000079940000}"/>
    <cellStyle name="Note 2 4 16 6" xfId="38012" xr:uid="{00000000-0005-0000-0000-00007A940000}"/>
    <cellStyle name="Note 2 4 17" xfId="38013" xr:uid="{00000000-0005-0000-0000-00007B940000}"/>
    <cellStyle name="Note 2 4 17 2" xfId="38014" xr:uid="{00000000-0005-0000-0000-00007C940000}"/>
    <cellStyle name="Note 2 4 17 2 2" xfId="38015" xr:uid="{00000000-0005-0000-0000-00007D940000}"/>
    <cellStyle name="Note 2 4 17 2 3" xfId="38016" xr:uid="{00000000-0005-0000-0000-00007E940000}"/>
    <cellStyle name="Note 2 4 17 2 4" xfId="38017" xr:uid="{00000000-0005-0000-0000-00007F940000}"/>
    <cellStyle name="Note 2 4 17 2 5" xfId="38018" xr:uid="{00000000-0005-0000-0000-000080940000}"/>
    <cellStyle name="Note 2 4 17 3" xfId="38019" xr:uid="{00000000-0005-0000-0000-000081940000}"/>
    <cellStyle name="Note 2 4 17 4" xfId="38020" xr:uid="{00000000-0005-0000-0000-000082940000}"/>
    <cellStyle name="Note 2 4 17 5" xfId="38021" xr:uid="{00000000-0005-0000-0000-000083940000}"/>
    <cellStyle name="Note 2 4 17 6" xfId="38022" xr:uid="{00000000-0005-0000-0000-000084940000}"/>
    <cellStyle name="Note 2 4 18" xfId="38023" xr:uid="{00000000-0005-0000-0000-000085940000}"/>
    <cellStyle name="Note 2 4 18 2" xfId="38024" xr:uid="{00000000-0005-0000-0000-000086940000}"/>
    <cellStyle name="Note 2 4 18 2 2" xfId="38025" xr:uid="{00000000-0005-0000-0000-000087940000}"/>
    <cellStyle name="Note 2 4 18 2 3" xfId="38026" xr:uid="{00000000-0005-0000-0000-000088940000}"/>
    <cellStyle name="Note 2 4 18 2 4" xfId="38027" xr:uid="{00000000-0005-0000-0000-000089940000}"/>
    <cellStyle name="Note 2 4 18 2 5" xfId="38028" xr:uid="{00000000-0005-0000-0000-00008A940000}"/>
    <cellStyle name="Note 2 4 18 3" xfId="38029" xr:uid="{00000000-0005-0000-0000-00008B940000}"/>
    <cellStyle name="Note 2 4 18 4" xfId="38030" xr:uid="{00000000-0005-0000-0000-00008C940000}"/>
    <cellStyle name="Note 2 4 18 5" xfId="38031" xr:uid="{00000000-0005-0000-0000-00008D940000}"/>
    <cellStyle name="Note 2 4 18 6" xfId="38032" xr:uid="{00000000-0005-0000-0000-00008E940000}"/>
    <cellStyle name="Note 2 4 19" xfId="38033" xr:uid="{00000000-0005-0000-0000-00008F940000}"/>
    <cellStyle name="Note 2 4 19 2" xfId="38034" xr:uid="{00000000-0005-0000-0000-000090940000}"/>
    <cellStyle name="Note 2 4 19 2 2" xfId="38035" xr:uid="{00000000-0005-0000-0000-000091940000}"/>
    <cellStyle name="Note 2 4 19 2 3" xfId="38036" xr:uid="{00000000-0005-0000-0000-000092940000}"/>
    <cellStyle name="Note 2 4 19 2 4" xfId="38037" xr:uid="{00000000-0005-0000-0000-000093940000}"/>
    <cellStyle name="Note 2 4 19 2 5" xfId="38038" xr:uid="{00000000-0005-0000-0000-000094940000}"/>
    <cellStyle name="Note 2 4 19 3" xfId="38039" xr:uid="{00000000-0005-0000-0000-000095940000}"/>
    <cellStyle name="Note 2 4 19 4" xfId="38040" xr:uid="{00000000-0005-0000-0000-000096940000}"/>
    <cellStyle name="Note 2 4 19 5" xfId="38041" xr:uid="{00000000-0005-0000-0000-000097940000}"/>
    <cellStyle name="Note 2 4 19 6" xfId="38042" xr:uid="{00000000-0005-0000-0000-000098940000}"/>
    <cellStyle name="Note 2 4 2" xfId="38043" xr:uid="{00000000-0005-0000-0000-000099940000}"/>
    <cellStyle name="Note 2 4 2 2" xfId="38044" xr:uid="{00000000-0005-0000-0000-00009A940000}"/>
    <cellStyle name="Note 2 4 2 2 2" xfId="38045" xr:uid="{00000000-0005-0000-0000-00009B940000}"/>
    <cellStyle name="Note 2 4 2 2 2 2" xfId="38046" xr:uid="{00000000-0005-0000-0000-00009C940000}"/>
    <cellStyle name="Note 2 4 2 2 2 3" xfId="38047" xr:uid="{00000000-0005-0000-0000-00009D940000}"/>
    <cellStyle name="Note 2 4 2 2 2 4" xfId="38048" xr:uid="{00000000-0005-0000-0000-00009E940000}"/>
    <cellStyle name="Note 2 4 2 2 2 5" xfId="38049" xr:uid="{00000000-0005-0000-0000-00009F940000}"/>
    <cellStyle name="Note 2 4 2 3" xfId="38050" xr:uid="{00000000-0005-0000-0000-0000A0940000}"/>
    <cellStyle name="Note 2 4 2 3 2" xfId="38051" xr:uid="{00000000-0005-0000-0000-0000A1940000}"/>
    <cellStyle name="Note 2 4 2 3 3" xfId="38052" xr:uid="{00000000-0005-0000-0000-0000A2940000}"/>
    <cellStyle name="Note 2 4 2 3 4" xfId="38053" xr:uid="{00000000-0005-0000-0000-0000A3940000}"/>
    <cellStyle name="Note 2 4 2 3 5" xfId="38054" xr:uid="{00000000-0005-0000-0000-0000A4940000}"/>
    <cellStyle name="Note 2 4 20" xfId="38055" xr:uid="{00000000-0005-0000-0000-0000A5940000}"/>
    <cellStyle name="Note 2 4 20 2" xfId="38056" xr:uid="{00000000-0005-0000-0000-0000A6940000}"/>
    <cellStyle name="Note 2 4 20 2 2" xfId="38057" xr:uid="{00000000-0005-0000-0000-0000A7940000}"/>
    <cellStyle name="Note 2 4 20 2 3" xfId="38058" xr:uid="{00000000-0005-0000-0000-0000A8940000}"/>
    <cellStyle name="Note 2 4 20 2 4" xfId="38059" xr:uid="{00000000-0005-0000-0000-0000A9940000}"/>
    <cellStyle name="Note 2 4 20 2 5" xfId="38060" xr:uid="{00000000-0005-0000-0000-0000AA940000}"/>
    <cellStyle name="Note 2 4 20 3" xfId="38061" xr:uid="{00000000-0005-0000-0000-0000AB940000}"/>
    <cellStyle name="Note 2 4 20 4" xfId="38062" xr:uid="{00000000-0005-0000-0000-0000AC940000}"/>
    <cellStyle name="Note 2 4 20 5" xfId="38063" xr:uid="{00000000-0005-0000-0000-0000AD940000}"/>
    <cellStyle name="Note 2 4 20 6" xfId="38064" xr:uid="{00000000-0005-0000-0000-0000AE940000}"/>
    <cellStyle name="Note 2 4 21" xfId="38065" xr:uid="{00000000-0005-0000-0000-0000AF940000}"/>
    <cellStyle name="Note 2 4 21 2" xfId="38066" xr:uid="{00000000-0005-0000-0000-0000B0940000}"/>
    <cellStyle name="Note 2 4 21 2 2" xfId="38067" xr:uid="{00000000-0005-0000-0000-0000B1940000}"/>
    <cellStyle name="Note 2 4 21 2 3" xfId="38068" xr:uid="{00000000-0005-0000-0000-0000B2940000}"/>
    <cellStyle name="Note 2 4 21 2 4" xfId="38069" xr:uid="{00000000-0005-0000-0000-0000B3940000}"/>
    <cellStyle name="Note 2 4 21 2 5" xfId="38070" xr:uid="{00000000-0005-0000-0000-0000B4940000}"/>
    <cellStyle name="Note 2 4 21 3" xfId="38071" xr:uid="{00000000-0005-0000-0000-0000B5940000}"/>
    <cellStyle name="Note 2 4 21 4" xfId="38072" xr:uid="{00000000-0005-0000-0000-0000B6940000}"/>
    <cellStyle name="Note 2 4 21 5" xfId="38073" xr:uid="{00000000-0005-0000-0000-0000B7940000}"/>
    <cellStyle name="Note 2 4 21 6" xfId="38074" xr:uid="{00000000-0005-0000-0000-0000B8940000}"/>
    <cellStyle name="Note 2 4 22" xfId="38075" xr:uid="{00000000-0005-0000-0000-0000B9940000}"/>
    <cellStyle name="Note 2 4 22 2" xfId="38076" xr:uid="{00000000-0005-0000-0000-0000BA940000}"/>
    <cellStyle name="Note 2 4 22 2 2" xfId="38077" xr:uid="{00000000-0005-0000-0000-0000BB940000}"/>
    <cellStyle name="Note 2 4 22 2 3" xfId="38078" xr:uid="{00000000-0005-0000-0000-0000BC940000}"/>
    <cellStyle name="Note 2 4 22 2 4" xfId="38079" xr:uid="{00000000-0005-0000-0000-0000BD940000}"/>
    <cellStyle name="Note 2 4 22 2 5" xfId="38080" xr:uid="{00000000-0005-0000-0000-0000BE940000}"/>
    <cellStyle name="Note 2 4 22 3" xfId="38081" xr:uid="{00000000-0005-0000-0000-0000BF940000}"/>
    <cellStyle name="Note 2 4 22 4" xfId="38082" xr:uid="{00000000-0005-0000-0000-0000C0940000}"/>
    <cellStyle name="Note 2 4 22 5" xfId="38083" xr:uid="{00000000-0005-0000-0000-0000C1940000}"/>
    <cellStyle name="Note 2 4 22 6" xfId="38084" xr:uid="{00000000-0005-0000-0000-0000C2940000}"/>
    <cellStyle name="Note 2 4 23" xfId="38085" xr:uid="{00000000-0005-0000-0000-0000C3940000}"/>
    <cellStyle name="Note 2 4 23 2" xfId="38086" xr:uid="{00000000-0005-0000-0000-0000C4940000}"/>
    <cellStyle name="Note 2 4 23 2 2" xfId="38087" xr:uid="{00000000-0005-0000-0000-0000C5940000}"/>
    <cellStyle name="Note 2 4 23 2 3" xfId="38088" xr:uid="{00000000-0005-0000-0000-0000C6940000}"/>
    <cellStyle name="Note 2 4 23 2 4" xfId="38089" xr:uid="{00000000-0005-0000-0000-0000C7940000}"/>
    <cellStyle name="Note 2 4 23 2 5" xfId="38090" xr:uid="{00000000-0005-0000-0000-0000C8940000}"/>
    <cellStyle name="Note 2 4 23 3" xfId="38091" xr:uid="{00000000-0005-0000-0000-0000C9940000}"/>
    <cellStyle name="Note 2 4 23 4" xfId="38092" xr:uid="{00000000-0005-0000-0000-0000CA940000}"/>
    <cellStyle name="Note 2 4 23 5" xfId="38093" xr:uid="{00000000-0005-0000-0000-0000CB940000}"/>
    <cellStyle name="Note 2 4 23 6" xfId="38094" xr:uid="{00000000-0005-0000-0000-0000CC940000}"/>
    <cellStyle name="Note 2 4 24" xfId="38095" xr:uid="{00000000-0005-0000-0000-0000CD940000}"/>
    <cellStyle name="Note 2 4 24 2" xfId="38096" xr:uid="{00000000-0005-0000-0000-0000CE940000}"/>
    <cellStyle name="Note 2 4 24 2 2" xfId="38097" xr:uid="{00000000-0005-0000-0000-0000CF940000}"/>
    <cellStyle name="Note 2 4 24 2 3" xfId="38098" xr:uid="{00000000-0005-0000-0000-0000D0940000}"/>
    <cellStyle name="Note 2 4 24 2 4" xfId="38099" xr:uid="{00000000-0005-0000-0000-0000D1940000}"/>
    <cellStyle name="Note 2 4 24 2 5" xfId="38100" xr:uid="{00000000-0005-0000-0000-0000D2940000}"/>
    <cellStyle name="Note 2 4 24 3" xfId="38101" xr:uid="{00000000-0005-0000-0000-0000D3940000}"/>
    <cellStyle name="Note 2 4 24 4" xfId="38102" xr:uid="{00000000-0005-0000-0000-0000D4940000}"/>
    <cellStyle name="Note 2 4 24 5" xfId="38103" xr:uid="{00000000-0005-0000-0000-0000D5940000}"/>
    <cellStyle name="Note 2 4 24 6" xfId="38104" xr:uid="{00000000-0005-0000-0000-0000D6940000}"/>
    <cellStyle name="Note 2 4 25" xfId="38105" xr:uid="{00000000-0005-0000-0000-0000D7940000}"/>
    <cellStyle name="Note 2 4 25 2" xfId="38106" xr:uid="{00000000-0005-0000-0000-0000D8940000}"/>
    <cellStyle name="Note 2 4 25 2 2" xfId="38107" xr:uid="{00000000-0005-0000-0000-0000D9940000}"/>
    <cellStyle name="Note 2 4 25 2 3" xfId="38108" xr:uid="{00000000-0005-0000-0000-0000DA940000}"/>
    <cellStyle name="Note 2 4 25 2 4" xfId="38109" xr:uid="{00000000-0005-0000-0000-0000DB940000}"/>
    <cellStyle name="Note 2 4 25 2 5" xfId="38110" xr:uid="{00000000-0005-0000-0000-0000DC940000}"/>
    <cellStyle name="Note 2 4 25 3" xfId="38111" xr:uid="{00000000-0005-0000-0000-0000DD940000}"/>
    <cellStyle name="Note 2 4 25 4" xfId="38112" xr:uid="{00000000-0005-0000-0000-0000DE940000}"/>
    <cellStyle name="Note 2 4 25 5" xfId="38113" xr:uid="{00000000-0005-0000-0000-0000DF940000}"/>
    <cellStyle name="Note 2 4 25 6" xfId="38114" xr:uid="{00000000-0005-0000-0000-0000E0940000}"/>
    <cellStyle name="Note 2 4 26" xfId="38115" xr:uid="{00000000-0005-0000-0000-0000E1940000}"/>
    <cellStyle name="Note 2 4 26 2" xfId="38116" xr:uid="{00000000-0005-0000-0000-0000E2940000}"/>
    <cellStyle name="Note 2 4 26 2 2" xfId="38117" xr:uid="{00000000-0005-0000-0000-0000E3940000}"/>
    <cellStyle name="Note 2 4 26 2 3" xfId="38118" xr:uid="{00000000-0005-0000-0000-0000E4940000}"/>
    <cellStyle name="Note 2 4 26 2 4" xfId="38119" xr:uid="{00000000-0005-0000-0000-0000E5940000}"/>
    <cellStyle name="Note 2 4 26 2 5" xfId="38120" xr:uid="{00000000-0005-0000-0000-0000E6940000}"/>
    <cellStyle name="Note 2 4 26 3" xfId="38121" xr:uid="{00000000-0005-0000-0000-0000E7940000}"/>
    <cellStyle name="Note 2 4 26 4" xfId="38122" xr:uid="{00000000-0005-0000-0000-0000E8940000}"/>
    <cellStyle name="Note 2 4 26 5" xfId="38123" xr:uid="{00000000-0005-0000-0000-0000E9940000}"/>
    <cellStyle name="Note 2 4 26 6" xfId="38124" xr:uid="{00000000-0005-0000-0000-0000EA940000}"/>
    <cellStyle name="Note 2 4 27" xfId="38125" xr:uid="{00000000-0005-0000-0000-0000EB940000}"/>
    <cellStyle name="Note 2 4 27 2" xfId="38126" xr:uid="{00000000-0005-0000-0000-0000EC940000}"/>
    <cellStyle name="Note 2 4 27 2 2" xfId="38127" xr:uid="{00000000-0005-0000-0000-0000ED940000}"/>
    <cellStyle name="Note 2 4 27 2 3" xfId="38128" xr:uid="{00000000-0005-0000-0000-0000EE940000}"/>
    <cellStyle name="Note 2 4 27 2 4" xfId="38129" xr:uid="{00000000-0005-0000-0000-0000EF940000}"/>
    <cellStyle name="Note 2 4 27 2 5" xfId="38130" xr:uid="{00000000-0005-0000-0000-0000F0940000}"/>
    <cellStyle name="Note 2 4 27 3" xfId="38131" xr:uid="{00000000-0005-0000-0000-0000F1940000}"/>
    <cellStyle name="Note 2 4 27 4" xfId="38132" xr:uid="{00000000-0005-0000-0000-0000F2940000}"/>
    <cellStyle name="Note 2 4 27 5" xfId="38133" xr:uid="{00000000-0005-0000-0000-0000F3940000}"/>
    <cellStyle name="Note 2 4 27 6" xfId="38134" xr:uid="{00000000-0005-0000-0000-0000F4940000}"/>
    <cellStyle name="Note 2 4 28" xfId="38135" xr:uid="{00000000-0005-0000-0000-0000F5940000}"/>
    <cellStyle name="Note 2 4 28 2" xfId="38136" xr:uid="{00000000-0005-0000-0000-0000F6940000}"/>
    <cellStyle name="Note 2 4 28 2 2" xfId="38137" xr:uid="{00000000-0005-0000-0000-0000F7940000}"/>
    <cellStyle name="Note 2 4 28 2 3" xfId="38138" xr:uid="{00000000-0005-0000-0000-0000F8940000}"/>
    <cellStyle name="Note 2 4 28 2 4" xfId="38139" xr:uid="{00000000-0005-0000-0000-0000F9940000}"/>
    <cellStyle name="Note 2 4 28 2 5" xfId="38140" xr:uid="{00000000-0005-0000-0000-0000FA940000}"/>
    <cellStyle name="Note 2 4 28 3" xfId="38141" xr:uid="{00000000-0005-0000-0000-0000FB940000}"/>
    <cellStyle name="Note 2 4 28 4" xfId="38142" xr:uid="{00000000-0005-0000-0000-0000FC940000}"/>
    <cellStyle name="Note 2 4 28 5" xfId="38143" xr:uid="{00000000-0005-0000-0000-0000FD940000}"/>
    <cellStyle name="Note 2 4 28 6" xfId="38144" xr:uid="{00000000-0005-0000-0000-0000FE940000}"/>
    <cellStyle name="Note 2 4 29" xfId="38145" xr:uid="{00000000-0005-0000-0000-0000FF940000}"/>
    <cellStyle name="Note 2 4 29 2" xfId="38146" xr:uid="{00000000-0005-0000-0000-000000950000}"/>
    <cellStyle name="Note 2 4 29 2 2" xfId="38147" xr:uid="{00000000-0005-0000-0000-000001950000}"/>
    <cellStyle name="Note 2 4 29 2 3" xfId="38148" xr:uid="{00000000-0005-0000-0000-000002950000}"/>
    <cellStyle name="Note 2 4 29 2 4" xfId="38149" xr:uid="{00000000-0005-0000-0000-000003950000}"/>
    <cellStyle name="Note 2 4 29 2 5" xfId="38150" xr:uid="{00000000-0005-0000-0000-000004950000}"/>
    <cellStyle name="Note 2 4 29 3" xfId="38151" xr:uid="{00000000-0005-0000-0000-000005950000}"/>
    <cellStyle name="Note 2 4 29 4" xfId="38152" xr:uid="{00000000-0005-0000-0000-000006950000}"/>
    <cellStyle name="Note 2 4 29 5" xfId="38153" xr:uid="{00000000-0005-0000-0000-000007950000}"/>
    <cellStyle name="Note 2 4 29 6" xfId="38154" xr:uid="{00000000-0005-0000-0000-000008950000}"/>
    <cellStyle name="Note 2 4 3" xfId="38155" xr:uid="{00000000-0005-0000-0000-000009950000}"/>
    <cellStyle name="Note 2 4 3 2" xfId="38156" xr:uid="{00000000-0005-0000-0000-00000A950000}"/>
    <cellStyle name="Note 2 4 3 2 2" xfId="38157" xr:uid="{00000000-0005-0000-0000-00000B950000}"/>
    <cellStyle name="Note 2 4 3 2 3" xfId="38158" xr:uid="{00000000-0005-0000-0000-00000C950000}"/>
    <cellStyle name="Note 2 4 3 2 4" xfId="38159" xr:uid="{00000000-0005-0000-0000-00000D950000}"/>
    <cellStyle name="Note 2 4 3 2 5" xfId="38160" xr:uid="{00000000-0005-0000-0000-00000E950000}"/>
    <cellStyle name="Note 2 4 3 3" xfId="38161" xr:uid="{00000000-0005-0000-0000-00000F950000}"/>
    <cellStyle name="Note 2 4 3 3 2" xfId="38162" xr:uid="{00000000-0005-0000-0000-000010950000}"/>
    <cellStyle name="Note 2 4 3 3 3" xfId="38163" xr:uid="{00000000-0005-0000-0000-000011950000}"/>
    <cellStyle name="Note 2 4 3 3 4" xfId="38164" xr:uid="{00000000-0005-0000-0000-000012950000}"/>
    <cellStyle name="Note 2 4 3 3 5" xfId="38165" xr:uid="{00000000-0005-0000-0000-000013950000}"/>
    <cellStyle name="Note 2 4 30" xfId="38166" xr:uid="{00000000-0005-0000-0000-000014950000}"/>
    <cellStyle name="Note 2 4 30 2" xfId="38167" xr:uid="{00000000-0005-0000-0000-000015950000}"/>
    <cellStyle name="Note 2 4 30 2 2" xfId="38168" xr:uid="{00000000-0005-0000-0000-000016950000}"/>
    <cellStyle name="Note 2 4 30 2 3" xfId="38169" xr:uid="{00000000-0005-0000-0000-000017950000}"/>
    <cellStyle name="Note 2 4 30 2 4" xfId="38170" xr:uid="{00000000-0005-0000-0000-000018950000}"/>
    <cellStyle name="Note 2 4 30 2 5" xfId="38171" xr:uid="{00000000-0005-0000-0000-000019950000}"/>
    <cellStyle name="Note 2 4 30 3" xfId="38172" xr:uid="{00000000-0005-0000-0000-00001A950000}"/>
    <cellStyle name="Note 2 4 30 4" xfId="38173" xr:uid="{00000000-0005-0000-0000-00001B950000}"/>
    <cellStyle name="Note 2 4 30 5" xfId="38174" xr:uid="{00000000-0005-0000-0000-00001C950000}"/>
    <cellStyle name="Note 2 4 30 6" xfId="38175" xr:uid="{00000000-0005-0000-0000-00001D950000}"/>
    <cellStyle name="Note 2 4 31" xfId="38176" xr:uid="{00000000-0005-0000-0000-00001E950000}"/>
    <cellStyle name="Note 2 4 31 2" xfId="38177" xr:uid="{00000000-0005-0000-0000-00001F950000}"/>
    <cellStyle name="Note 2 4 31 2 2" xfId="38178" xr:uid="{00000000-0005-0000-0000-000020950000}"/>
    <cellStyle name="Note 2 4 31 2 3" xfId="38179" xr:uid="{00000000-0005-0000-0000-000021950000}"/>
    <cellStyle name="Note 2 4 31 2 4" xfId="38180" xr:uid="{00000000-0005-0000-0000-000022950000}"/>
    <cellStyle name="Note 2 4 31 2 5" xfId="38181" xr:uid="{00000000-0005-0000-0000-000023950000}"/>
    <cellStyle name="Note 2 4 31 3" xfId="38182" xr:uid="{00000000-0005-0000-0000-000024950000}"/>
    <cellStyle name="Note 2 4 31 4" xfId="38183" xr:uid="{00000000-0005-0000-0000-000025950000}"/>
    <cellStyle name="Note 2 4 31 5" xfId="38184" xr:uid="{00000000-0005-0000-0000-000026950000}"/>
    <cellStyle name="Note 2 4 31 6" xfId="38185" xr:uid="{00000000-0005-0000-0000-000027950000}"/>
    <cellStyle name="Note 2 4 32" xfId="38186" xr:uid="{00000000-0005-0000-0000-000028950000}"/>
    <cellStyle name="Note 2 4 32 2" xfId="38187" xr:uid="{00000000-0005-0000-0000-000029950000}"/>
    <cellStyle name="Note 2 4 32 2 2" xfId="38188" xr:uid="{00000000-0005-0000-0000-00002A950000}"/>
    <cellStyle name="Note 2 4 32 2 3" xfId="38189" xr:uid="{00000000-0005-0000-0000-00002B950000}"/>
    <cellStyle name="Note 2 4 32 2 4" xfId="38190" xr:uid="{00000000-0005-0000-0000-00002C950000}"/>
    <cellStyle name="Note 2 4 32 2 5" xfId="38191" xr:uid="{00000000-0005-0000-0000-00002D950000}"/>
    <cellStyle name="Note 2 4 32 3" xfId="38192" xr:uid="{00000000-0005-0000-0000-00002E950000}"/>
    <cellStyle name="Note 2 4 32 4" xfId="38193" xr:uid="{00000000-0005-0000-0000-00002F950000}"/>
    <cellStyle name="Note 2 4 32 5" xfId="38194" xr:uid="{00000000-0005-0000-0000-000030950000}"/>
    <cellStyle name="Note 2 4 32 6" xfId="38195" xr:uid="{00000000-0005-0000-0000-000031950000}"/>
    <cellStyle name="Note 2 4 33" xfId="38196" xr:uid="{00000000-0005-0000-0000-000032950000}"/>
    <cellStyle name="Note 2 4 33 2" xfId="38197" xr:uid="{00000000-0005-0000-0000-000033950000}"/>
    <cellStyle name="Note 2 4 33 2 2" xfId="38198" xr:uid="{00000000-0005-0000-0000-000034950000}"/>
    <cellStyle name="Note 2 4 33 2 3" xfId="38199" xr:uid="{00000000-0005-0000-0000-000035950000}"/>
    <cellStyle name="Note 2 4 33 2 4" xfId="38200" xr:uid="{00000000-0005-0000-0000-000036950000}"/>
    <cellStyle name="Note 2 4 33 2 5" xfId="38201" xr:uid="{00000000-0005-0000-0000-000037950000}"/>
    <cellStyle name="Note 2 4 33 3" xfId="38202" xr:uid="{00000000-0005-0000-0000-000038950000}"/>
    <cellStyle name="Note 2 4 33 4" xfId="38203" xr:uid="{00000000-0005-0000-0000-000039950000}"/>
    <cellStyle name="Note 2 4 33 5" xfId="38204" xr:uid="{00000000-0005-0000-0000-00003A950000}"/>
    <cellStyle name="Note 2 4 33 6" xfId="38205" xr:uid="{00000000-0005-0000-0000-00003B950000}"/>
    <cellStyle name="Note 2 4 34" xfId="38206" xr:uid="{00000000-0005-0000-0000-00003C950000}"/>
    <cellStyle name="Note 2 4 34 2" xfId="38207" xr:uid="{00000000-0005-0000-0000-00003D950000}"/>
    <cellStyle name="Note 2 4 34 2 2" xfId="38208" xr:uid="{00000000-0005-0000-0000-00003E950000}"/>
    <cellStyle name="Note 2 4 34 2 3" xfId="38209" xr:uid="{00000000-0005-0000-0000-00003F950000}"/>
    <cellStyle name="Note 2 4 34 2 4" xfId="38210" xr:uid="{00000000-0005-0000-0000-000040950000}"/>
    <cellStyle name="Note 2 4 34 2 5" xfId="38211" xr:uid="{00000000-0005-0000-0000-000041950000}"/>
    <cellStyle name="Note 2 4 34 3" xfId="38212" xr:uid="{00000000-0005-0000-0000-000042950000}"/>
    <cellStyle name="Note 2 4 34 4" xfId="38213" xr:uid="{00000000-0005-0000-0000-000043950000}"/>
    <cellStyle name="Note 2 4 34 5" xfId="38214" xr:uid="{00000000-0005-0000-0000-000044950000}"/>
    <cellStyle name="Note 2 4 34 6" xfId="38215" xr:uid="{00000000-0005-0000-0000-000045950000}"/>
    <cellStyle name="Note 2 4 35" xfId="38216" xr:uid="{00000000-0005-0000-0000-000046950000}"/>
    <cellStyle name="Note 2 4 35 2" xfId="38217" xr:uid="{00000000-0005-0000-0000-000047950000}"/>
    <cellStyle name="Note 2 4 35 2 2" xfId="38218" xr:uid="{00000000-0005-0000-0000-000048950000}"/>
    <cellStyle name="Note 2 4 35 2 3" xfId="38219" xr:uid="{00000000-0005-0000-0000-000049950000}"/>
    <cellStyle name="Note 2 4 35 2 4" xfId="38220" xr:uid="{00000000-0005-0000-0000-00004A950000}"/>
    <cellStyle name="Note 2 4 35 2 5" xfId="38221" xr:uid="{00000000-0005-0000-0000-00004B950000}"/>
    <cellStyle name="Note 2 4 35 3" xfId="38222" xr:uid="{00000000-0005-0000-0000-00004C950000}"/>
    <cellStyle name="Note 2 4 35 4" xfId="38223" xr:uid="{00000000-0005-0000-0000-00004D950000}"/>
    <cellStyle name="Note 2 4 35 5" xfId="38224" xr:uid="{00000000-0005-0000-0000-00004E950000}"/>
    <cellStyle name="Note 2 4 35 6" xfId="38225" xr:uid="{00000000-0005-0000-0000-00004F950000}"/>
    <cellStyle name="Note 2 4 36" xfId="38226" xr:uid="{00000000-0005-0000-0000-000050950000}"/>
    <cellStyle name="Note 2 4 36 2" xfId="38227" xr:uid="{00000000-0005-0000-0000-000051950000}"/>
    <cellStyle name="Note 2 4 36 2 2" xfId="38228" xr:uid="{00000000-0005-0000-0000-000052950000}"/>
    <cellStyle name="Note 2 4 36 2 3" xfId="38229" xr:uid="{00000000-0005-0000-0000-000053950000}"/>
    <cellStyle name="Note 2 4 36 2 4" xfId="38230" xr:uid="{00000000-0005-0000-0000-000054950000}"/>
    <cellStyle name="Note 2 4 36 2 5" xfId="38231" xr:uid="{00000000-0005-0000-0000-000055950000}"/>
    <cellStyle name="Note 2 4 36 3" xfId="38232" xr:uid="{00000000-0005-0000-0000-000056950000}"/>
    <cellStyle name="Note 2 4 36 4" xfId="38233" xr:uid="{00000000-0005-0000-0000-000057950000}"/>
    <cellStyle name="Note 2 4 36 5" xfId="38234" xr:uid="{00000000-0005-0000-0000-000058950000}"/>
    <cellStyle name="Note 2 4 36 6" xfId="38235" xr:uid="{00000000-0005-0000-0000-000059950000}"/>
    <cellStyle name="Note 2 4 37" xfId="38236" xr:uid="{00000000-0005-0000-0000-00005A950000}"/>
    <cellStyle name="Note 2 4 37 2" xfId="38237" xr:uid="{00000000-0005-0000-0000-00005B950000}"/>
    <cellStyle name="Note 2 4 37 2 2" xfId="38238" xr:uid="{00000000-0005-0000-0000-00005C950000}"/>
    <cellStyle name="Note 2 4 37 2 3" xfId="38239" xr:uid="{00000000-0005-0000-0000-00005D950000}"/>
    <cellStyle name="Note 2 4 37 2 4" xfId="38240" xr:uid="{00000000-0005-0000-0000-00005E950000}"/>
    <cellStyle name="Note 2 4 37 2 5" xfId="38241" xr:uid="{00000000-0005-0000-0000-00005F950000}"/>
    <cellStyle name="Note 2 4 37 3" xfId="38242" xr:uid="{00000000-0005-0000-0000-000060950000}"/>
    <cellStyle name="Note 2 4 37 4" xfId="38243" xr:uid="{00000000-0005-0000-0000-000061950000}"/>
    <cellStyle name="Note 2 4 37 5" xfId="38244" xr:uid="{00000000-0005-0000-0000-000062950000}"/>
    <cellStyle name="Note 2 4 37 6" xfId="38245" xr:uid="{00000000-0005-0000-0000-000063950000}"/>
    <cellStyle name="Note 2 4 38" xfId="38246" xr:uid="{00000000-0005-0000-0000-000064950000}"/>
    <cellStyle name="Note 2 4 38 2" xfId="38247" xr:uid="{00000000-0005-0000-0000-000065950000}"/>
    <cellStyle name="Note 2 4 38 2 2" xfId="38248" xr:uid="{00000000-0005-0000-0000-000066950000}"/>
    <cellStyle name="Note 2 4 38 2 3" xfId="38249" xr:uid="{00000000-0005-0000-0000-000067950000}"/>
    <cellStyle name="Note 2 4 38 2 4" xfId="38250" xr:uid="{00000000-0005-0000-0000-000068950000}"/>
    <cellStyle name="Note 2 4 38 2 5" xfId="38251" xr:uid="{00000000-0005-0000-0000-000069950000}"/>
    <cellStyle name="Note 2 4 38 3" xfId="38252" xr:uid="{00000000-0005-0000-0000-00006A950000}"/>
    <cellStyle name="Note 2 4 38 4" xfId="38253" xr:uid="{00000000-0005-0000-0000-00006B950000}"/>
    <cellStyle name="Note 2 4 38 5" xfId="38254" xr:uid="{00000000-0005-0000-0000-00006C950000}"/>
    <cellStyle name="Note 2 4 38 6" xfId="38255" xr:uid="{00000000-0005-0000-0000-00006D950000}"/>
    <cellStyle name="Note 2 4 39" xfId="38256" xr:uid="{00000000-0005-0000-0000-00006E950000}"/>
    <cellStyle name="Note 2 4 39 2" xfId="38257" xr:uid="{00000000-0005-0000-0000-00006F950000}"/>
    <cellStyle name="Note 2 4 39 2 2" xfId="38258" xr:uid="{00000000-0005-0000-0000-000070950000}"/>
    <cellStyle name="Note 2 4 39 2 3" xfId="38259" xr:uid="{00000000-0005-0000-0000-000071950000}"/>
    <cellStyle name="Note 2 4 39 2 4" xfId="38260" xr:uid="{00000000-0005-0000-0000-000072950000}"/>
    <cellStyle name="Note 2 4 39 2 5" xfId="38261" xr:uid="{00000000-0005-0000-0000-000073950000}"/>
    <cellStyle name="Note 2 4 39 3" xfId="38262" xr:uid="{00000000-0005-0000-0000-000074950000}"/>
    <cellStyle name="Note 2 4 39 4" xfId="38263" xr:uid="{00000000-0005-0000-0000-000075950000}"/>
    <cellStyle name="Note 2 4 39 5" xfId="38264" xr:uid="{00000000-0005-0000-0000-000076950000}"/>
    <cellStyle name="Note 2 4 39 6" xfId="38265" xr:uid="{00000000-0005-0000-0000-000077950000}"/>
    <cellStyle name="Note 2 4 4" xfId="38266" xr:uid="{00000000-0005-0000-0000-000078950000}"/>
    <cellStyle name="Note 2 4 4 2" xfId="38267" xr:uid="{00000000-0005-0000-0000-000079950000}"/>
    <cellStyle name="Note 2 4 4 2 2" xfId="38268" xr:uid="{00000000-0005-0000-0000-00007A950000}"/>
    <cellStyle name="Note 2 4 4 2 3" xfId="38269" xr:uid="{00000000-0005-0000-0000-00007B950000}"/>
    <cellStyle name="Note 2 4 4 2 4" xfId="38270" xr:uid="{00000000-0005-0000-0000-00007C950000}"/>
    <cellStyle name="Note 2 4 4 2 5" xfId="38271" xr:uid="{00000000-0005-0000-0000-00007D950000}"/>
    <cellStyle name="Note 2 4 4 3" xfId="38272" xr:uid="{00000000-0005-0000-0000-00007E950000}"/>
    <cellStyle name="Note 2 4 4 4" xfId="38273" xr:uid="{00000000-0005-0000-0000-00007F950000}"/>
    <cellStyle name="Note 2 4 4 5" xfId="38274" xr:uid="{00000000-0005-0000-0000-000080950000}"/>
    <cellStyle name="Note 2 4 4 6" xfId="38275" xr:uid="{00000000-0005-0000-0000-000081950000}"/>
    <cellStyle name="Note 2 4 40" xfId="38276" xr:uid="{00000000-0005-0000-0000-000082950000}"/>
    <cellStyle name="Note 2 4 40 2" xfId="38277" xr:uid="{00000000-0005-0000-0000-000083950000}"/>
    <cellStyle name="Note 2 4 40 2 2" xfId="38278" xr:uid="{00000000-0005-0000-0000-000084950000}"/>
    <cellStyle name="Note 2 4 40 2 3" xfId="38279" xr:uid="{00000000-0005-0000-0000-000085950000}"/>
    <cellStyle name="Note 2 4 40 2 4" xfId="38280" xr:uid="{00000000-0005-0000-0000-000086950000}"/>
    <cellStyle name="Note 2 4 40 2 5" xfId="38281" xr:uid="{00000000-0005-0000-0000-000087950000}"/>
    <cellStyle name="Note 2 4 40 3" xfId="38282" xr:uid="{00000000-0005-0000-0000-000088950000}"/>
    <cellStyle name="Note 2 4 40 4" xfId="38283" xr:uid="{00000000-0005-0000-0000-000089950000}"/>
    <cellStyle name="Note 2 4 40 5" xfId="38284" xr:uid="{00000000-0005-0000-0000-00008A950000}"/>
    <cellStyle name="Note 2 4 40 6" xfId="38285" xr:uid="{00000000-0005-0000-0000-00008B950000}"/>
    <cellStyle name="Note 2 4 41" xfId="38286" xr:uid="{00000000-0005-0000-0000-00008C950000}"/>
    <cellStyle name="Note 2 4 41 2" xfId="38287" xr:uid="{00000000-0005-0000-0000-00008D950000}"/>
    <cellStyle name="Note 2 4 41 2 2" xfId="38288" xr:uid="{00000000-0005-0000-0000-00008E950000}"/>
    <cellStyle name="Note 2 4 41 2 3" xfId="38289" xr:uid="{00000000-0005-0000-0000-00008F950000}"/>
    <cellStyle name="Note 2 4 41 2 4" xfId="38290" xr:uid="{00000000-0005-0000-0000-000090950000}"/>
    <cellStyle name="Note 2 4 41 2 5" xfId="38291" xr:uid="{00000000-0005-0000-0000-000091950000}"/>
    <cellStyle name="Note 2 4 41 3" xfId="38292" xr:uid="{00000000-0005-0000-0000-000092950000}"/>
    <cellStyle name="Note 2 4 41 4" xfId="38293" xr:uid="{00000000-0005-0000-0000-000093950000}"/>
    <cellStyle name="Note 2 4 41 5" xfId="38294" xr:uid="{00000000-0005-0000-0000-000094950000}"/>
    <cellStyle name="Note 2 4 41 6" xfId="38295" xr:uid="{00000000-0005-0000-0000-000095950000}"/>
    <cellStyle name="Note 2 4 42" xfId="38296" xr:uid="{00000000-0005-0000-0000-000096950000}"/>
    <cellStyle name="Note 2 4 42 2" xfId="38297" xr:uid="{00000000-0005-0000-0000-000097950000}"/>
    <cellStyle name="Note 2 4 42 3" xfId="38298" xr:uid="{00000000-0005-0000-0000-000098950000}"/>
    <cellStyle name="Note 2 4 42 4" xfId="38299" xr:uid="{00000000-0005-0000-0000-000099950000}"/>
    <cellStyle name="Note 2 4 42 5" xfId="38300" xr:uid="{00000000-0005-0000-0000-00009A950000}"/>
    <cellStyle name="Note 2 4 43" xfId="38301" xr:uid="{00000000-0005-0000-0000-00009B950000}"/>
    <cellStyle name="Note 2 4 43 2" xfId="38302" xr:uid="{00000000-0005-0000-0000-00009C950000}"/>
    <cellStyle name="Note 2 4 43 3" xfId="38303" xr:uid="{00000000-0005-0000-0000-00009D950000}"/>
    <cellStyle name="Note 2 4 43 4" xfId="38304" xr:uid="{00000000-0005-0000-0000-00009E950000}"/>
    <cellStyle name="Note 2 4 43 5" xfId="38305" xr:uid="{00000000-0005-0000-0000-00009F950000}"/>
    <cellStyle name="Note 2 4 5" xfId="38306" xr:uid="{00000000-0005-0000-0000-0000A0950000}"/>
    <cellStyle name="Note 2 4 5 2" xfId="38307" xr:uid="{00000000-0005-0000-0000-0000A1950000}"/>
    <cellStyle name="Note 2 4 5 2 2" xfId="38308" xr:uid="{00000000-0005-0000-0000-0000A2950000}"/>
    <cellStyle name="Note 2 4 5 2 3" xfId="38309" xr:uid="{00000000-0005-0000-0000-0000A3950000}"/>
    <cellStyle name="Note 2 4 5 2 4" xfId="38310" xr:uid="{00000000-0005-0000-0000-0000A4950000}"/>
    <cellStyle name="Note 2 4 5 2 5" xfId="38311" xr:uid="{00000000-0005-0000-0000-0000A5950000}"/>
    <cellStyle name="Note 2 4 5 3" xfId="38312" xr:uid="{00000000-0005-0000-0000-0000A6950000}"/>
    <cellStyle name="Note 2 4 5 4" xfId="38313" xr:uid="{00000000-0005-0000-0000-0000A7950000}"/>
    <cellStyle name="Note 2 4 5 5" xfId="38314" xr:uid="{00000000-0005-0000-0000-0000A8950000}"/>
    <cellStyle name="Note 2 4 5 6" xfId="38315" xr:uid="{00000000-0005-0000-0000-0000A9950000}"/>
    <cellStyle name="Note 2 4 6" xfId="38316" xr:uid="{00000000-0005-0000-0000-0000AA950000}"/>
    <cellStyle name="Note 2 4 6 2" xfId="38317" xr:uid="{00000000-0005-0000-0000-0000AB950000}"/>
    <cellStyle name="Note 2 4 6 2 2" xfId="38318" xr:uid="{00000000-0005-0000-0000-0000AC950000}"/>
    <cellStyle name="Note 2 4 6 2 3" xfId="38319" xr:uid="{00000000-0005-0000-0000-0000AD950000}"/>
    <cellStyle name="Note 2 4 6 2 4" xfId="38320" xr:uid="{00000000-0005-0000-0000-0000AE950000}"/>
    <cellStyle name="Note 2 4 6 2 5" xfId="38321" xr:uid="{00000000-0005-0000-0000-0000AF950000}"/>
    <cellStyle name="Note 2 4 6 3" xfId="38322" xr:uid="{00000000-0005-0000-0000-0000B0950000}"/>
    <cellStyle name="Note 2 4 6 4" xfId="38323" xr:uid="{00000000-0005-0000-0000-0000B1950000}"/>
    <cellStyle name="Note 2 4 6 5" xfId="38324" xr:uid="{00000000-0005-0000-0000-0000B2950000}"/>
    <cellStyle name="Note 2 4 6 6" xfId="38325" xr:uid="{00000000-0005-0000-0000-0000B3950000}"/>
    <cellStyle name="Note 2 4 7" xfId="38326" xr:uid="{00000000-0005-0000-0000-0000B4950000}"/>
    <cellStyle name="Note 2 4 7 2" xfId="38327" xr:uid="{00000000-0005-0000-0000-0000B5950000}"/>
    <cellStyle name="Note 2 4 7 2 2" xfId="38328" xr:uid="{00000000-0005-0000-0000-0000B6950000}"/>
    <cellStyle name="Note 2 4 7 2 3" xfId="38329" xr:uid="{00000000-0005-0000-0000-0000B7950000}"/>
    <cellStyle name="Note 2 4 7 2 4" xfId="38330" xr:uid="{00000000-0005-0000-0000-0000B8950000}"/>
    <cellStyle name="Note 2 4 7 2 5" xfId="38331" xr:uid="{00000000-0005-0000-0000-0000B9950000}"/>
    <cellStyle name="Note 2 4 7 3" xfId="38332" xr:uid="{00000000-0005-0000-0000-0000BA950000}"/>
    <cellStyle name="Note 2 4 7 4" xfId="38333" xr:uid="{00000000-0005-0000-0000-0000BB950000}"/>
    <cellStyle name="Note 2 4 7 5" xfId="38334" xr:uid="{00000000-0005-0000-0000-0000BC950000}"/>
    <cellStyle name="Note 2 4 7 6" xfId="38335" xr:uid="{00000000-0005-0000-0000-0000BD950000}"/>
    <cellStyle name="Note 2 4 8" xfId="38336" xr:uid="{00000000-0005-0000-0000-0000BE950000}"/>
    <cellStyle name="Note 2 4 8 2" xfId="38337" xr:uid="{00000000-0005-0000-0000-0000BF950000}"/>
    <cellStyle name="Note 2 4 8 2 2" xfId="38338" xr:uid="{00000000-0005-0000-0000-0000C0950000}"/>
    <cellStyle name="Note 2 4 8 2 3" xfId="38339" xr:uid="{00000000-0005-0000-0000-0000C1950000}"/>
    <cellStyle name="Note 2 4 8 2 4" xfId="38340" xr:uid="{00000000-0005-0000-0000-0000C2950000}"/>
    <cellStyle name="Note 2 4 8 2 5" xfId="38341" xr:uid="{00000000-0005-0000-0000-0000C3950000}"/>
    <cellStyle name="Note 2 4 8 3" xfId="38342" xr:uid="{00000000-0005-0000-0000-0000C4950000}"/>
    <cellStyle name="Note 2 4 8 4" xfId="38343" xr:uid="{00000000-0005-0000-0000-0000C5950000}"/>
    <cellStyle name="Note 2 4 8 5" xfId="38344" xr:uid="{00000000-0005-0000-0000-0000C6950000}"/>
    <cellStyle name="Note 2 4 8 6" xfId="38345" xr:uid="{00000000-0005-0000-0000-0000C7950000}"/>
    <cellStyle name="Note 2 4 9" xfId="38346" xr:uid="{00000000-0005-0000-0000-0000C8950000}"/>
    <cellStyle name="Note 2 4 9 2" xfId="38347" xr:uid="{00000000-0005-0000-0000-0000C9950000}"/>
    <cellStyle name="Note 2 4 9 2 2" xfId="38348" xr:uid="{00000000-0005-0000-0000-0000CA950000}"/>
    <cellStyle name="Note 2 4 9 2 3" xfId="38349" xr:uid="{00000000-0005-0000-0000-0000CB950000}"/>
    <cellStyle name="Note 2 4 9 2 4" xfId="38350" xr:uid="{00000000-0005-0000-0000-0000CC950000}"/>
    <cellStyle name="Note 2 4 9 2 5" xfId="38351" xr:uid="{00000000-0005-0000-0000-0000CD950000}"/>
    <cellStyle name="Note 2 4 9 3" xfId="38352" xr:uid="{00000000-0005-0000-0000-0000CE950000}"/>
    <cellStyle name="Note 2 4 9 4" xfId="38353" xr:uid="{00000000-0005-0000-0000-0000CF950000}"/>
    <cellStyle name="Note 2 4 9 5" xfId="38354" xr:uid="{00000000-0005-0000-0000-0000D0950000}"/>
    <cellStyle name="Note 2 4 9 6" xfId="38355" xr:uid="{00000000-0005-0000-0000-0000D1950000}"/>
    <cellStyle name="Note 2 5" xfId="38356" xr:uid="{00000000-0005-0000-0000-0000D2950000}"/>
    <cellStyle name="Note 2 5 2" xfId="38357" xr:uid="{00000000-0005-0000-0000-0000D3950000}"/>
    <cellStyle name="Note 2 5 3" xfId="38358" xr:uid="{00000000-0005-0000-0000-0000D4950000}"/>
    <cellStyle name="Note 2 6" xfId="38359" xr:uid="{00000000-0005-0000-0000-0000D5950000}"/>
    <cellStyle name="Note 2 6 2" xfId="38360" xr:uid="{00000000-0005-0000-0000-0000D6950000}"/>
    <cellStyle name="Note 2 6 3" xfId="38361" xr:uid="{00000000-0005-0000-0000-0000D7950000}"/>
    <cellStyle name="Note 2 7" xfId="38362" xr:uid="{00000000-0005-0000-0000-0000D8950000}"/>
    <cellStyle name="Note 2 7 2" xfId="38363" xr:uid="{00000000-0005-0000-0000-0000D9950000}"/>
    <cellStyle name="Note 2 7 3" xfId="38364" xr:uid="{00000000-0005-0000-0000-0000DA950000}"/>
    <cellStyle name="Note 2 7 4" xfId="38365" xr:uid="{00000000-0005-0000-0000-0000DB950000}"/>
    <cellStyle name="Note 2 7 5" xfId="38366" xr:uid="{00000000-0005-0000-0000-0000DC950000}"/>
    <cellStyle name="Note 2 7 6" xfId="38367" xr:uid="{00000000-0005-0000-0000-0000DD950000}"/>
    <cellStyle name="Note 2 8" xfId="38368" xr:uid="{00000000-0005-0000-0000-0000DE950000}"/>
    <cellStyle name="Note 2 9" xfId="38369" xr:uid="{00000000-0005-0000-0000-0000DF950000}"/>
    <cellStyle name="Note 3" xfId="38370" xr:uid="{00000000-0005-0000-0000-0000E0950000}"/>
    <cellStyle name="Note 3 10" xfId="38371" xr:uid="{00000000-0005-0000-0000-0000E1950000}"/>
    <cellStyle name="Note 3 10 2" xfId="38372" xr:uid="{00000000-0005-0000-0000-0000E2950000}"/>
    <cellStyle name="Note 3 10 2 2" xfId="38373" xr:uid="{00000000-0005-0000-0000-0000E3950000}"/>
    <cellStyle name="Note 3 10 2 3" xfId="38374" xr:uid="{00000000-0005-0000-0000-0000E4950000}"/>
    <cellStyle name="Note 3 10 2 4" xfId="38375" xr:uid="{00000000-0005-0000-0000-0000E5950000}"/>
    <cellStyle name="Note 3 10 2 5" xfId="38376" xr:uid="{00000000-0005-0000-0000-0000E6950000}"/>
    <cellStyle name="Note 3 10 2 6" xfId="38377" xr:uid="{00000000-0005-0000-0000-0000E7950000}"/>
    <cellStyle name="Note 3 10 3" xfId="38378" xr:uid="{00000000-0005-0000-0000-0000E8950000}"/>
    <cellStyle name="Note 3 10 4" xfId="38379" xr:uid="{00000000-0005-0000-0000-0000E9950000}"/>
    <cellStyle name="Note 3 10 5" xfId="38380" xr:uid="{00000000-0005-0000-0000-0000EA950000}"/>
    <cellStyle name="Note 3 10 6" xfId="38381" xr:uid="{00000000-0005-0000-0000-0000EB950000}"/>
    <cellStyle name="Note 3 10 7" xfId="38382" xr:uid="{00000000-0005-0000-0000-0000EC950000}"/>
    <cellStyle name="Note 3 11" xfId="38383" xr:uid="{00000000-0005-0000-0000-0000ED950000}"/>
    <cellStyle name="Note 3 11 2" xfId="38384" xr:uid="{00000000-0005-0000-0000-0000EE950000}"/>
    <cellStyle name="Note 3 11 2 2" xfId="38385" xr:uid="{00000000-0005-0000-0000-0000EF950000}"/>
    <cellStyle name="Note 3 11 2 3" xfId="38386" xr:uid="{00000000-0005-0000-0000-0000F0950000}"/>
    <cellStyle name="Note 3 11 2 4" xfId="38387" xr:uid="{00000000-0005-0000-0000-0000F1950000}"/>
    <cellStyle name="Note 3 11 2 5" xfId="38388" xr:uid="{00000000-0005-0000-0000-0000F2950000}"/>
    <cellStyle name="Note 3 11 2 6" xfId="38389" xr:uid="{00000000-0005-0000-0000-0000F3950000}"/>
    <cellStyle name="Note 3 11 3" xfId="38390" xr:uid="{00000000-0005-0000-0000-0000F4950000}"/>
    <cellStyle name="Note 3 11 4" xfId="38391" xr:uid="{00000000-0005-0000-0000-0000F5950000}"/>
    <cellStyle name="Note 3 11 5" xfId="38392" xr:uid="{00000000-0005-0000-0000-0000F6950000}"/>
    <cellStyle name="Note 3 11 6" xfId="38393" xr:uid="{00000000-0005-0000-0000-0000F7950000}"/>
    <cellStyle name="Note 3 11 7" xfId="38394" xr:uid="{00000000-0005-0000-0000-0000F8950000}"/>
    <cellStyle name="Note 3 12" xfId="38395" xr:uid="{00000000-0005-0000-0000-0000F9950000}"/>
    <cellStyle name="Note 3 12 2" xfId="38396" xr:uid="{00000000-0005-0000-0000-0000FA950000}"/>
    <cellStyle name="Note 3 12 2 2" xfId="38397" xr:uid="{00000000-0005-0000-0000-0000FB950000}"/>
    <cellStyle name="Note 3 12 2 3" xfId="38398" xr:uid="{00000000-0005-0000-0000-0000FC950000}"/>
    <cellStyle name="Note 3 12 2 4" xfId="38399" xr:uid="{00000000-0005-0000-0000-0000FD950000}"/>
    <cellStyle name="Note 3 12 2 5" xfId="38400" xr:uid="{00000000-0005-0000-0000-0000FE950000}"/>
    <cellStyle name="Note 3 12 2 6" xfId="38401" xr:uid="{00000000-0005-0000-0000-0000FF950000}"/>
    <cellStyle name="Note 3 12 3" xfId="38402" xr:uid="{00000000-0005-0000-0000-000000960000}"/>
    <cellStyle name="Note 3 12 4" xfId="38403" xr:uid="{00000000-0005-0000-0000-000001960000}"/>
    <cellStyle name="Note 3 12 5" xfId="38404" xr:uid="{00000000-0005-0000-0000-000002960000}"/>
    <cellStyle name="Note 3 12 6" xfId="38405" xr:uid="{00000000-0005-0000-0000-000003960000}"/>
    <cellStyle name="Note 3 12 7" xfId="38406" xr:uid="{00000000-0005-0000-0000-000004960000}"/>
    <cellStyle name="Note 3 13" xfId="38407" xr:uid="{00000000-0005-0000-0000-000005960000}"/>
    <cellStyle name="Note 3 13 2" xfId="38408" xr:uid="{00000000-0005-0000-0000-000006960000}"/>
    <cellStyle name="Note 3 13 2 2" xfId="38409" xr:uid="{00000000-0005-0000-0000-000007960000}"/>
    <cellStyle name="Note 3 13 2 3" xfId="38410" xr:uid="{00000000-0005-0000-0000-000008960000}"/>
    <cellStyle name="Note 3 13 2 4" xfId="38411" xr:uid="{00000000-0005-0000-0000-000009960000}"/>
    <cellStyle name="Note 3 13 2 5" xfId="38412" xr:uid="{00000000-0005-0000-0000-00000A960000}"/>
    <cellStyle name="Note 3 13 2 6" xfId="38413" xr:uid="{00000000-0005-0000-0000-00000B960000}"/>
    <cellStyle name="Note 3 13 3" xfId="38414" xr:uid="{00000000-0005-0000-0000-00000C960000}"/>
    <cellStyle name="Note 3 13 4" xfId="38415" xr:uid="{00000000-0005-0000-0000-00000D960000}"/>
    <cellStyle name="Note 3 13 5" xfId="38416" xr:uid="{00000000-0005-0000-0000-00000E960000}"/>
    <cellStyle name="Note 3 13 6" xfId="38417" xr:uid="{00000000-0005-0000-0000-00000F960000}"/>
    <cellStyle name="Note 3 13 7" xfId="38418" xr:uid="{00000000-0005-0000-0000-000010960000}"/>
    <cellStyle name="Note 3 14" xfId="38419" xr:uid="{00000000-0005-0000-0000-000011960000}"/>
    <cellStyle name="Note 3 14 2" xfId="38420" xr:uid="{00000000-0005-0000-0000-000012960000}"/>
    <cellStyle name="Note 3 14 2 2" xfId="38421" xr:uid="{00000000-0005-0000-0000-000013960000}"/>
    <cellStyle name="Note 3 14 2 3" xfId="38422" xr:uid="{00000000-0005-0000-0000-000014960000}"/>
    <cellStyle name="Note 3 14 2 4" xfId="38423" xr:uid="{00000000-0005-0000-0000-000015960000}"/>
    <cellStyle name="Note 3 14 2 5" xfId="38424" xr:uid="{00000000-0005-0000-0000-000016960000}"/>
    <cellStyle name="Note 3 14 2 6" xfId="38425" xr:uid="{00000000-0005-0000-0000-000017960000}"/>
    <cellStyle name="Note 3 14 3" xfId="38426" xr:uid="{00000000-0005-0000-0000-000018960000}"/>
    <cellStyle name="Note 3 14 4" xfId="38427" xr:uid="{00000000-0005-0000-0000-000019960000}"/>
    <cellStyle name="Note 3 14 5" xfId="38428" xr:uid="{00000000-0005-0000-0000-00001A960000}"/>
    <cellStyle name="Note 3 14 6" xfId="38429" xr:uid="{00000000-0005-0000-0000-00001B960000}"/>
    <cellStyle name="Note 3 14 7" xfId="38430" xr:uid="{00000000-0005-0000-0000-00001C960000}"/>
    <cellStyle name="Note 3 15" xfId="38431" xr:uid="{00000000-0005-0000-0000-00001D960000}"/>
    <cellStyle name="Note 3 15 2" xfId="38432" xr:uid="{00000000-0005-0000-0000-00001E960000}"/>
    <cellStyle name="Note 3 15 2 2" xfId="38433" xr:uid="{00000000-0005-0000-0000-00001F960000}"/>
    <cellStyle name="Note 3 15 2 3" xfId="38434" xr:uid="{00000000-0005-0000-0000-000020960000}"/>
    <cellStyle name="Note 3 15 2 4" xfId="38435" xr:uid="{00000000-0005-0000-0000-000021960000}"/>
    <cellStyle name="Note 3 15 2 5" xfId="38436" xr:uid="{00000000-0005-0000-0000-000022960000}"/>
    <cellStyle name="Note 3 15 2 6" xfId="38437" xr:uid="{00000000-0005-0000-0000-000023960000}"/>
    <cellStyle name="Note 3 15 3" xfId="38438" xr:uid="{00000000-0005-0000-0000-000024960000}"/>
    <cellStyle name="Note 3 15 4" xfId="38439" xr:uid="{00000000-0005-0000-0000-000025960000}"/>
    <cellStyle name="Note 3 15 5" xfId="38440" xr:uid="{00000000-0005-0000-0000-000026960000}"/>
    <cellStyle name="Note 3 15 6" xfId="38441" xr:uid="{00000000-0005-0000-0000-000027960000}"/>
    <cellStyle name="Note 3 15 7" xfId="38442" xr:uid="{00000000-0005-0000-0000-000028960000}"/>
    <cellStyle name="Note 3 16" xfId="38443" xr:uid="{00000000-0005-0000-0000-000029960000}"/>
    <cellStyle name="Note 3 16 2" xfId="38444" xr:uid="{00000000-0005-0000-0000-00002A960000}"/>
    <cellStyle name="Note 3 16 2 2" xfId="38445" xr:uid="{00000000-0005-0000-0000-00002B960000}"/>
    <cellStyle name="Note 3 16 2 3" xfId="38446" xr:uid="{00000000-0005-0000-0000-00002C960000}"/>
    <cellStyle name="Note 3 16 2 4" xfId="38447" xr:uid="{00000000-0005-0000-0000-00002D960000}"/>
    <cellStyle name="Note 3 16 2 5" xfId="38448" xr:uid="{00000000-0005-0000-0000-00002E960000}"/>
    <cellStyle name="Note 3 16 2 6" xfId="38449" xr:uid="{00000000-0005-0000-0000-00002F960000}"/>
    <cellStyle name="Note 3 16 3" xfId="38450" xr:uid="{00000000-0005-0000-0000-000030960000}"/>
    <cellStyle name="Note 3 16 4" xfId="38451" xr:uid="{00000000-0005-0000-0000-000031960000}"/>
    <cellStyle name="Note 3 16 5" xfId="38452" xr:uid="{00000000-0005-0000-0000-000032960000}"/>
    <cellStyle name="Note 3 16 6" xfId="38453" xr:uid="{00000000-0005-0000-0000-000033960000}"/>
    <cellStyle name="Note 3 16 7" xfId="38454" xr:uid="{00000000-0005-0000-0000-000034960000}"/>
    <cellStyle name="Note 3 17" xfId="38455" xr:uid="{00000000-0005-0000-0000-000035960000}"/>
    <cellStyle name="Note 3 17 2" xfId="38456" xr:uid="{00000000-0005-0000-0000-000036960000}"/>
    <cellStyle name="Note 3 17 2 2" xfId="38457" xr:uid="{00000000-0005-0000-0000-000037960000}"/>
    <cellStyle name="Note 3 17 2 3" xfId="38458" xr:uid="{00000000-0005-0000-0000-000038960000}"/>
    <cellStyle name="Note 3 17 2 4" xfId="38459" xr:uid="{00000000-0005-0000-0000-000039960000}"/>
    <cellStyle name="Note 3 17 2 5" xfId="38460" xr:uid="{00000000-0005-0000-0000-00003A960000}"/>
    <cellStyle name="Note 3 17 2 6" xfId="38461" xr:uid="{00000000-0005-0000-0000-00003B960000}"/>
    <cellStyle name="Note 3 17 3" xfId="38462" xr:uid="{00000000-0005-0000-0000-00003C960000}"/>
    <cellStyle name="Note 3 17 4" xfId="38463" xr:uid="{00000000-0005-0000-0000-00003D960000}"/>
    <cellStyle name="Note 3 17 5" xfId="38464" xr:uid="{00000000-0005-0000-0000-00003E960000}"/>
    <cellStyle name="Note 3 17 6" xfId="38465" xr:uid="{00000000-0005-0000-0000-00003F960000}"/>
    <cellStyle name="Note 3 17 7" xfId="38466" xr:uid="{00000000-0005-0000-0000-000040960000}"/>
    <cellStyle name="Note 3 18" xfId="38467" xr:uid="{00000000-0005-0000-0000-000041960000}"/>
    <cellStyle name="Note 3 18 2" xfId="38468" xr:uid="{00000000-0005-0000-0000-000042960000}"/>
    <cellStyle name="Note 3 18 2 2" xfId="38469" xr:uid="{00000000-0005-0000-0000-000043960000}"/>
    <cellStyle name="Note 3 18 2 3" xfId="38470" xr:uid="{00000000-0005-0000-0000-000044960000}"/>
    <cellStyle name="Note 3 18 2 4" xfId="38471" xr:uid="{00000000-0005-0000-0000-000045960000}"/>
    <cellStyle name="Note 3 18 2 5" xfId="38472" xr:uid="{00000000-0005-0000-0000-000046960000}"/>
    <cellStyle name="Note 3 18 2 6" xfId="38473" xr:uid="{00000000-0005-0000-0000-000047960000}"/>
    <cellStyle name="Note 3 18 3" xfId="38474" xr:uid="{00000000-0005-0000-0000-000048960000}"/>
    <cellStyle name="Note 3 18 4" xfId="38475" xr:uid="{00000000-0005-0000-0000-000049960000}"/>
    <cellStyle name="Note 3 18 5" xfId="38476" xr:uid="{00000000-0005-0000-0000-00004A960000}"/>
    <cellStyle name="Note 3 18 6" xfId="38477" xr:uid="{00000000-0005-0000-0000-00004B960000}"/>
    <cellStyle name="Note 3 18 7" xfId="38478" xr:uid="{00000000-0005-0000-0000-00004C960000}"/>
    <cellStyle name="Note 3 19" xfId="38479" xr:uid="{00000000-0005-0000-0000-00004D960000}"/>
    <cellStyle name="Note 3 19 2" xfId="38480" xr:uid="{00000000-0005-0000-0000-00004E960000}"/>
    <cellStyle name="Note 3 19 2 2" xfId="38481" xr:uid="{00000000-0005-0000-0000-00004F960000}"/>
    <cellStyle name="Note 3 19 2 3" xfId="38482" xr:uid="{00000000-0005-0000-0000-000050960000}"/>
    <cellStyle name="Note 3 19 2 4" xfId="38483" xr:uid="{00000000-0005-0000-0000-000051960000}"/>
    <cellStyle name="Note 3 19 2 5" xfId="38484" xr:uid="{00000000-0005-0000-0000-000052960000}"/>
    <cellStyle name="Note 3 19 2 6" xfId="38485" xr:uid="{00000000-0005-0000-0000-000053960000}"/>
    <cellStyle name="Note 3 19 3" xfId="38486" xr:uid="{00000000-0005-0000-0000-000054960000}"/>
    <cellStyle name="Note 3 19 4" xfId="38487" xr:uid="{00000000-0005-0000-0000-000055960000}"/>
    <cellStyle name="Note 3 19 5" xfId="38488" xr:uid="{00000000-0005-0000-0000-000056960000}"/>
    <cellStyle name="Note 3 19 6" xfId="38489" xr:uid="{00000000-0005-0000-0000-000057960000}"/>
    <cellStyle name="Note 3 19 7" xfId="38490" xr:uid="{00000000-0005-0000-0000-000058960000}"/>
    <cellStyle name="Note 3 2" xfId="38491" xr:uid="{00000000-0005-0000-0000-000059960000}"/>
    <cellStyle name="Note 3 2 10" xfId="38492" xr:uid="{00000000-0005-0000-0000-00005A960000}"/>
    <cellStyle name="Note 3 2 10 2" xfId="38493" xr:uid="{00000000-0005-0000-0000-00005B960000}"/>
    <cellStyle name="Note 3 2 10 2 2" xfId="38494" xr:uid="{00000000-0005-0000-0000-00005C960000}"/>
    <cellStyle name="Note 3 2 10 2 3" xfId="38495" xr:uid="{00000000-0005-0000-0000-00005D960000}"/>
    <cellStyle name="Note 3 2 10 2 4" xfId="38496" xr:uid="{00000000-0005-0000-0000-00005E960000}"/>
    <cellStyle name="Note 3 2 10 2 5" xfId="38497" xr:uid="{00000000-0005-0000-0000-00005F960000}"/>
    <cellStyle name="Note 3 2 10 2 6" xfId="38498" xr:uid="{00000000-0005-0000-0000-000060960000}"/>
    <cellStyle name="Note 3 2 10 3" xfId="38499" xr:uid="{00000000-0005-0000-0000-000061960000}"/>
    <cellStyle name="Note 3 2 10 3 2" xfId="38500" xr:uid="{00000000-0005-0000-0000-000062960000}"/>
    <cellStyle name="Note 3 2 10 3 3" xfId="38501" xr:uid="{00000000-0005-0000-0000-000063960000}"/>
    <cellStyle name="Note 3 2 10 3 4" xfId="38502" xr:uid="{00000000-0005-0000-0000-000064960000}"/>
    <cellStyle name="Note 3 2 10 3 5" xfId="38503" xr:uid="{00000000-0005-0000-0000-000065960000}"/>
    <cellStyle name="Note 3 2 10 3 6" xfId="38504" xr:uid="{00000000-0005-0000-0000-000066960000}"/>
    <cellStyle name="Note 3 2 10 4" xfId="38505" xr:uid="{00000000-0005-0000-0000-000067960000}"/>
    <cellStyle name="Note 3 2 10 5" xfId="38506" xr:uid="{00000000-0005-0000-0000-000068960000}"/>
    <cellStyle name="Note 3 2 10 6" xfId="38507" xr:uid="{00000000-0005-0000-0000-000069960000}"/>
    <cellStyle name="Note 3 2 10 7" xfId="38508" xr:uid="{00000000-0005-0000-0000-00006A960000}"/>
    <cellStyle name="Note 3 2 10 8" xfId="38509" xr:uid="{00000000-0005-0000-0000-00006B960000}"/>
    <cellStyle name="Note 3 2 11" xfId="38510" xr:uid="{00000000-0005-0000-0000-00006C960000}"/>
    <cellStyle name="Note 3 2 11 2" xfId="38511" xr:uid="{00000000-0005-0000-0000-00006D960000}"/>
    <cellStyle name="Note 3 2 11 2 2" xfId="38512" xr:uid="{00000000-0005-0000-0000-00006E960000}"/>
    <cellStyle name="Note 3 2 11 2 3" xfId="38513" xr:uid="{00000000-0005-0000-0000-00006F960000}"/>
    <cellStyle name="Note 3 2 11 2 4" xfId="38514" xr:uid="{00000000-0005-0000-0000-000070960000}"/>
    <cellStyle name="Note 3 2 11 2 5" xfId="38515" xr:uid="{00000000-0005-0000-0000-000071960000}"/>
    <cellStyle name="Note 3 2 11 2 6" xfId="38516" xr:uid="{00000000-0005-0000-0000-000072960000}"/>
    <cellStyle name="Note 3 2 11 3" xfId="38517" xr:uid="{00000000-0005-0000-0000-000073960000}"/>
    <cellStyle name="Note 3 2 11 4" xfId="38518" xr:uid="{00000000-0005-0000-0000-000074960000}"/>
    <cellStyle name="Note 3 2 11 5" xfId="38519" xr:uid="{00000000-0005-0000-0000-000075960000}"/>
    <cellStyle name="Note 3 2 11 6" xfId="38520" xr:uid="{00000000-0005-0000-0000-000076960000}"/>
    <cellStyle name="Note 3 2 11 7" xfId="38521" xr:uid="{00000000-0005-0000-0000-000077960000}"/>
    <cellStyle name="Note 3 2 12" xfId="38522" xr:uid="{00000000-0005-0000-0000-000078960000}"/>
    <cellStyle name="Note 3 2 12 2" xfId="38523" xr:uid="{00000000-0005-0000-0000-000079960000}"/>
    <cellStyle name="Note 3 2 12 2 2" xfId="38524" xr:uid="{00000000-0005-0000-0000-00007A960000}"/>
    <cellStyle name="Note 3 2 12 2 3" xfId="38525" xr:uid="{00000000-0005-0000-0000-00007B960000}"/>
    <cellStyle name="Note 3 2 12 2 4" xfId="38526" xr:uid="{00000000-0005-0000-0000-00007C960000}"/>
    <cellStyle name="Note 3 2 12 2 5" xfId="38527" xr:uid="{00000000-0005-0000-0000-00007D960000}"/>
    <cellStyle name="Note 3 2 12 2 6" xfId="38528" xr:uid="{00000000-0005-0000-0000-00007E960000}"/>
    <cellStyle name="Note 3 2 12 3" xfId="38529" xr:uid="{00000000-0005-0000-0000-00007F960000}"/>
    <cellStyle name="Note 3 2 12 4" xfId="38530" xr:uid="{00000000-0005-0000-0000-000080960000}"/>
    <cellStyle name="Note 3 2 12 5" xfId="38531" xr:uid="{00000000-0005-0000-0000-000081960000}"/>
    <cellStyle name="Note 3 2 12 6" xfId="38532" xr:uid="{00000000-0005-0000-0000-000082960000}"/>
    <cellStyle name="Note 3 2 12 7" xfId="38533" xr:uid="{00000000-0005-0000-0000-000083960000}"/>
    <cellStyle name="Note 3 2 13" xfId="38534" xr:uid="{00000000-0005-0000-0000-000084960000}"/>
    <cellStyle name="Note 3 2 13 2" xfId="38535" xr:uid="{00000000-0005-0000-0000-000085960000}"/>
    <cellStyle name="Note 3 2 13 2 2" xfId="38536" xr:uid="{00000000-0005-0000-0000-000086960000}"/>
    <cellStyle name="Note 3 2 13 2 3" xfId="38537" xr:uid="{00000000-0005-0000-0000-000087960000}"/>
    <cellStyle name="Note 3 2 13 2 4" xfId="38538" xr:uid="{00000000-0005-0000-0000-000088960000}"/>
    <cellStyle name="Note 3 2 13 2 5" xfId="38539" xr:uid="{00000000-0005-0000-0000-000089960000}"/>
    <cellStyle name="Note 3 2 13 2 6" xfId="38540" xr:uid="{00000000-0005-0000-0000-00008A960000}"/>
    <cellStyle name="Note 3 2 13 3" xfId="38541" xr:uid="{00000000-0005-0000-0000-00008B960000}"/>
    <cellStyle name="Note 3 2 13 4" xfId="38542" xr:uid="{00000000-0005-0000-0000-00008C960000}"/>
    <cellStyle name="Note 3 2 13 5" xfId="38543" xr:uid="{00000000-0005-0000-0000-00008D960000}"/>
    <cellStyle name="Note 3 2 13 6" xfId="38544" xr:uid="{00000000-0005-0000-0000-00008E960000}"/>
    <cellStyle name="Note 3 2 13 7" xfId="38545" xr:uid="{00000000-0005-0000-0000-00008F960000}"/>
    <cellStyle name="Note 3 2 14" xfId="38546" xr:uid="{00000000-0005-0000-0000-000090960000}"/>
    <cellStyle name="Note 3 2 14 2" xfId="38547" xr:uid="{00000000-0005-0000-0000-000091960000}"/>
    <cellStyle name="Note 3 2 14 2 2" xfId="38548" xr:uid="{00000000-0005-0000-0000-000092960000}"/>
    <cellStyle name="Note 3 2 14 2 3" xfId="38549" xr:uid="{00000000-0005-0000-0000-000093960000}"/>
    <cellStyle name="Note 3 2 14 2 4" xfId="38550" xr:uid="{00000000-0005-0000-0000-000094960000}"/>
    <cellStyle name="Note 3 2 14 2 5" xfId="38551" xr:uid="{00000000-0005-0000-0000-000095960000}"/>
    <cellStyle name="Note 3 2 14 2 6" xfId="38552" xr:uid="{00000000-0005-0000-0000-000096960000}"/>
    <cellStyle name="Note 3 2 14 3" xfId="38553" xr:uid="{00000000-0005-0000-0000-000097960000}"/>
    <cellStyle name="Note 3 2 14 4" xfId="38554" xr:uid="{00000000-0005-0000-0000-000098960000}"/>
    <cellStyle name="Note 3 2 14 5" xfId="38555" xr:uid="{00000000-0005-0000-0000-000099960000}"/>
    <cellStyle name="Note 3 2 14 6" xfId="38556" xr:uid="{00000000-0005-0000-0000-00009A960000}"/>
    <cellStyle name="Note 3 2 14 7" xfId="38557" xr:uid="{00000000-0005-0000-0000-00009B960000}"/>
    <cellStyle name="Note 3 2 15" xfId="38558" xr:uid="{00000000-0005-0000-0000-00009C960000}"/>
    <cellStyle name="Note 3 2 15 2" xfId="38559" xr:uid="{00000000-0005-0000-0000-00009D960000}"/>
    <cellStyle name="Note 3 2 15 2 2" xfId="38560" xr:uid="{00000000-0005-0000-0000-00009E960000}"/>
    <cellStyle name="Note 3 2 15 2 3" xfId="38561" xr:uid="{00000000-0005-0000-0000-00009F960000}"/>
    <cellStyle name="Note 3 2 15 2 4" xfId="38562" xr:uid="{00000000-0005-0000-0000-0000A0960000}"/>
    <cellStyle name="Note 3 2 15 2 5" xfId="38563" xr:uid="{00000000-0005-0000-0000-0000A1960000}"/>
    <cellStyle name="Note 3 2 15 2 6" xfId="38564" xr:uid="{00000000-0005-0000-0000-0000A2960000}"/>
    <cellStyle name="Note 3 2 15 3" xfId="38565" xr:uid="{00000000-0005-0000-0000-0000A3960000}"/>
    <cellStyle name="Note 3 2 15 4" xfId="38566" xr:uid="{00000000-0005-0000-0000-0000A4960000}"/>
    <cellStyle name="Note 3 2 15 5" xfId="38567" xr:uid="{00000000-0005-0000-0000-0000A5960000}"/>
    <cellStyle name="Note 3 2 15 6" xfId="38568" xr:uid="{00000000-0005-0000-0000-0000A6960000}"/>
    <cellStyle name="Note 3 2 15 7" xfId="38569" xr:uid="{00000000-0005-0000-0000-0000A7960000}"/>
    <cellStyle name="Note 3 2 16" xfId="38570" xr:uid="{00000000-0005-0000-0000-0000A8960000}"/>
    <cellStyle name="Note 3 2 16 2" xfId="38571" xr:uid="{00000000-0005-0000-0000-0000A9960000}"/>
    <cellStyle name="Note 3 2 16 2 2" xfId="38572" xr:uid="{00000000-0005-0000-0000-0000AA960000}"/>
    <cellStyle name="Note 3 2 16 2 3" xfId="38573" xr:uid="{00000000-0005-0000-0000-0000AB960000}"/>
    <cellStyle name="Note 3 2 16 2 4" xfId="38574" xr:uid="{00000000-0005-0000-0000-0000AC960000}"/>
    <cellStyle name="Note 3 2 16 2 5" xfId="38575" xr:uid="{00000000-0005-0000-0000-0000AD960000}"/>
    <cellStyle name="Note 3 2 16 2 6" xfId="38576" xr:uid="{00000000-0005-0000-0000-0000AE960000}"/>
    <cellStyle name="Note 3 2 16 3" xfId="38577" xr:uid="{00000000-0005-0000-0000-0000AF960000}"/>
    <cellStyle name="Note 3 2 16 4" xfId="38578" xr:uid="{00000000-0005-0000-0000-0000B0960000}"/>
    <cellStyle name="Note 3 2 16 5" xfId="38579" xr:uid="{00000000-0005-0000-0000-0000B1960000}"/>
    <cellStyle name="Note 3 2 16 6" xfId="38580" xr:uid="{00000000-0005-0000-0000-0000B2960000}"/>
    <cellStyle name="Note 3 2 16 7" xfId="38581" xr:uid="{00000000-0005-0000-0000-0000B3960000}"/>
    <cellStyle name="Note 3 2 17" xfId="38582" xr:uid="{00000000-0005-0000-0000-0000B4960000}"/>
    <cellStyle name="Note 3 2 17 2" xfId="38583" xr:uid="{00000000-0005-0000-0000-0000B5960000}"/>
    <cellStyle name="Note 3 2 17 2 2" xfId="38584" xr:uid="{00000000-0005-0000-0000-0000B6960000}"/>
    <cellStyle name="Note 3 2 17 2 3" xfId="38585" xr:uid="{00000000-0005-0000-0000-0000B7960000}"/>
    <cellStyle name="Note 3 2 17 2 4" xfId="38586" xr:uid="{00000000-0005-0000-0000-0000B8960000}"/>
    <cellStyle name="Note 3 2 17 2 5" xfId="38587" xr:uid="{00000000-0005-0000-0000-0000B9960000}"/>
    <cellStyle name="Note 3 2 17 2 6" xfId="38588" xr:uid="{00000000-0005-0000-0000-0000BA960000}"/>
    <cellStyle name="Note 3 2 17 3" xfId="38589" xr:uid="{00000000-0005-0000-0000-0000BB960000}"/>
    <cellStyle name="Note 3 2 17 4" xfId="38590" xr:uid="{00000000-0005-0000-0000-0000BC960000}"/>
    <cellStyle name="Note 3 2 17 5" xfId="38591" xr:uid="{00000000-0005-0000-0000-0000BD960000}"/>
    <cellStyle name="Note 3 2 17 6" xfId="38592" xr:uid="{00000000-0005-0000-0000-0000BE960000}"/>
    <cellStyle name="Note 3 2 17 7" xfId="38593" xr:uid="{00000000-0005-0000-0000-0000BF960000}"/>
    <cellStyle name="Note 3 2 18" xfId="38594" xr:uid="{00000000-0005-0000-0000-0000C0960000}"/>
    <cellStyle name="Note 3 2 18 2" xfId="38595" xr:uid="{00000000-0005-0000-0000-0000C1960000}"/>
    <cellStyle name="Note 3 2 18 2 2" xfId="38596" xr:uid="{00000000-0005-0000-0000-0000C2960000}"/>
    <cellStyle name="Note 3 2 18 2 3" xfId="38597" xr:uid="{00000000-0005-0000-0000-0000C3960000}"/>
    <cellStyle name="Note 3 2 18 2 4" xfId="38598" xr:uid="{00000000-0005-0000-0000-0000C4960000}"/>
    <cellStyle name="Note 3 2 18 2 5" xfId="38599" xr:uid="{00000000-0005-0000-0000-0000C5960000}"/>
    <cellStyle name="Note 3 2 18 2 6" xfId="38600" xr:uid="{00000000-0005-0000-0000-0000C6960000}"/>
    <cellStyle name="Note 3 2 18 3" xfId="38601" xr:uid="{00000000-0005-0000-0000-0000C7960000}"/>
    <cellStyle name="Note 3 2 18 4" xfId="38602" xr:uid="{00000000-0005-0000-0000-0000C8960000}"/>
    <cellStyle name="Note 3 2 18 5" xfId="38603" xr:uid="{00000000-0005-0000-0000-0000C9960000}"/>
    <cellStyle name="Note 3 2 18 6" xfId="38604" xr:uid="{00000000-0005-0000-0000-0000CA960000}"/>
    <cellStyle name="Note 3 2 18 7" xfId="38605" xr:uid="{00000000-0005-0000-0000-0000CB960000}"/>
    <cellStyle name="Note 3 2 19" xfId="38606" xr:uid="{00000000-0005-0000-0000-0000CC960000}"/>
    <cellStyle name="Note 3 2 19 2" xfId="38607" xr:uid="{00000000-0005-0000-0000-0000CD960000}"/>
    <cellStyle name="Note 3 2 19 2 2" xfId="38608" xr:uid="{00000000-0005-0000-0000-0000CE960000}"/>
    <cellStyle name="Note 3 2 19 2 3" xfId="38609" xr:uid="{00000000-0005-0000-0000-0000CF960000}"/>
    <cellStyle name="Note 3 2 19 2 4" xfId="38610" xr:uid="{00000000-0005-0000-0000-0000D0960000}"/>
    <cellStyle name="Note 3 2 19 2 5" xfId="38611" xr:uid="{00000000-0005-0000-0000-0000D1960000}"/>
    <cellStyle name="Note 3 2 19 2 6" xfId="38612" xr:uid="{00000000-0005-0000-0000-0000D2960000}"/>
    <cellStyle name="Note 3 2 19 3" xfId="38613" xr:uid="{00000000-0005-0000-0000-0000D3960000}"/>
    <cellStyle name="Note 3 2 19 4" xfId="38614" xr:uid="{00000000-0005-0000-0000-0000D4960000}"/>
    <cellStyle name="Note 3 2 19 5" xfId="38615" xr:uid="{00000000-0005-0000-0000-0000D5960000}"/>
    <cellStyle name="Note 3 2 19 6" xfId="38616" xr:uid="{00000000-0005-0000-0000-0000D6960000}"/>
    <cellStyle name="Note 3 2 19 7" xfId="38617" xr:uid="{00000000-0005-0000-0000-0000D7960000}"/>
    <cellStyle name="Note 3 2 2" xfId="38618" xr:uid="{00000000-0005-0000-0000-0000D8960000}"/>
    <cellStyle name="Note 3 2 2 10" xfId="38619" xr:uid="{00000000-0005-0000-0000-0000D9960000}"/>
    <cellStyle name="Note 3 2 2 11" xfId="38620" xr:uid="{00000000-0005-0000-0000-0000DA960000}"/>
    <cellStyle name="Note 3 2 2 12" xfId="38621" xr:uid="{00000000-0005-0000-0000-0000DB960000}"/>
    <cellStyle name="Note 3 2 2 13" xfId="38622" xr:uid="{00000000-0005-0000-0000-0000DC960000}"/>
    <cellStyle name="Note 3 2 2 2" xfId="38623" xr:uid="{00000000-0005-0000-0000-0000DD960000}"/>
    <cellStyle name="Note 3 2 2 2 2" xfId="38624" xr:uid="{00000000-0005-0000-0000-0000DE960000}"/>
    <cellStyle name="Note 3 2 2 2 2 2" xfId="38625" xr:uid="{00000000-0005-0000-0000-0000DF960000}"/>
    <cellStyle name="Note 3 2 2 2 2 2 2" xfId="38626" xr:uid="{00000000-0005-0000-0000-0000E0960000}"/>
    <cellStyle name="Note 3 2 2 2 2 2 3" xfId="38627" xr:uid="{00000000-0005-0000-0000-0000E1960000}"/>
    <cellStyle name="Note 3 2 2 2 2 2 4" xfId="38628" xr:uid="{00000000-0005-0000-0000-0000E2960000}"/>
    <cellStyle name="Note 3 2 2 2 2 2 5" xfId="38629" xr:uid="{00000000-0005-0000-0000-0000E3960000}"/>
    <cellStyle name="Note 3 2 2 2 2 2 6" xfId="38630" xr:uid="{00000000-0005-0000-0000-0000E4960000}"/>
    <cellStyle name="Note 3 2 2 2 2 3" xfId="38631" xr:uid="{00000000-0005-0000-0000-0000E5960000}"/>
    <cellStyle name="Note 3 2 2 2 2 4" xfId="38632" xr:uid="{00000000-0005-0000-0000-0000E6960000}"/>
    <cellStyle name="Note 3 2 2 2 2 5" xfId="38633" xr:uid="{00000000-0005-0000-0000-0000E7960000}"/>
    <cellStyle name="Note 3 2 2 2 2 6" xfId="38634" xr:uid="{00000000-0005-0000-0000-0000E8960000}"/>
    <cellStyle name="Note 3 2 2 2 3" xfId="38635" xr:uid="{00000000-0005-0000-0000-0000E9960000}"/>
    <cellStyle name="Note 3 2 2 2 3 2" xfId="38636" xr:uid="{00000000-0005-0000-0000-0000EA960000}"/>
    <cellStyle name="Note 3 2 2 2 3 2 2" xfId="38637" xr:uid="{00000000-0005-0000-0000-0000EB960000}"/>
    <cellStyle name="Note 3 2 2 2 3 2 3" xfId="38638" xr:uid="{00000000-0005-0000-0000-0000EC960000}"/>
    <cellStyle name="Note 3 2 2 2 3 2 4" xfId="38639" xr:uid="{00000000-0005-0000-0000-0000ED960000}"/>
    <cellStyle name="Note 3 2 2 2 3 2 5" xfId="38640" xr:uid="{00000000-0005-0000-0000-0000EE960000}"/>
    <cellStyle name="Note 3 2 2 2 3 2 6" xfId="38641" xr:uid="{00000000-0005-0000-0000-0000EF960000}"/>
    <cellStyle name="Note 3 2 2 2 3 3" xfId="38642" xr:uid="{00000000-0005-0000-0000-0000F0960000}"/>
    <cellStyle name="Note 3 2 2 2 3 4" xfId="38643" xr:uid="{00000000-0005-0000-0000-0000F1960000}"/>
    <cellStyle name="Note 3 2 2 2 3 5" xfId="38644" xr:uid="{00000000-0005-0000-0000-0000F2960000}"/>
    <cellStyle name="Note 3 2 2 2 3 6" xfId="38645" xr:uid="{00000000-0005-0000-0000-0000F3960000}"/>
    <cellStyle name="Note 3 2 2 2 4" xfId="38646" xr:uid="{00000000-0005-0000-0000-0000F4960000}"/>
    <cellStyle name="Note 3 2 2 2 4 2" xfId="38647" xr:uid="{00000000-0005-0000-0000-0000F5960000}"/>
    <cellStyle name="Note 3 2 2 2 4 3" xfId="38648" xr:uid="{00000000-0005-0000-0000-0000F6960000}"/>
    <cellStyle name="Note 3 2 2 2 4 4" xfId="38649" xr:uid="{00000000-0005-0000-0000-0000F7960000}"/>
    <cellStyle name="Note 3 2 2 2 4 5" xfId="38650" xr:uid="{00000000-0005-0000-0000-0000F8960000}"/>
    <cellStyle name="Note 3 2 2 2 4 6" xfId="38651" xr:uid="{00000000-0005-0000-0000-0000F9960000}"/>
    <cellStyle name="Note 3 2 2 2 5" xfId="38652" xr:uid="{00000000-0005-0000-0000-0000FA960000}"/>
    <cellStyle name="Note 3 2 2 2 5 2" xfId="38653" xr:uid="{00000000-0005-0000-0000-0000FB960000}"/>
    <cellStyle name="Note 3 2 2 2 5 3" xfId="38654" xr:uid="{00000000-0005-0000-0000-0000FC960000}"/>
    <cellStyle name="Note 3 2 2 2 5 4" xfId="38655" xr:uid="{00000000-0005-0000-0000-0000FD960000}"/>
    <cellStyle name="Note 3 2 2 2 5 5" xfId="38656" xr:uid="{00000000-0005-0000-0000-0000FE960000}"/>
    <cellStyle name="Note 3 2 2 2 5 6" xfId="38657" xr:uid="{00000000-0005-0000-0000-0000FF960000}"/>
    <cellStyle name="Note 3 2 2 2 6" xfId="38658" xr:uid="{00000000-0005-0000-0000-000000970000}"/>
    <cellStyle name="Note 3 2 2 2 7" xfId="38659" xr:uid="{00000000-0005-0000-0000-000001970000}"/>
    <cellStyle name="Note 3 2 2 2 8" xfId="38660" xr:uid="{00000000-0005-0000-0000-000002970000}"/>
    <cellStyle name="Note 3 2 2 2 9" xfId="38661" xr:uid="{00000000-0005-0000-0000-000003970000}"/>
    <cellStyle name="Note 3 2 2 3" xfId="38662" xr:uid="{00000000-0005-0000-0000-000004970000}"/>
    <cellStyle name="Note 3 2 2 3 2" xfId="38663" xr:uid="{00000000-0005-0000-0000-000005970000}"/>
    <cellStyle name="Note 3 2 2 3 2 2" xfId="38664" xr:uid="{00000000-0005-0000-0000-000006970000}"/>
    <cellStyle name="Note 3 2 2 3 2 2 2" xfId="38665" xr:uid="{00000000-0005-0000-0000-000007970000}"/>
    <cellStyle name="Note 3 2 2 3 2 2 3" xfId="38666" xr:uid="{00000000-0005-0000-0000-000008970000}"/>
    <cellStyle name="Note 3 2 2 3 2 2 4" xfId="38667" xr:uid="{00000000-0005-0000-0000-000009970000}"/>
    <cellStyle name="Note 3 2 2 3 2 2 5" xfId="38668" xr:uid="{00000000-0005-0000-0000-00000A970000}"/>
    <cellStyle name="Note 3 2 2 3 2 2 6" xfId="38669" xr:uid="{00000000-0005-0000-0000-00000B970000}"/>
    <cellStyle name="Note 3 2 2 3 2 3" xfId="38670" xr:uid="{00000000-0005-0000-0000-00000C970000}"/>
    <cellStyle name="Note 3 2 2 3 2 4" xfId="38671" xr:uid="{00000000-0005-0000-0000-00000D970000}"/>
    <cellStyle name="Note 3 2 2 3 2 5" xfId="38672" xr:uid="{00000000-0005-0000-0000-00000E970000}"/>
    <cellStyle name="Note 3 2 2 3 2 6" xfId="38673" xr:uid="{00000000-0005-0000-0000-00000F970000}"/>
    <cellStyle name="Note 3 2 2 3 3" xfId="38674" xr:uid="{00000000-0005-0000-0000-000010970000}"/>
    <cellStyle name="Note 3 2 2 3 3 2" xfId="38675" xr:uid="{00000000-0005-0000-0000-000011970000}"/>
    <cellStyle name="Note 3 2 2 3 3 2 2" xfId="38676" xr:uid="{00000000-0005-0000-0000-000012970000}"/>
    <cellStyle name="Note 3 2 2 3 3 2 3" xfId="38677" xr:uid="{00000000-0005-0000-0000-000013970000}"/>
    <cellStyle name="Note 3 2 2 3 3 2 4" xfId="38678" xr:uid="{00000000-0005-0000-0000-000014970000}"/>
    <cellStyle name="Note 3 2 2 3 3 2 5" xfId="38679" xr:uid="{00000000-0005-0000-0000-000015970000}"/>
    <cellStyle name="Note 3 2 2 3 3 2 6" xfId="38680" xr:uid="{00000000-0005-0000-0000-000016970000}"/>
    <cellStyle name="Note 3 2 2 3 3 3" xfId="38681" xr:uid="{00000000-0005-0000-0000-000017970000}"/>
    <cellStyle name="Note 3 2 2 3 3 4" xfId="38682" xr:uid="{00000000-0005-0000-0000-000018970000}"/>
    <cellStyle name="Note 3 2 2 3 3 5" xfId="38683" xr:uid="{00000000-0005-0000-0000-000019970000}"/>
    <cellStyle name="Note 3 2 2 3 3 6" xfId="38684" xr:uid="{00000000-0005-0000-0000-00001A970000}"/>
    <cellStyle name="Note 3 2 2 3 4" xfId="38685" xr:uid="{00000000-0005-0000-0000-00001B970000}"/>
    <cellStyle name="Note 3 2 2 3 4 2" xfId="38686" xr:uid="{00000000-0005-0000-0000-00001C970000}"/>
    <cellStyle name="Note 3 2 2 3 4 3" xfId="38687" xr:uid="{00000000-0005-0000-0000-00001D970000}"/>
    <cellStyle name="Note 3 2 2 3 4 4" xfId="38688" xr:uid="{00000000-0005-0000-0000-00001E970000}"/>
    <cellStyle name="Note 3 2 2 3 4 5" xfId="38689" xr:uid="{00000000-0005-0000-0000-00001F970000}"/>
    <cellStyle name="Note 3 2 2 3 4 6" xfId="38690" xr:uid="{00000000-0005-0000-0000-000020970000}"/>
    <cellStyle name="Note 3 2 2 3 5" xfId="38691" xr:uid="{00000000-0005-0000-0000-000021970000}"/>
    <cellStyle name="Note 3 2 2 3 6" xfId="38692" xr:uid="{00000000-0005-0000-0000-000022970000}"/>
    <cellStyle name="Note 3 2 2 3 7" xfId="38693" xr:uid="{00000000-0005-0000-0000-000023970000}"/>
    <cellStyle name="Note 3 2 2 3 8" xfId="38694" xr:uid="{00000000-0005-0000-0000-000024970000}"/>
    <cellStyle name="Note 3 2 2 4" xfId="38695" xr:uid="{00000000-0005-0000-0000-000025970000}"/>
    <cellStyle name="Note 3 2 2 4 2" xfId="38696" xr:uid="{00000000-0005-0000-0000-000026970000}"/>
    <cellStyle name="Note 3 2 2 4 2 2" xfId="38697" xr:uid="{00000000-0005-0000-0000-000027970000}"/>
    <cellStyle name="Note 3 2 2 4 2 2 2" xfId="38698" xr:uid="{00000000-0005-0000-0000-000028970000}"/>
    <cellStyle name="Note 3 2 2 4 2 2 3" xfId="38699" xr:uid="{00000000-0005-0000-0000-000029970000}"/>
    <cellStyle name="Note 3 2 2 4 2 2 4" xfId="38700" xr:uid="{00000000-0005-0000-0000-00002A970000}"/>
    <cellStyle name="Note 3 2 2 4 2 2 5" xfId="38701" xr:uid="{00000000-0005-0000-0000-00002B970000}"/>
    <cellStyle name="Note 3 2 2 4 2 2 6" xfId="38702" xr:uid="{00000000-0005-0000-0000-00002C970000}"/>
    <cellStyle name="Note 3 2 2 4 2 3" xfId="38703" xr:uid="{00000000-0005-0000-0000-00002D970000}"/>
    <cellStyle name="Note 3 2 2 4 2 4" xfId="38704" xr:uid="{00000000-0005-0000-0000-00002E970000}"/>
    <cellStyle name="Note 3 2 2 4 2 5" xfId="38705" xr:uid="{00000000-0005-0000-0000-00002F970000}"/>
    <cellStyle name="Note 3 2 2 4 2 6" xfId="38706" xr:uid="{00000000-0005-0000-0000-000030970000}"/>
    <cellStyle name="Note 3 2 2 4 3" xfId="38707" xr:uid="{00000000-0005-0000-0000-000031970000}"/>
    <cellStyle name="Note 3 2 2 4 3 2" xfId="38708" xr:uid="{00000000-0005-0000-0000-000032970000}"/>
    <cellStyle name="Note 3 2 2 4 3 2 2" xfId="38709" xr:uid="{00000000-0005-0000-0000-000033970000}"/>
    <cellStyle name="Note 3 2 2 4 3 2 3" xfId="38710" xr:uid="{00000000-0005-0000-0000-000034970000}"/>
    <cellStyle name="Note 3 2 2 4 3 2 4" xfId="38711" xr:uid="{00000000-0005-0000-0000-000035970000}"/>
    <cellStyle name="Note 3 2 2 4 3 2 5" xfId="38712" xr:uid="{00000000-0005-0000-0000-000036970000}"/>
    <cellStyle name="Note 3 2 2 4 3 2 6" xfId="38713" xr:uid="{00000000-0005-0000-0000-000037970000}"/>
    <cellStyle name="Note 3 2 2 4 3 3" xfId="38714" xr:uid="{00000000-0005-0000-0000-000038970000}"/>
    <cellStyle name="Note 3 2 2 4 3 4" xfId="38715" xr:uid="{00000000-0005-0000-0000-000039970000}"/>
    <cellStyle name="Note 3 2 2 4 3 5" xfId="38716" xr:uid="{00000000-0005-0000-0000-00003A970000}"/>
    <cellStyle name="Note 3 2 2 4 3 6" xfId="38717" xr:uid="{00000000-0005-0000-0000-00003B970000}"/>
    <cellStyle name="Note 3 2 2 4 4" xfId="38718" xr:uid="{00000000-0005-0000-0000-00003C970000}"/>
    <cellStyle name="Note 3 2 2 4 4 2" xfId="38719" xr:uid="{00000000-0005-0000-0000-00003D970000}"/>
    <cellStyle name="Note 3 2 2 4 4 3" xfId="38720" xr:uid="{00000000-0005-0000-0000-00003E970000}"/>
    <cellStyle name="Note 3 2 2 4 4 4" xfId="38721" xr:uid="{00000000-0005-0000-0000-00003F970000}"/>
    <cellStyle name="Note 3 2 2 4 4 5" xfId="38722" xr:uid="{00000000-0005-0000-0000-000040970000}"/>
    <cellStyle name="Note 3 2 2 4 4 6" xfId="38723" xr:uid="{00000000-0005-0000-0000-000041970000}"/>
    <cellStyle name="Note 3 2 2 4 5" xfId="38724" xr:uid="{00000000-0005-0000-0000-000042970000}"/>
    <cellStyle name="Note 3 2 2 4 6" xfId="38725" xr:uid="{00000000-0005-0000-0000-000043970000}"/>
    <cellStyle name="Note 3 2 2 4 7" xfId="38726" xr:uid="{00000000-0005-0000-0000-000044970000}"/>
    <cellStyle name="Note 3 2 2 4 8" xfId="38727" xr:uid="{00000000-0005-0000-0000-000045970000}"/>
    <cellStyle name="Note 3 2 2 5" xfId="38728" xr:uid="{00000000-0005-0000-0000-000046970000}"/>
    <cellStyle name="Note 3 2 2 5 2" xfId="38729" xr:uid="{00000000-0005-0000-0000-000047970000}"/>
    <cellStyle name="Note 3 2 2 5 2 2" xfId="38730" xr:uid="{00000000-0005-0000-0000-000048970000}"/>
    <cellStyle name="Note 3 2 2 5 2 2 2" xfId="38731" xr:uid="{00000000-0005-0000-0000-000049970000}"/>
    <cellStyle name="Note 3 2 2 5 2 2 3" xfId="38732" xr:uid="{00000000-0005-0000-0000-00004A970000}"/>
    <cellStyle name="Note 3 2 2 5 2 2 4" xfId="38733" xr:uid="{00000000-0005-0000-0000-00004B970000}"/>
    <cellStyle name="Note 3 2 2 5 2 2 5" xfId="38734" xr:uid="{00000000-0005-0000-0000-00004C970000}"/>
    <cellStyle name="Note 3 2 2 5 2 2 6" xfId="38735" xr:uid="{00000000-0005-0000-0000-00004D970000}"/>
    <cellStyle name="Note 3 2 2 5 2 3" xfId="38736" xr:uid="{00000000-0005-0000-0000-00004E970000}"/>
    <cellStyle name="Note 3 2 2 5 2 4" xfId="38737" xr:uid="{00000000-0005-0000-0000-00004F970000}"/>
    <cellStyle name="Note 3 2 2 5 2 5" xfId="38738" xr:uid="{00000000-0005-0000-0000-000050970000}"/>
    <cellStyle name="Note 3 2 2 5 2 6" xfId="38739" xr:uid="{00000000-0005-0000-0000-000051970000}"/>
    <cellStyle name="Note 3 2 2 5 3" xfId="38740" xr:uid="{00000000-0005-0000-0000-000052970000}"/>
    <cellStyle name="Note 3 2 2 5 3 2" xfId="38741" xr:uid="{00000000-0005-0000-0000-000053970000}"/>
    <cellStyle name="Note 3 2 2 5 3 2 2" xfId="38742" xr:uid="{00000000-0005-0000-0000-000054970000}"/>
    <cellStyle name="Note 3 2 2 5 3 2 3" xfId="38743" xr:uid="{00000000-0005-0000-0000-000055970000}"/>
    <cellStyle name="Note 3 2 2 5 3 2 4" xfId="38744" xr:uid="{00000000-0005-0000-0000-000056970000}"/>
    <cellStyle name="Note 3 2 2 5 3 2 5" xfId="38745" xr:uid="{00000000-0005-0000-0000-000057970000}"/>
    <cellStyle name="Note 3 2 2 5 3 2 6" xfId="38746" xr:uid="{00000000-0005-0000-0000-000058970000}"/>
    <cellStyle name="Note 3 2 2 5 3 3" xfId="38747" xr:uid="{00000000-0005-0000-0000-000059970000}"/>
    <cellStyle name="Note 3 2 2 5 3 4" xfId="38748" xr:uid="{00000000-0005-0000-0000-00005A970000}"/>
    <cellStyle name="Note 3 2 2 5 3 5" xfId="38749" xr:uid="{00000000-0005-0000-0000-00005B970000}"/>
    <cellStyle name="Note 3 2 2 5 3 6" xfId="38750" xr:uid="{00000000-0005-0000-0000-00005C970000}"/>
    <cellStyle name="Note 3 2 2 5 4" xfId="38751" xr:uid="{00000000-0005-0000-0000-00005D970000}"/>
    <cellStyle name="Note 3 2 2 5 4 2" xfId="38752" xr:uid="{00000000-0005-0000-0000-00005E970000}"/>
    <cellStyle name="Note 3 2 2 5 4 3" xfId="38753" xr:uid="{00000000-0005-0000-0000-00005F970000}"/>
    <cellStyle name="Note 3 2 2 5 4 4" xfId="38754" xr:uid="{00000000-0005-0000-0000-000060970000}"/>
    <cellStyle name="Note 3 2 2 5 4 5" xfId="38755" xr:uid="{00000000-0005-0000-0000-000061970000}"/>
    <cellStyle name="Note 3 2 2 5 4 6" xfId="38756" xr:uid="{00000000-0005-0000-0000-000062970000}"/>
    <cellStyle name="Note 3 2 2 5 5" xfId="38757" xr:uid="{00000000-0005-0000-0000-000063970000}"/>
    <cellStyle name="Note 3 2 2 5 6" xfId="38758" xr:uid="{00000000-0005-0000-0000-000064970000}"/>
    <cellStyle name="Note 3 2 2 5 7" xfId="38759" xr:uid="{00000000-0005-0000-0000-000065970000}"/>
    <cellStyle name="Note 3 2 2 5 8" xfId="38760" xr:uid="{00000000-0005-0000-0000-000066970000}"/>
    <cellStyle name="Note 3 2 2 6" xfId="38761" xr:uid="{00000000-0005-0000-0000-000067970000}"/>
    <cellStyle name="Note 3 2 2 6 2" xfId="38762" xr:uid="{00000000-0005-0000-0000-000068970000}"/>
    <cellStyle name="Note 3 2 2 6 2 2" xfId="38763" xr:uid="{00000000-0005-0000-0000-000069970000}"/>
    <cellStyle name="Note 3 2 2 6 2 3" xfId="38764" xr:uid="{00000000-0005-0000-0000-00006A970000}"/>
    <cellStyle name="Note 3 2 2 6 2 4" xfId="38765" xr:uid="{00000000-0005-0000-0000-00006B970000}"/>
    <cellStyle name="Note 3 2 2 6 2 5" xfId="38766" xr:uid="{00000000-0005-0000-0000-00006C970000}"/>
    <cellStyle name="Note 3 2 2 6 2 6" xfId="38767" xr:uid="{00000000-0005-0000-0000-00006D970000}"/>
    <cellStyle name="Note 3 2 2 6 3" xfId="38768" xr:uid="{00000000-0005-0000-0000-00006E970000}"/>
    <cellStyle name="Note 3 2 2 6 4" xfId="38769" xr:uid="{00000000-0005-0000-0000-00006F970000}"/>
    <cellStyle name="Note 3 2 2 6 5" xfId="38770" xr:uid="{00000000-0005-0000-0000-000070970000}"/>
    <cellStyle name="Note 3 2 2 6 6" xfId="38771" xr:uid="{00000000-0005-0000-0000-000071970000}"/>
    <cellStyle name="Note 3 2 2 7" xfId="38772" xr:uid="{00000000-0005-0000-0000-000072970000}"/>
    <cellStyle name="Note 3 2 2 7 2" xfId="38773" xr:uid="{00000000-0005-0000-0000-000073970000}"/>
    <cellStyle name="Note 3 2 2 7 2 2" xfId="38774" xr:uid="{00000000-0005-0000-0000-000074970000}"/>
    <cellStyle name="Note 3 2 2 7 2 3" xfId="38775" xr:uid="{00000000-0005-0000-0000-000075970000}"/>
    <cellStyle name="Note 3 2 2 7 2 4" xfId="38776" xr:uid="{00000000-0005-0000-0000-000076970000}"/>
    <cellStyle name="Note 3 2 2 7 2 5" xfId="38777" xr:uid="{00000000-0005-0000-0000-000077970000}"/>
    <cellStyle name="Note 3 2 2 7 2 6" xfId="38778" xr:uid="{00000000-0005-0000-0000-000078970000}"/>
    <cellStyle name="Note 3 2 2 7 3" xfId="38779" xr:uid="{00000000-0005-0000-0000-000079970000}"/>
    <cellStyle name="Note 3 2 2 7 4" xfId="38780" xr:uid="{00000000-0005-0000-0000-00007A970000}"/>
    <cellStyle name="Note 3 2 2 7 5" xfId="38781" xr:uid="{00000000-0005-0000-0000-00007B970000}"/>
    <cellStyle name="Note 3 2 2 7 6" xfId="38782" xr:uid="{00000000-0005-0000-0000-00007C970000}"/>
    <cellStyle name="Note 3 2 2 8" xfId="38783" xr:uid="{00000000-0005-0000-0000-00007D970000}"/>
    <cellStyle name="Note 3 2 2 8 2" xfId="38784" xr:uid="{00000000-0005-0000-0000-00007E970000}"/>
    <cellStyle name="Note 3 2 2 8 3" xfId="38785" xr:uid="{00000000-0005-0000-0000-00007F970000}"/>
    <cellStyle name="Note 3 2 2 8 4" xfId="38786" xr:uid="{00000000-0005-0000-0000-000080970000}"/>
    <cellStyle name="Note 3 2 2 8 5" xfId="38787" xr:uid="{00000000-0005-0000-0000-000081970000}"/>
    <cellStyle name="Note 3 2 2 8 6" xfId="38788" xr:uid="{00000000-0005-0000-0000-000082970000}"/>
    <cellStyle name="Note 3 2 2 9" xfId="38789" xr:uid="{00000000-0005-0000-0000-000083970000}"/>
    <cellStyle name="Note 3 2 2 9 2" xfId="38790" xr:uid="{00000000-0005-0000-0000-000084970000}"/>
    <cellStyle name="Note 3 2 2 9 3" xfId="38791" xr:uid="{00000000-0005-0000-0000-000085970000}"/>
    <cellStyle name="Note 3 2 2 9 4" xfId="38792" xr:uid="{00000000-0005-0000-0000-000086970000}"/>
    <cellStyle name="Note 3 2 2 9 5" xfId="38793" xr:uid="{00000000-0005-0000-0000-000087970000}"/>
    <cellStyle name="Note 3 2 2 9 6" xfId="38794" xr:uid="{00000000-0005-0000-0000-000088970000}"/>
    <cellStyle name="Note 3 2 20" xfId="38795" xr:uid="{00000000-0005-0000-0000-000089970000}"/>
    <cellStyle name="Note 3 2 20 2" xfId="38796" xr:uid="{00000000-0005-0000-0000-00008A970000}"/>
    <cellStyle name="Note 3 2 20 2 2" xfId="38797" xr:uid="{00000000-0005-0000-0000-00008B970000}"/>
    <cellStyle name="Note 3 2 20 2 3" xfId="38798" xr:uid="{00000000-0005-0000-0000-00008C970000}"/>
    <cellStyle name="Note 3 2 20 2 4" xfId="38799" xr:uid="{00000000-0005-0000-0000-00008D970000}"/>
    <cellStyle name="Note 3 2 20 2 5" xfId="38800" xr:uid="{00000000-0005-0000-0000-00008E970000}"/>
    <cellStyle name="Note 3 2 20 2 6" xfId="38801" xr:uid="{00000000-0005-0000-0000-00008F970000}"/>
    <cellStyle name="Note 3 2 20 3" xfId="38802" xr:uid="{00000000-0005-0000-0000-000090970000}"/>
    <cellStyle name="Note 3 2 20 4" xfId="38803" xr:uid="{00000000-0005-0000-0000-000091970000}"/>
    <cellStyle name="Note 3 2 20 5" xfId="38804" xr:uid="{00000000-0005-0000-0000-000092970000}"/>
    <cellStyle name="Note 3 2 20 6" xfId="38805" xr:uid="{00000000-0005-0000-0000-000093970000}"/>
    <cellStyle name="Note 3 2 20 7" xfId="38806" xr:uid="{00000000-0005-0000-0000-000094970000}"/>
    <cellStyle name="Note 3 2 21" xfId="38807" xr:uid="{00000000-0005-0000-0000-000095970000}"/>
    <cellStyle name="Note 3 2 21 2" xfId="38808" xr:uid="{00000000-0005-0000-0000-000096970000}"/>
    <cellStyle name="Note 3 2 21 2 2" xfId="38809" xr:uid="{00000000-0005-0000-0000-000097970000}"/>
    <cellStyle name="Note 3 2 21 2 3" xfId="38810" xr:uid="{00000000-0005-0000-0000-000098970000}"/>
    <cellStyle name="Note 3 2 21 2 4" xfId="38811" xr:uid="{00000000-0005-0000-0000-000099970000}"/>
    <cellStyle name="Note 3 2 21 2 5" xfId="38812" xr:uid="{00000000-0005-0000-0000-00009A970000}"/>
    <cellStyle name="Note 3 2 21 2 6" xfId="38813" xr:uid="{00000000-0005-0000-0000-00009B970000}"/>
    <cellStyle name="Note 3 2 21 3" xfId="38814" xr:uid="{00000000-0005-0000-0000-00009C970000}"/>
    <cellStyle name="Note 3 2 21 4" xfId="38815" xr:uid="{00000000-0005-0000-0000-00009D970000}"/>
    <cellStyle name="Note 3 2 21 5" xfId="38816" xr:uid="{00000000-0005-0000-0000-00009E970000}"/>
    <cellStyle name="Note 3 2 21 6" xfId="38817" xr:uid="{00000000-0005-0000-0000-00009F970000}"/>
    <cellStyle name="Note 3 2 21 7" xfId="38818" xr:uid="{00000000-0005-0000-0000-0000A0970000}"/>
    <cellStyle name="Note 3 2 22" xfId="38819" xr:uid="{00000000-0005-0000-0000-0000A1970000}"/>
    <cellStyle name="Note 3 2 22 2" xfId="38820" xr:uid="{00000000-0005-0000-0000-0000A2970000}"/>
    <cellStyle name="Note 3 2 22 2 2" xfId="38821" xr:uid="{00000000-0005-0000-0000-0000A3970000}"/>
    <cellStyle name="Note 3 2 22 2 3" xfId="38822" xr:uid="{00000000-0005-0000-0000-0000A4970000}"/>
    <cellStyle name="Note 3 2 22 2 4" xfId="38823" xr:uid="{00000000-0005-0000-0000-0000A5970000}"/>
    <cellStyle name="Note 3 2 22 2 5" xfId="38824" xr:uid="{00000000-0005-0000-0000-0000A6970000}"/>
    <cellStyle name="Note 3 2 22 2 6" xfId="38825" xr:uid="{00000000-0005-0000-0000-0000A7970000}"/>
    <cellStyle name="Note 3 2 22 3" xfId="38826" xr:uid="{00000000-0005-0000-0000-0000A8970000}"/>
    <cellStyle name="Note 3 2 22 4" xfId="38827" xr:uid="{00000000-0005-0000-0000-0000A9970000}"/>
    <cellStyle name="Note 3 2 22 5" xfId="38828" xr:uid="{00000000-0005-0000-0000-0000AA970000}"/>
    <cellStyle name="Note 3 2 22 6" xfId="38829" xr:uid="{00000000-0005-0000-0000-0000AB970000}"/>
    <cellStyle name="Note 3 2 22 7" xfId="38830" xr:uid="{00000000-0005-0000-0000-0000AC970000}"/>
    <cellStyle name="Note 3 2 23" xfId="38831" xr:uid="{00000000-0005-0000-0000-0000AD970000}"/>
    <cellStyle name="Note 3 2 23 2" xfId="38832" xr:uid="{00000000-0005-0000-0000-0000AE970000}"/>
    <cellStyle name="Note 3 2 23 2 2" xfId="38833" xr:uid="{00000000-0005-0000-0000-0000AF970000}"/>
    <cellStyle name="Note 3 2 23 2 3" xfId="38834" xr:uid="{00000000-0005-0000-0000-0000B0970000}"/>
    <cellStyle name="Note 3 2 23 2 4" xfId="38835" xr:uid="{00000000-0005-0000-0000-0000B1970000}"/>
    <cellStyle name="Note 3 2 23 2 5" xfId="38836" xr:uid="{00000000-0005-0000-0000-0000B2970000}"/>
    <cellStyle name="Note 3 2 23 2 6" xfId="38837" xr:uid="{00000000-0005-0000-0000-0000B3970000}"/>
    <cellStyle name="Note 3 2 23 3" xfId="38838" xr:uid="{00000000-0005-0000-0000-0000B4970000}"/>
    <cellStyle name="Note 3 2 23 4" xfId="38839" xr:uid="{00000000-0005-0000-0000-0000B5970000}"/>
    <cellStyle name="Note 3 2 23 5" xfId="38840" xr:uid="{00000000-0005-0000-0000-0000B6970000}"/>
    <cellStyle name="Note 3 2 23 6" xfId="38841" xr:uid="{00000000-0005-0000-0000-0000B7970000}"/>
    <cellStyle name="Note 3 2 23 7" xfId="38842" xr:uid="{00000000-0005-0000-0000-0000B8970000}"/>
    <cellStyle name="Note 3 2 24" xfId="38843" xr:uid="{00000000-0005-0000-0000-0000B9970000}"/>
    <cellStyle name="Note 3 2 24 2" xfId="38844" xr:uid="{00000000-0005-0000-0000-0000BA970000}"/>
    <cellStyle name="Note 3 2 24 2 2" xfId="38845" xr:uid="{00000000-0005-0000-0000-0000BB970000}"/>
    <cellStyle name="Note 3 2 24 2 3" xfId="38846" xr:uid="{00000000-0005-0000-0000-0000BC970000}"/>
    <cellStyle name="Note 3 2 24 2 4" xfId="38847" xr:uid="{00000000-0005-0000-0000-0000BD970000}"/>
    <cellStyle name="Note 3 2 24 2 5" xfId="38848" xr:uid="{00000000-0005-0000-0000-0000BE970000}"/>
    <cellStyle name="Note 3 2 24 2 6" xfId="38849" xr:uid="{00000000-0005-0000-0000-0000BF970000}"/>
    <cellStyle name="Note 3 2 24 3" xfId="38850" xr:uid="{00000000-0005-0000-0000-0000C0970000}"/>
    <cellStyle name="Note 3 2 24 4" xfId="38851" xr:uid="{00000000-0005-0000-0000-0000C1970000}"/>
    <cellStyle name="Note 3 2 24 5" xfId="38852" xr:uid="{00000000-0005-0000-0000-0000C2970000}"/>
    <cellStyle name="Note 3 2 24 6" xfId="38853" xr:uid="{00000000-0005-0000-0000-0000C3970000}"/>
    <cellStyle name="Note 3 2 24 7" xfId="38854" xr:uid="{00000000-0005-0000-0000-0000C4970000}"/>
    <cellStyle name="Note 3 2 25" xfId="38855" xr:uid="{00000000-0005-0000-0000-0000C5970000}"/>
    <cellStyle name="Note 3 2 25 2" xfId="38856" xr:uid="{00000000-0005-0000-0000-0000C6970000}"/>
    <cellStyle name="Note 3 2 25 2 2" xfId="38857" xr:uid="{00000000-0005-0000-0000-0000C7970000}"/>
    <cellStyle name="Note 3 2 25 2 3" xfId="38858" xr:uid="{00000000-0005-0000-0000-0000C8970000}"/>
    <cellStyle name="Note 3 2 25 2 4" xfId="38859" xr:uid="{00000000-0005-0000-0000-0000C9970000}"/>
    <cellStyle name="Note 3 2 25 2 5" xfId="38860" xr:uid="{00000000-0005-0000-0000-0000CA970000}"/>
    <cellStyle name="Note 3 2 25 2 6" xfId="38861" xr:uid="{00000000-0005-0000-0000-0000CB970000}"/>
    <cellStyle name="Note 3 2 25 3" xfId="38862" xr:uid="{00000000-0005-0000-0000-0000CC970000}"/>
    <cellStyle name="Note 3 2 25 4" xfId="38863" xr:uid="{00000000-0005-0000-0000-0000CD970000}"/>
    <cellStyle name="Note 3 2 25 5" xfId="38864" xr:uid="{00000000-0005-0000-0000-0000CE970000}"/>
    <cellStyle name="Note 3 2 25 6" xfId="38865" xr:uid="{00000000-0005-0000-0000-0000CF970000}"/>
    <cellStyle name="Note 3 2 25 7" xfId="38866" xr:uid="{00000000-0005-0000-0000-0000D0970000}"/>
    <cellStyle name="Note 3 2 26" xfId="38867" xr:uid="{00000000-0005-0000-0000-0000D1970000}"/>
    <cellStyle name="Note 3 2 26 2" xfId="38868" xr:uid="{00000000-0005-0000-0000-0000D2970000}"/>
    <cellStyle name="Note 3 2 26 2 2" xfId="38869" xr:uid="{00000000-0005-0000-0000-0000D3970000}"/>
    <cellStyle name="Note 3 2 26 2 3" xfId="38870" xr:uid="{00000000-0005-0000-0000-0000D4970000}"/>
    <cellStyle name="Note 3 2 26 2 4" xfId="38871" xr:uid="{00000000-0005-0000-0000-0000D5970000}"/>
    <cellStyle name="Note 3 2 26 2 5" xfId="38872" xr:uid="{00000000-0005-0000-0000-0000D6970000}"/>
    <cellStyle name="Note 3 2 26 2 6" xfId="38873" xr:uid="{00000000-0005-0000-0000-0000D7970000}"/>
    <cellStyle name="Note 3 2 26 3" xfId="38874" xr:uid="{00000000-0005-0000-0000-0000D8970000}"/>
    <cellStyle name="Note 3 2 26 4" xfId="38875" xr:uid="{00000000-0005-0000-0000-0000D9970000}"/>
    <cellStyle name="Note 3 2 26 5" xfId="38876" xr:uid="{00000000-0005-0000-0000-0000DA970000}"/>
    <cellStyle name="Note 3 2 26 6" xfId="38877" xr:uid="{00000000-0005-0000-0000-0000DB970000}"/>
    <cellStyle name="Note 3 2 26 7" xfId="38878" xr:uid="{00000000-0005-0000-0000-0000DC970000}"/>
    <cellStyle name="Note 3 2 27" xfId="38879" xr:uid="{00000000-0005-0000-0000-0000DD970000}"/>
    <cellStyle name="Note 3 2 27 2" xfId="38880" xr:uid="{00000000-0005-0000-0000-0000DE970000}"/>
    <cellStyle name="Note 3 2 27 2 2" xfId="38881" xr:uid="{00000000-0005-0000-0000-0000DF970000}"/>
    <cellStyle name="Note 3 2 27 2 3" xfId="38882" xr:uid="{00000000-0005-0000-0000-0000E0970000}"/>
    <cellStyle name="Note 3 2 27 2 4" xfId="38883" xr:uid="{00000000-0005-0000-0000-0000E1970000}"/>
    <cellStyle name="Note 3 2 27 2 5" xfId="38884" xr:uid="{00000000-0005-0000-0000-0000E2970000}"/>
    <cellStyle name="Note 3 2 27 2 6" xfId="38885" xr:uid="{00000000-0005-0000-0000-0000E3970000}"/>
    <cellStyle name="Note 3 2 27 3" xfId="38886" xr:uid="{00000000-0005-0000-0000-0000E4970000}"/>
    <cellStyle name="Note 3 2 27 4" xfId="38887" xr:uid="{00000000-0005-0000-0000-0000E5970000}"/>
    <cellStyle name="Note 3 2 27 5" xfId="38888" xr:uid="{00000000-0005-0000-0000-0000E6970000}"/>
    <cellStyle name="Note 3 2 27 6" xfId="38889" xr:uid="{00000000-0005-0000-0000-0000E7970000}"/>
    <cellStyle name="Note 3 2 27 7" xfId="38890" xr:uid="{00000000-0005-0000-0000-0000E8970000}"/>
    <cellStyle name="Note 3 2 28" xfId="38891" xr:uid="{00000000-0005-0000-0000-0000E9970000}"/>
    <cellStyle name="Note 3 2 28 2" xfId="38892" xr:uid="{00000000-0005-0000-0000-0000EA970000}"/>
    <cellStyle name="Note 3 2 28 2 2" xfId="38893" xr:uid="{00000000-0005-0000-0000-0000EB970000}"/>
    <cellStyle name="Note 3 2 28 2 3" xfId="38894" xr:uid="{00000000-0005-0000-0000-0000EC970000}"/>
    <cellStyle name="Note 3 2 28 2 4" xfId="38895" xr:uid="{00000000-0005-0000-0000-0000ED970000}"/>
    <cellStyle name="Note 3 2 28 2 5" xfId="38896" xr:uid="{00000000-0005-0000-0000-0000EE970000}"/>
    <cellStyle name="Note 3 2 28 2 6" xfId="38897" xr:uid="{00000000-0005-0000-0000-0000EF970000}"/>
    <cellStyle name="Note 3 2 28 3" xfId="38898" xr:uid="{00000000-0005-0000-0000-0000F0970000}"/>
    <cellStyle name="Note 3 2 28 4" xfId="38899" xr:uid="{00000000-0005-0000-0000-0000F1970000}"/>
    <cellStyle name="Note 3 2 28 5" xfId="38900" xr:uid="{00000000-0005-0000-0000-0000F2970000}"/>
    <cellStyle name="Note 3 2 28 6" xfId="38901" xr:uid="{00000000-0005-0000-0000-0000F3970000}"/>
    <cellStyle name="Note 3 2 28 7" xfId="38902" xr:uid="{00000000-0005-0000-0000-0000F4970000}"/>
    <cellStyle name="Note 3 2 29" xfId="38903" xr:uid="{00000000-0005-0000-0000-0000F5970000}"/>
    <cellStyle name="Note 3 2 29 2" xfId="38904" xr:uid="{00000000-0005-0000-0000-0000F6970000}"/>
    <cellStyle name="Note 3 2 29 2 2" xfId="38905" xr:uid="{00000000-0005-0000-0000-0000F7970000}"/>
    <cellStyle name="Note 3 2 29 2 3" xfId="38906" xr:uid="{00000000-0005-0000-0000-0000F8970000}"/>
    <cellStyle name="Note 3 2 29 2 4" xfId="38907" xr:uid="{00000000-0005-0000-0000-0000F9970000}"/>
    <cellStyle name="Note 3 2 29 2 5" xfId="38908" xr:uid="{00000000-0005-0000-0000-0000FA970000}"/>
    <cellStyle name="Note 3 2 29 2 6" xfId="38909" xr:uid="{00000000-0005-0000-0000-0000FB970000}"/>
    <cellStyle name="Note 3 2 29 3" xfId="38910" xr:uid="{00000000-0005-0000-0000-0000FC970000}"/>
    <cellStyle name="Note 3 2 29 4" xfId="38911" xr:uid="{00000000-0005-0000-0000-0000FD970000}"/>
    <cellStyle name="Note 3 2 29 5" xfId="38912" xr:uid="{00000000-0005-0000-0000-0000FE970000}"/>
    <cellStyle name="Note 3 2 29 6" xfId="38913" xr:uid="{00000000-0005-0000-0000-0000FF970000}"/>
    <cellStyle name="Note 3 2 29 7" xfId="38914" xr:uid="{00000000-0005-0000-0000-000000980000}"/>
    <cellStyle name="Note 3 2 3" xfId="38915" xr:uid="{00000000-0005-0000-0000-000001980000}"/>
    <cellStyle name="Note 3 2 3 2" xfId="38916" xr:uid="{00000000-0005-0000-0000-000002980000}"/>
    <cellStyle name="Note 3 2 3 2 2" xfId="38917" xr:uid="{00000000-0005-0000-0000-000003980000}"/>
    <cellStyle name="Note 3 2 3 2 2 2" xfId="38918" xr:uid="{00000000-0005-0000-0000-000004980000}"/>
    <cellStyle name="Note 3 2 3 2 2 3" xfId="38919" xr:uid="{00000000-0005-0000-0000-000005980000}"/>
    <cellStyle name="Note 3 2 3 2 2 4" xfId="38920" xr:uid="{00000000-0005-0000-0000-000006980000}"/>
    <cellStyle name="Note 3 2 3 2 2 5" xfId="38921" xr:uid="{00000000-0005-0000-0000-000007980000}"/>
    <cellStyle name="Note 3 2 3 2 2 6" xfId="38922" xr:uid="{00000000-0005-0000-0000-000008980000}"/>
    <cellStyle name="Note 3 2 3 2 3" xfId="38923" xr:uid="{00000000-0005-0000-0000-000009980000}"/>
    <cellStyle name="Note 3 2 3 2 3 2" xfId="38924" xr:uid="{00000000-0005-0000-0000-00000A980000}"/>
    <cellStyle name="Note 3 2 3 2 3 3" xfId="38925" xr:uid="{00000000-0005-0000-0000-00000B980000}"/>
    <cellStyle name="Note 3 2 3 2 3 4" xfId="38926" xr:uid="{00000000-0005-0000-0000-00000C980000}"/>
    <cellStyle name="Note 3 2 3 2 3 5" xfId="38927" xr:uid="{00000000-0005-0000-0000-00000D980000}"/>
    <cellStyle name="Note 3 2 3 2 3 6" xfId="38928" xr:uid="{00000000-0005-0000-0000-00000E980000}"/>
    <cellStyle name="Note 3 2 3 2 4" xfId="38929" xr:uid="{00000000-0005-0000-0000-00000F980000}"/>
    <cellStyle name="Note 3 2 3 2 5" xfId="38930" xr:uid="{00000000-0005-0000-0000-000010980000}"/>
    <cellStyle name="Note 3 2 3 2 6" xfId="38931" xr:uid="{00000000-0005-0000-0000-000011980000}"/>
    <cellStyle name="Note 3 2 3 2 7" xfId="38932" xr:uid="{00000000-0005-0000-0000-000012980000}"/>
    <cellStyle name="Note 3 2 3 3" xfId="38933" xr:uid="{00000000-0005-0000-0000-000013980000}"/>
    <cellStyle name="Note 3 2 3 3 2" xfId="38934" xr:uid="{00000000-0005-0000-0000-000014980000}"/>
    <cellStyle name="Note 3 2 3 3 2 2" xfId="38935" xr:uid="{00000000-0005-0000-0000-000015980000}"/>
    <cellStyle name="Note 3 2 3 3 2 3" xfId="38936" xr:uid="{00000000-0005-0000-0000-000016980000}"/>
    <cellStyle name="Note 3 2 3 3 2 4" xfId="38937" xr:uid="{00000000-0005-0000-0000-000017980000}"/>
    <cellStyle name="Note 3 2 3 3 2 5" xfId="38938" xr:uid="{00000000-0005-0000-0000-000018980000}"/>
    <cellStyle name="Note 3 2 3 3 2 6" xfId="38939" xr:uid="{00000000-0005-0000-0000-000019980000}"/>
    <cellStyle name="Note 3 2 3 3 3" xfId="38940" xr:uid="{00000000-0005-0000-0000-00001A980000}"/>
    <cellStyle name="Note 3 2 3 3 4" xfId="38941" xr:uid="{00000000-0005-0000-0000-00001B980000}"/>
    <cellStyle name="Note 3 2 3 3 5" xfId="38942" xr:uid="{00000000-0005-0000-0000-00001C980000}"/>
    <cellStyle name="Note 3 2 3 3 6" xfId="38943" xr:uid="{00000000-0005-0000-0000-00001D980000}"/>
    <cellStyle name="Note 3 2 3 4" xfId="38944" xr:uid="{00000000-0005-0000-0000-00001E980000}"/>
    <cellStyle name="Note 3 2 3 4 2" xfId="38945" xr:uid="{00000000-0005-0000-0000-00001F980000}"/>
    <cellStyle name="Note 3 2 3 4 3" xfId="38946" xr:uid="{00000000-0005-0000-0000-000020980000}"/>
    <cellStyle name="Note 3 2 3 4 4" xfId="38947" xr:uid="{00000000-0005-0000-0000-000021980000}"/>
    <cellStyle name="Note 3 2 3 4 5" xfId="38948" xr:uid="{00000000-0005-0000-0000-000022980000}"/>
    <cellStyle name="Note 3 2 3 4 6" xfId="38949" xr:uid="{00000000-0005-0000-0000-000023980000}"/>
    <cellStyle name="Note 3 2 3 5" xfId="38950" xr:uid="{00000000-0005-0000-0000-000024980000}"/>
    <cellStyle name="Note 3 2 3 5 2" xfId="38951" xr:uid="{00000000-0005-0000-0000-000025980000}"/>
    <cellStyle name="Note 3 2 3 5 3" xfId="38952" xr:uid="{00000000-0005-0000-0000-000026980000}"/>
    <cellStyle name="Note 3 2 3 5 4" xfId="38953" xr:uid="{00000000-0005-0000-0000-000027980000}"/>
    <cellStyle name="Note 3 2 3 5 5" xfId="38954" xr:uid="{00000000-0005-0000-0000-000028980000}"/>
    <cellStyle name="Note 3 2 3 5 6" xfId="38955" xr:uid="{00000000-0005-0000-0000-000029980000}"/>
    <cellStyle name="Note 3 2 3 6" xfId="38956" xr:uid="{00000000-0005-0000-0000-00002A980000}"/>
    <cellStyle name="Note 3 2 3 7" xfId="38957" xr:uid="{00000000-0005-0000-0000-00002B980000}"/>
    <cellStyle name="Note 3 2 3 8" xfId="38958" xr:uid="{00000000-0005-0000-0000-00002C980000}"/>
    <cellStyle name="Note 3 2 3 9" xfId="38959" xr:uid="{00000000-0005-0000-0000-00002D980000}"/>
    <cellStyle name="Note 3 2 30" xfId="38960" xr:uid="{00000000-0005-0000-0000-00002E980000}"/>
    <cellStyle name="Note 3 2 30 2" xfId="38961" xr:uid="{00000000-0005-0000-0000-00002F980000}"/>
    <cellStyle name="Note 3 2 30 2 2" xfId="38962" xr:uid="{00000000-0005-0000-0000-000030980000}"/>
    <cellStyle name="Note 3 2 30 2 3" xfId="38963" xr:uid="{00000000-0005-0000-0000-000031980000}"/>
    <cellStyle name="Note 3 2 30 2 4" xfId="38964" xr:uid="{00000000-0005-0000-0000-000032980000}"/>
    <cellStyle name="Note 3 2 30 2 5" xfId="38965" xr:uid="{00000000-0005-0000-0000-000033980000}"/>
    <cellStyle name="Note 3 2 30 2 6" xfId="38966" xr:uid="{00000000-0005-0000-0000-000034980000}"/>
    <cellStyle name="Note 3 2 30 3" xfId="38967" xr:uid="{00000000-0005-0000-0000-000035980000}"/>
    <cellStyle name="Note 3 2 30 4" xfId="38968" xr:uid="{00000000-0005-0000-0000-000036980000}"/>
    <cellStyle name="Note 3 2 30 5" xfId="38969" xr:uid="{00000000-0005-0000-0000-000037980000}"/>
    <cellStyle name="Note 3 2 30 6" xfId="38970" xr:uid="{00000000-0005-0000-0000-000038980000}"/>
    <cellStyle name="Note 3 2 30 7" xfId="38971" xr:uid="{00000000-0005-0000-0000-000039980000}"/>
    <cellStyle name="Note 3 2 31" xfId="38972" xr:uid="{00000000-0005-0000-0000-00003A980000}"/>
    <cellStyle name="Note 3 2 31 2" xfId="38973" xr:uid="{00000000-0005-0000-0000-00003B980000}"/>
    <cellStyle name="Note 3 2 31 2 2" xfId="38974" xr:uid="{00000000-0005-0000-0000-00003C980000}"/>
    <cellStyle name="Note 3 2 31 2 3" xfId="38975" xr:uid="{00000000-0005-0000-0000-00003D980000}"/>
    <cellStyle name="Note 3 2 31 2 4" xfId="38976" xr:uid="{00000000-0005-0000-0000-00003E980000}"/>
    <cellStyle name="Note 3 2 31 2 5" xfId="38977" xr:uid="{00000000-0005-0000-0000-00003F980000}"/>
    <cellStyle name="Note 3 2 31 2 6" xfId="38978" xr:uid="{00000000-0005-0000-0000-000040980000}"/>
    <cellStyle name="Note 3 2 31 3" xfId="38979" xr:uid="{00000000-0005-0000-0000-000041980000}"/>
    <cellStyle name="Note 3 2 31 4" xfId="38980" xr:uid="{00000000-0005-0000-0000-000042980000}"/>
    <cellStyle name="Note 3 2 31 5" xfId="38981" xr:uid="{00000000-0005-0000-0000-000043980000}"/>
    <cellStyle name="Note 3 2 31 6" xfId="38982" xr:uid="{00000000-0005-0000-0000-000044980000}"/>
    <cellStyle name="Note 3 2 31 7" xfId="38983" xr:uid="{00000000-0005-0000-0000-000045980000}"/>
    <cellStyle name="Note 3 2 32" xfId="38984" xr:uid="{00000000-0005-0000-0000-000046980000}"/>
    <cellStyle name="Note 3 2 32 2" xfId="38985" xr:uid="{00000000-0005-0000-0000-000047980000}"/>
    <cellStyle name="Note 3 2 32 2 2" xfId="38986" xr:uid="{00000000-0005-0000-0000-000048980000}"/>
    <cellStyle name="Note 3 2 32 2 3" xfId="38987" xr:uid="{00000000-0005-0000-0000-000049980000}"/>
    <cellStyle name="Note 3 2 32 2 4" xfId="38988" xr:uid="{00000000-0005-0000-0000-00004A980000}"/>
    <cellStyle name="Note 3 2 32 2 5" xfId="38989" xr:uid="{00000000-0005-0000-0000-00004B980000}"/>
    <cellStyle name="Note 3 2 32 2 6" xfId="38990" xr:uid="{00000000-0005-0000-0000-00004C980000}"/>
    <cellStyle name="Note 3 2 32 3" xfId="38991" xr:uid="{00000000-0005-0000-0000-00004D980000}"/>
    <cellStyle name="Note 3 2 32 4" xfId="38992" xr:uid="{00000000-0005-0000-0000-00004E980000}"/>
    <cellStyle name="Note 3 2 32 5" xfId="38993" xr:uid="{00000000-0005-0000-0000-00004F980000}"/>
    <cellStyle name="Note 3 2 32 6" xfId="38994" xr:uid="{00000000-0005-0000-0000-000050980000}"/>
    <cellStyle name="Note 3 2 32 7" xfId="38995" xr:uid="{00000000-0005-0000-0000-000051980000}"/>
    <cellStyle name="Note 3 2 33" xfId="38996" xr:uid="{00000000-0005-0000-0000-000052980000}"/>
    <cellStyle name="Note 3 2 33 2" xfId="38997" xr:uid="{00000000-0005-0000-0000-000053980000}"/>
    <cellStyle name="Note 3 2 33 2 2" xfId="38998" xr:uid="{00000000-0005-0000-0000-000054980000}"/>
    <cellStyle name="Note 3 2 33 2 3" xfId="38999" xr:uid="{00000000-0005-0000-0000-000055980000}"/>
    <cellStyle name="Note 3 2 33 2 4" xfId="39000" xr:uid="{00000000-0005-0000-0000-000056980000}"/>
    <cellStyle name="Note 3 2 33 2 5" xfId="39001" xr:uid="{00000000-0005-0000-0000-000057980000}"/>
    <cellStyle name="Note 3 2 33 2 6" xfId="39002" xr:uid="{00000000-0005-0000-0000-000058980000}"/>
    <cellStyle name="Note 3 2 33 3" xfId="39003" xr:uid="{00000000-0005-0000-0000-000059980000}"/>
    <cellStyle name="Note 3 2 33 4" xfId="39004" xr:uid="{00000000-0005-0000-0000-00005A980000}"/>
    <cellStyle name="Note 3 2 33 5" xfId="39005" xr:uid="{00000000-0005-0000-0000-00005B980000}"/>
    <cellStyle name="Note 3 2 33 6" xfId="39006" xr:uid="{00000000-0005-0000-0000-00005C980000}"/>
    <cellStyle name="Note 3 2 33 7" xfId="39007" xr:uid="{00000000-0005-0000-0000-00005D980000}"/>
    <cellStyle name="Note 3 2 34" xfId="39008" xr:uid="{00000000-0005-0000-0000-00005E980000}"/>
    <cellStyle name="Note 3 2 34 2" xfId="39009" xr:uid="{00000000-0005-0000-0000-00005F980000}"/>
    <cellStyle name="Note 3 2 34 2 2" xfId="39010" xr:uid="{00000000-0005-0000-0000-000060980000}"/>
    <cellStyle name="Note 3 2 34 2 3" xfId="39011" xr:uid="{00000000-0005-0000-0000-000061980000}"/>
    <cellStyle name="Note 3 2 34 2 4" xfId="39012" xr:uid="{00000000-0005-0000-0000-000062980000}"/>
    <cellStyle name="Note 3 2 34 2 5" xfId="39013" xr:uid="{00000000-0005-0000-0000-000063980000}"/>
    <cellStyle name="Note 3 2 34 2 6" xfId="39014" xr:uid="{00000000-0005-0000-0000-000064980000}"/>
    <cellStyle name="Note 3 2 34 3" xfId="39015" xr:uid="{00000000-0005-0000-0000-000065980000}"/>
    <cellStyle name="Note 3 2 34 4" xfId="39016" xr:uid="{00000000-0005-0000-0000-000066980000}"/>
    <cellStyle name="Note 3 2 34 5" xfId="39017" xr:uid="{00000000-0005-0000-0000-000067980000}"/>
    <cellStyle name="Note 3 2 34 6" xfId="39018" xr:uid="{00000000-0005-0000-0000-000068980000}"/>
    <cellStyle name="Note 3 2 34 7" xfId="39019" xr:uid="{00000000-0005-0000-0000-000069980000}"/>
    <cellStyle name="Note 3 2 35" xfId="39020" xr:uid="{00000000-0005-0000-0000-00006A980000}"/>
    <cellStyle name="Note 3 2 35 2" xfId="39021" xr:uid="{00000000-0005-0000-0000-00006B980000}"/>
    <cellStyle name="Note 3 2 35 2 2" xfId="39022" xr:uid="{00000000-0005-0000-0000-00006C980000}"/>
    <cellStyle name="Note 3 2 35 2 3" xfId="39023" xr:uid="{00000000-0005-0000-0000-00006D980000}"/>
    <cellStyle name="Note 3 2 35 2 4" xfId="39024" xr:uid="{00000000-0005-0000-0000-00006E980000}"/>
    <cellStyle name="Note 3 2 35 2 5" xfId="39025" xr:uid="{00000000-0005-0000-0000-00006F980000}"/>
    <cellStyle name="Note 3 2 35 2 6" xfId="39026" xr:uid="{00000000-0005-0000-0000-000070980000}"/>
    <cellStyle name="Note 3 2 35 3" xfId="39027" xr:uid="{00000000-0005-0000-0000-000071980000}"/>
    <cellStyle name="Note 3 2 35 4" xfId="39028" xr:uid="{00000000-0005-0000-0000-000072980000}"/>
    <cellStyle name="Note 3 2 35 5" xfId="39029" xr:uid="{00000000-0005-0000-0000-000073980000}"/>
    <cellStyle name="Note 3 2 35 6" xfId="39030" xr:uid="{00000000-0005-0000-0000-000074980000}"/>
    <cellStyle name="Note 3 2 35 7" xfId="39031" xr:uid="{00000000-0005-0000-0000-000075980000}"/>
    <cellStyle name="Note 3 2 36" xfId="39032" xr:uid="{00000000-0005-0000-0000-000076980000}"/>
    <cellStyle name="Note 3 2 36 2" xfId="39033" xr:uid="{00000000-0005-0000-0000-000077980000}"/>
    <cellStyle name="Note 3 2 36 2 2" xfId="39034" xr:uid="{00000000-0005-0000-0000-000078980000}"/>
    <cellStyle name="Note 3 2 36 2 3" xfId="39035" xr:uid="{00000000-0005-0000-0000-000079980000}"/>
    <cellStyle name="Note 3 2 36 2 4" xfId="39036" xr:uid="{00000000-0005-0000-0000-00007A980000}"/>
    <cellStyle name="Note 3 2 36 2 5" xfId="39037" xr:uid="{00000000-0005-0000-0000-00007B980000}"/>
    <cellStyle name="Note 3 2 36 2 6" xfId="39038" xr:uid="{00000000-0005-0000-0000-00007C980000}"/>
    <cellStyle name="Note 3 2 36 3" xfId="39039" xr:uid="{00000000-0005-0000-0000-00007D980000}"/>
    <cellStyle name="Note 3 2 36 4" xfId="39040" xr:uid="{00000000-0005-0000-0000-00007E980000}"/>
    <cellStyle name="Note 3 2 36 5" xfId="39041" xr:uid="{00000000-0005-0000-0000-00007F980000}"/>
    <cellStyle name="Note 3 2 36 6" xfId="39042" xr:uid="{00000000-0005-0000-0000-000080980000}"/>
    <cellStyle name="Note 3 2 36 7" xfId="39043" xr:uid="{00000000-0005-0000-0000-000081980000}"/>
    <cellStyle name="Note 3 2 37" xfId="39044" xr:uid="{00000000-0005-0000-0000-000082980000}"/>
    <cellStyle name="Note 3 2 37 2" xfId="39045" xr:uid="{00000000-0005-0000-0000-000083980000}"/>
    <cellStyle name="Note 3 2 37 2 2" xfId="39046" xr:uid="{00000000-0005-0000-0000-000084980000}"/>
    <cellStyle name="Note 3 2 37 2 3" xfId="39047" xr:uid="{00000000-0005-0000-0000-000085980000}"/>
    <cellStyle name="Note 3 2 37 2 4" xfId="39048" xr:uid="{00000000-0005-0000-0000-000086980000}"/>
    <cellStyle name="Note 3 2 37 2 5" xfId="39049" xr:uid="{00000000-0005-0000-0000-000087980000}"/>
    <cellStyle name="Note 3 2 37 2 6" xfId="39050" xr:uid="{00000000-0005-0000-0000-000088980000}"/>
    <cellStyle name="Note 3 2 37 3" xfId="39051" xr:uid="{00000000-0005-0000-0000-000089980000}"/>
    <cellStyle name="Note 3 2 37 4" xfId="39052" xr:uid="{00000000-0005-0000-0000-00008A980000}"/>
    <cellStyle name="Note 3 2 37 5" xfId="39053" xr:uid="{00000000-0005-0000-0000-00008B980000}"/>
    <cellStyle name="Note 3 2 37 6" xfId="39054" xr:uid="{00000000-0005-0000-0000-00008C980000}"/>
    <cellStyle name="Note 3 2 37 7" xfId="39055" xr:uid="{00000000-0005-0000-0000-00008D980000}"/>
    <cellStyle name="Note 3 2 38" xfId="39056" xr:uid="{00000000-0005-0000-0000-00008E980000}"/>
    <cellStyle name="Note 3 2 38 2" xfId="39057" xr:uid="{00000000-0005-0000-0000-00008F980000}"/>
    <cellStyle name="Note 3 2 38 2 2" xfId="39058" xr:uid="{00000000-0005-0000-0000-000090980000}"/>
    <cellStyle name="Note 3 2 38 2 3" xfId="39059" xr:uid="{00000000-0005-0000-0000-000091980000}"/>
    <cellStyle name="Note 3 2 38 2 4" xfId="39060" xr:uid="{00000000-0005-0000-0000-000092980000}"/>
    <cellStyle name="Note 3 2 38 2 5" xfId="39061" xr:uid="{00000000-0005-0000-0000-000093980000}"/>
    <cellStyle name="Note 3 2 38 2 6" xfId="39062" xr:uid="{00000000-0005-0000-0000-000094980000}"/>
    <cellStyle name="Note 3 2 38 3" xfId="39063" xr:uid="{00000000-0005-0000-0000-000095980000}"/>
    <cellStyle name="Note 3 2 38 4" xfId="39064" xr:uid="{00000000-0005-0000-0000-000096980000}"/>
    <cellStyle name="Note 3 2 38 5" xfId="39065" xr:uid="{00000000-0005-0000-0000-000097980000}"/>
    <cellStyle name="Note 3 2 38 6" xfId="39066" xr:uid="{00000000-0005-0000-0000-000098980000}"/>
    <cellStyle name="Note 3 2 38 7" xfId="39067" xr:uid="{00000000-0005-0000-0000-000099980000}"/>
    <cellStyle name="Note 3 2 39" xfId="39068" xr:uid="{00000000-0005-0000-0000-00009A980000}"/>
    <cellStyle name="Note 3 2 39 2" xfId="39069" xr:uid="{00000000-0005-0000-0000-00009B980000}"/>
    <cellStyle name="Note 3 2 39 2 2" xfId="39070" xr:uid="{00000000-0005-0000-0000-00009C980000}"/>
    <cellStyle name="Note 3 2 39 2 3" xfId="39071" xr:uid="{00000000-0005-0000-0000-00009D980000}"/>
    <cellStyle name="Note 3 2 39 2 4" xfId="39072" xr:uid="{00000000-0005-0000-0000-00009E980000}"/>
    <cellStyle name="Note 3 2 39 2 5" xfId="39073" xr:uid="{00000000-0005-0000-0000-00009F980000}"/>
    <cellStyle name="Note 3 2 39 2 6" xfId="39074" xr:uid="{00000000-0005-0000-0000-0000A0980000}"/>
    <cellStyle name="Note 3 2 39 3" xfId="39075" xr:uid="{00000000-0005-0000-0000-0000A1980000}"/>
    <cellStyle name="Note 3 2 39 4" xfId="39076" xr:uid="{00000000-0005-0000-0000-0000A2980000}"/>
    <cellStyle name="Note 3 2 39 5" xfId="39077" xr:uid="{00000000-0005-0000-0000-0000A3980000}"/>
    <cellStyle name="Note 3 2 39 6" xfId="39078" xr:uid="{00000000-0005-0000-0000-0000A4980000}"/>
    <cellStyle name="Note 3 2 39 7" xfId="39079" xr:uid="{00000000-0005-0000-0000-0000A5980000}"/>
    <cellStyle name="Note 3 2 4" xfId="39080" xr:uid="{00000000-0005-0000-0000-0000A6980000}"/>
    <cellStyle name="Note 3 2 4 2" xfId="39081" xr:uid="{00000000-0005-0000-0000-0000A7980000}"/>
    <cellStyle name="Note 3 2 4 2 2" xfId="39082" xr:uid="{00000000-0005-0000-0000-0000A8980000}"/>
    <cellStyle name="Note 3 2 4 2 2 2" xfId="39083" xr:uid="{00000000-0005-0000-0000-0000A9980000}"/>
    <cellStyle name="Note 3 2 4 2 2 3" xfId="39084" xr:uid="{00000000-0005-0000-0000-0000AA980000}"/>
    <cellStyle name="Note 3 2 4 2 2 4" xfId="39085" xr:uid="{00000000-0005-0000-0000-0000AB980000}"/>
    <cellStyle name="Note 3 2 4 2 2 5" xfId="39086" xr:uid="{00000000-0005-0000-0000-0000AC980000}"/>
    <cellStyle name="Note 3 2 4 2 2 6" xfId="39087" xr:uid="{00000000-0005-0000-0000-0000AD980000}"/>
    <cellStyle name="Note 3 2 4 2 3" xfId="39088" xr:uid="{00000000-0005-0000-0000-0000AE980000}"/>
    <cellStyle name="Note 3 2 4 2 3 2" xfId="39089" xr:uid="{00000000-0005-0000-0000-0000AF980000}"/>
    <cellStyle name="Note 3 2 4 2 3 3" xfId="39090" xr:uid="{00000000-0005-0000-0000-0000B0980000}"/>
    <cellStyle name="Note 3 2 4 2 3 4" xfId="39091" xr:uid="{00000000-0005-0000-0000-0000B1980000}"/>
    <cellStyle name="Note 3 2 4 2 3 5" xfId="39092" xr:uid="{00000000-0005-0000-0000-0000B2980000}"/>
    <cellStyle name="Note 3 2 4 2 3 6" xfId="39093" xr:uid="{00000000-0005-0000-0000-0000B3980000}"/>
    <cellStyle name="Note 3 2 4 2 4" xfId="39094" xr:uid="{00000000-0005-0000-0000-0000B4980000}"/>
    <cellStyle name="Note 3 2 4 2 5" xfId="39095" xr:uid="{00000000-0005-0000-0000-0000B5980000}"/>
    <cellStyle name="Note 3 2 4 2 6" xfId="39096" xr:uid="{00000000-0005-0000-0000-0000B6980000}"/>
    <cellStyle name="Note 3 2 4 2 7" xfId="39097" xr:uid="{00000000-0005-0000-0000-0000B7980000}"/>
    <cellStyle name="Note 3 2 4 3" xfId="39098" xr:uid="{00000000-0005-0000-0000-0000B8980000}"/>
    <cellStyle name="Note 3 2 4 3 2" xfId="39099" xr:uid="{00000000-0005-0000-0000-0000B9980000}"/>
    <cellStyle name="Note 3 2 4 3 2 2" xfId="39100" xr:uid="{00000000-0005-0000-0000-0000BA980000}"/>
    <cellStyle name="Note 3 2 4 3 2 3" xfId="39101" xr:uid="{00000000-0005-0000-0000-0000BB980000}"/>
    <cellStyle name="Note 3 2 4 3 2 4" xfId="39102" xr:uid="{00000000-0005-0000-0000-0000BC980000}"/>
    <cellStyle name="Note 3 2 4 3 2 5" xfId="39103" xr:uid="{00000000-0005-0000-0000-0000BD980000}"/>
    <cellStyle name="Note 3 2 4 3 2 6" xfId="39104" xr:uid="{00000000-0005-0000-0000-0000BE980000}"/>
    <cellStyle name="Note 3 2 4 3 3" xfId="39105" xr:uid="{00000000-0005-0000-0000-0000BF980000}"/>
    <cellStyle name="Note 3 2 4 3 4" xfId="39106" xr:uid="{00000000-0005-0000-0000-0000C0980000}"/>
    <cellStyle name="Note 3 2 4 3 5" xfId="39107" xr:uid="{00000000-0005-0000-0000-0000C1980000}"/>
    <cellStyle name="Note 3 2 4 3 6" xfId="39108" xr:uid="{00000000-0005-0000-0000-0000C2980000}"/>
    <cellStyle name="Note 3 2 4 4" xfId="39109" xr:uid="{00000000-0005-0000-0000-0000C3980000}"/>
    <cellStyle name="Note 3 2 4 4 2" xfId="39110" xr:uid="{00000000-0005-0000-0000-0000C4980000}"/>
    <cellStyle name="Note 3 2 4 4 3" xfId="39111" xr:uid="{00000000-0005-0000-0000-0000C5980000}"/>
    <cellStyle name="Note 3 2 4 4 4" xfId="39112" xr:uid="{00000000-0005-0000-0000-0000C6980000}"/>
    <cellStyle name="Note 3 2 4 4 5" xfId="39113" xr:uid="{00000000-0005-0000-0000-0000C7980000}"/>
    <cellStyle name="Note 3 2 4 4 6" xfId="39114" xr:uid="{00000000-0005-0000-0000-0000C8980000}"/>
    <cellStyle name="Note 3 2 4 5" xfId="39115" xr:uid="{00000000-0005-0000-0000-0000C9980000}"/>
    <cellStyle name="Note 3 2 4 5 2" xfId="39116" xr:uid="{00000000-0005-0000-0000-0000CA980000}"/>
    <cellStyle name="Note 3 2 4 5 3" xfId="39117" xr:uid="{00000000-0005-0000-0000-0000CB980000}"/>
    <cellStyle name="Note 3 2 4 5 4" xfId="39118" xr:uid="{00000000-0005-0000-0000-0000CC980000}"/>
    <cellStyle name="Note 3 2 4 5 5" xfId="39119" xr:uid="{00000000-0005-0000-0000-0000CD980000}"/>
    <cellStyle name="Note 3 2 4 5 6" xfId="39120" xr:uid="{00000000-0005-0000-0000-0000CE980000}"/>
    <cellStyle name="Note 3 2 4 6" xfId="39121" xr:uid="{00000000-0005-0000-0000-0000CF980000}"/>
    <cellStyle name="Note 3 2 4 7" xfId="39122" xr:uid="{00000000-0005-0000-0000-0000D0980000}"/>
    <cellStyle name="Note 3 2 4 8" xfId="39123" xr:uid="{00000000-0005-0000-0000-0000D1980000}"/>
    <cellStyle name="Note 3 2 4 9" xfId="39124" xr:uid="{00000000-0005-0000-0000-0000D2980000}"/>
    <cellStyle name="Note 3 2 40" xfId="39125" xr:uid="{00000000-0005-0000-0000-0000D3980000}"/>
    <cellStyle name="Note 3 2 40 2" xfId="39126" xr:uid="{00000000-0005-0000-0000-0000D4980000}"/>
    <cellStyle name="Note 3 2 40 2 2" xfId="39127" xr:uid="{00000000-0005-0000-0000-0000D5980000}"/>
    <cellStyle name="Note 3 2 40 2 3" xfId="39128" xr:uid="{00000000-0005-0000-0000-0000D6980000}"/>
    <cellStyle name="Note 3 2 40 2 4" xfId="39129" xr:uid="{00000000-0005-0000-0000-0000D7980000}"/>
    <cellStyle name="Note 3 2 40 2 5" xfId="39130" xr:uid="{00000000-0005-0000-0000-0000D8980000}"/>
    <cellStyle name="Note 3 2 40 2 6" xfId="39131" xr:uid="{00000000-0005-0000-0000-0000D9980000}"/>
    <cellStyle name="Note 3 2 40 3" xfId="39132" xr:uid="{00000000-0005-0000-0000-0000DA980000}"/>
    <cellStyle name="Note 3 2 40 4" xfId="39133" xr:uid="{00000000-0005-0000-0000-0000DB980000}"/>
    <cellStyle name="Note 3 2 40 5" xfId="39134" xr:uid="{00000000-0005-0000-0000-0000DC980000}"/>
    <cellStyle name="Note 3 2 40 6" xfId="39135" xr:uid="{00000000-0005-0000-0000-0000DD980000}"/>
    <cellStyle name="Note 3 2 40 7" xfId="39136" xr:uid="{00000000-0005-0000-0000-0000DE980000}"/>
    <cellStyle name="Note 3 2 41" xfId="39137" xr:uid="{00000000-0005-0000-0000-0000DF980000}"/>
    <cellStyle name="Note 3 2 41 2" xfId="39138" xr:uid="{00000000-0005-0000-0000-0000E0980000}"/>
    <cellStyle name="Note 3 2 41 2 2" xfId="39139" xr:uid="{00000000-0005-0000-0000-0000E1980000}"/>
    <cellStyle name="Note 3 2 41 2 3" xfId="39140" xr:uid="{00000000-0005-0000-0000-0000E2980000}"/>
    <cellStyle name="Note 3 2 41 2 4" xfId="39141" xr:uid="{00000000-0005-0000-0000-0000E3980000}"/>
    <cellStyle name="Note 3 2 41 2 5" xfId="39142" xr:uid="{00000000-0005-0000-0000-0000E4980000}"/>
    <cellStyle name="Note 3 2 41 2 6" xfId="39143" xr:uid="{00000000-0005-0000-0000-0000E5980000}"/>
    <cellStyle name="Note 3 2 41 3" xfId="39144" xr:uid="{00000000-0005-0000-0000-0000E6980000}"/>
    <cellStyle name="Note 3 2 41 4" xfId="39145" xr:uid="{00000000-0005-0000-0000-0000E7980000}"/>
    <cellStyle name="Note 3 2 41 5" xfId="39146" xr:uid="{00000000-0005-0000-0000-0000E8980000}"/>
    <cellStyle name="Note 3 2 41 6" xfId="39147" xr:uid="{00000000-0005-0000-0000-0000E9980000}"/>
    <cellStyle name="Note 3 2 41 7" xfId="39148" xr:uid="{00000000-0005-0000-0000-0000EA980000}"/>
    <cellStyle name="Note 3 2 42" xfId="39149" xr:uid="{00000000-0005-0000-0000-0000EB980000}"/>
    <cellStyle name="Note 3 2 42 2" xfId="39150" xr:uid="{00000000-0005-0000-0000-0000EC980000}"/>
    <cellStyle name="Note 3 2 42 3" xfId="39151" xr:uid="{00000000-0005-0000-0000-0000ED980000}"/>
    <cellStyle name="Note 3 2 42 4" xfId="39152" xr:uid="{00000000-0005-0000-0000-0000EE980000}"/>
    <cellStyle name="Note 3 2 42 5" xfId="39153" xr:uid="{00000000-0005-0000-0000-0000EF980000}"/>
    <cellStyle name="Note 3 2 42 6" xfId="39154" xr:uid="{00000000-0005-0000-0000-0000F0980000}"/>
    <cellStyle name="Note 3 2 43" xfId="39155" xr:uid="{00000000-0005-0000-0000-0000F1980000}"/>
    <cellStyle name="Note 3 2 43 2" xfId="39156" xr:uid="{00000000-0005-0000-0000-0000F2980000}"/>
    <cellStyle name="Note 3 2 43 3" xfId="39157" xr:uid="{00000000-0005-0000-0000-0000F3980000}"/>
    <cellStyle name="Note 3 2 43 4" xfId="39158" xr:uid="{00000000-0005-0000-0000-0000F4980000}"/>
    <cellStyle name="Note 3 2 43 5" xfId="39159" xr:uid="{00000000-0005-0000-0000-0000F5980000}"/>
    <cellStyle name="Note 3 2 43 6" xfId="39160" xr:uid="{00000000-0005-0000-0000-0000F6980000}"/>
    <cellStyle name="Note 3 2 44" xfId="39161" xr:uid="{00000000-0005-0000-0000-0000F7980000}"/>
    <cellStyle name="Note 3 2 45" xfId="39162" xr:uid="{00000000-0005-0000-0000-0000F8980000}"/>
    <cellStyle name="Note 3 2 46" xfId="39163" xr:uid="{00000000-0005-0000-0000-0000F9980000}"/>
    <cellStyle name="Note 3 2 47" xfId="39164" xr:uid="{00000000-0005-0000-0000-0000FA980000}"/>
    <cellStyle name="Note 3 2 5" xfId="39165" xr:uid="{00000000-0005-0000-0000-0000FB980000}"/>
    <cellStyle name="Note 3 2 5 2" xfId="39166" xr:uid="{00000000-0005-0000-0000-0000FC980000}"/>
    <cellStyle name="Note 3 2 5 2 2" xfId="39167" xr:uid="{00000000-0005-0000-0000-0000FD980000}"/>
    <cellStyle name="Note 3 2 5 2 2 2" xfId="39168" xr:uid="{00000000-0005-0000-0000-0000FE980000}"/>
    <cellStyle name="Note 3 2 5 2 2 3" xfId="39169" xr:uid="{00000000-0005-0000-0000-0000FF980000}"/>
    <cellStyle name="Note 3 2 5 2 2 4" xfId="39170" xr:uid="{00000000-0005-0000-0000-000000990000}"/>
    <cellStyle name="Note 3 2 5 2 2 5" xfId="39171" xr:uid="{00000000-0005-0000-0000-000001990000}"/>
    <cellStyle name="Note 3 2 5 2 2 6" xfId="39172" xr:uid="{00000000-0005-0000-0000-000002990000}"/>
    <cellStyle name="Note 3 2 5 2 3" xfId="39173" xr:uid="{00000000-0005-0000-0000-000003990000}"/>
    <cellStyle name="Note 3 2 5 2 3 2" xfId="39174" xr:uid="{00000000-0005-0000-0000-000004990000}"/>
    <cellStyle name="Note 3 2 5 2 3 3" xfId="39175" xr:uid="{00000000-0005-0000-0000-000005990000}"/>
    <cellStyle name="Note 3 2 5 2 3 4" xfId="39176" xr:uid="{00000000-0005-0000-0000-000006990000}"/>
    <cellStyle name="Note 3 2 5 2 3 5" xfId="39177" xr:uid="{00000000-0005-0000-0000-000007990000}"/>
    <cellStyle name="Note 3 2 5 2 3 6" xfId="39178" xr:uid="{00000000-0005-0000-0000-000008990000}"/>
    <cellStyle name="Note 3 2 5 2 4" xfId="39179" xr:uid="{00000000-0005-0000-0000-000009990000}"/>
    <cellStyle name="Note 3 2 5 2 5" xfId="39180" xr:uid="{00000000-0005-0000-0000-00000A990000}"/>
    <cellStyle name="Note 3 2 5 2 6" xfId="39181" xr:uid="{00000000-0005-0000-0000-00000B990000}"/>
    <cellStyle name="Note 3 2 5 2 7" xfId="39182" xr:uid="{00000000-0005-0000-0000-00000C990000}"/>
    <cellStyle name="Note 3 2 5 3" xfId="39183" xr:uid="{00000000-0005-0000-0000-00000D990000}"/>
    <cellStyle name="Note 3 2 5 3 2" xfId="39184" xr:uid="{00000000-0005-0000-0000-00000E990000}"/>
    <cellStyle name="Note 3 2 5 3 2 2" xfId="39185" xr:uid="{00000000-0005-0000-0000-00000F990000}"/>
    <cellStyle name="Note 3 2 5 3 2 3" xfId="39186" xr:uid="{00000000-0005-0000-0000-000010990000}"/>
    <cellStyle name="Note 3 2 5 3 2 4" xfId="39187" xr:uid="{00000000-0005-0000-0000-000011990000}"/>
    <cellStyle name="Note 3 2 5 3 2 5" xfId="39188" xr:uid="{00000000-0005-0000-0000-000012990000}"/>
    <cellStyle name="Note 3 2 5 3 2 6" xfId="39189" xr:uid="{00000000-0005-0000-0000-000013990000}"/>
    <cellStyle name="Note 3 2 5 3 3" xfId="39190" xr:uid="{00000000-0005-0000-0000-000014990000}"/>
    <cellStyle name="Note 3 2 5 3 4" xfId="39191" xr:uid="{00000000-0005-0000-0000-000015990000}"/>
    <cellStyle name="Note 3 2 5 3 5" xfId="39192" xr:uid="{00000000-0005-0000-0000-000016990000}"/>
    <cellStyle name="Note 3 2 5 3 6" xfId="39193" xr:uid="{00000000-0005-0000-0000-000017990000}"/>
    <cellStyle name="Note 3 2 5 4" xfId="39194" xr:uid="{00000000-0005-0000-0000-000018990000}"/>
    <cellStyle name="Note 3 2 5 4 2" xfId="39195" xr:uid="{00000000-0005-0000-0000-000019990000}"/>
    <cellStyle name="Note 3 2 5 4 3" xfId="39196" xr:uid="{00000000-0005-0000-0000-00001A990000}"/>
    <cellStyle name="Note 3 2 5 4 4" xfId="39197" xr:uid="{00000000-0005-0000-0000-00001B990000}"/>
    <cellStyle name="Note 3 2 5 4 5" xfId="39198" xr:uid="{00000000-0005-0000-0000-00001C990000}"/>
    <cellStyle name="Note 3 2 5 4 6" xfId="39199" xr:uid="{00000000-0005-0000-0000-00001D990000}"/>
    <cellStyle name="Note 3 2 5 5" xfId="39200" xr:uid="{00000000-0005-0000-0000-00001E990000}"/>
    <cellStyle name="Note 3 2 5 5 2" xfId="39201" xr:uid="{00000000-0005-0000-0000-00001F990000}"/>
    <cellStyle name="Note 3 2 5 5 3" xfId="39202" xr:uid="{00000000-0005-0000-0000-000020990000}"/>
    <cellStyle name="Note 3 2 5 5 4" xfId="39203" xr:uid="{00000000-0005-0000-0000-000021990000}"/>
    <cellStyle name="Note 3 2 5 5 5" xfId="39204" xr:uid="{00000000-0005-0000-0000-000022990000}"/>
    <cellStyle name="Note 3 2 5 5 6" xfId="39205" xr:uid="{00000000-0005-0000-0000-000023990000}"/>
    <cellStyle name="Note 3 2 5 6" xfId="39206" xr:uid="{00000000-0005-0000-0000-000024990000}"/>
    <cellStyle name="Note 3 2 5 7" xfId="39207" xr:uid="{00000000-0005-0000-0000-000025990000}"/>
    <cellStyle name="Note 3 2 5 8" xfId="39208" xr:uid="{00000000-0005-0000-0000-000026990000}"/>
    <cellStyle name="Note 3 2 5 9" xfId="39209" xr:uid="{00000000-0005-0000-0000-000027990000}"/>
    <cellStyle name="Note 3 2 6" xfId="39210" xr:uid="{00000000-0005-0000-0000-000028990000}"/>
    <cellStyle name="Note 3 2 6 2" xfId="39211" xr:uid="{00000000-0005-0000-0000-000029990000}"/>
    <cellStyle name="Note 3 2 6 2 2" xfId="39212" xr:uid="{00000000-0005-0000-0000-00002A990000}"/>
    <cellStyle name="Note 3 2 6 2 2 2" xfId="39213" xr:uid="{00000000-0005-0000-0000-00002B990000}"/>
    <cellStyle name="Note 3 2 6 2 2 3" xfId="39214" xr:uid="{00000000-0005-0000-0000-00002C990000}"/>
    <cellStyle name="Note 3 2 6 2 2 4" xfId="39215" xr:uid="{00000000-0005-0000-0000-00002D990000}"/>
    <cellStyle name="Note 3 2 6 2 2 5" xfId="39216" xr:uid="{00000000-0005-0000-0000-00002E990000}"/>
    <cellStyle name="Note 3 2 6 2 2 6" xfId="39217" xr:uid="{00000000-0005-0000-0000-00002F990000}"/>
    <cellStyle name="Note 3 2 6 2 3" xfId="39218" xr:uid="{00000000-0005-0000-0000-000030990000}"/>
    <cellStyle name="Note 3 2 6 2 3 2" xfId="39219" xr:uid="{00000000-0005-0000-0000-000031990000}"/>
    <cellStyle name="Note 3 2 6 2 3 3" xfId="39220" xr:uid="{00000000-0005-0000-0000-000032990000}"/>
    <cellStyle name="Note 3 2 6 2 3 4" xfId="39221" xr:uid="{00000000-0005-0000-0000-000033990000}"/>
    <cellStyle name="Note 3 2 6 2 3 5" xfId="39222" xr:uid="{00000000-0005-0000-0000-000034990000}"/>
    <cellStyle name="Note 3 2 6 2 3 6" xfId="39223" xr:uid="{00000000-0005-0000-0000-000035990000}"/>
    <cellStyle name="Note 3 2 6 2 4" xfId="39224" xr:uid="{00000000-0005-0000-0000-000036990000}"/>
    <cellStyle name="Note 3 2 6 2 5" xfId="39225" xr:uid="{00000000-0005-0000-0000-000037990000}"/>
    <cellStyle name="Note 3 2 6 2 6" xfId="39226" xr:uid="{00000000-0005-0000-0000-000038990000}"/>
    <cellStyle name="Note 3 2 6 2 7" xfId="39227" xr:uid="{00000000-0005-0000-0000-000039990000}"/>
    <cellStyle name="Note 3 2 6 3" xfId="39228" xr:uid="{00000000-0005-0000-0000-00003A990000}"/>
    <cellStyle name="Note 3 2 6 3 2" xfId="39229" xr:uid="{00000000-0005-0000-0000-00003B990000}"/>
    <cellStyle name="Note 3 2 6 3 2 2" xfId="39230" xr:uid="{00000000-0005-0000-0000-00003C990000}"/>
    <cellStyle name="Note 3 2 6 3 2 3" xfId="39231" xr:uid="{00000000-0005-0000-0000-00003D990000}"/>
    <cellStyle name="Note 3 2 6 3 2 4" xfId="39232" xr:uid="{00000000-0005-0000-0000-00003E990000}"/>
    <cellStyle name="Note 3 2 6 3 2 5" xfId="39233" xr:uid="{00000000-0005-0000-0000-00003F990000}"/>
    <cellStyle name="Note 3 2 6 3 2 6" xfId="39234" xr:uid="{00000000-0005-0000-0000-000040990000}"/>
    <cellStyle name="Note 3 2 6 3 3" xfId="39235" xr:uid="{00000000-0005-0000-0000-000041990000}"/>
    <cellStyle name="Note 3 2 6 3 4" xfId="39236" xr:uid="{00000000-0005-0000-0000-000042990000}"/>
    <cellStyle name="Note 3 2 6 3 5" xfId="39237" xr:uid="{00000000-0005-0000-0000-000043990000}"/>
    <cellStyle name="Note 3 2 6 3 6" xfId="39238" xr:uid="{00000000-0005-0000-0000-000044990000}"/>
    <cellStyle name="Note 3 2 6 4" xfId="39239" xr:uid="{00000000-0005-0000-0000-000045990000}"/>
    <cellStyle name="Note 3 2 6 4 2" xfId="39240" xr:uid="{00000000-0005-0000-0000-000046990000}"/>
    <cellStyle name="Note 3 2 6 4 3" xfId="39241" xr:uid="{00000000-0005-0000-0000-000047990000}"/>
    <cellStyle name="Note 3 2 6 4 4" xfId="39242" xr:uid="{00000000-0005-0000-0000-000048990000}"/>
    <cellStyle name="Note 3 2 6 4 5" xfId="39243" xr:uid="{00000000-0005-0000-0000-000049990000}"/>
    <cellStyle name="Note 3 2 6 4 6" xfId="39244" xr:uid="{00000000-0005-0000-0000-00004A990000}"/>
    <cellStyle name="Note 3 2 6 5" xfId="39245" xr:uid="{00000000-0005-0000-0000-00004B990000}"/>
    <cellStyle name="Note 3 2 6 5 2" xfId="39246" xr:uid="{00000000-0005-0000-0000-00004C990000}"/>
    <cellStyle name="Note 3 2 6 5 3" xfId="39247" xr:uid="{00000000-0005-0000-0000-00004D990000}"/>
    <cellStyle name="Note 3 2 6 5 4" xfId="39248" xr:uid="{00000000-0005-0000-0000-00004E990000}"/>
    <cellStyle name="Note 3 2 6 5 5" xfId="39249" xr:uid="{00000000-0005-0000-0000-00004F990000}"/>
    <cellStyle name="Note 3 2 6 5 6" xfId="39250" xr:uid="{00000000-0005-0000-0000-000050990000}"/>
    <cellStyle name="Note 3 2 6 6" xfId="39251" xr:uid="{00000000-0005-0000-0000-000051990000}"/>
    <cellStyle name="Note 3 2 6 7" xfId="39252" xr:uid="{00000000-0005-0000-0000-000052990000}"/>
    <cellStyle name="Note 3 2 6 8" xfId="39253" xr:uid="{00000000-0005-0000-0000-000053990000}"/>
    <cellStyle name="Note 3 2 6 9" xfId="39254" xr:uid="{00000000-0005-0000-0000-000054990000}"/>
    <cellStyle name="Note 3 2 7" xfId="39255" xr:uid="{00000000-0005-0000-0000-000055990000}"/>
    <cellStyle name="Note 3 2 7 2" xfId="39256" xr:uid="{00000000-0005-0000-0000-000056990000}"/>
    <cellStyle name="Note 3 2 7 2 2" xfId="39257" xr:uid="{00000000-0005-0000-0000-000057990000}"/>
    <cellStyle name="Note 3 2 7 2 2 2" xfId="39258" xr:uid="{00000000-0005-0000-0000-000058990000}"/>
    <cellStyle name="Note 3 2 7 2 2 3" xfId="39259" xr:uid="{00000000-0005-0000-0000-000059990000}"/>
    <cellStyle name="Note 3 2 7 2 2 4" xfId="39260" xr:uid="{00000000-0005-0000-0000-00005A990000}"/>
    <cellStyle name="Note 3 2 7 2 2 5" xfId="39261" xr:uid="{00000000-0005-0000-0000-00005B990000}"/>
    <cellStyle name="Note 3 2 7 2 2 6" xfId="39262" xr:uid="{00000000-0005-0000-0000-00005C990000}"/>
    <cellStyle name="Note 3 2 7 2 3" xfId="39263" xr:uid="{00000000-0005-0000-0000-00005D990000}"/>
    <cellStyle name="Note 3 2 7 2 3 2" xfId="39264" xr:uid="{00000000-0005-0000-0000-00005E990000}"/>
    <cellStyle name="Note 3 2 7 2 3 3" xfId="39265" xr:uid="{00000000-0005-0000-0000-00005F990000}"/>
    <cellStyle name="Note 3 2 7 2 3 4" xfId="39266" xr:uid="{00000000-0005-0000-0000-000060990000}"/>
    <cellStyle name="Note 3 2 7 2 3 5" xfId="39267" xr:uid="{00000000-0005-0000-0000-000061990000}"/>
    <cellStyle name="Note 3 2 7 2 3 6" xfId="39268" xr:uid="{00000000-0005-0000-0000-000062990000}"/>
    <cellStyle name="Note 3 2 7 2 4" xfId="39269" xr:uid="{00000000-0005-0000-0000-000063990000}"/>
    <cellStyle name="Note 3 2 7 2 5" xfId="39270" xr:uid="{00000000-0005-0000-0000-000064990000}"/>
    <cellStyle name="Note 3 2 7 2 6" xfId="39271" xr:uid="{00000000-0005-0000-0000-000065990000}"/>
    <cellStyle name="Note 3 2 7 2 7" xfId="39272" xr:uid="{00000000-0005-0000-0000-000066990000}"/>
    <cellStyle name="Note 3 2 7 3" xfId="39273" xr:uid="{00000000-0005-0000-0000-000067990000}"/>
    <cellStyle name="Note 3 2 7 3 2" xfId="39274" xr:uid="{00000000-0005-0000-0000-000068990000}"/>
    <cellStyle name="Note 3 2 7 3 2 2" xfId="39275" xr:uid="{00000000-0005-0000-0000-000069990000}"/>
    <cellStyle name="Note 3 2 7 3 2 3" xfId="39276" xr:uid="{00000000-0005-0000-0000-00006A990000}"/>
    <cellStyle name="Note 3 2 7 3 2 4" xfId="39277" xr:uid="{00000000-0005-0000-0000-00006B990000}"/>
    <cellStyle name="Note 3 2 7 3 2 5" xfId="39278" xr:uid="{00000000-0005-0000-0000-00006C990000}"/>
    <cellStyle name="Note 3 2 7 3 2 6" xfId="39279" xr:uid="{00000000-0005-0000-0000-00006D990000}"/>
    <cellStyle name="Note 3 2 7 3 3" xfId="39280" xr:uid="{00000000-0005-0000-0000-00006E990000}"/>
    <cellStyle name="Note 3 2 7 3 4" xfId="39281" xr:uid="{00000000-0005-0000-0000-00006F990000}"/>
    <cellStyle name="Note 3 2 7 3 5" xfId="39282" xr:uid="{00000000-0005-0000-0000-000070990000}"/>
    <cellStyle name="Note 3 2 7 3 6" xfId="39283" xr:uid="{00000000-0005-0000-0000-000071990000}"/>
    <cellStyle name="Note 3 2 7 4" xfId="39284" xr:uid="{00000000-0005-0000-0000-000072990000}"/>
    <cellStyle name="Note 3 2 7 4 2" xfId="39285" xr:uid="{00000000-0005-0000-0000-000073990000}"/>
    <cellStyle name="Note 3 2 7 4 3" xfId="39286" xr:uid="{00000000-0005-0000-0000-000074990000}"/>
    <cellStyle name="Note 3 2 7 4 4" xfId="39287" xr:uid="{00000000-0005-0000-0000-000075990000}"/>
    <cellStyle name="Note 3 2 7 4 5" xfId="39288" xr:uid="{00000000-0005-0000-0000-000076990000}"/>
    <cellStyle name="Note 3 2 7 4 6" xfId="39289" xr:uid="{00000000-0005-0000-0000-000077990000}"/>
    <cellStyle name="Note 3 2 7 5" xfId="39290" xr:uid="{00000000-0005-0000-0000-000078990000}"/>
    <cellStyle name="Note 3 2 7 5 2" xfId="39291" xr:uid="{00000000-0005-0000-0000-000079990000}"/>
    <cellStyle name="Note 3 2 7 5 3" xfId="39292" xr:uid="{00000000-0005-0000-0000-00007A990000}"/>
    <cellStyle name="Note 3 2 7 5 4" xfId="39293" xr:uid="{00000000-0005-0000-0000-00007B990000}"/>
    <cellStyle name="Note 3 2 7 5 5" xfId="39294" xr:uid="{00000000-0005-0000-0000-00007C990000}"/>
    <cellStyle name="Note 3 2 7 5 6" xfId="39295" xr:uid="{00000000-0005-0000-0000-00007D990000}"/>
    <cellStyle name="Note 3 2 7 6" xfId="39296" xr:uid="{00000000-0005-0000-0000-00007E990000}"/>
    <cellStyle name="Note 3 2 7 7" xfId="39297" xr:uid="{00000000-0005-0000-0000-00007F990000}"/>
    <cellStyle name="Note 3 2 7 8" xfId="39298" xr:uid="{00000000-0005-0000-0000-000080990000}"/>
    <cellStyle name="Note 3 2 7 9" xfId="39299" xr:uid="{00000000-0005-0000-0000-000081990000}"/>
    <cellStyle name="Note 3 2 8" xfId="39300" xr:uid="{00000000-0005-0000-0000-000082990000}"/>
    <cellStyle name="Note 3 2 8 2" xfId="39301" xr:uid="{00000000-0005-0000-0000-000083990000}"/>
    <cellStyle name="Note 3 2 8 2 2" xfId="39302" xr:uid="{00000000-0005-0000-0000-000084990000}"/>
    <cellStyle name="Note 3 2 8 2 2 2" xfId="39303" xr:uid="{00000000-0005-0000-0000-000085990000}"/>
    <cellStyle name="Note 3 2 8 2 2 3" xfId="39304" xr:uid="{00000000-0005-0000-0000-000086990000}"/>
    <cellStyle name="Note 3 2 8 2 2 4" xfId="39305" xr:uid="{00000000-0005-0000-0000-000087990000}"/>
    <cellStyle name="Note 3 2 8 2 2 5" xfId="39306" xr:uid="{00000000-0005-0000-0000-000088990000}"/>
    <cellStyle name="Note 3 2 8 2 2 6" xfId="39307" xr:uid="{00000000-0005-0000-0000-000089990000}"/>
    <cellStyle name="Note 3 2 8 2 3" xfId="39308" xr:uid="{00000000-0005-0000-0000-00008A990000}"/>
    <cellStyle name="Note 3 2 8 2 4" xfId="39309" xr:uid="{00000000-0005-0000-0000-00008B990000}"/>
    <cellStyle name="Note 3 2 8 2 5" xfId="39310" xr:uid="{00000000-0005-0000-0000-00008C990000}"/>
    <cellStyle name="Note 3 2 8 2 6" xfId="39311" xr:uid="{00000000-0005-0000-0000-00008D990000}"/>
    <cellStyle name="Note 3 2 8 2 7" xfId="39312" xr:uid="{00000000-0005-0000-0000-00008E990000}"/>
    <cellStyle name="Note 3 2 8 3" xfId="39313" xr:uid="{00000000-0005-0000-0000-00008F990000}"/>
    <cellStyle name="Note 3 2 8 3 2" xfId="39314" xr:uid="{00000000-0005-0000-0000-000090990000}"/>
    <cellStyle name="Note 3 2 8 3 3" xfId="39315" xr:uid="{00000000-0005-0000-0000-000091990000}"/>
    <cellStyle name="Note 3 2 8 3 4" xfId="39316" xr:uid="{00000000-0005-0000-0000-000092990000}"/>
    <cellStyle name="Note 3 2 8 3 5" xfId="39317" xr:uid="{00000000-0005-0000-0000-000093990000}"/>
    <cellStyle name="Note 3 2 8 3 6" xfId="39318" xr:uid="{00000000-0005-0000-0000-000094990000}"/>
    <cellStyle name="Note 3 2 8 4" xfId="39319" xr:uid="{00000000-0005-0000-0000-000095990000}"/>
    <cellStyle name="Note 3 2 8 5" xfId="39320" xr:uid="{00000000-0005-0000-0000-000096990000}"/>
    <cellStyle name="Note 3 2 8 6" xfId="39321" xr:uid="{00000000-0005-0000-0000-000097990000}"/>
    <cellStyle name="Note 3 2 8 7" xfId="39322" xr:uid="{00000000-0005-0000-0000-000098990000}"/>
    <cellStyle name="Note 3 2 9" xfId="39323" xr:uid="{00000000-0005-0000-0000-000099990000}"/>
    <cellStyle name="Note 3 2 9 2" xfId="39324" xr:uid="{00000000-0005-0000-0000-00009A990000}"/>
    <cellStyle name="Note 3 2 9 2 2" xfId="39325" xr:uid="{00000000-0005-0000-0000-00009B990000}"/>
    <cellStyle name="Note 3 2 9 2 2 2" xfId="39326" xr:uid="{00000000-0005-0000-0000-00009C990000}"/>
    <cellStyle name="Note 3 2 9 2 2 3" xfId="39327" xr:uid="{00000000-0005-0000-0000-00009D990000}"/>
    <cellStyle name="Note 3 2 9 2 2 4" xfId="39328" xr:uid="{00000000-0005-0000-0000-00009E990000}"/>
    <cellStyle name="Note 3 2 9 2 2 5" xfId="39329" xr:uid="{00000000-0005-0000-0000-00009F990000}"/>
    <cellStyle name="Note 3 2 9 2 2 6" xfId="39330" xr:uid="{00000000-0005-0000-0000-0000A0990000}"/>
    <cellStyle name="Note 3 2 9 2 3" xfId="39331" xr:uid="{00000000-0005-0000-0000-0000A1990000}"/>
    <cellStyle name="Note 3 2 9 2 4" xfId="39332" xr:uid="{00000000-0005-0000-0000-0000A2990000}"/>
    <cellStyle name="Note 3 2 9 2 5" xfId="39333" xr:uid="{00000000-0005-0000-0000-0000A3990000}"/>
    <cellStyle name="Note 3 2 9 2 6" xfId="39334" xr:uid="{00000000-0005-0000-0000-0000A4990000}"/>
    <cellStyle name="Note 3 2 9 2 7" xfId="39335" xr:uid="{00000000-0005-0000-0000-0000A5990000}"/>
    <cellStyle name="Note 3 2 9 3" xfId="39336" xr:uid="{00000000-0005-0000-0000-0000A6990000}"/>
    <cellStyle name="Note 3 2 9 3 2" xfId="39337" xr:uid="{00000000-0005-0000-0000-0000A7990000}"/>
    <cellStyle name="Note 3 2 9 3 3" xfId="39338" xr:uid="{00000000-0005-0000-0000-0000A8990000}"/>
    <cellStyle name="Note 3 2 9 3 4" xfId="39339" xr:uid="{00000000-0005-0000-0000-0000A9990000}"/>
    <cellStyle name="Note 3 2 9 3 5" xfId="39340" xr:uid="{00000000-0005-0000-0000-0000AA990000}"/>
    <cellStyle name="Note 3 2 9 3 6" xfId="39341" xr:uid="{00000000-0005-0000-0000-0000AB990000}"/>
    <cellStyle name="Note 3 2 9 4" xfId="39342" xr:uid="{00000000-0005-0000-0000-0000AC990000}"/>
    <cellStyle name="Note 3 2 9 5" xfId="39343" xr:uid="{00000000-0005-0000-0000-0000AD990000}"/>
    <cellStyle name="Note 3 2 9 6" xfId="39344" xr:uid="{00000000-0005-0000-0000-0000AE990000}"/>
    <cellStyle name="Note 3 2 9 7" xfId="39345" xr:uid="{00000000-0005-0000-0000-0000AF990000}"/>
    <cellStyle name="Note 3 20" xfId="39346" xr:uid="{00000000-0005-0000-0000-0000B0990000}"/>
    <cellStyle name="Note 3 20 2" xfId="39347" xr:uid="{00000000-0005-0000-0000-0000B1990000}"/>
    <cellStyle name="Note 3 20 2 2" xfId="39348" xr:uid="{00000000-0005-0000-0000-0000B2990000}"/>
    <cellStyle name="Note 3 20 2 3" xfId="39349" xr:uid="{00000000-0005-0000-0000-0000B3990000}"/>
    <cellStyle name="Note 3 20 2 4" xfId="39350" xr:uid="{00000000-0005-0000-0000-0000B4990000}"/>
    <cellStyle name="Note 3 20 2 5" xfId="39351" xr:uid="{00000000-0005-0000-0000-0000B5990000}"/>
    <cellStyle name="Note 3 20 2 6" xfId="39352" xr:uid="{00000000-0005-0000-0000-0000B6990000}"/>
    <cellStyle name="Note 3 20 3" xfId="39353" xr:uid="{00000000-0005-0000-0000-0000B7990000}"/>
    <cellStyle name="Note 3 20 4" xfId="39354" xr:uid="{00000000-0005-0000-0000-0000B8990000}"/>
    <cellStyle name="Note 3 20 5" xfId="39355" xr:uid="{00000000-0005-0000-0000-0000B9990000}"/>
    <cellStyle name="Note 3 20 6" xfId="39356" xr:uid="{00000000-0005-0000-0000-0000BA990000}"/>
    <cellStyle name="Note 3 20 7" xfId="39357" xr:uid="{00000000-0005-0000-0000-0000BB990000}"/>
    <cellStyle name="Note 3 21" xfId="39358" xr:uid="{00000000-0005-0000-0000-0000BC990000}"/>
    <cellStyle name="Note 3 21 2" xfId="39359" xr:uid="{00000000-0005-0000-0000-0000BD990000}"/>
    <cellStyle name="Note 3 21 2 2" xfId="39360" xr:uid="{00000000-0005-0000-0000-0000BE990000}"/>
    <cellStyle name="Note 3 21 2 3" xfId="39361" xr:uid="{00000000-0005-0000-0000-0000BF990000}"/>
    <cellStyle name="Note 3 21 2 4" xfId="39362" xr:uid="{00000000-0005-0000-0000-0000C0990000}"/>
    <cellStyle name="Note 3 21 2 5" xfId="39363" xr:uid="{00000000-0005-0000-0000-0000C1990000}"/>
    <cellStyle name="Note 3 21 2 6" xfId="39364" xr:uid="{00000000-0005-0000-0000-0000C2990000}"/>
    <cellStyle name="Note 3 21 3" xfId="39365" xr:uid="{00000000-0005-0000-0000-0000C3990000}"/>
    <cellStyle name="Note 3 21 4" xfId="39366" xr:uid="{00000000-0005-0000-0000-0000C4990000}"/>
    <cellStyle name="Note 3 21 5" xfId="39367" xr:uid="{00000000-0005-0000-0000-0000C5990000}"/>
    <cellStyle name="Note 3 21 6" xfId="39368" xr:uid="{00000000-0005-0000-0000-0000C6990000}"/>
    <cellStyle name="Note 3 21 7" xfId="39369" xr:uid="{00000000-0005-0000-0000-0000C7990000}"/>
    <cellStyle name="Note 3 22" xfId="39370" xr:uid="{00000000-0005-0000-0000-0000C8990000}"/>
    <cellStyle name="Note 3 22 2" xfId="39371" xr:uid="{00000000-0005-0000-0000-0000C9990000}"/>
    <cellStyle name="Note 3 22 2 2" xfId="39372" xr:uid="{00000000-0005-0000-0000-0000CA990000}"/>
    <cellStyle name="Note 3 22 2 3" xfId="39373" xr:uid="{00000000-0005-0000-0000-0000CB990000}"/>
    <cellStyle name="Note 3 22 2 4" xfId="39374" xr:uid="{00000000-0005-0000-0000-0000CC990000}"/>
    <cellStyle name="Note 3 22 2 5" xfId="39375" xr:uid="{00000000-0005-0000-0000-0000CD990000}"/>
    <cellStyle name="Note 3 22 2 6" xfId="39376" xr:uid="{00000000-0005-0000-0000-0000CE990000}"/>
    <cellStyle name="Note 3 22 3" xfId="39377" xr:uid="{00000000-0005-0000-0000-0000CF990000}"/>
    <cellStyle name="Note 3 22 4" xfId="39378" xr:uid="{00000000-0005-0000-0000-0000D0990000}"/>
    <cellStyle name="Note 3 22 5" xfId="39379" xr:uid="{00000000-0005-0000-0000-0000D1990000}"/>
    <cellStyle name="Note 3 22 6" xfId="39380" xr:uid="{00000000-0005-0000-0000-0000D2990000}"/>
    <cellStyle name="Note 3 22 7" xfId="39381" xr:uid="{00000000-0005-0000-0000-0000D3990000}"/>
    <cellStyle name="Note 3 23" xfId="39382" xr:uid="{00000000-0005-0000-0000-0000D4990000}"/>
    <cellStyle name="Note 3 23 2" xfId="39383" xr:uid="{00000000-0005-0000-0000-0000D5990000}"/>
    <cellStyle name="Note 3 23 2 2" xfId="39384" xr:uid="{00000000-0005-0000-0000-0000D6990000}"/>
    <cellStyle name="Note 3 23 2 3" xfId="39385" xr:uid="{00000000-0005-0000-0000-0000D7990000}"/>
    <cellStyle name="Note 3 23 2 4" xfId="39386" xr:uid="{00000000-0005-0000-0000-0000D8990000}"/>
    <cellStyle name="Note 3 23 2 5" xfId="39387" xr:uid="{00000000-0005-0000-0000-0000D9990000}"/>
    <cellStyle name="Note 3 23 2 6" xfId="39388" xr:uid="{00000000-0005-0000-0000-0000DA990000}"/>
    <cellStyle name="Note 3 23 3" xfId="39389" xr:uid="{00000000-0005-0000-0000-0000DB990000}"/>
    <cellStyle name="Note 3 23 4" xfId="39390" xr:uid="{00000000-0005-0000-0000-0000DC990000}"/>
    <cellStyle name="Note 3 23 5" xfId="39391" xr:uid="{00000000-0005-0000-0000-0000DD990000}"/>
    <cellStyle name="Note 3 23 6" xfId="39392" xr:uid="{00000000-0005-0000-0000-0000DE990000}"/>
    <cellStyle name="Note 3 23 7" xfId="39393" xr:uid="{00000000-0005-0000-0000-0000DF990000}"/>
    <cellStyle name="Note 3 24" xfId="39394" xr:uid="{00000000-0005-0000-0000-0000E0990000}"/>
    <cellStyle name="Note 3 24 2" xfId="39395" xr:uid="{00000000-0005-0000-0000-0000E1990000}"/>
    <cellStyle name="Note 3 24 2 2" xfId="39396" xr:uid="{00000000-0005-0000-0000-0000E2990000}"/>
    <cellStyle name="Note 3 24 2 3" xfId="39397" xr:uid="{00000000-0005-0000-0000-0000E3990000}"/>
    <cellStyle name="Note 3 24 2 4" xfId="39398" xr:uid="{00000000-0005-0000-0000-0000E4990000}"/>
    <cellStyle name="Note 3 24 2 5" xfId="39399" xr:uid="{00000000-0005-0000-0000-0000E5990000}"/>
    <cellStyle name="Note 3 24 2 6" xfId="39400" xr:uid="{00000000-0005-0000-0000-0000E6990000}"/>
    <cellStyle name="Note 3 24 3" xfId="39401" xr:uid="{00000000-0005-0000-0000-0000E7990000}"/>
    <cellStyle name="Note 3 24 4" xfId="39402" xr:uid="{00000000-0005-0000-0000-0000E8990000}"/>
    <cellStyle name="Note 3 24 5" xfId="39403" xr:uid="{00000000-0005-0000-0000-0000E9990000}"/>
    <cellStyle name="Note 3 24 6" xfId="39404" xr:uid="{00000000-0005-0000-0000-0000EA990000}"/>
    <cellStyle name="Note 3 24 7" xfId="39405" xr:uid="{00000000-0005-0000-0000-0000EB990000}"/>
    <cellStyle name="Note 3 25" xfId="39406" xr:uid="{00000000-0005-0000-0000-0000EC990000}"/>
    <cellStyle name="Note 3 25 2" xfId="39407" xr:uid="{00000000-0005-0000-0000-0000ED990000}"/>
    <cellStyle name="Note 3 25 2 2" xfId="39408" xr:uid="{00000000-0005-0000-0000-0000EE990000}"/>
    <cellStyle name="Note 3 25 2 3" xfId="39409" xr:uid="{00000000-0005-0000-0000-0000EF990000}"/>
    <cellStyle name="Note 3 25 2 4" xfId="39410" xr:uid="{00000000-0005-0000-0000-0000F0990000}"/>
    <cellStyle name="Note 3 25 2 5" xfId="39411" xr:uid="{00000000-0005-0000-0000-0000F1990000}"/>
    <cellStyle name="Note 3 25 2 6" xfId="39412" xr:uid="{00000000-0005-0000-0000-0000F2990000}"/>
    <cellStyle name="Note 3 25 3" xfId="39413" xr:uid="{00000000-0005-0000-0000-0000F3990000}"/>
    <cellStyle name="Note 3 25 4" xfId="39414" xr:uid="{00000000-0005-0000-0000-0000F4990000}"/>
    <cellStyle name="Note 3 25 5" xfId="39415" xr:uid="{00000000-0005-0000-0000-0000F5990000}"/>
    <cellStyle name="Note 3 25 6" xfId="39416" xr:uid="{00000000-0005-0000-0000-0000F6990000}"/>
    <cellStyle name="Note 3 25 7" xfId="39417" xr:uid="{00000000-0005-0000-0000-0000F7990000}"/>
    <cellStyle name="Note 3 26" xfId="39418" xr:uid="{00000000-0005-0000-0000-0000F8990000}"/>
    <cellStyle name="Note 3 26 2" xfId="39419" xr:uid="{00000000-0005-0000-0000-0000F9990000}"/>
    <cellStyle name="Note 3 26 2 2" xfId="39420" xr:uid="{00000000-0005-0000-0000-0000FA990000}"/>
    <cellStyle name="Note 3 26 2 3" xfId="39421" xr:uid="{00000000-0005-0000-0000-0000FB990000}"/>
    <cellStyle name="Note 3 26 2 4" xfId="39422" xr:uid="{00000000-0005-0000-0000-0000FC990000}"/>
    <cellStyle name="Note 3 26 2 5" xfId="39423" xr:uid="{00000000-0005-0000-0000-0000FD990000}"/>
    <cellStyle name="Note 3 26 2 6" xfId="39424" xr:uid="{00000000-0005-0000-0000-0000FE990000}"/>
    <cellStyle name="Note 3 26 3" xfId="39425" xr:uid="{00000000-0005-0000-0000-0000FF990000}"/>
    <cellStyle name="Note 3 26 4" xfId="39426" xr:uid="{00000000-0005-0000-0000-0000009A0000}"/>
    <cellStyle name="Note 3 26 5" xfId="39427" xr:uid="{00000000-0005-0000-0000-0000019A0000}"/>
    <cellStyle name="Note 3 26 6" xfId="39428" xr:uid="{00000000-0005-0000-0000-0000029A0000}"/>
    <cellStyle name="Note 3 26 7" xfId="39429" xr:uid="{00000000-0005-0000-0000-0000039A0000}"/>
    <cellStyle name="Note 3 27" xfId="39430" xr:uid="{00000000-0005-0000-0000-0000049A0000}"/>
    <cellStyle name="Note 3 27 2" xfId="39431" xr:uid="{00000000-0005-0000-0000-0000059A0000}"/>
    <cellStyle name="Note 3 27 2 2" xfId="39432" xr:uid="{00000000-0005-0000-0000-0000069A0000}"/>
    <cellStyle name="Note 3 27 2 3" xfId="39433" xr:uid="{00000000-0005-0000-0000-0000079A0000}"/>
    <cellStyle name="Note 3 27 2 4" xfId="39434" xr:uid="{00000000-0005-0000-0000-0000089A0000}"/>
    <cellStyle name="Note 3 27 2 5" xfId="39435" xr:uid="{00000000-0005-0000-0000-0000099A0000}"/>
    <cellStyle name="Note 3 27 2 6" xfId="39436" xr:uid="{00000000-0005-0000-0000-00000A9A0000}"/>
    <cellStyle name="Note 3 27 3" xfId="39437" xr:uid="{00000000-0005-0000-0000-00000B9A0000}"/>
    <cellStyle name="Note 3 27 4" xfId="39438" xr:uid="{00000000-0005-0000-0000-00000C9A0000}"/>
    <cellStyle name="Note 3 27 5" xfId="39439" xr:uid="{00000000-0005-0000-0000-00000D9A0000}"/>
    <cellStyle name="Note 3 27 6" xfId="39440" xr:uid="{00000000-0005-0000-0000-00000E9A0000}"/>
    <cellStyle name="Note 3 27 7" xfId="39441" xr:uid="{00000000-0005-0000-0000-00000F9A0000}"/>
    <cellStyle name="Note 3 28" xfId="39442" xr:uid="{00000000-0005-0000-0000-0000109A0000}"/>
    <cellStyle name="Note 3 28 2" xfId="39443" xr:uid="{00000000-0005-0000-0000-0000119A0000}"/>
    <cellStyle name="Note 3 28 2 2" xfId="39444" xr:uid="{00000000-0005-0000-0000-0000129A0000}"/>
    <cellStyle name="Note 3 28 2 3" xfId="39445" xr:uid="{00000000-0005-0000-0000-0000139A0000}"/>
    <cellStyle name="Note 3 28 2 4" xfId="39446" xr:uid="{00000000-0005-0000-0000-0000149A0000}"/>
    <cellStyle name="Note 3 28 2 5" xfId="39447" xr:uid="{00000000-0005-0000-0000-0000159A0000}"/>
    <cellStyle name="Note 3 28 2 6" xfId="39448" xr:uid="{00000000-0005-0000-0000-0000169A0000}"/>
    <cellStyle name="Note 3 28 3" xfId="39449" xr:uid="{00000000-0005-0000-0000-0000179A0000}"/>
    <cellStyle name="Note 3 28 4" xfId="39450" xr:uid="{00000000-0005-0000-0000-0000189A0000}"/>
    <cellStyle name="Note 3 28 5" xfId="39451" xr:uid="{00000000-0005-0000-0000-0000199A0000}"/>
    <cellStyle name="Note 3 28 6" xfId="39452" xr:uid="{00000000-0005-0000-0000-00001A9A0000}"/>
    <cellStyle name="Note 3 28 7" xfId="39453" xr:uid="{00000000-0005-0000-0000-00001B9A0000}"/>
    <cellStyle name="Note 3 29" xfId="39454" xr:uid="{00000000-0005-0000-0000-00001C9A0000}"/>
    <cellStyle name="Note 3 29 2" xfId="39455" xr:uid="{00000000-0005-0000-0000-00001D9A0000}"/>
    <cellStyle name="Note 3 29 2 2" xfId="39456" xr:uid="{00000000-0005-0000-0000-00001E9A0000}"/>
    <cellStyle name="Note 3 29 2 3" xfId="39457" xr:uid="{00000000-0005-0000-0000-00001F9A0000}"/>
    <cellStyle name="Note 3 29 2 4" xfId="39458" xr:uid="{00000000-0005-0000-0000-0000209A0000}"/>
    <cellStyle name="Note 3 29 2 5" xfId="39459" xr:uid="{00000000-0005-0000-0000-0000219A0000}"/>
    <cellStyle name="Note 3 29 2 6" xfId="39460" xr:uid="{00000000-0005-0000-0000-0000229A0000}"/>
    <cellStyle name="Note 3 29 3" xfId="39461" xr:uid="{00000000-0005-0000-0000-0000239A0000}"/>
    <cellStyle name="Note 3 29 4" xfId="39462" xr:uid="{00000000-0005-0000-0000-0000249A0000}"/>
    <cellStyle name="Note 3 29 5" xfId="39463" xr:uid="{00000000-0005-0000-0000-0000259A0000}"/>
    <cellStyle name="Note 3 29 6" xfId="39464" xr:uid="{00000000-0005-0000-0000-0000269A0000}"/>
    <cellStyle name="Note 3 29 7" xfId="39465" xr:uid="{00000000-0005-0000-0000-0000279A0000}"/>
    <cellStyle name="Note 3 3" xfId="39466" xr:uid="{00000000-0005-0000-0000-0000289A0000}"/>
    <cellStyle name="Note 3 3 10" xfId="39467" xr:uid="{00000000-0005-0000-0000-0000299A0000}"/>
    <cellStyle name="Note 3 3 10 2" xfId="39468" xr:uid="{00000000-0005-0000-0000-00002A9A0000}"/>
    <cellStyle name="Note 3 3 10 2 2" xfId="39469" xr:uid="{00000000-0005-0000-0000-00002B9A0000}"/>
    <cellStyle name="Note 3 3 10 2 3" xfId="39470" xr:uid="{00000000-0005-0000-0000-00002C9A0000}"/>
    <cellStyle name="Note 3 3 10 2 4" xfId="39471" xr:uid="{00000000-0005-0000-0000-00002D9A0000}"/>
    <cellStyle name="Note 3 3 10 2 5" xfId="39472" xr:uid="{00000000-0005-0000-0000-00002E9A0000}"/>
    <cellStyle name="Note 3 3 10 2 6" xfId="39473" xr:uid="{00000000-0005-0000-0000-00002F9A0000}"/>
    <cellStyle name="Note 3 3 10 3" xfId="39474" xr:uid="{00000000-0005-0000-0000-0000309A0000}"/>
    <cellStyle name="Note 3 3 10 4" xfId="39475" xr:uid="{00000000-0005-0000-0000-0000319A0000}"/>
    <cellStyle name="Note 3 3 10 5" xfId="39476" xr:uid="{00000000-0005-0000-0000-0000329A0000}"/>
    <cellStyle name="Note 3 3 10 6" xfId="39477" xr:uid="{00000000-0005-0000-0000-0000339A0000}"/>
    <cellStyle name="Note 3 3 10 7" xfId="39478" xr:uid="{00000000-0005-0000-0000-0000349A0000}"/>
    <cellStyle name="Note 3 3 11" xfId="39479" xr:uid="{00000000-0005-0000-0000-0000359A0000}"/>
    <cellStyle name="Note 3 3 11 2" xfId="39480" xr:uid="{00000000-0005-0000-0000-0000369A0000}"/>
    <cellStyle name="Note 3 3 11 2 2" xfId="39481" xr:uid="{00000000-0005-0000-0000-0000379A0000}"/>
    <cellStyle name="Note 3 3 11 2 3" xfId="39482" xr:uid="{00000000-0005-0000-0000-0000389A0000}"/>
    <cellStyle name="Note 3 3 11 2 4" xfId="39483" xr:uid="{00000000-0005-0000-0000-0000399A0000}"/>
    <cellStyle name="Note 3 3 11 2 5" xfId="39484" xr:uid="{00000000-0005-0000-0000-00003A9A0000}"/>
    <cellStyle name="Note 3 3 11 2 6" xfId="39485" xr:uid="{00000000-0005-0000-0000-00003B9A0000}"/>
    <cellStyle name="Note 3 3 11 3" xfId="39486" xr:uid="{00000000-0005-0000-0000-00003C9A0000}"/>
    <cellStyle name="Note 3 3 11 4" xfId="39487" xr:uid="{00000000-0005-0000-0000-00003D9A0000}"/>
    <cellStyle name="Note 3 3 11 5" xfId="39488" xr:uid="{00000000-0005-0000-0000-00003E9A0000}"/>
    <cellStyle name="Note 3 3 11 6" xfId="39489" xr:uid="{00000000-0005-0000-0000-00003F9A0000}"/>
    <cellStyle name="Note 3 3 11 7" xfId="39490" xr:uid="{00000000-0005-0000-0000-0000409A0000}"/>
    <cellStyle name="Note 3 3 12" xfId="39491" xr:uid="{00000000-0005-0000-0000-0000419A0000}"/>
    <cellStyle name="Note 3 3 12 2" xfId="39492" xr:uid="{00000000-0005-0000-0000-0000429A0000}"/>
    <cellStyle name="Note 3 3 12 2 2" xfId="39493" xr:uid="{00000000-0005-0000-0000-0000439A0000}"/>
    <cellStyle name="Note 3 3 12 2 3" xfId="39494" xr:uid="{00000000-0005-0000-0000-0000449A0000}"/>
    <cellStyle name="Note 3 3 12 2 4" xfId="39495" xr:uid="{00000000-0005-0000-0000-0000459A0000}"/>
    <cellStyle name="Note 3 3 12 2 5" xfId="39496" xr:uid="{00000000-0005-0000-0000-0000469A0000}"/>
    <cellStyle name="Note 3 3 12 2 6" xfId="39497" xr:uid="{00000000-0005-0000-0000-0000479A0000}"/>
    <cellStyle name="Note 3 3 12 3" xfId="39498" xr:uid="{00000000-0005-0000-0000-0000489A0000}"/>
    <cellStyle name="Note 3 3 12 4" xfId="39499" xr:uid="{00000000-0005-0000-0000-0000499A0000}"/>
    <cellStyle name="Note 3 3 12 5" xfId="39500" xr:uid="{00000000-0005-0000-0000-00004A9A0000}"/>
    <cellStyle name="Note 3 3 12 6" xfId="39501" xr:uid="{00000000-0005-0000-0000-00004B9A0000}"/>
    <cellStyle name="Note 3 3 12 7" xfId="39502" xr:uid="{00000000-0005-0000-0000-00004C9A0000}"/>
    <cellStyle name="Note 3 3 13" xfId="39503" xr:uid="{00000000-0005-0000-0000-00004D9A0000}"/>
    <cellStyle name="Note 3 3 13 2" xfId="39504" xr:uid="{00000000-0005-0000-0000-00004E9A0000}"/>
    <cellStyle name="Note 3 3 13 2 2" xfId="39505" xr:uid="{00000000-0005-0000-0000-00004F9A0000}"/>
    <cellStyle name="Note 3 3 13 2 3" xfId="39506" xr:uid="{00000000-0005-0000-0000-0000509A0000}"/>
    <cellStyle name="Note 3 3 13 2 4" xfId="39507" xr:uid="{00000000-0005-0000-0000-0000519A0000}"/>
    <cellStyle name="Note 3 3 13 2 5" xfId="39508" xr:uid="{00000000-0005-0000-0000-0000529A0000}"/>
    <cellStyle name="Note 3 3 13 2 6" xfId="39509" xr:uid="{00000000-0005-0000-0000-0000539A0000}"/>
    <cellStyle name="Note 3 3 13 3" xfId="39510" xr:uid="{00000000-0005-0000-0000-0000549A0000}"/>
    <cellStyle name="Note 3 3 13 4" xfId="39511" xr:uid="{00000000-0005-0000-0000-0000559A0000}"/>
    <cellStyle name="Note 3 3 13 5" xfId="39512" xr:uid="{00000000-0005-0000-0000-0000569A0000}"/>
    <cellStyle name="Note 3 3 13 6" xfId="39513" xr:uid="{00000000-0005-0000-0000-0000579A0000}"/>
    <cellStyle name="Note 3 3 13 7" xfId="39514" xr:uid="{00000000-0005-0000-0000-0000589A0000}"/>
    <cellStyle name="Note 3 3 14" xfId="39515" xr:uid="{00000000-0005-0000-0000-0000599A0000}"/>
    <cellStyle name="Note 3 3 14 2" xfId="39516" xr:uid="{00000000-0005-0000-0000-00005A9A0000}"/>
    <cellStyle name="Note 3 3 14 2 2" xfId="39517" xr:uid="{00000000-0005-0000-0000-00005B9A0000}"/>
    <cellStyle name="Note 3 3 14 2 3" xfId="39518" xr:uid="{00000000-0005-0000-0000-00005C9A0000}"/>
    <cellStyle name="Note 3 3 14 2 4" xfId="39519" xr:uid="{00000000-0005-0000-0000-00005D9A0000}"/>
    <cellStyle name="Note 3 3 14 2 5" xfId="39520" xr:uid="{00000000-0005-0000-0000-00005E9A0000}"/>
    <cellStyle name="Note 3 3 14 2 6" xfId="39521" xr:uid="{00000000-0005-0000-0000-00005F9A0000}"/>
    <cellStyle name="Note 3 3 14 3" xfId="39522" xr:uid="{00000000-0005-0000-0000-0000609A0000}"/>
    <cellStyle name="Note 3 3 14 4" xfId="39523" xr:uid="{00000000-0005-0000-0000-0000619A0000}"/>
    <cellStyle name="Note 3 3 14 5" xfId="39524" xr:uid="{00000000-0005-0000-0000-0000629A0000}"/>
    <cellStyle name="Note 3 3 14 6" xfId="39525" xr:uid="{00000000-0005-0000-0000-0000639A0000}"/>
    <cellStyle name="Note 3 3 14 7" xfId="39526" xr:uid="{00000000-0005-0000-0000-0000649A0000}"/>
    <cellStyle name="Note 3 3 15" xfId="39527" xr:uid="{00000000-0005-0000-0000-0000659A0000}"/>
    <cellStyle name="Note 3 3 15 2" xfId="39528" xr:uid="{00000000-0005-0000-0000-0000669A0000}"/>
    <cellStyle name="Note 3 3 15 2 2" xfId="39529" xr:uid="{00000000-0005-0000-0000-0000679A0000}"/>
    <cellStyle name="Note 3 3 15 2 3" xfId="39530" xr:uid="{00000000-0005-0000-0000-0000689A0000}"/>
    <cellStyle name="Note 3 3 15 2 4" xfId="39531" xr:uid="{00000000-0005-0000-0000-0000699A0000}"/>
    <cellStyle name="Note 3 3 15 2 5" xfId="39532" xr:uid="{00000000-0005-0000-0000-00006A9A0000}"/>
    <cellStyle name="Note 3 3 15 2 6" xfId="39533" xr:uid="{00000000-0005-0000-0000-00006B9A0000}"/>
    <cellStyle name="Note 3 3 15 3" xfId="39534" xr:uid="{00000000-0005-0000-0000-00006C9A0000}"/>
    <cellStyle name="Note 3 3 15 4" xfId="39535" xr:uid="{00000000-0005-0000-0000-00006D9A0000}"/>
    <cellStyle name="Note 3 3 15 5" xfId="39536" xr:uid="{00000000-0005-0000-0000-00006E9A0000}"/>
    <cellStyle name="Note 3 3 15 6" xfId="39537" xr:uid="{00000000-0005-0000-0000-00006F9A0000}"/>
    <cellStyle name="Note 3 3 15 7" xfId="39538" xr:uid="{00000000-0005-0000-0000-0000709A0000}"/>
    <cellStyle name="Note 3 3 16" xfId="39539" xr:uid="{00000000-0005-0000-0000-0000719A0000}"/>
    <cellStyle name="Note 3 3 16 2" xfId="39540" xr:uid="{00000000-0005-0000-0000-0000729A0000}"/>
    <cellStyle name="Note 3 3 16 2 2" xfId="39541" xr:uid="{00000000-0005-0000-0000-0000739A0000}"/>
    <cellStyle name="Note 3 3 16 2 3" xfId="39542" xr:uid="{00000000-0005-0000-0000-0000749A0000}"/>
    <cellStyle name="Note 3 3 16 2 4" xfId="39543" xr:uid="{00000000-0005-0000-0000-0000759A0000}"/>
    <cellStyle name="Note 3 3 16 2 5" xfId="39544" xr:uid="{00000000-0005-0000-0000-0000769A0000}"/>
    <cellStyle name="Note 3 3 16 2 6" xfId="39545" xr:uid="{00000000-0005-0000-0000-0000779A0000}"/>
    <cellStyle name="Note 3 3 16 3" xfId="39546" xr:uid="{00000000-0005-0000-0000-0000789A0000}"/>
    <cellStyle name="Note 3 3 16 4" xfId="39547" xr:uid="{00000000-0005-0000-0000-0000799A0000}"/>
    <cellStyle name="Note 3 3 16 5" xfId="39548" xr:uid="{00000000-0005-0000-0000-00007A9A0000}"/>
    <cellStyle name="Note 3 3 16 6" xfId="39549" xr:uid="{00000000-0005-0000-0000-00007B9A0000}"/>
    <cellStyle name="Note 3 3 16 7" xfId="39550" xr:uid="{00000000-0005-0000-0000-00007C9A0000}"/>
    <cellStyle name="Note 3 3 17" xfId="39551" xr:uid="{00000000-0005-0000-0000-00007D9A0000}"/>
    <cellStyle name="Note 3 3 17 2" xfId="39552" xr:uid="{00000000-0005-0000-0000-00007E9A0000}"/>
    <cellStyle name="Note 3 3 17 2 2" xfId="39553" xr:uid="{00000000-0005-0000-0000-00007F9A0000}"/>
    <cellStyle name="Note 3 3 17 2 3" xfId="39554" xr:uid="{00000000-0005-0000-0000-0000809A0000}"/>
    <cellStyle name="Note 3 3 17 2 4" xfId="39555" xr:uid="{00000000-0005-0000-0000-0000819A0000}"/>
    <cellStyle name="Note 3 3 17 2 5" xfId="39556" xr:uid="{00000000-0005-0000-0000-0000829A0000}"/>
    <cellStyle name="Note 3 3 17 2 6" xfId="39557" xr:uid="{00000000-0005-0000-0000-0000839A0000}"/>
    <cellStyle name="Note 3 3 17 3" xfId="39558" xr:uid="{00000000-0005-0000-0000-0000849A0000}"/>
    <cellStyle name="Note 3 3 17 4" xfId="39559" xr:uid="{00000000-0005-0000-0000-0000859A0000}"/>
    <cellStyle name="Note 3 3 17 5" xfId="39560" xr:uid="{00000000-0005-0000-0000-0000869A0000}"/>
    <cellStyle name="Note 3 3 17 6" xfId="39561" xr:uid="{00000000-0005-0000-0000-0000879A0000}"/>
    <cellStyle name="Note 3 3 17 7" xfId="39562" xr:uid="{00000000-0005-0000-0000-0000889A0000}"/>
    <cellStyle name="Note 3 3 18" xfId="39563" xr:uid="{00000000-0005-0000-0000-0000899A0000}"/>
    <cellStyle name="Note 3 3 18 2" xfId="39564" xr:uid="{00000000-0005-0000-0000-00008A9A0000}"/>
    <cellStyle name="Note 3 3 18 2 2" xfId="39565" xr:uid="{00000000-0005-0000-0000-00008B9A0000}"/>
    <cellStyle name="Note 3 3 18 2 3" xfId="39566" xr:uid="{00000000-0005-0000-0000-00008C9A0000}"/>
    <cellStyle name="Note 3 3 18 2 4" xfId="39567" xr:uid="{00000000-0005-0000-0000-00008D9A0000}"/>
    <cellStyle name="Note 3 3 18 2 5" xfId="39568" xr:uid="{00000000-0005-0000-0000-00008E9A0000}"/>
    <cellStyle name="Note 3 3 18 2 6" xfId="39569" xr:uid="{00000000-0005-0000-0000-00008F9A0000}"/>
    <cellStyle name="Note 3 3 18 3" xfId="39570" xr:uid="{00000000-0005-0000-0000-0000909A0000}"/>
    <cellStyle name="Note 3 3 18 4" xfId="39571" xr:uid="{00000000-0005-0000-0000-0000919A0000}"/>
    <cellStyle name="Note 3 3 18 5" xfId="39572" xr:uid="{00000000-0005-0000-0000-0000929A0000}"/>
    <cellStyle name="Note 3 3 18 6" xfId="39573" xr:uid="{00000000-0005-0000-0000-0000939A0000}"/>
    <cellStyle name="Note 3 3 18 7" xfId="39574" xr:uid="{00000000-0005-0000-0000-0000949A0000}"/>
    <cellStyle name="Note 3 3 19" xfId="39575" xr:uid="{00000000-0005-0000-0000-0000959A0000}"/>
    <cellStyle name="Note 3 3 19 2" xfId="39576" xr:uid="{00000000-0005-0000-0000-0000969A0000}"/>
    <cellStyle name="Note 3 3 19 2 2" xfId="39577" xr:uid="{00000000-0005-0000-0000-0000979A0000}"/>
    <cellStyle name="Note 3 3 19 2 3" xfId="39578" xr:uid="{00000000-0005-0000-0000-0000989A0000}"/>
    <cellStyle name="Note 3 3 19 2 4" xfId="39579" xr:uid="{00000000-0005-0000-0000-0000999A0000}"/>
    <cellStyle name="Note 3 3 19 2 5" xfId="39580" xr:uid="{00000000-0005-0000-0000-00009A9A0000}"/>
    <cellStyle name="Note 3 3 19 2 6" xfId="39581" xr:uid="{00000000-0005-0000-0000-00009B9A0000}"/>
    <cellStyle name="Note 3 3 19 3" xfId="39582" xr:uid="{00000000-0005-0000-0000-00009C9A0000}"/>
    <cellStyle name="Note 3 3 19 4" xfId="39583" xr:uid="{00000000-0005-0000-0000-00009D9A0000}"/>
    <cellStyle name="Note 3 3 19 5" xfId="39584" xr:uid="{00000000-0005-0000-0000-00009E9A0000}"/>
    <cellStyle name="Note 3 3 19 6" xfId="39585" xr:uid="{00000000-0005-0000-0000-00009F9A0000}"/>
    <cellStyle name="Note 3 3 19 7" xfId="39586" xr:uid="{00000000-0005-0000-0000-0000A09A0000}"/>
    <cellStyle name="Note 3 3 2" xfId="39587" xr:uid="{00000000-0005-0000-0000-0000A19A0000}"/>
    <cellStyle name="Note 3 3 2 2" xfId="39588" xr:uid="{00000000-0005-0000-0000-0000A29A0000}"/>
    <cellStyle name="Note 3 3 2 2 2" xfId="39589" xr:uid="{00000000-0005-0000-0000-0000A39A0000}"/>
    <cellStyle name="Note 3 3 2 2 2 2" xfId="39590" xr:uid="{00000000-0005-0000-0000-0000A49A0000}"/>
    <cellStyle name="Note 3 3 2 2 2 3" xfId="39591" xr:uid="{00000000-0005-0000-0000-0000A59A0000}"/>
    <cellStyle name="Note 3 3 2 2 2 4" xfId="39592" xr:uid="{00000000-0005-0000-0000-0000A69A0000}"/>
    <cellStyle name="Note 3 3 2 2 2 5" xfId="39593" xr:uid="{00000000-0005-0000-0000-0000A79A0000}"/>
    <cellStyle name="Note 3 3 2 2 2 6" xfId="39594" xr:uid="{00000000-0005-0000-0000-0000A89A0000}"/>
    <cellStyle name="Note 3 3 2 2 3" xfId="39595" xr:uid="{00000000-0005-0000-0000-0000A99A0000}"/>
    <cellStyle name="Note 3 3 2 2 4" xfId="39596" xr:uid="{00000000-0005-0000-0000-0000AA9A0000}"/>
    <cellStyle name="Note 3 3 2 2 5" xfId="39597" xr:uid="{00000000-0005-0000-0000-0000AB9A0000}"/>
    <cellStyle name="Note 3 3 2 2 6" xfId="39598" xr:uid="{00000000-0005-0000-0000-0000AC9A0000}"/>
    <cellStyle name="Note 3 3 2 2 7" xfId="39599" xr:uid="{00000000-0005-0000-0000-0000AD9A0000}"/>
    <cellStyle name="Note 3 3 2 3" xfId="39600" xr:uid="{00000000-0005-0000-0000-0000AE9A0000}"/>
    <cellStyle name="Note 3 3 2 3 2" xfId="39601" xr:uid="{00000000-0005-0000-0000-0000AF9A0000}"/>
    <cellStyle name="Note 3 3 2 3 3" xfId="39602" xr:uid="{00000000-0005-0000-0000-0000B09A0000}"/>
    <cellStyle name="Note 3 3 2 3 4" xfId="39603" xr:uid="{00000000-0005-0000-0000-0000B19A0000}"/>
    <cellStyle name="Note 3 3 2 3 5" xfId="39604" xr:uid="{00000000-0005-0000-0000-0000B29A0000}"/>
    <cellStyle name="Note 3 3 2 3 6" xfId="39605" xr:uid="{00000000-0005-0000-0000-0000B39A0000}"/>
    <cellStyle name="Note 3 3 2 4" xfId="39606" xr:uid="{00000000-0005-0000-0000-0000B49A0000}"/>
    <cellStyle name="Note 3 3 2 5" xfId="39607" xr:uid="{00000000-0005-0000-0000-0000B59A0000}"/>
    <cellStyle name="Note 3 3 2 6" xfId="39608" xr:uid="{00000000-0005-0000-0000-0000B69A0000}"/>
    <cellStyle name="Note 3 3 2 7" xfId="39609" xr:uid="{00000000-0005-0000-0000-0000B79A0000}"/>
    <cellStyle name="Note 3 3 20" xfId="39610" xr:uid="{00000000-0005-0000-0000-0000B89A0000}"/>
    <cellStyle name="Note 3 3 20 2" xfId="39611" xr:uid="{00000000-0005-0000-0000-0000B99A0000}"/>
    <cellStyle name="Note 3 3 20 2 2" xfId="39612" xr:uid="{00000000-0005-0000-0000-0000BA9A0000}"/>
    <cellStyle name="Note 3 3 20 2 3" xfId="39613" xr:uid="{00000000-0005-0000-0000-0000BB9A0000}"/>
    <cellStyle name="Note 3 3 20 2 4" xfId="39614" xr:uid="{00000000-0005-0000-0000-0000BC9A0000}"/>
    <cellStyle name="Note 3 3 20 2 5" xfId="39615" xr:uid="{00000000-0005-0000-0000-0000BD9A0000}"/>
    <cellStyle name="Note 3 3 20 2 6" xfId="39616" xr:uid="{00000000-0005-0000-0000-0000BE9A0000}"/>
    <cellStyle name="Note 3 3 20 3" xfId="39617" xr:uid="{00000000-0005-0000-0000-0000BF9A0000}"/>
    <cellStyle name="Note 3 3 20 4" xfId="39618" xr:uid="{00000000-0005-0000-0000-0000C09A0000}"/>
    <cellStyle name="Note 3 3 20 5" xfId="39619" xr:uid="{00000000-0005-0000-0000-0000C19A0000}"/>
    <cellStyle name="Note 3 3 20 6" xfId="39620" xr:uid="{00000000-0005-0000-0000-0000C29A0000}"/>
    <cellStyle name="Note 3 3 20 7" xfId="39621" xr:uid="{00000000-0005-0000-0000-0000C39A0000}"/>
    <cellStyle name="Note 3 3 21" xfId="39622" xr:uid="{00000000-0005-0000-0000-0000C49A0000}"/>
    <cellStyle name="Note 3 3 21 2" xfId="39623" xr:uid="{00000000-0005-0000-0000-0000C59A0000}"/>
    <cellStyle name="Note 3 3 21 2 2" xfId="39624" xr:uid="{00000000-0005-0000-0000-0000C69A0000}"/>
    <cellStyle name="Note 3 3 21 2 3" xfId="39625" xr:uid="{00000000-0005-0000-0000-0000C79A0000}"/>
    <cellStyle name="Note 3 3 21 2 4" xfId="39626" xr:uid="{00000000-0005-0000-0000-0000C89A0000}"/>
    <cellStyle name="Note 3 3 21 2 5" xfId="39627" xr:uid="{00000000-0005-0000-0000-0000C99A0000}"/>
    <cellStyle name="Note 3 3 21 2 6" xfId="39628" xr:uid="{00000000-0005-0000-0000-0000CA9A0000}"/>
    <cellStyle name="Note 3 3 21 3" xfId="39629" xr:uid="{00000000-0005-0000-0000-0000CB9A0000}"/>
    <cellStyle name="Note 3 3 21 4" xfId="39630" xr:uid="{00000000-0005-0000-0000-0000CC9A0000}"/>
    <cellStyle name="Note 3 3 21 5" xfId="39631" xr:uid="{00000000-0005-0000-0000-0000CD9A0000}"/>
    <cellStyle name="Note 3 3 21 6" xfId="39632" xr:uid="{00000000-0005-0000-0000-0000CE9A0000}"/>
    <cellStyle name="Note 3 3 21 7" xfId="39633" xr:uid="{00000000-0005-0000-0000-0000CF9A0000}"/>
    <cellStyle name="Note 3 3 22" xfId="39634" xr:uid="{00000000-0005-0000-0000-0000D09A0000}"/>
    <cellStyle name="Note 3 3 22 2" xfId="39635" xr:uid="{00000000-0005-0000-0000-0000D19A0000}"/>
    <cellStyle name="Note 3 3 22 2 2" xfId="39636" xr:uid="{00000000-0005-0000-0000-0000D29A0000}"/>
    <cellStyle name="Note 3 3 22 2 3" xfId="39637" xr:uid="{00000000-0005-0000-0000-0000D39A0000}"/>
    <cellStyle name="Note 3 3 22 2 4" xfId="39638" xr:uid="{00000000-0005-0000-0000-0000D49A0000}"/>
    <cellStyle name="Note 3 3 22 2 5" xfId="39639" xr:uid="{00000000-0005-0000-0000-0000D59A0000}"/>
    <cellStyle name="Note 3 3 22 2 6" xfId="39640" xr:uid="{00000000-0005-0000-0000-0000D69A0000}"/>
    <cellStyle name="Note 3 3 22 3" xfId="39641" xr:uid="{00000000-0005-0000-0000-0000D79A0000}"/>
    <cellStyle name="Note 3 3 22 4" xfId="39642" xr:uid="{00000000-0005-0000-0000-0000D89A0000}"/>
    <cellStyle name="Note 3 3 22 5" xfId="39643" xr:uid="{00000000-0005-0000-0000-0000D99A0000}"/>
    <cellStyle name="Note 3 3 22 6" xfId="39644" xr:uid="{00000000-0005-0000-0000-0000DA9A0000}"/>
    <cellStyle name="Note 3 3 22 7" xfId="39645" xr:uid="{00000000-0005-0000-0000-0000DB9A0000}"/>
    <cellStyle name="Note 3 3 23" xfId="39646" xr:uid="{00000000-0005-0000-0000-0000DC9A0000}"/>
    <cellStyle name="Note 3 3 23 2" xfId="39647" xr:uid="{00000000-0005-0000-0000-0000DD9A0000}"/>
    <cellStyle name="Note 3 3 23 2 2" xfId="39648" xr:uid="{00000000-0005-0000-0000-0000DE9A0000}"/>
    <cellStyle name="Note 3 3 23 2 3" xfId="39649" xr:uid="{00000000-0005-0000-0000-0000DF9A0000}"/>
    <cellStyle name="Note 3 3 23 2 4" xfId="39650" xr:uid="{00000000-0005-0000-0000-0000E09A0000}"/>
    <cellStyle name="Note 3 3 23 2 5" xfId="39651" xr:uid="{00000000-0005-0000-0000-0000E19A0000}"/>
    <cellStyle name="Note 3 3 23 2 6" xfId="39652" xr:uid="{00000000-0005-0000-0000-0000E29A0000}"/>
    <cellStyle name="Note 3 3 23 3" xfId="39653" xr:uid="{00000000-0005-0000-0000-0000E39A0000}"/>
    <cellStyle name="Note 3 3 23 4" xfId="39654" xr:uid="{00000000-0005-0000-0000-0000E49A0000}"/>
    <cellStyle name="Note 3 3 23 5" xfId="39655" xr:uid="{00000000-0005-0000-0000-0000E59A0000}"/>
    <cellStyle name="Note 3 3 23 6" xfId="39656" xr:uid="{00000000-0005-0000-0000-0000E69A0000}"/>
    <cellStyle name="Note 3 3 23 7" xfId="39657" xr:uid="{00000000-0005-0000-0000-0000E79A0000}"/>
    <cellStyle name="Note 3 3 24" xfId="39658" xr:uid="{00000000-0005-0000-0000-0000E89A0000}"/>
    <cellStyle name="Note 3 3 24 2" xfId="39659" xr:uid="{00000000-0005-0000-0000-0000E99A0000}"/>
    <cellStyle name="Note 3 3 24 2 2" xfId="39660" xr:uid="{00000000-0005-0000-0000-0000EA9A0000}"/>
    <cellStyle name="Note 3 3 24 2 3" xfId="39661" xr:uid="{00000000-0005-0000-0000-0000EB9A0000}"/>
    <cellStyle name="Note 3 3 24 2 4" xfId="39662" xr:uid="{00000000-0005-0000-0000-0000EC9A0000}"/>
    <cellStyle name="Note 3 3 24 2 5" xfId="39663" xr:uid="{00000000-0005-0000-0000-0000ED9A0000}"/>
    <cellStyle name="Note 3 3 24 2 6" xfId="39664" xr:uid="{00000000-0005-0000-0000-0000EE9A0000}"/>
    <cellStyle name="Note 3 3 24 3" xfId="39665" xr:uid="{00000000-0005-0000-0000-0000EF9A0000}"/>
    <cellStyle name="Note 3 3 24 4" xfId="39666" xr:uid="{00000000-0005-0000-0000-0000F09A0000}"/>
    <cellStyle name="Note 3 3 24 5" xfId="39667" xr:uid="{00000000-0005-0000-0000-0000F19A0000}"/>
    <cellStyle name="Note 3 3 24 6" xfId="39668" xr:uid="{00000000-0005-0000-0000-0000F29A0000}"/>
    <cellStyle name="Note 3 3 24 7" xfId="39669" xr:uid="{00000000-0005-0000-0000-0000F39A0000}"/>
    <cellStyle name="Note 3 3 25" xfId="39670" xr:uid="{00000000-0005-0000-0000-0000F49A0000}"/>
    <cellStyle name="Note 3 3 25 2" xfId="39671" xr:uid="{00000000-0005-0000-0000-0000F59A0000}"/>
    <cellStyle name="Note 3 3 25 2 2" xfId="39672" xr:uid="{00000000-0005-0000-0000-0000F69A0000}"/>
    <cellStyle name="Note 3 3 25 2 3" xfId="39673" xr:uid="{00000000-0005-0000-0000-0000F79A0000}"/>
    <cellStyle name="Note 3 3 25 2 4" xfId="39674" xr:uid="{00000000-0005-0000-0000-0000F89A0000}"/>
    <cellStyle name="Note 3 3 25 2 5" xfId="39675" xr:uid="{00000000-0005-0000-0000-0000F99A0000}"/>
    <cellStyle name="Note 3 3 25 2 6" xfId="39676" xr:uid="{00000000-0005-0000-0000-0000FA9A0000}"/>
    <cellStyle name="Note 3 3 25 3" xfId="39677" xr:uid="{00000000-0005-0000-0000-0000FB9A0000}"/>
    <cellStyle name="Note 3 3 25 4" xfId="39678" xr:uid="{00000000-0005-0000-0000-0000FC9A0000}"/>
    <cellStyle name="Note 3 3 25 5" xfId="39679" xr:uid="{00000000-0005-0000-0000-0000FD9A0000}"/>
    <cellStyle name="Note 3 3 25 6" xfId="39680" xr:uid="{00000000-0005-0000-0000-0000FE9A0000}"/>
    <cellStyle name="Note 3 3 25 7" xfId="39681" xr:uid="{00000000-0005-0000-0000-0000FF9A0000}"/>
    <cellStyle name="Note 3 3 26" xfId="39682" xr:uid="{00000000-0005-0000-0000-0000009B0000}"/>
    <cellStyle name="Note 3 3 26 2" xfId="39683" xr:uid="{00000000-0005-0000-0000-0000019B0000}"/>
    <cellStyle name="Note 3 3 26 2 2" xfId="39684" xr:uid="{00000000-0005-0000-0000-0000029B0000}"/>
    <cellStyle name="Note 3 3 26 2 3" xfId="39685" xr:uid="{00000000-0005-0000-0000-0000039B0000}"/>
    <cellStyle name="Note 3 3 26 2 4" xfId="39686" xr:uid="{00000000-0005-0000-0000-0000049B0000}"/>
    <cellStyle name="Note 3 3 26 2 5" xfId="39687" xr:uid="{00000000-0005-0000-0000-0000059B0000}"/>
    <cellStyle name="Note 3 3 26 2 6" xfId="39688" xr:uid="{00000000-0005-0000-0000-0000069B0000}"/>
    <cellStyle name="Note 3 3 26 3" xfId="39689" xr:uid="{00000000-0005-0000-0000-0000079B0000}"/>
    <cellStyle name="Note 3 3 26 4" xfId="39690" xr:uid="{00000000-0005-0000-0000-0000089B0000}"/>
    <cellStyle name="Note 3 3 26 5" xfId="39691" xr:uid="{00000000-0005-0000-0000-0000099B0000}"/>
    <cellStyle name="Note 3 3 26 6" xfId="39692" xr:uid="{00000000-0005-0000-0000-00000A9B0000}"/>
    <cellStyle name="Note 3 3 26 7" xfId="39693" xr:uid="{00000000-0005-0000-0000-00000B9B0000}"/>
    <cellStyle name="Note 3 3 27" xfId="39694" xr:uid="{00000000-0005-0000-0000-00000C9B0000}"/>
    <cellStyle name="Note 3 3 27 2" xfId="39695" xr:uid="{00000000-0005-0000-0000-00000D9B0000}"/>
    <cellStyle name="Note 3 3 27 2 2" xfId="39696" xr:uid="{00000000-0005-0000-0000-00000E9B0000}"/>
    <cellStyle name="Note 3 3 27 2 3" xfId="39697" xr:uid="{00000000-0005-0000-0000-00000F9B0000}"/>
    <cellStyle name="Note 3 3 27 2 4" xfId="39698" xr:uid="{00000000-0005-0000-0000-0000109B0000}"/>
    <cellStyle name="Note 3 3 27 2 5" xfId="39699" xr:uid="{00000000-0005-0000-0000-0000119B0000}"/>
    <cellStyle name="Note 3 3 27 2 6" xfId="39700" xr:uid="{00000000-0005-0000-0000-0000129B0000}"/>
    <cellStyle name="Note 3 3 27 3" xfId="39701" xr:uid="{00000000-0005-0000-0000-0000139B0000}"/>
    <cellStyle name="Note 3 3 27 4" xfId="39702" xr:uid="{00000000-0005-0000-0000-0000149B0000}"/>
    <cellStyle name="Note 3 3 27 5" xfId="39703" xr:uid="{00000000-0005-0000-0000-0000159B0000}"/>
    <cellStyle name="Note 3 3 27 6" xfId="39704" xr:uid="{00000000-0005-0000-0000-0000169B0000}"/>
    <cellStyle name="Note 3 3 27 7" xfId="39705" xr:uid="{00000000-0005-0000-0000-0000179B0000}"/>
    <cellStyle name="Note 3 3 28" xfId="39706" xr:uid="{00000000-0005-0000-0000-0000189B0000}"/>
    <cellStyle name="Note 3 3 28 2" xfId="39707" xr:uid="{00000000-0005-0000-0000-0000199B0000}"/>
    <cellStyle name="Note 3 3 28 2 2" xfId="39708" xr:uid="{00000000-0005-0000-0000-00001A9B0000}"/>
    <cellStyle name="Note 3 3 28 2 3" xfId="39709" xr:uid="{00000000-0005-0000-0000-00001B9B0000}"/>
    <cellStyle name="Note 3 3 28 2 4" xfId="39710" xr:uid="{00000000-0005-0000-0000-00001C9B0000}"/>
    <cellStyle name="Note 3 3 28 2 5" xfId="39711" xr:uid="{00000000-0005-0000-0000-00001D9B0000}"/>
    <cellStyle name="Note 3 3 28 2 6" xfId="39712" xr:uid="{00000000-0005-0000-0000-00001E9B0000}"/>
    <cellStyle name="Note 3 3 28 3" xfId="39713" xr:uid="{00000000-0005-0000-0000-00001F9B0000}"/>
    <cellStyle name="Note 3 3 28 4" xfId="39714" xr:uid="{00000000-0005-0000-0000-0000209B0000}"/>
    <cellStyle name="Note 3 3 28 5" xfId="39715" xr:uid="{00000000-0005-0000-0000-0000219B0000}"/>
    <cellStyle name="Note 3 3 28 6" xfId="39716" xr:uid="{00000000-0005-0000-0000-0000229B0000}"/>
    <cellStyle name="Note 3 3 28 7" xfId="39717" xr:uid="{00000000-0005-0000-0000-0000239B0000}"/>
    <cellStyle name="Note 3 3 29" xfId="39718" xr:uid="{00000000-0005-0000-0000-0000249B0000}"/>
    <cellStyle name="Note 3 3 29 2" xfId="39719" xr:uid="{00000000-0005-0000-0000-0000259B0000}"/>
    <cellStyle name="Note 3 3 29 2 2" xfId="39720" xr:uid="{00000000-0005-0000-0000-0000269B0000}"/>
    <cellStyle name="Note 3 3 29 2 3" xfId="39721" xr:uid="{00000000-0005-0000-0000-0000279B0000}"/>
    <cellStyle name="Note 3 3 29 2 4" xfId="39722" xr:uid="{00000000-0005-0000-0000-0000289B0000}"/>
    <cellStyle name="Note 3 3 29 2 5" xfId="39723" xr:uid="{00000000-0005-0000-0000-0000299B0000}"/>
    <cellStyle name="Note 3 3 29 2 6" xfId="39724" xr:uid="{00000000-0005-0000-0000-00002A9B0000}"/>
    <cellStyle name="Note 3 3 29 3" xfId="39725" xr:uid="{00000000-0005-0000-0000-00002B9B0000}"/>
    <cellStyle name="Note 3 3 29 4" xfId="39726" xr:uid="{00000000-0005-0000-0000-00002C9B0000}"/>
    <cellStyle name="Note 3 3 29 5" xfId="39727" xr:uid="{00000000-0005-0000-0000-00002D9B0000}"/>
    <cellStyle name="Note 3 3 29 6" xfId="39728" xr:uid="{00000000-0005-0000-0000-00002E9B0000}"/>
    <cellStyle name="Note 3 3 29 7" xfId="39729" xr:uid="{00000000-0005-0000-0000-00002F9B0000}"/>
    <cellStyle name="Note 3 3 3" xfId="39730" xr:uid="{00000000-0005-0000-0000-0000309B0000}"/>
    <cellStyle name="Note 3 3 3 2" xfId="39731" xr:uid="{00000000-0005-0000-0000-0000319B0000}"/>
    <cellStyle name="Note 3 3 3 2 2" xfId="39732" xr:uid="{00000000-0005-0000-0000-0000329B0000}"/>
    <cellStyle name="Note 3 3 3 2 2 2" xfId="39733" xr:uid="{00000000-0005-0000-0000-0000339B0000}"/>
    <cellStyle name="Note 3 3 3 2 2 3" xfId="39734" xr:uid="{00000000-0005-0000-0000-0000349B0000}"/>
    <cellStyle name="Note 3 3 3 2 2 4" xfId="39735" xr:uid="{00000000-0005-0000-0000-0000359B0000}"/>
    <cellStyle name="Note 3 3 3 2 2 5" xfId="39736" xr:uid="{00000000-0005-0000-0000-0000369B0000}"/>
    <cellStyle name="Note 3 3 3 2 2 6" xfId="39737" xr:uid="{00000000-0005-0000-0000-0000379B0000}"/>
    <cellStyle name="Note 3 3 3 2 3" xfId="39738" xr:uid="{00000000-0005-0000-0000-0000389B0000}"/>
    <cellStyle name="Note 3 3 3 2 4" xfId="39739" xr:uid="{00000000-0005-0000-0000-0000399B0000}"/>
    <cellStyle name="Note 3 3 3 2 5" xfId="39740" xr:uid="{00000000-0005-0000-0000-00003A9B0000}"/>
    <cellStyle name="Note 3 3 3 2 6" xfId="39741" xr:uid="{00000000-0005-0000-0000-00003B9B0000}"/>
    <cellStyle name="Note 3 3 3 2 7" xfId="39742" xr:uid="{00000000-0005-0000-0000-00003C9B0000}"/>
    <cellStyle name="Note 3 3 3 3" xfId="39743" xr:uid="{00000000-0005-0000-0000-00003D9B0000}"/>
    <cellStyle name="Note 3 3 3 3 2" xfId="39744" xr:uid="{00000000-0005-0000-0000-00003E9B0000}"/>
    <cellStyle name="Note 3 3 3 3 3" xfId="39745" xr:uid="{00000000-0005-0000-0000-00003F9B0000}"/>
    <cellStyle name="Note 3 3 3 3 4" xfId="39746" xr:uid="{00000000-0005-0000-0000-0000409B0000}"/>
    <cellStyle name="Note 3 3 3 3 5" xfId="39747" xr:uid="{00000000-0005-0000-0000-0000419B0000}"/>
    <cellStyle name="Note 3 3 3 3 6" xfId="39748" xr:uid="{00000000-0005-0000-0000-0000429B0000}"/>
    <cellStyle name="Note 3 3 3 4" xfId="39749" xr:uid="{00000000-0005-0000-0000-0000439B0000}"/>
    <cellStyle name="Note 3 3 3 5" xfId="39750" xr:uid="{00000000-0005-0000-0000-0000449B0000}"/>
    <cellStyle name="Note 3 3 3 6" xfId="39751" xr:uid="{00000000-0005-0000-0000-0000459B0000}"/>
    <cellStyle name="Note 3 3 3 7" xfId="39752" xr:uid="{00000000-0005-0000-0000-0000469B0000}"/>
    <cellStyle name="Note 3 3 30" xfId="39753" xr:uid="{00000000-0005-0000-0000-0000479B0000}"/>
    <cellStyle name="Note 3 3 30 2" xfId="39754" xr:uid="{00000000-0005-0000-0000-0000489B0000}"/>
    <cellStyle name="Note 3 3 30 2 2" xfId="39755" xr:uid="{00000000-0005-0000-0000-0000499B0000}"/>
    <cellStyle name="Note 3 3 30 2 3" xfId="39756" xr:uid="{00000000-0005-0000-0000-00004A9B0000}"/>
    <cellStyle name="Note 3 3 30 2 4" xfId="39757" xr:uid="{00000000-0005-0000-0000-00004B9B0000}"/>
    <cellStyle name="Note 3 3 30 2 5" xfId="39758" xr:uid="{00000000-0005-0000-0000-00004C9B0000}"/>
    <cellStyle name="Note 3 3 30 2 6" xfId="39759" xr:uid="{00000000-0005-0000-0000-00004D9B0000}"/>
    <cellStyle name="Note 3 3 30 3" xfId="39760" xr:uid="{00000000-0005-0000-0000-00004E9B0000}"/>
    <cellStyle name="Note 3 3 30 4" xfId="39761" xr:uid="{00000000-0005-0000-0000-00004F9B0000}"/>
    <cellStyle name="Note 3 3 30 5" xfId="39762" xr:uid="{00000000-0005-0000-0000-0000509B0000}"/>
    <cellStyle name="Note 3 3 30 6" xfId="39763" xr:uid="{00000000-0005-0000-0000-0000519B0000}"/>
    <cellStyle name="Note 3 3 30 7" xfId="39764" xr:uid="{00000000-0005-0000-0000-0000529B0000}"/>
    <cellStyle name="Note 3 3 31" xfId="39765" xr:uid="{00000000-0005-0000-0000-0000539B0000}"/>
    <cellStyle name="Note 3 3 31 2" xfId="39766" xr:uid="{00000000-0005-0000-0000-0000549B0000}"/>
    <cellStyle name="Note 3 3 31 2 2" xfId="39767" xr:uid="{00000000-0005-0000-0000-0000559B0000}"/>
    <cellStyle name="Note 3 3 31 2 3" xfId="39768" xr:uid="{00000000-0005-0000-0000-0000569B0000}"/>
    <cellStyle name="Note 3 3 31 2 4" xfId="39769" xr:uid="{00000000-0005-0000-0000-0000579B0000}"/>
    <cellStyle name="Note 3 3 31 2 5" xfId="39770" xr:uid="{00000000-0005-0000-0000-0000589B0000}"/>
    <cellStyle name="Note 3 3 31 2 6" xfId="39771" xr:uid="{00000000-0005-0000-0000-0000599B0000}"/>
    <cellStyle name="Note 3 3 31 3" xfId="39772" xr:uid="{00000000-0005-0000-0000-00005A9B0000}"/>
    <cellStyle name="Note 3 3 31 4" xfId="39773" xr:uid="{00000000-0005-0000-0000-00005B9B0000}"/>
    <cellStyle name="Note 3 3 31 5" xfId="39774" xr:uid="{00000000-0005-0000-0000-00005C9B0000}"/>
    <cellStyle name="Note 3 3 31 6" xfId="39775" xr:uid="{00000000-0005-0000-0000-00005D9B0000}"/>
    <cellStyle name="Note 3 3 31 7" xfId="39776" xr:uid="{00000000-0005-0000-0000-00005E9B0000}"/>
    <cellStyle name="Note 3 3 32" xfId="39777" xr:uid="{00000000-0005-0000-0000-00005F9B0000}"/>
    <cellStyle name="Note 3 3 32 2" xfId="39778" xr:uid="{00000000-0005-0000-0000-0000609B0000}"/>
    <cellStyle name="Note 3 3 32 2 2" xfId="39779" xr:uid="{00000000-0005-0000-0000-0000619B0000}"/>
    <cellStyle name="Note 3 3 32 2 3" xfId="39780" xr:uid="{00000000-0005-0000-0000-0000629B0000}"/>
    <cellStyle name="Note 3 3 32 2 4" xfId="39781" xr:uid="{00000000-0005-0000-0000-0000639B0000}"/>
    <cellStyle name="Note 3 3 32 2 5" xfId="39782" xr:uid="{00000000-0005-0000-0000-0000649B0000}"/>
    <cellStyle name="Note 3 3 32 2 6" xfId="39783" xr:uid="{00000000-0005-0000-0000-0000659B0000}"/>
    <cellStyle name="Note 3 3 32 3" xfId="39784" xr:uid="{00000000-0005-0000-0000-0000669B0000}"/>
    <cellStyle name="Note 3 3 32 4" xfId="39785" xr:uid="{00000000-0005-0000-0000-0000679B0000}"/>
    <cellStyle name="Note 3 3 32 5" xfId="39786" xr:uid="{00000000-0005-0000-0000-0000689B0000}"/>
    <cellStyle name="Note 3 3 32 6" xfId="39787" xr:uid="{00000000-0005-0000-0000-0000699B0000}"/>
    <cellStyle name="Note 3 3 32 7" xfId="39788" xr:uid="{00000000-0005-0000-0000-00006A9B0000}"/>
    <cellStyle name="Note 3 3 33" xfId="39789" xr:uid="{00000000-0005-0000-0000-00006B9B0000}"/>
    <cellStyle name="Note 3 3 33 2" xfId="39790" xr:uid="{00000000-0005-0000-0000-00006C9B0000}"/>
    <cellStyle name="Note 3 3 33 2 2" xfId="39791" xr:uid="{00000000-0005-0000-0000-00006D9B0000}"/>
    <cellStyle name="Note 3 3 33 2 3" xfId="39792" xr:uid="{00000000-0005-0000-0000-00006E9B0000}"/>
    <cellStyle name="Note 3 3 33 2 4" xfId="39793" xr:uid="{00000000-0005-0000-0000-00006F9B0000}"/>
    <cellStyle name="Note 3 3 33 2 5" xfId="39794" xr:uid="{00000000-0005-0000-0000-0000709B0000}"/>
    <cellStyle name="Note 3 3 33 2 6" xfId="39795" xr:uid="{00000000-0005-0000-0000-0000719B0000}"/>
    <cellStyle name="Note 3 3 33 3" xfId="39796" xr:uid="{00000000-0005-0000-0000-0000729B0000}"/>
    <cellStyle name="Note 3 3 33 4" xfId="39797" xr:uid="{00000000-0005-0000-0000-0000739B0000}"/>
    <cellStyle name="Note 3 3 33 5" xfId="39798" xr:uid="{00000000-0005-0000-0000-0000749B0000}"/>
    <cellStyle name="Note 3 3 33 6" xfId="39799" xr:uid="{00000000-0005-0000-0000-0000759B0000}"/>
    <cellStyle name="Note 3 3 33 7" xfId="39800" xr:uid="{00000000-0005-0000-0000-0000769B0000}"/>
    <cellStyle name="Note 3 3 34" xfId="39801" xr:uid="{00000000-0005-0000-0000-0000779B0000}"/>
    <cellStyle name="Note 3 3 34 2" xfId="39802" xr:uid="{00000000-0005-0000-0000-0000789B0000}"/>
    <cellStyle name="Note 3 3 34 2 2" xfId="39803" xr:uid="{00000000-0005-0000-0000-0000799B0000}"/>
    <cellStyle name="Note 3 3 34 2 3" xfId="39804" xr:uid="{00000000-0005-0000-0000-00007A9B0000}"/>
    <cellStyle name="Note 3 3 34 2 4" xfId="39805" xr:uid="{00000000-0005-0000-0000-00007B9B0000}"/>
    <cellStyle name="Note 3 3 34 2 5" xfId="39806" xr:uid="{00000000-0005-0000-0000-00007C9B0000}"/>
    <cellStyle name="Note 3 3 34 2 6" xfId="39807" xr:uid="{00000000-0005-0000-0000-00007D9B0000}"/>
    <cellStyle name="Note 3 3 34 3" xfId="39808" xr:uid="{00000000-0005-0000-0000-00007E9B0000}"/>
    <cellStyle name="Note 3 3 34 4" xfId="39809" xr:uid="{00000000-0005-0000-0000-00007F9B0000}"/>
    <cellStyle name="Note 3 3 34 5" xfId="39810" xr:uid="{00000000-0005-0000-0000-0000809B0000}"/>
    <cellStyle name="Note 3 3 34 6" xfId="39811" xr:uid="{00000000-0005-0000-0000-0000819B0000}"/>
    <cellStyle name="Note 3 3 34 7" xfId="39812" xr:uid="{00000000-0005-0000-0000-0000829B0000}"/>
    <cellStyle name="Note 3 3 35" xfId="39813" xr:uid="{00000000-0005-0000-0000-0000839B0000}"/>
    <cellStyle name="Note 3 3 35 2" xfId="39814" xr:uid="{00000000-0005-0000-0000-0000849B0000}"/>
    <cellStyle name="Note 3 3 35 2 2" xfId="39815" xr:uid="{00000000-0005-0000-0000-0000859B0000}"/>
    <cellStyle name="Note 3 3 35 2 3" xfId="39816" xr:uid="{00000000-0005-0000-0000-0000869B0000}"/>
    <cellStyle name="Note 3 3 35 2 4" xfId="39817" xr:uid="{00000000-0005-0000-0000-0000879B0000}"/>
    <cellStyle name="Note 3 3 35 2 5" xfId="39818" xr:uid="{00000000-0005-0000-0000-0000889B0000}"/>
    <cellStyle name="Note 3 3 35 2 6" xfId="39819" xr:uid="{00000000-0005-0000-0000-0000899B0000}"/>
    <cellStyle name="Note 3 3 35 3" xfId="39820" xr:uid="{00000000-0005-0000-0000-00008A9B0000}"/>
    <cellStyle name="Note 3 3 35 4" xfId="39821" xr:uid="{00000000-0005-0000-0000-00008B9B0000}"/>
    <cellStyle name="Note 3 3 35 5" xfId="39822" xr:uid="{00000000-0005-0000-0000-00008C9B0000}"/>
    <cellStyle name="Note 3 3 35 6" xfId="39823" xr:uid="{00000000-0005-0000-0000-00008D9B0000}"/>
    <cellStyle name="Note 3 3 35 7" xfId="39824" xr:uid="{00000000-0005-0000-0000-00008E9B0000}"/>
    <cellStyle name="Note 3 3 36" xfId="39825" xr:uid="{00000000-0005-0000-0000-00008F9B0000}"/>
    <cellStyle name="Note 3 3 36 2" xfId="39826" xr:uid="{00000000-0005-0000-0000-0000909B0000}"/>
    <cellStyle name="Note 3 3 36 2 2" xfId="39827" xr:uid="{00000000-0005-0000-0000-0000919B0000}"/>
    <cellStyle name="Note 3 3 36 2 3" xfId="39828" xr:uid="{00000000-0005-0000-0000-0000929B0000}"/>
    <cellStyle name="Note 3 3 36 2 4" xfId="39829" xr:uid="{00000000-0005-0000-0000-0000939B0000}"/>
    <cellStyle name="Note 3 3 36 2 5" xfId="39830" xr:uid="{00000000-0005-0000-0000-0000949B0000}"/>
    <cellStyle name="Note 3 3 36 2 6" xfId="39831" xr:uid="{00000000-0005-0000-0000-0000959B0000}"/>
    <cellStyle name="Note 3 3 36 3" xfId="39832" xr:uid="{00000000-0005-0000-0000-0000969B0000}"/>
    <cellStyle name="Note 3 3 36 4" xfId="39833" xr:uid="{00000000-0005-0000-0000-0000979B0000}"/>
    <cellStyle name="Note 3 3 36 5" xfId="39834" xr:uid="{00000000-0005-0000-0000-0000989B0000}"/>
    <cellStyle name="Note 3 3 36 6" xfId="39835" xr:uid="{00000000-0005-0000-0000-0000999B0000}"/>
    <cellStyle name="Note 3 3 36 7" xfId="39836" xr:uid="{00000000-0005-0000-0000-00009A9B0000}"/>
    <cellStyle name="Note 3 3 37" xfId="39837" xr:uid="{00000000-0005-0000-0000-00009B9B0000}"/>
    <cellStyle name="Note 3 3 37 2" xfId="39838" xr:uid="{00000000-0005-0000-0000-00009C9B0000}"/>
    <cellStyle name="Note 3 3 37 2 2" xfId="39839" xr:uid="{00000000-0005-0000-0000-00009D9B0000}"/>
    <cellStyle name="Note 3 3 37 2 3" xfId="39840" xr:uid="{00000000-0005-0000-0000-00009E9B0000}"/>
    <cellStyle name="Note 3 3 37 2 4" xfId="39841" xr:uid="{00000000-0005-0000-0000-00009F9B0000}"/>
    <cellStyle name="Note 3 3 37 2 5" xfId="39842" xr:uid="{00000000-0005-0000-0000-0000A09B0000}"/>
    <cellStyle name="Note 3 3 37 2 6" xfId="39843" xr:uid="{00000000-0005-0000-0000-0000A19B0000}"/>
    <cellStyle name="Note 3 3 37 3" xfId="39844" xr:uid="{00000000-0005-0000-0000-0000A29B0000}"/>
    <cellStyle name="Note 3 3 37 4" xfId="39845" xr:uid="{00000000-0005-0000-0000-0000A39B0000}"/>
    <cellStyle name="Note 3 3 37 5" xfId="39846" xr:uid="{00000000-0005-0000-0000-0000A49B0000}"/>
    <cellStyle name="Note 3 3 37 6" xfId="39847" xr:uid="{00000000-0005-0000-0000-0000A59B0000}"/>
    <cellStyle name="Note 3 3 37 7" xfId="39848" xr:uid="{00000000-0005-0000-0000-0000A69B0000}"/>
    <cellStyle name="Note 3 3 38" xfId="39849" xr:uid="{00000000-0005-0000-0000-0000A79B0000}"/>
    <cellStyle name="Note 3 3 38 2" xfId="39850" xr:uid="{00000000-0005-0000-0000-0000A89B0000}"/>
    <cellStyle name="Note 3 3 38 2 2" xfId="39851" xr:uid="{00000000-0005-0000-0000-0000A99B0000}"/>
    <cellStyle name="Note 3 3 38 2 3" xfId="39852" xr:uid="{00000000-0005-0000-0000-0000AA9B0000}"/>
    <cellStyle name="Note 3 3 38 2 4" xfId="39853" xr:uid="{00000000-0005-0000-0000-0000AB9B0000}"/>
    <cellStyle name="Note 3 3 38 2 5" xfId="39854" xr:uid="{00000000-0005-0000-0000-0000AC9B0000}"/>
    <cellStyle name="Note 3 3 38 2 6" xfId="39855" xr:uid="{00000000-0005-0000-0000-0000AD9B0000}"/>
    <cellStyle name="Note 3 3 38 3" xfId="39856" xr:uid="{00000000-0005-0000-0000-0000AE9B0000}"/>
    <cellStyle name="Note 3 3 38 4" xfId="39857" xr:uid="{00000000-0005-0000-0000-0000AF9B0000}"/>
    <cellStyle name="Note 3 3 38 5" xfId="39858" xr:uid="{00000000-0005-0000-0000-0000B09B0000}"/>
    <cellStyle name="Note 3 3 38 6" xfId="39859" xr:uid="{00000000-0005-0000-0000-0000B19B0000}"/>
    <cellStyle name="Note 3 3 38 7" xfId="39860" xr:uid="{00000000-0005-0000-0000-0000B29B0000}"/>
    <cellStyle name="Note 3 3 39" xfId="39861" xr:uid="{00000000-0005-0000-0000-0000B39B0000}"/>
    <cellStyle name="Note 3 3 39 2" xfId="39862" xr:uid="{00000000-0005-0000-0000-0000B49B0000}"/>
    <cellStyle name="Note 3 3 39 2 2" xfId="39863" xr:uid="{00000000-0005-0000-0000-0000B59B0000}"/>
    <cellStyle name="Note 3 3 39 2 3" xfId="39864" xr:uid="{00000000-0005-0000-0000-0000B69B0000}"/>
    <cellStyle name="Note 3 3 39 2 4" xfId="39865" xr:uid="{00000000-0005-0000-0000-0000B79B0000}"/>
    <cellStyle name="Note 3 3 39 2 5" xfId="39866" xr:uid="{00000000-0005-0000-0000-0000B89B0000}"/>
    <cellStyle name="Note 3 3 39 2 6" xfId="39867" xr:uid="{00000000-0005-0000-0000-0000B99B0000}"/>
    <cellStyle name="Note 3 3 39 3" xfId="39868" xr:uid="{00000000-0005-0000-0000-0000BA9B0000}"/>
    <cellStyle name="Note 3 3 39 4" xfId="39869" xr:uid="{00000000-0005-0000-0000-0000BB9B0000}"/>
    <cellStyle name="Note 3 3 39 5" xfId="39870" xr:uid="{00000000-0005-0000-0000-0000BC9B0000}"/>
    <cellStyle name="Note 3 3 39 6" xfId="39871" xr:uid="{00000000-0005-0000-0000-0000BD9B0000}"/>
    <cellStyle name="Note 3 3 39 7" xfId="39872" xr:uid="{00000000-0005-0000-0000-0000BE9B0000}"/>
    <cellStyle name="Note 3 3 4" xfId="39873" xr:uid="{00000000-0005-0000-0000-0000BF9B0000}"/>
    <cellStyle name="Note 3 3 4 2" xfId="39874" xr:uid="{00000000-0005-0000-0000-0000C09B0000}"/>
    <cellStyle name="Note 3 3 4 2 2" xfId="39875" xr:uid="{00000000-0005-0000-0000-0000C19B0000}"/>
    <cellStyle name="Note 3 3 4 2 3" xfId="39876" xr:uid="{00000000-0005-0000-0000-0000C29B0000}"/>
    <cellStyle name="Note 3 3 4 2 4" xfId="39877" xr:uid="{00000000-0005-0000-0000-0000C39B0000}"/>
    <cellStyle name="Note 3 3 4 2 5" xfId="39878" xr:uid="{00000000-0005-0000-0000-0000C49B0000}"/>
    <cellStyle name="Note 3 3 4 2 6" xfId="39879" xr:uid="{00000000-0005-0000-0000-0000C59B0000}"/>
    <cellStyle name="Note 3 3 4 3" xfId="39880" xr:uid="{00000000-0005-0000-0000-0000C69B0000}"/>
    <cellStyle name="Note 3 3 4 3 2" xfId="39881" xr:uid="{00000000-0005-0000-0000-0000C79B0000}"/>
    <cellStyle name="Note 3 3 4 3 3" xfId="39882" xr:uid="{00000000-0005-0000-0000-0000C89B0000}"/>
    <cellStyle name="Note 3 3 4 3 4" xfId="39883" xr:uid="{00000000-0005-0000-0000-0000C99B0000}"/>
    <cellStyle name="Note 3 3 4 3 5" xfId="39884" xr:uid="{00000000-0005-0000-0000-0000CA9B0000}"/>
    <cellStyle name="Note 3 3 4 3 6" xfId="39885" xr:uid="{00000000-0005-0000-0000-0000CB9B0000}"/>
    <cellStyle name="Note 3 3 4 4" xfId="39886" xr:uid="{00000000-0005-0000-0000-0000CC9B0000}"/>
    <cellStyle name="Note 3 3 4 5" xfId="39887" xr:uid="{00000000-0005-0000-0000-0000CD9B0000}"/>
    <cellStyle name="Note 3 3 4 6" xfId="39888" xr:uid="{00000000-0005-0000-0000-0000CE9B0000}"/>
    <cellStyle name="Note 3 3 4 7" xfId="39889" xr:uid="{00000000-0005-0000-0000-0000CF9B0000}"/>
    <cellStyle name="Note 3 3 4 8" xfId="39890" xr:uid="{00000000-0005-0000-0000-0000D09B0000}"/>
    <cellStyle name="Note 3 3 40" xfId="39891" xr:uid="{00000000-0005-0000-0000-0000D19B0000}"/>
    <cellStyle name="Note 3 3 40 2" xfId="39892" xr:uid="{00000000-0005-0000-0000-0000D29B0000}"/>
    <cellStyle name="Note 3 3 40 2 2" xfId="39893" xr:uid="{00000000-0005-0000-0000-0000D39B0000}"/>
    <cellStyle name="Note 3 3 40 2 3" xfId="39894" xr:uid="{00000000-0005-0000-0000-0000D49B0000}"/>
    <cellStyle name="Note 3 3 40 2 4" xfId="39895" xr:uid="{00000000-0005-0000-0000-0000D59B0000}"/>
    <cellStyle name="Note 3 3 40 2 5" xfId="39896" xr:uid="{00000000-0005-0000-0000-0000D69B0000}"/>
    <cellStyle name="Note 3 3 40 2 6" xfId="39897" xr:uid="{00000000-0005-0000-0000-0000D79B0000}"/>
    <cellStyle name="Note 3 3 40 3" xfId="39898" xr:uid="{00000000-0005-0000-0000-0000D89B0000}"/>
    <cellStyle name="Note 3 3 40 4" xfId="39899" xr:uid="{00000000-0005-0000-0000-0000D99B0000}"/>
    <cellStyle name="Note 3 3 40 5" xfId="39900" xr:uid="{00000000-0005-0000-0000-0000DA9B0000}"/>
    <cellStyle name="Note 3 3 40 6" xfId="39901" xr:uid="{00000000-0005-0000-0000-0000DB9B0000}"/>
    <cellStyle name="Note 3 3 40 7" xfId="39902" xr:uid="{00000000-0005-0000-0000-0000DC9B0000}"/>
    <cellStyle name="Note 3 3 41" xfId="39903" xr:uid="{00000000-0005-0000-0000-0000DD9B0000}"/>
    <cellStyle name="Note 3 3 41 2" xfId="39904" xr:uid="{00000000-0005-0000-0000-0000DE9B0000}"/>
    <cellStyle name="Note 3 3 41 2 2" xfId="39905" xr:uid="{00000000-0005-0000-0000-0000DF9B0000}"/>
    <cellStyle name="Note 3 3 41 2 3" xfId="39906" xr:uid="{00000000-0005-0000-0000-0000E09B0000}"/>
    <cellStyle name="Note 3 3 41 2 4" xfId="39907" xr:uid="{00000000-0005-0000-0000-0000E19B0000}"/>
    <cellStyle name="Note 3 3 41 2 5" xfId="39908" xr:uid="{00000000-0005-0000-0000-0000E29B0000}"/>
    <cellStyle name="Note 3 3 41 2 6" xfId="39909" xr:uid="{00000000-0005-0000-0000-0000E39B0000}"/>
    <cellStyle name="Note 3 3 41 3" xfId="39910" xr:uid="{00000000-0005-0000-0000-0000E49B0000}"/>
    <cellStyle name="Note 3 3 41 4" xfId="39911" xr:uid="{00000000-0005-0000-0000-0000E59B0000}"/>
    <cellStyle name="Note 3 3 41 5" xfId="39912" xr:uid="{00000000-0005-0000-0000-0000E69B0000}"/>
    <cellStyle name="Note 3 3 41 6" xfId="39913" xr:uid="{00000000-0005-0000-0000-0000E79B0000}"/>
    <cellStyle name="Note 3 3 41 7" xfId="39914" xr:uid="{00000000-0005-0000-0000-0000E89B0000}"/>
    <cellStyle name="Note 3 3 42" xfId="39915" xr:uid="{00000000-0005-0000-0000-0000E99B0000}"/>
    <cellStyle name="Note 3 3 42 2" xfId="39916" xr:uid="{00000000-0005-0000-0000-0000EA9B0000}"/>
    <cellStyle name="Note 3 3 42 3" xfId="39917" xr:uid="{00000000-0005-0000-0000-0000EB9B0000}"/>
    <cellStyle name="Note 3 3 42 4" xfId="39918" xr:uid="{00000000-0005-0000-0000-0000EC9B0000}"/>
    <cellStyle name="Note 3 3 42 5" xfId="39919" xr:uid="{00000000-0005-0000-0000-0000ED9B0000}"/>
    <cellStyle name="Note 3 3 42 6" xfId="39920" xr:uid="{00000000-0005-0000-0000-0000EE9B0000}"/>
    <cellStyle name="Note 3 3 43" xfId="39921" xr:uid="{00000000-0005-0000-0000-0000EF9B0000}"/>
    <cellStyle name="Note 3 3 43 2" xfId="39922" xr:uid="{00000000-0005-0000-0000-0000F09B0000}"/>
    <cellStyle name="Note 3 3 43 3" xfId="39923" xr:uid="{00000000-0005-0000-0000-0000F19B0000}"/>
    <cellStyle name="Note 3 3 43 4" xfId="39924" xr:uid="{00000000-0005-0000-0000-0000F29B0000}"/>
    <cellStyle name="Note 3 3 43 5" xfId="39925" xr:uid="{00000000-0005-0000-0000-0000F39B0000}"/>
    <cellStyle name="Note 3 3 43 6" xfId="39926" xr:uid="{00000000-0005-0000-0000-0000F49B0000}"/>
    <cellStyle name="Note 3 3 44" xfId="39927" xr:uid="{00000000-0005-0000-0000-0000F59B0000}"/>
    <cellStyle name="Note 3 3 45" xfId="39928" xr:uid="{00000000-0005-0000-0000-0000F69B0000}"/>
    <cellStyle name="Note 3 3 46" xfId="39929" xr:uid="{00000000-0005-0000-0000-0000F79B0000}"/>
    <cellStyle name="Note 3 3 47" xfId="39930" xr:uid="{00000000-0005-0000-0000-0000F89B0000}"/>
    <cellStyle name="Note 3 3 5" xfId="39931" xr:uid="{00000000-0005-0000-0000-0000F99B0000}"/>
    <cellStyle name="Note 3 3 5 2" xfId="39932" xr:uid="{00000000-0005-0000-0000-0000FA9B0000}"/>
    <cellStyle name="Note 3 3 5 2 2" xfId="39933" xr:uid="{00000000-0005-0000-0000-0000FB9B0000}"/>
    <cellStyle name="Note 3 3 5 2 3" xfId="39934" xr:uid="{00000000-0005-0000-0000-0000FC9B0000}"/>
    <cellStyle name="Note 3 3 5 2 4" xfId="39935" xr:uid="{00000000-0005-0000-0000-0000FD9B0000}"/>
    <cellStyle name="Note 3 3 5 2 5" xfId="39936" xr:uid="{00000000-0005-0000-0000-0000FE9B0000}"/>
    <cellStyle name="Note 3 3 5 2 6" xfId="39937" xr:uid="{00000000-0005-0000-0000-0000FF9B0000}"/>
    <cellStyle name="Note 3 3 5 3" xfId="39938" xr:uid="{00000000-0005-0000-0000-0000009C0000}"/>
    <cellStyle name="Note 3 3 5 4" xfId="39939" xr:uid="{00000000-0005-0000-0000-0000019C0000}"/>
    <cellStyle name="Note 3 3 5 5" xfId="39940" xr:uid="{00000000-0005-0000-0000-0000029C0000}"/>
    <cellStyle name="Note 3 3 5 6" xfId="39941" xr:uid="{00000000-0005-0000-0000-0000039C0000}"/>
    <cellStyle name="Note 3 3 5 7" xfId="39942" xr:uid="{00000000-0005-0000-0000-0000049C0000}"/>
    <cellStyle name="Note 3 3 6" xfId="39943" xr:uid="{00000000-0005-0000-0000-0000059C0000}"/>
    <cellStyle name="Note 3 3 6 2" xfId="39944" xr:uid="{00000000-0005-0000-0000-0000069C0000}"/>
    <cellStyle name="Note 3 3 6 2 2" xfId="39945" xr:uid="{00000000-0005-0000-0000-0000079C0000}"/>
    <cellStyle name="Note 3 3 6 2 3" xfId="39946" xr:uid="{00000000-0005-0000-0000-0000089C0000}"/>
    <cellStyle name="Note 3 3 6 2 4" xfId="39947" xr:uid="{00000000-0005-0000-0000-0000099C0000}"/>
    <cellStyle name="Note 3 3 6 2 5" xfId="39948" xr:uid="{00000000-0005-0000-0000-00000A9C0000}"/>
    <cellStyle name="Note 3 3 6 2 6" xfId="39949" xr:uid="{00000000-0005-0000-0000-00000B9C0000}"/>
    <cellStyle name="Note 3 3 6 3" xfId="39950" xr:uid="{00000000-0005-0000-0000-00000C9C0000}"/>
    <cellStyle name="Note 3 3 6 4" xfId="39951" xr:uid="{00000000-0005-0000-0000-00000D9C0000}"/>
    <cellStyle name="Note 3 3 6 5" xfId="39952" xr:uid="{00000000-0005-0000-0000-00000E9C0000}"/>
    <cellStyle name="Note 3 3 6 6" xfId="39953" xr:uid="{00000000-0005-0000-0000-00000F9C0000}"/>
    <cellStyle name="Note 3 3 6 7" xfId="39954" xr:uid="{00000000-0005-0000-0000-0000109C0000}"/>
    <cellStyle name="Note 3 3 7" xfId="39955" xr:uid="{00000000-0005-0000-0000-0000119C0000}"/>
    <cellStyle name="Note 3 3 7 2" xfId="39956" xr:uid="{00000000-0005-0000-0000-0000129C0000}"/>
    <cellStyle name="Note 3 3 7 2 2" xfId="39957" xr:uid="{00000000-0005-0000-0000-0000139C0000}"/>
    <cellStyle name="Note 3 3 7 2 3" xfId="39958" xr:uid="{00000000-0005-0000-0000-0000149C0000}"/>
    <cellStyle name="Note 3 3 7 2 4" xfId="39959" xr:uid="{00000000-0005-0000-0000-0000159C0000}"/>
    <cellStyle name="Note 3 3 7 2 5" xfId="39960" xr:uid="{00000000-0005-0000-0000-0000169C0000}"/>
    <cellStyle name="Note 3 3 7 2 6" xfId="39961" xr:uid="{00000000-0005-0000-0000-0000179C0000}"/>
    <cellStyle name="Note 3 3 7 3" xfId="39962" xr:uid="{00000000-0005-0000-0000-0000189C0000}"/>
    <cellStyle name="Note 3 3 7 4" xfId="39963" xr:uid="{00000000-0005-0000-0000-0000199C0000}"/>
    <cellStyle name="Note 3 3 7 5" xfId="39964" xr:uid="{00000000-0005-0000-0000-00001A9C0000}"/>
    <cellStyle name="Note 3 3 7 6" xfId="39965" xr:uid="{00000000-0005-0000-0000-00001B9C0000}"/>
    <cellStyle name="Note 3 3 7 7" xfId="39966" xr:uid="{00000000-0005-0000-0000-00001C9C0000}"/>
    <cellStyle name="Note 3 3 8" xfId="39967" xr:uid="{00000000-0005-0000-0000-00001D9C0000}"/>
    <cellStyle name="Note 3 3 8 2" xfId="39968" xr:uid="{00000000-0005-0000-0000-00001E9C0000}"/>
    <cellStyle name="Note 3 3 8 2 2" xfId="39969" xr:uid="{00000000-0005-0000-0000-00001F9C0000}"/>
    <cellStyle name="Note 3 3 8 2 3" xfId="39970" xr:uid="{00000000-0005-0000-0000-0000209C0000}"/>
    <cellStyle name="Note 3 3 8 2 4" xfId="39971" xr:uid="{00000000-0005-0000-0000-0000219C0000}"/>
    <cellStyle name="Note 3 3 8 2 5" xfId="39972" xr:uid="{00000000-0005-0000-0000-0000229C0000}"/>
    <cellStyle name="Note 3 3 8 2 6" xfId="39973" xr:uid="{00000000-0005-0000-0000-0000239C0000}"/>
    <cellStyle name="Note 3 3 8 3" xfId="39974" xr:uid="{00000000-0005-0000-0000-0000249C0000}"/>
    <cellStyle name="Note 3 3 8 4" xfId="39975" xr:uid="{00000000-0005-0000-0000-0000259C0000}"/>
    <cellStyle name="Note 3 3 8 5" xfId="39976" xr:uid="{00000000-0005-0000-0000-0000269C0000}"/>
    <cellStyle name="Note 3 3 8 6" xfId="39977" xr:uid="{00000000-0005-0000-0000-0000279C0000}"/>
    <cellStyle name="Note 3 3 8 7" xfId="39978" xr:uid="{00000000-0005-0000-0000-0000289C0000}"/>
    <cellStyle name="Note 3 3 9" xfId="39979" xr:uid="{00000000-0005-0000-0000-0000299C0000}"/>
    <cellStyle name="Note 3 3 9 2" xfId="39980" xr:uid="{00000000-0005-0000-0000-00002A9C0000}"/>
    <cellStyle name="Note 3 3 9 2 2" xfId="39981" xr:uid="{00000000-0005-0000-0000-00002B9C0000}"/>
    <cellStyle name="Note 3 3 9 2 3" xfId="39982" xr:uid="{00000000-0005-0000-0000-00002C9C0000}"/>
    <cellStyle name="Note 3 3 9 2 4" xfId="39983" xr:uid="{00000000-0005-0000-0000-00002D9C0000}"/>
    <cellStyle name="Note 3 3 9 2 5" xfId="39984" xr:uid="{00000000-0005-0000-0000-00002E9C0000}"/>
    <cellStyle name="Note 3 3 9 2 6" xfId="39985" xr:uid="{00000000-0005-0000-0000-00002F9C0000}"/>
    <cellStyle name="Note 3 3 9 3" xfId="39986" xr:uid="{00000000-0005-0000-0000-0000309C0000}"/>
    <cellStyle name="Note 3 3 9 4" xfId="39987" xr:uid="{00000000-0005-0000-0000-0000319C0000}"/>
    <cellStyle name="Note 3 3 9 5" xfId="39988" xr:uid="{00000000-0005-0000-0000-0000329C0000}"/>
    <cellStyle name="Note 3 3 9 6" xfId="39989" xr:uid="{00000000-0005-0000-0000-0000339C0000}"/>
    <cellStyle name="Note 3 3 9 7" xfId="39990" xr:uid="{00000000-0005-0000-0000-0000349C0000}"/>
    <cellStyle name="Note 3 30" xfId="39991" xr:uid="{00000000-0005-0000-0000-0000359C0000}"/>
    <cellStyle name="Note 3 30 2" xfId="39992" xr:uid="{00000000-0005-0000-0000-0000369C0000}"/>
    <cellStyle name="Note 3 30 2 2" xfId="39993" xr:uid="{00000000-0005-0000-0000-0000379C0000}"/>
    <cellStyle name="Note 3 30 2 3" xfId="39994" xr:uid="{00000000-0005-0000-0000-0000389C0000}"/>
    <cellStyle name="Note 3 30 2 4" xfId="39995" xr:uid="{00000000-0005-0000-0000-0000399C0000}"/>
    <cellStyle name="Note 3 30 2 5" xfId="39996" xr:uid="{00000000-0005-0000-0000-00003A9C0000}"/>
    <cellStyle name="Note 3 30 2 6" xfId="39997" xr:uid="{00000000-0005-0000-0000-00003B9C0000}"/>
    <cellStyle name="Note 3 30 3" xfId="39998" xr:uid="{00000000-0005-0000-0000-00003C9C0000}"/>
    <cellStyle name="Note 3 30 4" xfId="39999" xr:uid="{00000000-0005-0000-0000-00003D9C0000}"/>
    <cellStyle name="Note 3 30 5" xfId="40000" xr:uid="{00000000-0005-0000-0000-00003E9C0000}"/>
    <cellStyle name="Note 3 30 6" xfId="40001" xr:uid="{00000000-0005-0000-0000-00003F9C0000}"/>
    <cellStyle name="Note 3 30 7" xfId="40002" xr:uid="{00000000-0005-0000-0000-0000409C0000}"/>
    <cellStyle name="Note 3 31" xfId="40003" xr:uid="{00000000-0005-0000-0000-0000419C0000}"/>
    <cellStyle name="Note 3 31 2" xfId="40004" xr:uid="{00000000-0005-0000-0000-0000429C0000}"/>
    <cellStyle name="Note 3 31 2 2" xfId="40005" xr:uid="{00000000-0005-0000-0000-0000439C0000}"/>
    <cellStyle name="Note 3 31 2 3" xfId="40006" xr:uid="{00000000-0005-0000-0000-0000449C0000}"/>
    <cellStyle name="Note 3 31 2 4" xfId="40007" xr:uid="{00000000-0005-0000-0000-0000459C0000}"/>
    <cellStyle name="Note 3 31 2 5" xfId="40008" xr:uid="{00000000-0005-0000-0000-0000469C0000}"/>
    <cellStyle name="Note 3 31 2 6" xfId="40009" xr:uid="{00000000-0005-0000-0000-0000479C0000}"/>
    <cellStyle name="Note 3 31 3" xfId="40010" xr:uid="{00000000-0005-0000-0000-0000489C0000}"/>
    <cellStyle name="Note 3 31 4" xfId="40011" xr:uid="{00000000-0005-0000-0000-0000499C0000}"/>
    <cellStyle name="Note 3 31 5" xfId="40012" xr:uid="{00000000-0005-0000-0000-00004A9C0000}"/>
    <cellStyle name="Note 3 31 6" xfId="40013" xr:uid="{00000000-0005-0000-0000-00004B9C0000}"/>
    <cellStyle name="Note 3 31 7" xfId="40014" xr:uid="{00000000-0005-0000-0000-00004C9C0000}"/>
    <cellStyle name="Note 3 32" xfId="40015" xr:uid="{00000000-0005-0000-0000-00004D9C0000}"/>
    <cellStyle name="Note 3 32 2" xfId="40016" xr:uid="{00000000-0005-0000-0000-00004E9C0000}"/>
    <cellStyle name="Note 3 32 2 2" xfId="40017" xr:uid="{00000000-0005-0000-0000-00004F9C0000}"/>
    <cellStyle name="Note 3 32 2 3" xfId="40018" xr:uid="{00000000-0005-0000-0000-0000509C0000}"/>
    <cellStyle name="Note 3 32 2 4" xfId="40019" xr:uid="{00000000-0005-0000-0000-0000519C0000}"/>
    <cellStyle name="Note 3 32 2 5" xfId="40020" xr:uid="{00000000-0005-0000-0000-0000529C0000}"/>
    <cellStyle name="Note 3 32 2 6" xfId="40021" xr:uid="{00000000-0005-0000-0000-0000539C0000}"/>
    <cellStyle name="Note 3 32 3" xfId="40022" xr:uid="{00000000-0005-0000-0000-0000549C0000}"/>
    <cellStyle name="Note 3 32 4" xfId="40023" xr:uid="{00000000-0005-0000-0000-0000559C0000}"/>
    <cellStyle name="Note 3 32 5" xfId="40024" xr:uid="{00000000-0005-0000-0000-0000569C0000}"/>
    <cellStyle name="Note 3 32 6" xfId="40025" xr:uid="{00000000-0005-0000-0000-0000579C0000}"/>
    <cellStyle name="Note 3 32 7" xfId="40026" xr:uid="{00000000-0005-0000-0000-0000589C0000}"/>
    <cellStyle name="Note 3 33" xfId="40027" xr:uid="{00000000-0005-0000-0000-0000599C0000}"/>
    <cellStyle name="Note 3 33 2" xfId="40028" xr:uid="{00000000-0005-0000-0000-00005A9C0000}"/>
    <cellStyle name="Note 3 33 2 2" xfId="40029" xr:uid="{00000000-0005-0000-0000-00005B9C0000}"/>
    <cellStyle name="Note 3 33 2 3" xfId="40030" xr:uid="{00000000-0005-0000-0000-00005C9C0000}"/>
    <cellStyle name="Note 3 33 2 4" xfId="40031" xr:uid="{00000000-0005-0000-0000-00005D9C0000}"/>
    <cellStyle name="Note 3 33 2 5" xfId="40032" xr:uid="{00000000-0005-0000-0000-00005E9C0000}"/>
    <cellStyle name="Note 3 33 2 6" xfId="40033" xr:uid="{00000000-0005-0000-0000-00005F9C0000}"/>
    <cellStyle name="Note 3 33 3" xfId="40034" xr:uid="{00000000-0005-0000-0000-0000609C0000}"/>
    <cellStyle name="Note 3 33 4" xfId="40035" xr:uid="{00000000-0005-0000-0000-0000619C0000}"/>
    <cellStyle name="Note 3 33 5" xfId="40036" xr:uid="{00000000-0005-0000-0000-0000629C0000}"/>
    <cellStyle name="Note 3 33 6" xfId="40037" xr:uid="{00000000-0005-0000-0000-0000639C0000}"/>
    <cellStyle name="Note 3 33 7" xfId="40038" xr:uid="{00000000-0005-0000-0000-0000649C0000}"/>
    <cellStyle name="Note 3 34" xfId="40039" xr:uid="{00000000-0005-0000-0000-0000659C0000}"/>
    <cellStyle name="Note 3 34 2" xfId="40040" xr:uid="{00000000-0005-0000-0000-0000669C0000}"/>
    <cellStyle name="Note 3 34 2 2" xfId="40041" xr:uid="{00000000-0005-0000-0000-0000679C0000}"/>
    <cellStyle name="Note 3 34 2 3" xfId="40042" xr:uid="{00000000-0005-0000-0000-0000689C0000}"/>
    <cellStyle name="Note 3 34 2 4" xfId="40043" xr:uid="{00000000-0005-0000-0000-0000699C0000}"/>
    <cellStyle name="Note 3 34 2 5" xfId="40044" xr:uid="{00000000-0005-0000-0000-00006A9C0000}"/>
    <cellStyle name="Note 3 34 2 6" xfId="40045" xr:uid="{00000000-0005-0000-0000-00006B9C0000}"/>
    <cellStyle name="Note 3 34 3" xfId="40046" xr:uid="{00000000-0005-0000-0000-00006C9C0000}"/>
    <cellStyle name="Note 3 34 4" xfId="40047" xr:uid="{00000000-0005-0000-0000-00006D9C0000}"/>
    <cellStyle name="Note 3 34 5" xfId="40048" xr:uid="{00000000-0005-0000-0000-00006E9C0000}"/>
    <cellStyle name="Note 3 34 6" xfId="40049" xr:uid="{00000000-0005-0000-0000-00006F9C0000}"/>
    <cellStyle name="Note 3 34 7" xfId="40050" xr:uid="{00000000-0005-0000-0000-0000709C0000}"/>
    <cellStyle name="Note 3 35" xfId="40051" xr:uid="{00000000-0005-0000-0000-0000719C0000}"/>
    <cellStyle name="Note 3 35 2" xfId="40052" xr:uid="{00000000-0005-0000-0000-0000729C0000}"/>
    <cellStyle name="Note 3 35 2 2" xfId="40053" xr:uid="{00000000-0005-0000-0000-0000739C0000}"/>
    <cellStyle name="Note 3 35 2 3" xfId="40054" xr:uid="{00000000-0005-0000-0000-0000749C0000}"/>
    <cellStyle name="Note 3 35 2 4" xfId="40055" xr:uid="{00000000-0005-0000-0000-0000759C0000}"/>
    <cellStyle name="Note 3 35 2 5" xfId="40056" xr:uid="{00000000-0005-0000-0000-0000769C0000}"/>
    <cellStyle name="Note 3 35 2 6" xfId="40057" xr:uid="{00000000-0005-0000-0000-0000779C0000}"/>
    <cellStyle name="Note 3 35 3" xfId="40058" xr:uid="{00000000-0005-0000-0000-0000789C0000}"/>
    <cellStyle name="Note 3 35 4" xfId="40059" xr:uid="{00000000-0005-0000-0000-0000799C0000}"/>
    <cellStyle name="Note 3 35 5" xfId="40060" xr:uid="{00000000-0005-0000-0000-00007A9C0000}"/>
    <cellStyle name="Note 3 35 6" xfId="40061" xr:uid="{00000000-0005-0000-0000-00007B9C0000}"/>
    <cellStyle name="Note 3 35 7" xfId="40062" xr:uid="{00000000-0005-0000-0000-00007C9C0000}"/>
    <cellStyle name="Note 3 36" xfId="40063" xr:uid="{00000000-0005-0000-0000-00007D9C0000}"/>
    <cellStyle name="Note 3 36 2" xfId="40064" xr:uid="{00000000-0005-0000-0000-00007E9C0000}"/>
    <cellStyle name="Note 3 36 2 2" xfId="40065" xr:uid="{00000000-0005-0000-0000-00007F9C0000}"/>
    <cellStyle name="Note 3 36 2 3" xfId="40066" xr:uid="{00000000-0005-0000-0000-0000809C0000}"/>
    <cellStyle name="Note 3 36 2 4" xfId="40067" xr:uid="{00000000-0005-0000-0000-0000819C0000}"/>
    <cellStyle name="Note 3 36 2 5" xfId="40068" xr:uid="{00000000-0005-0000-0000-0000829C0000}"/>
    <cellStyle name="Note 3 36 2 6" xfId="40069" xr:uid="{00000000-0005-0000-0000-0000839C0000}"/>
    <cellStyle name="Note 3 36 3" xfId="40070" xr:uid="{00000000-0005-0000-0000-0000849C0000}"/>
    <cellStyle name="Note 3 36 4" xfId="40071" xr:uid="{00000000-0005-0000-0000-0000859C0000}"/>
    <cellStyle name="Note 3 36 5" xfId="40072" xr:uid="{00000000-0005-0000-0000-0000869C0000}"/>
    <cellStyle name="Note 3 36 6" xfId="40073" xr:uid="{00000000-0005-0000-0000-0000879C0000}"/>
    <cellStyle name="Note 3 36 7" xfId="40074" xr:uid="{00000000-0005-0000-0000-0000889C0000}"/>
    <cellStyle name="Note 3 37" xfId="40075" xr:uid="{00000000-0005-0000-0000-0000899C0000}"/>
    <cellStyle name="Note 3 37 2" xfId="40076" xr:uid="{00000000-0005-0000-0000-00008A9C0000}"/>
    <cellStyle name="Note 3 37 2 2" xfId="40077" xr:uid="{00000000-0005-0000-0000-00008B9C0000}"/>
    <cellStyle name="Note 3 37 2 3" xfId="40078" xr:uid="{00000000-0005-0000-0000-00008C9C0000}"/>
    <cellStyle name="Note 3 37 2 4" xfId="40079" xr:uid="{00000000-0005-0000-0000-00008D9C0000}"/>
    <cellStyle name="Note 3 37 2 5" xfId="40080" xr:uid="{00000000-0005-0000-0000-00008E9C0000}"/>
    <cellStyle name="Note 3 37 2 6" xfId="40081" xr:uid="{00000000-0005-0000-0000-00008F9C0000}"/>
    <cellStyle name="Note 3 37 3" xfId="40082" xr:uid="{00000000-0005-0000-0000-0000909C0000}"/>
    <cellStyle name="Note 3 37 4" xfId="40083" xr:uid="{00000000-0005-0000-0000-0000919C0000}"/>
    <cellStyle name="Note 3 37 5" xfId="40084" xr:uid="{00000000-0005-0000-0000-0000929C0000}"/>
    <cellStyle name="Note 3 37 6" xfId="40085" xr:uid="{00000000-0005-0000-0000-0000939C0000}"/>
    <cellStyle name="Note 3 37 7" xfId="40086" xr:uid="{00000000-0005-0000-0000-0000949C0000}"/>
    <cellStyle name="Note 3 38" xfId="40087" xr:uid="{00000000-0005-0000-0000-0000959C0000}"/>
    <cellStyle name="Note 3 38 2" xfId="40088" xr:uid="{00000000-0005-0000-0000-0000969C0000}"/>
    <cellStyle name="Note 3 38 2 2" xfId="40089" xr:uid="{00000000-0005-0000-0000-0000979C0000}"/>
    <cellStyle name="Note 3 38 2 3" xfId="40090" xr:uid="{00000000-0005-0000-0000-0000989C0000}"/>
    <cellStyle name="Note 3 38 2 4" xfId="40091" xr:uid="{00000000-0005-0000-0000-0000999C0000}"/>
    <cellStyle name="Note 3 38 2 5" xfId="40092" xr:uid="{00000000-0005-0000-0000-00009A9C0000}"/>
    <cellStyle name="Note 3 38 2 6" xfId="40093" xr:uid="{00000000-0005-0000-0000-00009B9C0000}"/>
    <cellStyle name="Note 3 38 3" xfId="40094" xr:uid="{00000000-0005-0000-0000-00009C9C0000}"/>
    <cellStyle name="Note 3 38 4" xfId="40095" xr:uid="{00000000-0005-0000-0000-00009D9C0000}"/>
    <cellStyle name="Note 3 38 5" xfId="40096" xr:uid="{00000000-0005-0000-0000-00009E9C0000}"/>
    <cellStyle name="Note 3 38 6" xfId="40097" xr:uid="{00000000-0005-0000-0000-00009F9C0000}"/>
    <cellStyle name="Note 3 38 7" xfId="40098" xr:uid="{00000000-0005-0000-0000-0000A09C0000}"/>
    <cellStyle name="Note 3 39" xfId="40099" xr:uid="{00000000-0005-0000-0000-0000A19C0000}"/>
    <cellStyle name="Note 3 39 2" xfId="40100" xr:uid="{00000000-0005-0000-0000-0000A29C0000}"/>
    <cellStyle name="Note 3 39 2 2" xfId="40101" xr:uid="{00000000-0005-0000-0000-0000A39C0000}"/>
    <cellStyle name="Note 3 39 2 3" xfId="40102" xr:uid="{00000000-0005-0000-0000-0000A49C0000}"/>
    <cellStyle name="Note 3 39 2 4" xfId="40103" xr:uid="{00000000-0005-0000-0000-0000A59C0000}"/>
    <cellStyle name="Note 3 39 2 5" xfId="40104" xr:uid="{00000000-0005-0000-0000-0000A69C0000}"/>
    <cellStyle name="Note 3 39 2 6" xfId="40105" xr:uid="{00000000-0005-0000-0000-0000A79C0000}"/>
    <cellStyle name="Note 3 39 3" xfId="40106" xr:uid="{00000000-0005-0000-0000-0000A89C0000}"/>
    <cellStyle name="Note 3 39 4" xfId="40107" xr:uid="{00000000-0005-0000-0000-0000A99C0000}"/>
    <cellStyle name="Note 3 39 5" xfId="40108" xr:uid="{00000000-0005-0000-0000-0000AA9C0000}"/>
    <cellStyle name="Note 3 39 6" xfId="40109" xr:uid="{00000000-0005-0000-0000-0000AB9C0000}"/>
    <cellStyle name="Note 3 39 7" xfId="40110" xr:uid="{00000000-0005-0000-0000-0000AC9C0000}"/>
    <cellStyle name="Note 3 4" xfId="40111" xr:uid="{00000000-0005-0000-0000-0000AD9C0000}"/>
    <cellStyle name="Note 3 4 2" xfId="40112" xr:uid="{00000000-0005-0000-0000-0000AE9C0000}"/>
    <cellStyle name="Note 3 4 2 2" xfId="40113" xr:uid="{00000000-0005-0000-0000-0000AF9C0000}"/>
    <cellStyle name="Note 3 4 2 2 2" xfId="40114" xr:uid="{00000000-0005-0000-0000-0000B09C0000}"/>
    <cellStyle name="Note 3 4 2 2 3" xfId="40115" xr:uid="{00000000-0005-0000-0000-0000B19C0000}"/>
    <cellStyle name="Note 3 4 2 2 4" xfId="40116" xr:uid="{00000000-0005-0000-0000-0000B29C0000}"/>
    <cellStyle name="Note 3 4 2 2 5" xfId="40117" xr:uid="{00000000-0005-0000-0000-0000B39C0000}"/>
    <cellStyle name="Note 3 4 2 2 6" xfId="40118" xr:uid="{00000000-0005-0000-0000-0000B49C0000}"/>
    <cellStyle name="Note 3 4 2 3" xfId="40119" xr:uid="{00000000-0005-0000-0000-0000B59C0000}"/>
    <cellStyle name="Note 3 4 2 3 2" xfId="40120" xr:uid="{00000000-0005-0000-0000-0000B69C0000}"/>
    <cellStyle name="Note 3 4 2 3 3" xfId="40121" xr:uid="{00000000-0005-0000-0000-0000B79C0000}"/>
    <cellStyle name="Note 3 4 2 3 4" xfId="40122" xr:uid="{00000000-0005-0000-0000-0000B89C0000}"/>
    <cellStyle name="Note 3 4 2 3 5" xfId="40123" xr:uid="{00000000-0005-0000-0000-0000B99C0000}"/>
    <cellStyle name="Note 3 4 2 3 6" xfId="40124" xr:uid="{00000000-0005-0000-0000-0000BA9C0000}"/>
    <cellStyle name="Note 3 4 2 4" xfId="40125" xr:uid="{00000000-0005-0000-0000-0000BB9C0000}"/>
    <cellStyle name="Note 3 4 2 5" xfId="40126" xr:uid="{00000000-0005-0000-0000-0000BC9C0000}"/>
    <cellStyle name="Note 3 4 2 6" xfId="40127" xr:uid="{00000000-0005-0000-0000-0000BD9C0000}"/>
    <cellStyle name="Note 3 4 2 7" xfId="40128" xr:uid="{00000000-0005-0000-0000-0000BE9C0000}"/>
    <cellStyle name="Note 3 4 3" xfId="40129" xr:uid="{00000000-0005-0000-0000-0000BF9C0000}"/>
    <cellStyle name="Note 3 4 3 2" xfId="40130" xr:uid="{00000000-0005-0000-0000-0000C09C0000}"/>
    <cellStyle name="Note 3 4 3 2 2" xfId="40131" xr:uid="{00000000-0005-0000-0000-0000C19C0000}"/>
    <cellStyle name="Note 3 4 3 2 3" xfId="40132" xr:uid="{00000000-0005-0000-0000-0000C29C0000}"/>
    <cellStyle name="Note 3 4 3 2 4" xfId="40133" xr:uid="{00000000-0005-0000-0000-0000C39C0000}"/>
    <cellStyle name="Note 3 4 3 2 5" xfId="40134" xr:uid="{00000000-0005-0000-0000-0000C49C0000}"/>
    <cellStyle name="Note 3 4 3 2 6" xfId="40135" xr:uid="{00000000-0005-0000-0000-0000C59C0000}"/>
    <cellStyle name="Note 3 4 3 3" xfId="40136" xr:uid="{00000000-0005-0000-0000-0000C69C0000}"/>
    <cellStyle name="Note 3 4 3 4" xfId="40137" xr:uid="{00000000-0005-0000-0000-0000C79C0000}"/>
    <cellStyle name="Note 3 4 3 5" xfId="40138" xr:uid="{00000000-0005-0000-0000-0000C89C0000}"/>
    <cellStyle name="Note 3 4 3 6" xfId="40139" xr:uid="{00000000-0005-0000-0000-0000C99C0000}"/>
    <cellStyle name="Note 3 4 4" xfId="40140" xr:uid="{00000000-0005-0000-0000-0000CA9C0000}"/>
    <cellStyle name="Note 3 4 4 2" xfId="40141" xr:uid="{00000000-0005-0000-0000-0000CB9C0000}"/>
    <cellStyle name="Note 3 4 4 3" xfId="40142" xr:uid="{00000000-0005-0000-0000-0000CC9C0000}"/>
    <cellStyle name="Note 3 4 4 4" xfId="40143" xr:uid="{00000000-0005-0000-0000-0000CD9C0000}"/>
    <cellStyle name="Note 3 4 4 5" xfId="40144" xr:uid="{00000000-0005-0000-0000-0000CE9C0000}"/>
    <cellStyle name="Note 3 4 4 6" xfId="40145" xr:uid="{00000000-0005-0000-0000-0000CF9C0000}"/>
    <cellStyle name="Note 3 4 5" xfId="40146" xr:uid="{00000000-0005-0000-0000-0000D09C0000}"/>
    <cellStyle name="Note 3 4 5 2" xfId="40147" xr:uid="{00000000-0005-0000-0000-0000D19C0000}"/>
    <cellStyle name="Note 3 4 5 3" xfId="40148" xr:uid="{00000000-0005-0000-0000-0000D29C0000}"/>
    <cellStyle name="Note 3 4 5 4" xfId="40149" xr:uid="{00000000-0005-0000-0000-0000D39C0000}"/>
    <cellStyle name="Note 3 4 5 5" xfId="40150" xr:uid="{00000000-0005-0000-0000-0000D49C0000}"/>
    <cellStyle name="Note 3 4 5 6" xfId="40151" xr:uid="{00000000-0005-0000-0000-0000D59C0000}"/>
    <cellStyle name="Note 3 4 6" xfId="40152" xr:uid="{00000000-0005-0000-0000-0000D69C0000}"/>
    <cellStyle name="Note 3 4 7" xfId="40153" xr:uid="{00000000-0005-0000-0000-0000D79C0000}"/>
    <cellStyle name="Note 3 4 8" xfId="40154" xr:uid="{00000000-0005-0000-0000-0000D89C0000}"/>
    <cellStyle name="Note 3 4 9" xfId="40155" xr:uid="{00000000-0005-0000-0000-0000D99C0000}"/>
    <cellStyle name="Note 3 40" xfId="40156" xr:uid="{00000000-0005-0000-0000-0000DA9C0000}"/>
    <cellStyle name="Note 3 40 2" xfId="40157" xr:uid="{00000000-0005-0000-0000-0000DB9C0000}"/>
    <cellStyle name="Note 3 40 2 2" xfId="40158" xr:uid="{00000000-0005-0000-0000-0000DC9C0000}"/>
    <cellStyle name="Note 3 40 2 3" xfId="40159" xr:uid="{00000000-0005-0000-0000-0000DD9C0000}"/>
    <cellStyle name="Note 3 40 2 4" xfId="40160" xr:uid="{00000000-0005-0000-0000-0000DE9C0000}"/>
    <cellStyle name="Note 3 40 2 5" xfId="40161" xr:uid="{00000000-0005-0000-0000-0000DF9C0000}"/>
    <cellStyle name="Note 3 40 2 6" xfId="40162" xr:uid="{00000000-0005-0000-0000-0000E09C0000}"/>
    <cellStyle name="Note 3 40 3" xfId="40163" xr:uid="{00000000-0005-0000-0000-0000E19C0000}"/>
    <cellStyle name="Note 3 40 4" xfId="40164" xr:uid="{00000000-0005-0000-0000-0000E29C0000}"/>
    <cellStyle name="Note 3 40 5" xfId="40165" xr:uid="{00000000-0005-0000-0000-0000E39C0000}"/>
    <cellStyle name="Note 3 40 6" xfId="40166" xr:uid="{00000000-0005-0000-0000-0000E49C0000}"/>
    <cellStyle name="Note 3 40 7" xfId="40167" xr:uid="{00000000-0005-0000-0000-0000E59C0000}"/>
    <cellStyle name="Note 3 41" xfId="40168" xr:uid="{00000000-0005-0000-0000-0000E69C0000}"/>
    <cellStyle name="Note 3 41 2" xfId="40169" xr:uid="{00000000-0005-0000-0000-0000E79C0000}"/>
    <cellStyle name="Note 3 41 2 2" xfId="40170" xr:uid="{00000000-0005-0000-0000-0000E89C0000}"/>
    <cellStyle name="Note 3 41 2 3" xfId="40171" xr:uid="{00000000-0005-0000-0000-0000E99C0000}"/>
    <cellStyle name="Note 3 41 2 4" xfId="40172" xr:uid="{00000000-0005-0000-0000-0000EA9C0000}"/>
    <cellStyle name="Note 3 41 2 5" xfId="40173" xr:uid="{00000000-0005-0000-0000-0000EB9C0000}"/>
    <cellStyle name="Note 3 41 2 6" xfId="40174" xr:uid="{00000000-0005-0000-0000-0000EC9C0000}"/>
    <cellStyle name="Note 3 41 3" xfId="40175" xr:uid="{00000000-0005-0000-0000-0000ED9C0000}"/>
    <cellStyle name="Note 3 41 4" xfId="40176" xr:uid="{00000000-0005-0000-0000-0000EE9C0000}"/>
    <cellStyle name="Note 3 41 5" xfId="40177" xr:uid="{00000000-0005-0000-0000-0000EF9C0000}"/>
    <cellStyle name="Note 3 41 6" xfId="40178" xr:uid="{00000000-0005-0000-0000-0000F09C0000}"/>
    <cellStyle name="Note 3 41 7" xfId="40179" xr:uid="{00000000-0005-0000-0000-0000F19C0000}"/>
    <cellStyle name="Note 3 42" xfId="40180" xr:uid="{00000000-0005-0000-0000-0000F29C0000}"/>
    <cellStyle name="Note 3 42 2" xfId="40181" xr:uid="{00000000-0005-0000-0000-0000F39C0000}"/>
    <cellStyle name="Note 3 42 2 2" xfId="40182" xr:uid="{00000000-0005-0000-0000-0000F49C0000}"/>
    <cellStyle name="Note 3 42 2 3" xfId="40183" xr:uid="{00000000-0005-0000-0000-0000F59C0000}"/>
    <cellStyle name="Note 3 42 2 4" xfId="40184" xr:uid="{00000000-0005-0000-0000-0000F69C0000}"/>
    <cellStyle name="Note 3 42 2 5" xfId="40185" xr:uid="{00000000-0005-0000-0000-0000F79C0000}"/>
    <cellStyle name="Note 3 42 2 6" xfId="40186" xr:uid="{00000000-0005-0000-0000-0000F89C0000}"/>
    <cellStyle name="Note 3 42 3" xfId="40187" xr:uid="{00000000-0005-0000-0000-0000F99C0000}"/>
    <cellStyle name="Note 3 42 4" xfId="40188" xr:uid="{00000000-0005-0000-0000-0000FA9C0000}"/>
    <cellStyle name="Note 3 42 5" xfId="40189" xr:uid="{00000000-0005-0000-0000-0000FB9C0000}"/>
    <cellStyle name="Note 3 42 6" xfId="40190" xr:uid="{00000000-0005-0000-0000-0000FC9C0000}"/>
    <cellStyle name="Note 3 42 7" xfId="40191" xr:uid="{00000000-0005-0000-0000-0000FD9C0000}"/>
    <cellStyle name="Note 3 43" xfId="40192" xr:uid="{00000000-0005-0000-0000-0000FE9C0000}"/>
    <cellStyle name="Note 3 43 2" xfId="40193" xr:uid="{00000000-0005-0000-0000-0000FF9C0000}"/>
    <cellStyle name="Note 3 43 2 2" xfId="40194" xr:uid="{00000000-0005-0000-0000-0000009D0000}"/>
    <cellStyle name="Note 3 43 2 3" xfId="40195" xr:uid="{00000000-0005-0000-0000-0000019D0000}"/>
    <cellStyle name="Note 3 43 2 4" xfId="40196" xr:uid="{00000000-0005-0000-0000-0000029D0000}"/>
    <cellStyle name="Note 3 43 2 5" xfId="40197" xr:uid="{00000000-0005-0000-0000-0000039D0000}"/>
    <cellStyle name="Note 3 43 2 6" xfId="40198" xr:uid="{00000000-0005-0000-0000-0000049D0000}"/>
    <cellStyle name="Note 3 43 3" xfId="40199" xr:uid="{00000000-0005-0000-0000-0000059D0000}"/>
    <cellStyle name="Note 3 43 4" xfId="40200" xr:uid="{00000000-0005-0000-0000-0000069D0000}"/>
    <cellStyle name="Note 3 43 5" xfId="40201" xr:uid="{00000000-0005-0000-0000-0000079D0000}"/>
    <cellStyle name="Note 3 43 6" xfId="40202" xr:uid="{00000000-0005-0000-0000-0000089D0000}"/>
    <cellStyle name="Note 3 43 7" xfId="40203" xr:uid="{00000000-0005-0000-0000-0000099D0000}"/>
    <cellStyle name="Note 3 44" xfId="40204" xr:uid="{00000000-0005-0000-0000-00000A9D0000}"/>
    <cellStyle name="Note 3 44 2" xfId="40205" xr:uid="{00000000-0005-0000-0000-00000B9D0000}"/>
    <cellStyle name="Note 3 44 3" xfId="40206" xr:uid="{00000000-0005-0000-0000-00000C9D0000}"/>
    <cellStyle name="Note 3 44 4" xfId="40207" xr:uid="{00000000-0005-0000-0000-00000D9D0000}"/>
    <cellStyle name="Note 3 44 5" xfId="40208" xr:uid="{00000000-0005-0000-0000-00000E9D0000}"/>
    <cellStyle name="Note 3 44 6" xfId="40209" xr:uid="{00000000-0005-0000-0000-00000F9D0000}"/>
    <cellStyle name="Note 3 45" xfId="40210" xr:uid="{00000000-0005-0000-0000-0000109D0000}"/>
    <cellStyle name="Note 3 45 2" xfId="40211" xr:uid="{00000000-0005-0000-0000-0000119D0000}"/>
    <cellStyle name="Note 3 45 3" xfId="40212" xr:uid="{00000000-0005-0000-0000-0000129D0000}"/>
    <cellStyle name="Note 3 45 4" xfId="40213" xr:uid="{00000000-0005-0000-0000-0000139D0000}"/>
    <cellStyle name="Note 3 45 5" xfId="40214" xr:uid="{00000000-0005-0000-0000-0000149D0000}"/>
    <cellStyle name="Note 3 45 6" xfId="40215" xr:uid="{00000000-0005-0000-0000-0000159D0000}"/>
    <cellStyle name="Note 3 46" xfId="40216" xr:uid="{00000000-0005-0000-0000-0000169D0000}"/>
    <cellStyle name="Note 3 47" xfId="40217" xr:uid="{00000000-0005-0000-0000-0000179D0000}"/>
    <cellStyle name="Note 3 48" xfId="40218" xr:uid="{00000000-0005-0000-0000-0000189D0000}"/>
    <cellStyle name="Note 3 49" xfId="40219" xr:uid="{00000000-0005-0000-0000-0000199D0000}"/>
    <cellStyle name="Note 3 5" xfId="40220" xr:uid="{00000000-0005-0000-0000-00001A9D0000}"/>
    <cellStyle name="Note 3 5 2" xfId="40221" xr:uid="{00000000-0005-0000-0000-00001B9D0000}"/>
    <cellStyle name="Note 3 5 2 2" xfId="40222" xr:uid="{00000000-0005-0000-0000-00001C9D0000}"/>
    <cellStyle name="Note 3 5 2 3" xfId="40223" xr:uid="{00000000-0005-0000-0000-00001D9D0000}"/>
    <cellStyle name="Note 3 5 2 4" xfId="40224" xr:uid="{00000000-0005-0000-0000-00001E9D0000}"/>
    <cellStyle name="Note 3 5 2 5" xfId="40225" xr:uid="{00000000-0005-0000-0000-00001F9D0000}"/>
    <cellStyle name="Note 3 5 2 6" xfId="40226" xr:uid="{00000000-0005-0000-0000-0000209D0000}"/>
    <cellStyle name="Note 3 5 3" xfId="40227" xr:uid="{00000000-0005-0000-0000-0000219D0000}"/>
    <cellStyle name="Note 3 5 3 2" xfId="40228" xr:uid="{00000000-0005-0000-0000-0000229D0000}"/>
    <cellStyle name="Note 3 5 3 3" xfId="40229" xr:uid="{00000000-0005-0000-0000-0000239D0000}"/>
    <cellStyle name="Note 3 5 3 4" xfId="40230" xr:uid="{00000000-0005-0000-0000-0000249D0000}"/>
    <cellStyle name="Note 3 5 3 5" xfId="40231" xr:uid="{00000000-0005-0000-0000-0000259D0000}"/>
    <cellStyle name="Note 3 5 3 6" xfId="40232" xr:uid="{00000000-0005-0000-0000-0000269D0000}"/>
    <cellStyle name="Note 3 5 4" xfId="40233" xr:uid="{00000000-0005-0000-0000-0000279D0000}"/>
    <cellStyle name="Note 3 5 5" xfId="40234" xr:uid="{00000000-0005-0000-0000-0000289D0000}"/>
    <cellStyle name="Note 3 5 6" xfId="40235" xr:uid="{00000000-0005-0000-0000-0000299D0000}"/>
    <cellStyle name="Note 3 5 7" xfId="40236" xr:uid="{00000000-0005-0000-0000-00002A9D0000}"/>
    <cellStyle name="Note 3 5 8" xfId="40237" xr:uid="{00000000-0005-0000-0000-00002B9D0000}"/>
    <cellStyle name="Note 3 6" xfId="40238" xr:uid="{00000000-0005-0000-0000-00002C9D0000}"/>
    <cellStyle name="Note 3 6 2" xfId="40239" xr:uid="{00000000-0005-0000-0000-00002D9D0000}"/>
    <cellStyle name="Note 3 6 2 2" xfId="40240" xr:uid="{00000000-0005-0000-0000-00002E9D0000}"/>
    <cellStyle name="Note 3 6 2 3" xfId="40241" xr:uid="{00000000-0005-0000-0000-00002F9D0000}"/>
    <cellStyle name="Note 3 6 2 4" xfId="40242" xr:uid="{00000000-0005-0000-0000-0000309D0000}"/>
    <cellStyle name="Note 3 6 2 5" xfId="40243" xr:uid="{00000000-0005-0000-0000-0000319D0000}"/>
    <cellStyle name="Note 3 6 2 6" xfId="40244" xr:uid="{00000000-0005-0000-0000-0000329D0000}"/>
    <cellStyle name="Note 3 6 3" xfId="40245" xr:uid="{00000000-0005-0000-0000-0000339D0000}"/>
    <cellStyle name="Note 3 6 4" xfId="40246" xr:uid="{00000000-0005-0000-0000-0000349D0000}"/>
    <cellStyle name="Note 3 6 5" xfId="40247" xr:uid="{00000000-0005-0000-0000-0000359D0000}"/>
    <cellStyle name="Note 3 6 6" xfId="40248" xr:uid="{00000000-0005-0000-0000-0000369D0000}"/>
    <cellStyle name="Note 3 6 7" xfId="40249" xr:uid="{00000000-0005-0000-0000-0000379D0000}"/>
    <cellStyle name="Note 3 7" xfId="40250" xr:uid="{00000000-0005-0000-0000-0000389D0000}"/>
    <cellStyle name="Note 3 7 2" xfId="40251" xr:uid="{00000000-0005-0000-0000-0000399D0000}"/>
    <cellStyle name="Note 3 7 2 2" xfId="40252" xr:uid="{00000000-0005-0000-0000-00003A9D0000}"/>
    <cellStyle name="Note 3 7 2 3" xfId="40253" xr:uid="{00000000-0005-0000-0000-00003B9D0000}"/>
    <cellStyle name="Note 3 7 2 4" xfId="40254" xr:uid="{00000000-0005-0000-0000-00003C9D0000}"/>
    <cellStyle name="Note 3 7 2 5" xfId="40255" xr:uid="{00000000-0005-0000-0000-00003D9D0000}"/>
    <cellStyle name="Note 3 7 2 6" xfId="40256" xr:uid="{00000000-0005-0000-0000-00003E9D0000}"/>
    <cellStyle name="Note 3 7 3" xfId="40257" xr:uid="{00000000-0005-0000-0000-00003F9D0000}"/>
    <cellStyle name="Note 3 7 4" xfId="40258" xr:uid="{00000000-0005-0000-0000-0000409D0000}"/>
    <cellStyle name="Note 3 7 5" xfId="40259" xr:uid="{00000000-0005-0000-0000-0000419D0000}"/>
    <cellStyle name="Note 3 7 6" xfId="40260" xr:uid="{00000000-0005-0000-0000-0000429D0000}"/>
    <cellStyle name="Note 3 7 7" xfId="40261" xr:uid="{00000000-0005-0000-0000-0000439D0000}"/>
    <cellStyle name="Note 3 8" xfId="40262" xr:uid="{00000000-0005-0000-0000-0000449D0000}"/>
    <cellStyle name="Note 3 8 2" xfId="40263" xr:uid="{00000000-0005-0000-0000-0000459D0000}"/>
    <cellStyle name="Note 3 8 2 2" xfId="40264" xr:uid="{00000000-0005-0000-0000-0000469D0000}"/>
    <cellStyle name="Note 3 8 2 3" xfId="40265" xr:uid="{00000000-0005-0000-0000-0000479D0000}"/>
    <cellStyle name="Note 3 8 2 4" xfId="40266" xr:uid="{00000000-0005-0000-0000-0000489D0000}"/>
    <cellStyle name="Note 3 8 2 5" xfId="40267" xr:uid="{00000000-0005-0000-0000-0000499D0000}"/>
    <cellStyle name="Note 3 8 2 6" xfId="40268" xr:uid="{00000000-0005-0000-0000-00004A9D0000}"/>
    <cellStyle name="Note 3 8 3" xfId="40269" xr:uid="{00000000-0005-0000-0000-00004B9D0000}"/>
    <cellStyle name="Note 3 8 4" xfId="40270" xr:uid="{00000000-0005-0000-0000-00004C9D0000}"/>
    <cellStyle name="Note 3 8 5" xfId="40271" xr:uid="{00000000-0005-0000-0000-00004D9D0000}"/>
    <cellStyle name="Note 3 8 6" xfId="40272" xr:uid="{00000000-0005-0000-0000-00004E9D0000}"/>
    <cellStyle name="Note 3 8 7" xfId="40273" xr:uid="{00000000-0005-0000-0000-00004F9D0000}"/>
    <cellStyle name="Note 3 9" xfId="40274" xr:uid="{00000000-0005-0000-0000-0000509D0000}"/>
    <cellStyle name="Note 3 9 2" xfId="40275" xr:uid="{00000000-0005-0000-0000-0000519D0000}"/>
    <cellStyle name="Note 3 9 2 2" xfId="40276" xr:uid="{00000000-0005-0000-0000-0000529D0000}"/>
    <cellStyle name="Note 3 9 2 3" xfId="40277" xr:uid="{00000000-0005-0000-0000-0000539D0000}"/>
    <cellStyle name="Note 3 9 2 4" xfId="40278" xr:uid="{00000000-0005-0000-0000-0000549D0000}"/>
    <cellStyle name="Note 3 9 2 5" xfId="40279" xr:uid="{00000000-0005-0000-0000-0000559D0000}"/>
    <cellStyle name="Note 3 9 2 6" xfId="40280" xr:uid="{00000000-0005-0000-0000-0000569D0000}"/>
    <cellStyle name="Note 3 9 3" xfId="40281" xr:uid="{00000000-0005-0000-0000-0000579D0000}"/>
    <cellStyle name="Note 3 9 4" xfId="40282" xr:uid="{00000000-0005-0000-0000-0000589D0000}"/>
    <cellStyle name="Note 3 9 5" xfId="40283" xr:uid="{00000000-0005-0000-0000-0000599D0000}"/>
    <cellStyle name="Note 3 9 6" xfId="40284" xr:uid="{00000000-0005-0000-0000-00005A9D0000}"/>
    <cellStyle name="Note 3 9 7" xfId="40285" xr:uid="{00000000-0005-0000-0000-00005B9D0000}"/>
    <cellStyle name="Note 4" xfId="40286" xr:uid="{00000000-0005-0000-0000-00005C9D0000}"/>
    <cellStyle name="Note 4 2" xfId="40287" xr:uid="{00000000-0005-0000-0000-00005D9D0000}"/>
    <cellStyle name="Note 4 2 10" xfId="40288" xr:uid="{00000000-0005-0000-0000-00005E9D0000}"/>
    <cellStyle name="Note 4 2 10 2" xfId="40289" xr:uid="{00000000-0005-0000-0000-00005F9D0000}"/>
    <cellStyle name="Note 4 2 10 3" xfId="40290" xr:uid="{00000000-0005-0000-0000-0000609D0000}"/>
    <cellStyle name="Note 4 2 10 4" xfId="40291" xr:uid="{00000000-0005-0000-0000-0000619D0000}"/>
    <cellStyle name="Note 4 2 10 5" xfId="40292" xr:uid="{00000000-0005-0000-0000-0000629D0000}"/>
    <cellStyle name="Note 4 2 10 6" xfId="40293" xr:uid="{00000000-0005-0000-0000-0000639D0000}"/>
    <cellStyle name="Note 4 2 11" xfId="40294" xr:uid="{00000000-0005-0000-0000-0000649D0000}"/>
    <cellStyle name="Note 4 2 12" xfId="40295" xr:uid="{00000000-0005-0000-0000-0000659D0000}"/>
    <cellStyle name="Note 4 2 13" xfId="40296" xr:uid="{00000000-0005-0000-0000-0000669D0000}"/>
    <cellStyle name="Note 4 2 14" xfId="40297" xr:uid="{00000000-0005-0000-0000-0000679D0000}"/>
    <cellStyle name="Note 4 2 2" xfId="40298" xr:uid="{00000000-0005-0000-0000-0000689D0000}"/>
    <cellStyle name="Note 4 2 2 10" xfId="40299" xr:uid="{00000000-0005-0000-0000-0000699D0000}"/>
    <cellStyle name="Note 4 2 2 11" xfId="40300" xr:uid="{00000000-0005-0000-0000-00006A9D0000}"/>
    <cellStyle name="Note 4 2 2 12" xfId="40301" xr:uid="{00000000-0005-0000-0000-00006B9D0000}"/>
    <cellStyle name="Note 4 2 2 2" xfId="40302" xr:uid="{00000000-0005-0000-0000-00006C9D0000}"/>
    <cellStyle name="Note 4 2 2 2 2" xfId="40303" xr:uid="{00000000-0005-0000-0000-00006D9D0000}"/>
    <cellStyle name="Note 4 2 2 2 2 2" xfId="40304" xr:uid="{00000000-0005-0000-0000-00006E9D0000}"/>
    <cellStyle name="Note 4 2 2 2 2 2 2" xfId="40305" xr:uid="{00000000-0005-0000-0000-00006F9D0000}"/>
    <cellStyle name="Note 4 2 2 2 2 2 3" xfId="40306" xr:uid="{00000000-0005-0000-0000-0000709D0000}"/>
    <cellStyle name="Note 4 2 2 2 2 2 4" xfId="40307" xr:uid="{00000000-0005-0000-0000-0000719D0000}"/>
    <cellStyle name="Note 4 2 2 2 2 2 5" xfId="40308" xr:uid="{00000000-0005-0000-0000-0000729D0000}"/>
    <cellStyle name="Note 4 2 2 2 2 2 6" xfId="40309" xr:uid="{00000000-0005-0000-0000-0000739D0000}"/>
    <cellStyle name="Note 4 2 2 2 2 3" xfId="40310" xr:uid="{00000000-0005-0000-0000-0000749D0000}"/>
    <cellStyle name="Note 4 2 2 2 2 4" xfId="40311" xr:uid="{00000000-0005-0000-0000-0000759D0000}"/>
    <cellStyle name="Note 4 2 2 2 2 5" xfId="40312" xr:uid="{00000000-0005-0000-0000-0000769D0000}"/>
    <cellStyle name="Note 4 2 2 2 2 6" xfId="40313" xr:uid="{00000000-0005-0000-0000-0000779D0000}"/>
    <cellStyle name="Note 4 2 2 2 3" xfId="40314" xr:uid="{00000000-0005-0000-0000-0000789D0000}"/>
    <cellStyle name="Note 4 2 2 2 3 2" xfId="40315" xr:uid="{00000000-0005-0000-0000-0000799D0000}"/>
    <cellStyle name="Note 4 2 2 2 3 2 2" xfId="40316" xr:uid="{00000000-0005-0000-0000-00007A9D0000}"/>
    <cellStyle name="Note 4 2 2 2 3 2 3" xfId="40317" xr:uid="{00000000-0005-0000-0000-00007B9D0000}"/>
    <cellStyle name="Note 4 2 2 2 3 2 4" xfId="40318" xr:uid="{00000000-0005-0000-0000-00007C9D0000}"/>
    <cellStyle name="Note 4 2 2 2 3 2 5" xfId="40319" xr:uid="{00000000-0005-0000-0000-00007D9D0000}"/>
    <cellStyle name="Note 4 2 2 2 3 2 6" xfId="40320" xr:uid="{00000000-0005-0000-0000-00007E9D0000}"/>
    <cellStyle name="Note 4 2 2 2 3 3" xfId="40321" xr:uid="{00000000-0005-0000-0000-00007F9D0000}"/>
    <cellStyle name="Note 4 2 2 2 3 4" xfId="40322" xr:uid="{00000000-0005-0000-0000-0000809D0000}"/>
    <cellStyle name="Note 4 2 2 2 3 5" xfId="40323" xr:uid="{00000000-0005-0000-0000-0000819D0000}"/>
    <cellStyle name="Note 4 2 2 2 3 6" xfId="40324" xr:uid="{00000000-0005-0000-0000-0000829D0000}"/>
    <cellStyle name="Note 4 2 2 2 4" xfId="40325" xr:uid="{00000000-0005-0000-0000-0000839D0000}"/>
    <cellStyle name="Note 4 2 2 2 4 2" xfId="40326" xr:uid="{00000000-0005-0000-0000-0000849D0000}"/>
    <cellStyle name="Note 4 2 2 2 4 3" xfId="40327" xr:uid="{00000000-0005-0000-0000-0000859D0000}"/>
    <cellStyle name="Note 4 2 2 2 4 4" xfId="40328" xr:uid="{00000000-0005-0000-0000-0000869D0000}"/>
    <cellStyle name="Note 4 2 2 2 4 5" xfId="40329" xr:uid="{00000000-0005-0000-0000-0000879D0000}"/>
    <cellStyle name="Note 4 2 2 2 4 6" xfId="40330" xr:uid="{00000000-0005-0000-0000-0000889D0000}"/>
    <cellStyle name="Note 4 2 2 2 5" xfId="40331" xr:uid="{00000000-0005-0000-0000-0000899D0000}"/>
    <cellStyle name="Note 4 2 2 2 6" xfId="40332" xr:uid="{00000000-0005-0000-0000-00008A9D0000}"/>
    <cellStyle name="Note 4 2 2 2 7" xfId="40333" xr:uid="{00000000-0005-0000-0000-00008B9D0000}"/>
    <cellStyle name="Note 4 2 2 2 8" xfId="40334" xr:uid="{00000000-0005-0000-0000-00008C9D0000}"/>
    <cellStyle name="Note 4 2 2 3" xfId="40335" xr:uid="{00000000-0005-0000-0000-00008D9D0000}"/>
    <cellStyle name="Note 4 2 2 3 2" xfId="40336" xr:uid="{00000000-0005-0000-0000-00008E9D0000}"/>
    <cellStyle name="Note 4 2 2 3 2 2" xfId="40337" xr:uid="{00000000-0005-0000-0000-00008F9D0000}"/>
    <cellStyle name="Note 4 2 2 3 2 2 2" xfId="40338" xr:uid="{00000000-0005-0000-0000-0000909D0000}"/>
    <cellStyle name="Note 4 2 2 3 2 2 3" xfId="40339" xr:uid="{00000000-0005-0000-0000-0000919D0000}"/>
    <cellStyle name="Note 4 2 2 3 2 2 4" xfId="40340" xr:uid="{00000000-0005-0000-0000-0000929D0000}"/>
    <cellStyle name="Note 4 2 2 3 2 2 5" xfId="40341" xr:uid="{00000000-0005-0000-0000-0000939D0000}"/>
    <cellStyle name="Note 4 2 2 3 2 2 6" xfId="40342" xr:uid="{00000000-0005-0000-0000-0000949D0000}"/>
    <cellStyle name="Note 4 2 2 3 2 3" xfId="40343" xr:uid="{00000000-0005-0000-0000-0000959D0000}"/>
    <cellStyle name="Note 4 2 2 3 2 4" xfId="40344" xr:uid="{00000000-0005-0000-0000-0000969D0000}"/>
    <cellStyle name="Note 4 2 2 3 2 5" xfId="40345" xr:uid="{00000000-0005-0000-0000-0000979D0000}"/>
    <cellStyle name="Note 4 2 2 3 2 6" xfId="40346" xr:uid="{00000000-0005-0000-0000-0000989D0000}"/>
    <cellStyle name="Note 4 2 2 3 3" xfId="40347" xr:uid="{00000000-0005-0000-0000-0000999D0000}"/>
    <cellStyle name="Note 4 2 2 3 3 2" xfId="40348" xr:uid="{00000000-0005-0000-0000-00009A9D0000}"/>
    <cellStyle name="Note 4 2 2 3 3 2 2" xfId="40349" xr:uid="{00000000-0005-0000-0000-00009B9D0000}"/>
    <cellStyle name="Note 4 2 2 3 3 2 3" xfId="40350" xr:uid="{00000000-0005-0000-0000-00009C9D0000}"/>
    <cellStyle name="Note 4 2 2 3 3 2 4" xfId="40351" xr:uid="{00000000-0005-0000-0000-00009D9D0000}"/>
    <cellStyle name="Note 4 2 2 3 3 2 5" xfId="40352" xr:uid="{00000000-0005-0000-0000-00009E9D0000}"/>
    <cellStyle name="Note 4 2 2 3 3 2 6" xfId="40353" xr:uid="{00000000-0005-0000-0000-00009F9D0000}"/>
    <cellStyle name="Note 4 2 2 3 3 3" xfId="40354" xr:uid="{00000000-0005-0000-0000-0000A09D0000}"/>
    <cellStyle name="Note 4 2 2 3 3 4" xfId="40355" xr:uid="{00000000-0005-0000-0000-0000A19D0000}"/>
    <cellStyle name="Note 4 2 2 3 3 5" xfId="40356" xr:uid="{00000000-0005-0000-0000-0000A29D0000}"/>
    <cellStyle name="Note 4 2 2 3 3 6" xfId="40357" xr:uid="{00000000-0005-0000-0000-0000A39D0000}"/>
    <cellStyle name="Note 4 2 2 3 4" xfId="40358" xr:uid="{00000000-0005-0000-0000-0000A49D0000}"/>
    <cellStyle name="Note 4 2 2 3 4 2" xfId="40359" xr:uid="{00000000-0005-0000-0000-0000A59D0000}"/>
    <cellStyle name="Note 4 2 2 3 4 3" xfId="40360" xr:uid="{00000000-0005-0000-0000-0000A69D0000}"/>
    <cellStyle name="Note 4 2 2 3 4 4" xfId="40361" xr:uid="{00000000-0005-0000-0000-0000A79D0000}"/>
    <cellStyle name="Note 4 2 2 3 4 5" xfId="40362" xr:uid="{00000000-0005-0000-0000-0000A89D0000}"/>
    <cellStyle name="Note 4 2 2 3 4 6" xfId="40363" xr:uid="{00000000-0005-0000-0000-0000A99D0000}"/>
    <cellStyle name="Note 4 2 2 3 5" xfId="40364" xr:uid="{00000000-0005-0000-0000-0000AA9D0000}"/>
    <cellStyle name="Note 4 2 2 3 6" xfId="40365" xr:uid="{00000000-0005-0000-0000-0000AB9D0000}"/>
    <cellStyle name="Note 4 2 2 3 7" xfId="40366" xr:uid="{00000000-0005-0000-0000-0000AC9D0000}"/>
    <cellStyle name="Note 4 2 2 3 8" xfId="40367" xr:uid="{00000000-0005-0000-0000-0000AD9D0000}"/>
    <cellStyle name="Note 4 2 2 4" xfId="40368" xr:uid="{00000000-0005-0000-0000-0000AE9D0000}"/>
    <cellStyle name="Note 4 2 2 4 2" xfId="40369" xr:uid="{00000000-0005-0000-0000-0000AF9D0000}"/>
    <cellStyle name="Note 4 2 2 4 2 2" xfId="40370" xr:uid="{00000000-0005-0000-0000-0000B09D0000}"/>
    <cellStyle name="Note 4 2 2 4 2 2 2" xfId="40371" xr:uid="{00000000-0005-0000-0000-0000B19D0000}"/>
    <cellStyle name="Note 4 2 2 4 2 2 3" xfId="40372" xr:uid="{00000000-0005-0000-0000-0000B29D0000}"/>
    <cellStyle name="Note 4 2 2 4 2 2 4" xfId="40373" xr:uid="{00000000-0005-0000-0000-0000B39D0000}"/>
    <cellStyle name="Note 4 2 2 4 2 2 5" xfId="40374" xr:uid="{00000000-0005-0000-0000-0000B49D0000}"/>
    <cellStyle name="Note 4 2 2 4 2 2 6" xfId="40375" xr:uid="{00000000-0005-0000-0000-0000B59D0000}"/>
    <cellStyle name="Note 4 2 2 4 2 3" xfId="40376" xr:uid="{00000000-0005-0000-0000-0000B69D0000}"/>
    <cellStyle name="Note 4 2 2 4 2 4" xfId="40377" xr:uid="{00000000-0005-0000-0000-0000B79D0000}"/>
    <cellStyle name="Note 4 2 2 4 2 5" xfId="40378" xr:uid="{00000000-0005-0000-0000-0000B89D0000}"/>
    <cellStyle name="Note 4 2 2 4 2 6" xfId="40379" xr:uid="{00000000-0005-0000-0000-0000B99D0000}"/>
    <cellStyle name="Note 4 2 2 4 3" xfId="40380" xr:uid="{00000000-0005-0000-0000-0000BA9D0000}"/>
    <cellStyle name="Note 4 2 2 4 3 2" xfId="40381" xr:uid="{00000000-0005-0000-0000-0000BB9D0000}"/>
    <cellStyle name="Note 4 2 2 4 3 2 2" xfId="40382" xr:uid="{00000000-0005-0000-0000-0000BC9D0000}"/>
    <cellStyle name="Note 4 2 2 4 3 2 3" xfId="40383" xr:uid="{00000000-0005-0000-0000-0000BD9D0000}"/>
    <cellStyle name="Note 4 2 2 4 3 2 4" xfId="40384" xr:uid="{00000000-0005-0000-0000-0000BE9D0000}"/>
    <cellStyle name="Note 4 2 2 4 3 2 5" xfId="40385" xr:uid="{00000000-0005-0000-0000-0000BF9D0000}"/>
    <cellStyle name="Note 4 2 2 4 3 2 6" xfId="40386" xr:uid="{00000000-0005-0000-0000-0000C09D0000}"/>
    <cellStyle name="Note 4 2 2 4 3 3" xfId="40387" xr:uid="{00000000-0005-0000-0000-0000C19D0000}"/>
    <cellStyle name="Note 4 2 2 4 3 4" xfId="40388" xr:uid="{00000000-0005-0000-0000-0000C29D0000}"/>
    <cellStyle name="Note 4 2 2 4 3 5" xfId="40389" xr:uid="{00000000-0005-0000-0000-0000C39D0000}"/>
    <cellStyle name="Note 4 2 2 4 3 6" xfId="40390" xr:uid="{00000000-0005-0000-0000-0000C49D0000}"/>
    <cellStyle name="Note 4 2 2 4 4" xfId="40391" xr:uid="{00000000-0005-0000-0000-0000C59D0000}"/>
    <cellStyle name="Note 4 2 2 4 4 2" xfId="40392" xr:uid="{00000000-0005-0000-0000-0000C69D0000}"/>
    <cellStyle name="Note 4 2 2 4 4 3" xfId="40393" xr:uid="{00000000-0005-0000-0000-0000C79D0000}"/>
    <cellStyle name="Note 4 2 2 4 4 4" xfId="40394" xr:uid="{00000000-0005-0000-0000-0000C89D0000}"/>
    <cellStyle name="Note 4 2 2 4 4 5" xfId="40395" xr:uid="{00000000-0005-0000-0000-0000C99D0000}"/>
    <cellStyle name="Note 4 2 2 4 4 6" xfId="40396" xr:uid="{00000000-0005-0000-0000-0000CA9D0000}"/>
    <cellStyle name="Note 4 2 2 4 5" xfId="40397" xr:uid="{00000000-0005-0000-0000-0000CB9D0000}"/>
    <cellStyle name="Note 4 2 2 4 6" xfId="40398" xr:uid="{00000000-0005-0000-0000-0000CC9D0000}"/>
    <cellStyle name="Note 4 2 2 4 7" xfId="40399" xr:uid="{00000000-0005-0000-0000-0000CD9D0000}"/>
    <cellStyle name="Note 4 2 2 4 8" xfId="40400" xr:uid="{00000000-0005-0000-0000-0000CE9D0000}"/>
    <cellStyle name="Note 4 2 2 5" xfId="40401" xr:uid="{00000000-0005-0000-0000-0000CF9D0000}"/>
    <cellStyle name="Note 4 2 2 5 2" xfId="40402" xr:uid="{00000000-0005-0000-0000-0000D09D0000}"/>
    <cellStyle name="Note 4 2 2 5 2 2" xfId="40403" xr:uid="{00000000-0005-0000-0000-0000D19D0000}"/>
    <cellStyle name="Note 4 2 2 5 2 2 2" xfId="40404" xr:uid="{00000000-0005-0000-0000-0000D29D0000}"/>
    <cellStyle name="Note 4 2 2 5 2 2 3" xfId="40405" xr:uid="{00000000-0005-0000-0000-0000D39D0000}"/>
    <cellStyle name="Note 4 2 2 5 2 2 4" xfId="40406" xr:uid="{00000000-0005-0000-0000-0000D49D0000}"/>
    <cellStyle name="Note 4 2 2 5 2 2 5" xfId="40407" xr:uid="{00000000-0005-0000-0000-0000D59D0000}"/>
    <cellStyle name="Note 4 2 2 5 2 2 6" xfId="40408" xr:uid="{00000000-0005-0000-0000-0000D69D0000}"/>
    <cellStyle name="Note 4 2 2 5 2 3" xfId="40409" xr:uid="{00000000-0005-0000-0000-0000D79D0000}"/>
    <cellStyle name="Note 4 2 2 5 2 4" xfId="40410" xr:uid="{00000000-0005-0000-0000-0000D89D0000}"/>
    <cellStyle name="Note 4 2 2 5 2 5" xfId="40411" xr:uid="{00000000-0005-0000-0000-0000D99D0000}"/>
    <cellStyle name="Note 4 2 2 5 2 6" xfId="40412" xr:uid="{00000000-0005-0000-0000-0000DA9D0000}"/>
    <cellStyle name="Note 4 2 2 5 3" xfId="40413" xr:uid="{00000000-0005-0000-0000-0000DB9D0000}"/>
    <cellStyle name="Note 4 2 2 5 3 2" xfId="40414" xr:uid="{00000000-0005-0000-0000-0000DC9D0000}"/>
    <cellStyle name="Note 4 2 2 5 3 2 2" xfId="40415" xr:uid="{00000000-0005-0000-0000-0000DD9D0000}"/>
    <cellStyle name="Note 4 2 2 5 3 2 3" xfId="40416" xr:uid="{00000000-0005-0000-0000-0000DE9D0000}"/>
    <cellStyle name="Note 4 2 2 5 3 2 4" xfId="40417" xr:uid="{00000000-0005-0000-0000-0000DF9D0000}"/>
    <cellStyle name="Note 4 2 2 5 3 2 5" xfId="40418" xr:uid="{00000000-0005-0000-0000-0000E09D0000}"/>
    <cellStyle name="Note 4 2 2 5 3 2 6" xfId="40419" xr:uid="{00000000-0005-0000-0000-0000E19D0000}"/>
    <cellStyle name="Note 4 2 2 5 3 3" xfId="40420" xr:uid="{00000000-0005-0000-0000-0000E29D0000}"/>
    <cellStyle name="Note 4 2 2 5 3 4" xfId="40421" xr:uid="{00000000-0005-0000-0000-0000E39D0000}"/>
    <cellStyle name="Note 4 2 2 5 3 5" xfId="40422" xr:uid="{00000000-0005-0000-0000-0000E49D0000}"/>
    <cellStyle name="Note 4 2 2 5 3 6" xfId="40423" xr:uid="{00000000-0005-0000-0000-0000E59D0000}"/>
    <cellStyle name="Note 4 2 2 5 4" xfId="40424" xr:uid="{00000000-0005-0000-0000-0000E69D0000}"/>
    <cellStyle name="Note 4 2 2 5 4 2" xfId="40425" xr:uid="{00000000-0005-0000-0000-0000E79D0000}"/>
    <cellStyle name="Note 4 2 2 5 4 3" xfId="40426" xr:uid="{00000000-0005-0000-0000-0000E89D0000}"/>
    <cellStyle name="Note 4 2 2 5 4 4" xfId="40427" xr:uid="{00000000-0005-0000-0000-0000E99D0000}"/>
    <cellStyle name="Note 4 2 2 5 4 5" xfId="40428" xr:uid="{00000000-0005-0000-0000-0000EA9D0000}"/>
    <cellStyle name="Note 4 2 2 5 4 6" xfId="40429" xr:uid="{00000000-0005-0000-0000-0000EB9D0000}"/>
    <cellStyle name="Note 4 2 2 5 5" xfId="40430" xr:uid="{00000000-0005-0000-0000-0000EC9D0000}"/>
    <cellStyle name="Note 4 2 2 5 6" xfId="40431" xr:uid="{00000000-0005-0000-0000-0000ED9D0000}"/>
    <cellStyle name="Note 4 2 2 5 7" xfId="40432" xr:uid="{00000000-0005-0000-0000-0000EE9D0000}"/>
    <cellStyle name="Note 4 2 2 5 8" xfId="40433" xr:uid="{00000000-0005-0000-0000-0000EF9D0000}"/>
    <cellStyle name="Note 4 2 2 6" xfId="40434" xr:uid="{00000000-0005-0000-0000-0000F09D0000}"/>
    <cellStyle name="Note 4 2 2 6 2" xfId="40435" xr:uid="{00000000-0005-0000-0000-0000F19D0000}"/>
    <cellStyle name="Note 4 2 2 6 2 2" xfId="40436" xr:uid="{00000000-0005-0000-0000-0000F29D0000}"/>
    <cellStyle name="Note 4 2 2 6 2 3" xfId="40437" xr:uid="{00000000-0005-0000-0000-0000F39D0000}"/>
    <cellStyle name="Note 4 2 2 6 2 4" xfId="40438" xr:uid="{00000000-0005-0000-0000-0000F49D0000}"/>
    <cellStyle name="Note 4 2 2 6 2 5" xfId="40439" xr:uid="{00000000-0005-0000-0000-0000F59D0000}"/>
    <cellStyle name="Note 4 2 2 6 2 6" xfId="40440" xr:uid="{00000000-0005-0000-0000-0000F69D0000}"/>
    <cellStyle name="Note 4 2 2 6 3" xfId="40441" xr:uid="{00000000-0005-0000-0000-0000F79D0000}"/>
    <cellStyle name="Note 4 2 2 6 4" xfId="40442" xr:uid="{00000000-0005-0000-0000-0000F89D0000}"/>
    <cellStyle name="Note 4 2 2 6 5" xfId="40443" xr:uid="{00000000-0005-0000-0000-0000F99D0000}"/>
    <cellStyle name="Note 4 2 2 6 6" xfId="40444" xr:uid="{00000000-0005-0000-0000-0000FA9D0000}"/>
    <cellStyle name="Note 4 2 2 7" xfId="40445" xr:uid="{00000000-0005-0000-0000-0000FB9D0000}"/>
    <cellStyle name="Note 4 2 2 7 2" xfId="40446" xr:uid="{00000000-0005-0000-0000-0000FC9D0000}"/>
    <cellStyle name="Note 4 2 2 7 2 2" xfId="40447" xr:uid="{00000000-0005-0000-0000-0000FD9D0000}"/>
    <cellStyle name="Note 4 2 2 7 2 3" xfId="40448" xr:uid="{00000000-0005-0000-0000-0000FE9D0000}"/>
    <cellStyle name="Note 4 2 2 7 2 4" xfId="40449" xr:uid="{00000000-0005-0000-0000-0000FF9D0000}"/>
    <cellStyle name="Note 4 2 2 7 2 5" xfId="40450" xr:uid="{00000000-0005-0000-0000-0000009E0000}"/>
    <cellStyle name="Note 4 2 2 7 2 6" xfId="40451" xr:uid="{00000000-0005-0000-0000-0000019E0000}"/>
    <cellStyle name="Note 4 2 2 7 3" xfId="40452" xr:uid="{00000000-0005-0000-0000-0000029E0000}"/>
    <cellStyle name="Note 4 2 2 7 4" xfId="40453" xr:uid="{00000000-0005-0000-0000-0000039E0000}"/>
    <cellStyle name="Note 4 2 2 7 5" xfId="40454" xr:uid="{00000000-0005-0000-0000-0000049E0000}"/>
    <cellStyle name="Note 4 2 2 7 6" xfId="40455" xr:uid="{00000000-0005-0000-0000-0000059E0000}"/>
    <cellStyle name="Note 4 2 2 8" xfId="40456" xr:uid="{00000000-0005-0000-0000-0000069E0000}"/>
    <cellStyle name="Note 4 2 2 8 2" xfId="40457" xr:uid="{00000000-0005-0000-0000-0000079E0000}"/>
    <cellStyle name="Note 4 2 2 8 3" xfId="40458" xr:uid="{00000000-0005-0000-0000-0000089E0000}"/>
    <cellStyle name="Note 4 2 2 8 4" xfId="40459" xr:uid="{00000000-0005-0000-0000-0000099E0000}"/>
    <cellStyle name="Note 4 2 2 8 5" xfId="40460" xr:uid="{00000000-0005-0000-0000-00000A9E0000}"/>
    <cellStyle name="Note 4 2 2 8 6" xfId="40461" xr:uid="{00000000-0005-0000-0000-00000B9E0000}"/>
    <cellStyle name="Note 4 2 2 9" xfId="40462" xr:uid="{00000000-0005-0000-0000-00000C9E0000}"/>
    <cellStyle name="Note 4 2 3" xfId="40463" xr:uid="{00000000-0005-0000-0000-00000D9E0000}"/>
    <cellStyle name="Note 4 2 3 2" xfId="40464" xr:uid="{00000000-0005-0000-0000-00000E9E0000}"/>
    <cellStyle name="Note 4 2 3 2 2" xfId="40465" xr:uid="{00000000-0005-0000-0000-00000F9E0000}"/>
    <cellStyle name="Note 4 2 3 2 2 2" xfId="40466" xr:uid="{00000000-0005-0000-0000-0000109E0000}"/>
    <cellStyle name="Note 4 2 3 2 2 3" xfId="40467" xr:uid="{00000000-0005-0000-0000-0000119E0000}"/>
    <cellStyle name="Note 4 2 3 2 2 4" xfId="40468" xr:uid="{00000000-0005-0000-0000-0000129E0000}"/>
    <cellStyle name="Note 4 2 3 2 2 5" xfId="40469" xr:uid="{00000000-0005-0000-0000-0000139E0000}"/>
    <cellStyle name="Note 4 2 3 2 2 6" xfId="40470" xr:uid="{00000000-0005-0000-0000-0000149E0000}"/>
    <cellStyle name="Note 4 2 3 2 3" xfId="40471" xr:uid="{00000000-0005-0000-0000-0000159E0000}"/>
    <cellStyle name="Note 4 2 3 2 4" xfId="40472" xr:uid="{00000000-0005-0000-0000-0000169E0000}"/>
    <cellStyle name="Note 4 2 3 2 5" xfId="40473" xr:uid="{00000000-0005-0000-0000-0000179E0000}"/>
    <cellStyle name="Note 4 2 3 2 6" xfId="40474" xr:uid="{00000000-0005-0000-0000-0000189E0000}"/>
    <cellStyle name="Note 4 2 3 3" xfId="40475" xr:uid="{00000000-0005-0000-0000-0000199E0000}"/>
    <cellStyle name="Note 4 2 3 3 2" xfId="40476" xr:uid="{00000000-0005-0000-0000-00001A9E0000}"/>
    <cellStyle name="Note 4 2 3 3 2 2" xfId="40477" xr:uid="{00000000-0005-0000-0000-00001B9E0000}"/>
    <cellStyle name="Note 4 2 3 3 2 3" xfId="40478" xr:uid="{00000000-0005-0000-0000-00001C9E0000}"/>
    <cellStyle name="Note 4 2 3 3 2 4" xfId="40479" xr:uid="{00000000-0005-0000-0000-00001D9E0000}"/>
    <cellStyle name="Note 4 2 3 3 2 5" xfId="40480" xr:uid="{00000000-0005-0000-0000-00001E9E0000}"/>
    <cellStyle name="Note 4 2 3 3 2 6" xfId="40481" xr:uid="{00000000-0005-0000-0000-00001F9E0000}"/>
    <cellStyle name="Note 4 2 3 3 3" xfId="40482" xr:uid="{00000000-0005-0000-0000-0000209E0000}"/>
    <cellStyle name="Note 4 2 3 3 4" xfId="40483" xr:uid="{00000000-0005-0000-0000-0000219E0000}"/>
    <cellStyle name="Note 4 2 3 3 5" xfId="40484" xr:uid="{00000000-0005-0000-0000-0000229E0000}"/>
    <cellStyle name="Note 4 2 3 3 6" xfId="40485" xr:uid="{00000000-0005-0000-0000-0000239E0000}"/>
    <cellStyle name="Note 4 2 3 4" xfId="40486" xr:uid="{00000000-0005-0000-0000-0000249E0000}"/>
    <cellStyle name="Note 4 2 3 4 2" xfId="40487" xr:uid="{00000000-0005-0000-0000-0000259E0000}"/>
    <cellStyle name="Note 4 2 3 4 3" xfId="40488" xr:uid="{00000000-0005-0000-0000-0000269E0000}"/>
    <cellStyle name="Note 4 2 3 4 4" xfId="40489" xr:uid="{00000000-0005-0000-0000-0000279E0000}"/>
    <cellStyle name="Note 4 2 3 4 5" xfId="40490" xr:uid="{00000000-0005-0000-0000-0000289E0000}"/>
    <cellStyle name="Note 4 2 3 4 6" xfId="40491" xr:uid="{00000000-0005-0000-0000-0000299E0000}"/>
    <cellStyle name="Note 4 2 3 5" xfId="40492" xr:uid="{00000000-0005-0000-0000-00002A9E0000}"/>
    <cellStyle name="Note 4 2 3 6" xfId="40493" xr:uid="{00000000-0005-0000-0000-00002B9E0000}"/>
    <cellStyle name="Note 4 2 3 7" xfId="40494" xr:uid="{00000000-0005-0000-0000-00002C9E0000}"/>
    <cellStyle name="Note 4 2 3 8" xfId="40495" xr:uid="{00000000-0005-0000-0000-00002D9E0000}"/>
    <cellStyle name="Note 4 2 4" xfId="40496" xr:uid="{00000000-0005-0000-0000-00002E9E0000}"/>
    <cellStyle name="Note 4 2 4 2" xfId="40497" xr:uid="{00000000-0005-0000-0000-00002F9E0000}"/>
    <cellStyle name="Note 4 2 4 2 2" xfId="40498" xr:uid="{00000000-0005-0000-0000-0000309E0000}"/>
    <cellStyle name="Note 4 2 4 2 2 2" xfId="40499" xr:uid="{00000000-0005-0000-0000-0000319E0000}"/>
    <cellStyle name="Note 4 2 4 2 2 3" xfId="40500" xr:uid="{00000000-0005-0000-0000-0000329E0000}"/>
    <cellStyle name="Note 4 2 4 2 2 4" xfId="40501" xr:uid="{00000000-0005-0000-0000-0000339E0000}"/>
    <cellStyle name="Note 4 2 4 2 2 5" xfId="40502" xr:uid="{00000000-0005-0000-0000-0000349E0000}"/>
    <cellStyle name="Note 4 2 4 2 2 6" xfId="40503" xr:uid="{00000000-0005-0000-0000-0000359E0000}"/>
    <cellStyle name="Note 4 2 4 2 3" xfId="40504" xr:uid="{00000000-0005-0000-0000-0000369E0000}"/>
    <cellStyle name="Note 4 2 4 2 4" xfId="40505" xr:uid="{00000000-0005-0000-0000-0000379E0000}"/>
    <cellStyle name="Note 4 2 4 2 5" xfId="40506" xr:uid="{00000000-0005-0000-0000-0000389E0000}"/>
    <cellStyle name="Note 4 2 4 2 6" xfId="40507" xr:uid="{00000000-0005-0000-0000-0000399E0000}"/>
    <cellStyle name="Note 4 2 4 3" xfId="40508" xr:uid="{00000000-0005-0000-0000-00003A9E0000}"/>
    <cellStyle name="Note 4 2 4 3 2" xfId="40509" xr:uid="{00000000-0005-0000-0000-00003B9E0000}"/>
    <cellStyle name="Note 4 2 4 3 2 2" xfId="40510" xr:uid="{00000000-0005-0000-0000-00003C9E0000}"/>
    <cellStyle name="Note 4 2 4 3 2 3" xfId="40511" xr:uid="{00000000-0005-0000-0000-00003D9E0000}"/>
    <cellStyle name="Note 4 2 4 3 2 4" xfId="40512" xr:uid="{00000000-0005-0000-0000-00003E9E0000}"/>
    <cellStyle name="Note 4 2 4 3 2 5" xfId="40513" xr:uid="{00000000-0005-0000-0000-00003F9E0000}"/>
    <cellStyle name="Note 4 2 4 3 2 6" xfId="40514" xr:uid="{00000000-0005-0000-0000-0000409E0000}"/>
    <cellStyle name="Note 4 2 4 3 3" xfId="40515" xr:uid="{00000000-0005-0000-0000-0000419E0000}"/>
    <cellStyle name="Note 4 2 4 3 4" xfId="40516" xr:uid="{00000000-0005-0000-0000-0000429E0000}"/>
    <cellStyle name="Note 4 2 4 3 5" xfId="40517" xr:uid="{00000000-0005-0000-0000-0000439E0000}"/>
    <cellStyle name="Note 4 2 4 3 6" xfId="40518" xr:uid="{00000000-0005-0000-0000-0000449E0000}"/>
    <cellStyle name="Note 4 2 4 4" xfId="40519" xr:uid="{00000000-0005-0000-0000-0000459E0000}"/>
    <cellStyle name="Note 4 2 4 4 2" xfId="40520" xr:uid="{00000000-0005-0000-0000-0000469E0000}"/>
    <cellStyle name="Note 4 2 4 4 3" xfId="40521" xr:uid="{00000000-0005-0000-0000-0000479E0000}"/>
    <cellStyle name="Note 4 2 4 4 4" xfId="40522" xr:uid="{00000000-0005-0000-0000-0000489E0000}"/>
    <cellStyle name="Note 4 2 4 4 5" xfId="40523" xr:uid="{00000000-0005-0000-0000-0000499E0000}"/>
    <cellStyle name="Note 4 2 4 4 6" xfId="40524" xr:uid="{00000000-0005-0000-0000-00004A9E0000}"/>
    <cellStyle name="Note 4 2 4 5" xfId="40525" xr:uid="{00000000-0005-0000-0000-00004B9E0000}"/>
    <cellStyle name="Note 4 2 4 6" xfId="40526" xr:uid="{00000000-0005-0000-0000-00004C9E0000}"/>
    <cellStyle name="Note 4 2 4 7" xfId="40527" xr:uid="{00000000-0005-0000-0000-00004D9E0000}"/>
    <cellStyle name="Note 4 2 4 8" xfId="40528" xr:uid="{00000000-0005-0000-0000-00004E9E0000}"/>
    <cellStyle name="Note 4 2 5" xfId="40529" xr:uid="{00000000-0005-0000-0000-00004F9E0000}"/>
    <cellStyle name="Note 4 2 5 2" xfId="40530" xr:uid="{00000000-0005-0000-0000-0000509E0000}"/>
    <cellStyle name="Note 4 2 5 2 2" xfId="40531" xr:uid="{00000000-0005-0000-0000-0000519E0000}"/>
    <cellStyle name="Note 4 2 5 2 2 2" xfId="40532" xr:uid="{00000000-0005-0000-0000-0000529E0000}"/>
    <cellStyle name="Note 4 2 5 2 2 3" xfId="40533" xr:uid="{00000000-0005-0000-0000-0000539E0000}"/>
    <cellStyle name="Note 4 2 5 2 2 4" xfId="40534" xr:uid="{00000000-0005-0000-0000-0000549E0000}"/>
    <cellStyle name="Note 4 2 5 2 2 5" xfId="40535" xr:uid="{00000000-0005-0000-0000-0000559E0000}"/>
    <cellStyle name="Note 4 2 5 2 2 6" xfId="40536" xr:uid="{00000000-0005-0000-0000-0000569E0000}"/>
    <cellStyle name="Note 4 2 5 2 3" xfId="40537" xr:uid="{00000000-0005-0000-0000-0000579E0000}"/>
    <cellStyle name="Note 4 2 5 2 4" xfId="40538" xr:uid="{00000000-0005-0000-0000-0000589E0000}"/>
    <cellStyle name="Note 4 2 5 2 5" xfId="40539" xr:uid="{00000000-0005-0000-0000-0000599E0000}"/>
    <cellStyle name="Note 4 2 5 2 6" xfId="40540" xr:uid="{00000000-0005-0000-0000-00005A9E0000}"/>
    <cellStyle name="Note 4 2 5 3" xfId="40541" xr:uid="{00000000-0005-0000-0000-00005B9E0000}"/>
    <cellStyle name="Note 4 2 5 3 2" xfId="40542" xr:uid="{00000000-0005-0000-0000-00005C9E0000}"/>
    <cellStyle name="Note 4 2 5 3 2 2" xfId="40543" xr:uid="{00000000-0005-0000-0000-00005D9E0000}"/>
    <cellStyle name="Note 4 2 5 3 2 3" xfId="40544" xr:uid="{00000000-0005-0000-0000-00005E9E0000}"/>
    <cellStyle name="Note 4 2 5 3 2 4" xfId="40545" xr:uid="{00000000-0005-0000-0000-00005F9E0000}"/>
    <cellStyle name="Note 4 2 5 3 2 5" xfId="40546" xr:uid="{00000000-0005-0000-0000-0000609E0000}"/>
    <cellStyle name="Note 4 2 5 3 2 6" xfId="40547" xr:uid="{00000000-0005-0000-0000-0000619E0000}"/>
    <cellStyle name="Note 4 2 5 3 3" xfId="40548" xr:uid="{00000000-0005-0000-0000-0000629E0000}"/>
    <cellStyle name="Note 4 2 5 3 4" xfId="40549" xr:uid="{00000000-0005-0000-0000-0000639E0000}"/>
    <cellStyle name="Note 4 2 5 3 5" xfId="40550" xr:uid="{00000000-0005-0000-0000-0000649E0000}"/>
    <cellStyle name="Note 4 2 5 3 6" xfId="40551" xr:uid="{00000000-0005-0000-0000-0000659E0000}"/>
    <cellStyle name="Note 4 2 5 4" xfId="40552" xr:uid="{00000000-0005-0000-0000-0000669E0000}"/>
    <cellStyle name="Note 4 2 5 4 2" xfId="40553" xr:uid="{00000000-0005-0000-0000-0000679E0000}"/>
    <cellStyle name="Note 4 2 5 4 3" xfId="40554" xr:uid="{00000000-0005-0000-0000-0000689E0000}"/>
    <cellStyle name="Note 4 2 5 4 4" xfId="40555" xr:uid="{00000000-0005-0000-0000-0000699E0000}"/>
    <cellStyle name="Note 4 2 5 4 5" xfId="40556" xr:uid="{00000000-0005-0000-0000-00006A9E0000}"/>
    <cellStyle name="Note 4 2 5 4 6" xfId="40557" xr:uid="{00000000-0005-0000-0000-00006B9E0000}"/>
    <cellStyle name="Note 4 2 5 5" xfId="40558" xr:uid="{00000000-0005-0000-0000-00006C9E0000}"/>
    <cellStyle name="Note 4 2 5 6" xfId="40559" xr:uid="{00000000-0005-0000-0000-00006D9E0000}"/>
    <cellStyle name="Note 4 2 5 7" xfId="40560" xr:uid="{00000000-0005-0000-0000-00006E9E0000}"/>
    <cellStyle name="Note 4 2 5 8" xfId="40561" xr:uid="{00000000-0005-0000-0000-00006F9E0000}"/>
    <cellStyle name="Note 4 2 6" xfId="40562" xr:uid="{00000000-0005-0000-0000-0000709E0000}"/>
    <cellStyle name="Note 4 2 6 2" xfId="40563" xr:uid="{00000000-0005-0000-0000-0000719E0000}"/>
    <cellStyle name="Note 4 2 6 2 2" xfId="40564" xr:uid="{00000000-0005-0000-0000-0000729E0000}"/>
    <cellStyle name="Note 4 2 6 2 2 2" xfId="40565" xr:uid="{00000000-0005-0000-0000-0000739E0000}"/>
    <cellStyle name="Note 4 2 6 2 2 3" xfId="40566" xr:uid="{00000000-0005-0000-0000-0000749E0000}"/>
    <cellStyle name="Note 4 2 6 2 2 4" xfId="40567" xr:uid="{00000000-0005-0000-0000-0000759E0000}"/>
    <cellStyle name="Note 4 2 6 2 2 5" xfId="40568" xr:uid="{00000000-0005-0000-0000-0000769E0000}"/>
    <cellStyle name="Note 4 2 6 2 2 6" xfId="40569" xr:uid="{00000000-0005-0000-0000-0000779E0000}"/>
    <cellStyle name="Note 4 2 6 2 3" xfId="40570" xr:uid="{00000000-0005-0000-0000-0000789E0000}"/>
    <cellStyle name="Note 4 2 6 2 4" xfId="40571" xr:uid="{00000000-0005-0000-0000-0000799E0000}"/>
    <cellStyle name="Note 4 2 6 2 5" xfId="40572" xr:uid="{00000000-0005-0000-0000-00007A9E0000}"/>
    <cellStyle name="Note 4 2 6 2 6" xfId="40573" xr:uid="{00000000-0005-0000-0000-00007B9E0000}"/>
    <cellStyle name="Note 4 2 6 3" xfId="40574" xr:uid="{00000000-0005-0000-0000-00007C9E0000}"/>
    <cellStyle name="Note 4 2 6 3 2" xfId="40575" xr:uid="{00000000-0005-0000-0000-00007D9E0000}"/>
    <cellStyle name="Note 4 2 6 3 2 2" xfId="40576" xr:uid="{00000000-0005-0000-0000-00007E9E0000}"/>
    <cellStyle name="Note 4 2 6 3 2 3" xfId="40577" xr:uid="{00000000-0005-0000-0000-00007F9E0000}"/>
    <cellStyle name="Note 4 2 6 3 2 4" xfId="40578" xr:uid="{00000000-0005-0000-0000-0000809E0000}"/>
    <cellStyle name="Note 4 2 6 3 2 5" xfId="40579" xr:uid="{00000000-0005-0000-0000-0000819E0000}"/>
    <cellStyle name="Note 4 2 6 3 2 6" xfId="40580" xr:uid="{00000000-0005-0000-0000-0000829E0000}"/>
    <cellStyle name="Note 4 2 6 3 3" xfId="40581" xr:uid="{00000000-0005-0000-0000-0000839E0000}"/>
    <cellStyle name="Note 4 2 6 3 4" xfId="40582" xr:uid="{00000000-0005-0000-0000-0000849E0000}"/>
    <cellStyle name="Note 4 2 6 3 5" xfId="40583" xr:uid="{00000000-0005-0000-0000-0000859E0000}"/>
    <cellStyle name="Note 4 2 6 3 6" xfId="40584" xr:uid="{00000000-0005-0000-0000-0000869E0000}"/>
    <cellStyle name="Note 4 2 6 4" xfId="40585" xr:uid="{00000000-0005-0000-0000-0000879E0000}"/>
    <cellStyle name="Note 4 2 6 4 2" xfId="40586" xr:uid="{00000000-0005-0000-0000-0000889E0000}"/>
    <cellStyle name="Note 4 2 6 4 3" xfId="40587" xr:uid="{00000000-0005-0000-0000-0000899E0000}"/>
    <cellStyle name="Note 4 2 6 4 4" xfId="40588" xr:uid="{00000000-0005-0000-0000-00008A9E0000}"/>
    <cellStyle name="Note 4 2 6 4 5" xfId="40589" xr:uid="{00000000-0005-0000-0000-00008B9E0000}"/>
    <cellStyle name="Note 4 2 6 4 6" xfId="40590" xr:uid="{00000000-0005-0000-0000-00008C9E0000}"/>
    <cellStyle name="Note 4 2 6 5" xfId="40591" xr:uid="{00000000-0005-0000-0000-00008D9E0000}"/>
    <cellStyle name="Note 4 2 6 6" xfId="40592" xr:uid="{00000000-0005-0000-0000-00008E9E0000}"/>
    <cellStyle name="Note 4 2 6 7" xfId="40593" xr:uid="{00000000-0005-0000-0000-00008F9E0000}"/>
    <cellStyle name="Note 4 2 6 8" xfId="40594" xr:uid="{00000000-0005-0000-0000-0000909E0000}"/>
    <cellStyle name="Note 4 2 7" xfId="40595" xr:uid="{00000000-0005-0000-0000-0000919E0000}"/>
    <cellStyle name="Note 4 2 7 2" xfId="40596" xr:uid="{00000000-0005-0000-0000-0000929E0000}"/>
    <cellStyle name="Note 4 2 7 2 2" xfId="40597" xr:uid="{00000000-0005-0000-0000-0000939E0000}"/>
    <cellStyle name="Note 4 2 7 2 2 2" xfId="40598" xr:uid="{00000000-0005-0000-0000-0000949E0000}"/>
    <cellStyle name="Note 4 2 7 2 2 3" xfId="40599" xr:uid="{00000000-0005-0000-0000-0000959E0000}"/>
    <cellStyle name="Note 4 2 7 2 2 4" xfId="40600" xr:uid="{00000000-0005-0000-0000-0000969E0000}"/>
    <cellStyle name="Note 4 2 7 2 2 5" xfId="40601" xr:uid="{00000000-0005-0000-0000-0000979E0000}"/>
    <cellStyle name="Note 4 2 7 2 2 6" xfId="40602" xr:uid="{00000000-0005-0000-0000-0000989E0000}"/>
    <cellStyle name="Note 4 2 7 2 3" xfId="40603" xr:uid="{00000000-0005-0000-0000-0000999E0000}"/>
    <cellStyle name="Note 4 2 7 2 4" xfId="40604" xr:uid="{00000000-0005-0000-0000-00009A9E0000}"/>
    <cellStyle name="Note 4 2 7 2 5" xfId="40605" xr:uid="{00000000-0005-0000-0000-00009B9E0000}"/>
    <cellStyle name="Note 4 2 7 2 6" xfId="40606" xr:uid="{00000000-0005-0000-0000-00009C9E0000}"/>
    <cellStyle name="Note 4 2 7 3" xfId="40607" xr:uid="{00000000-0005-0000-0000-00009D9E0000}"/>
    <cellStyle name="Note 4 2 7 3 2" xfId="40608" xr:uid="{00000000-0005-0000-0000-00009E9E0000}"/>
    <cellStyle name="Note 4 2 7 3 2 2" xfId="40609" xr:uid="{00000000-0005-0000-0000-00009F9E0000}"/>
    <cellStyle name="Note 4 2 7 3 2 3" xfId="40610" xr:uid="{00000000-0005-0000-0000-0000A09E0000}"/>
    <cellStyle name="Note 4 2 7 3 2 4" xfId="40611" xr:uid="{00000000-0005-0000-0000-0000A19E0000}"/>
    <cellStyle name="Note 4 2 7 3 2 5" xfId="40612" xr:uid="{00000000-0005-0000-0000-0000A29E0000}"/>
    <cellStyle name="Note 4 2 7 3 2 6" xfId="40613" xr:uid="{00000000-0005-0000-0000-0000A39E0000}"/>
    <cellStyle name="Note 4 2 7 3 3" xfId="40614" xr:uid="{00000000-0005-0000-0000-0000A49E0000}"/>
    <cellStyle name="Note 4 2 7 3 4" xfId="40615" xr:uid="{00000000-0005-0000-0000-0000A59E0000}"/>
    <cellStyle name="Note 4 2 7 3 5" xfId="40616" xr:uid="{00000000-0005-0000-0000-0000A69E0000}"/>
    <cellStyle name="Note 4 2 7 3 6" xfId="40617" xr:uid="{00000000-0005-0000-0000-0000A79E0000}"/>
    <cellStyle name="Note 4 2 7 4" xfId="40618" xr:uid="{00000000-0005-0000-0000-0000A89E0000}"/>
    <cellStyle name="Note 4 2 7 4 2" xfId="40619" xr:uid="{00000000-0005-0000-0000-0000A99E0000}"/>
    <cellStyle name="Note 4 2 7 4 3" xfId="40620" xr:uid="{00000000-0005-0000-0000-0000AA9E0000}"/>
    <cellStyle name="Note 4 2 7 4 4" xfId="40621" xr:uid="{00000000-0005-0000-0000-0000AB9E0000}"/>
    <cellStyle name="Note 4 2 7 4 5" xfId="40622" xr:uid="{00000000-0005-0000-0000-0000AC9E0000}"/>
    <cellStyle name="Note 4 2 7 4 6" xfId="40623" xr:uid="{00000000-0005-0000-0000-0000AD9E0000}"/>
    <cellStyle name="Note 4 2 7 5" xfId="40624" xr:uid="{00000000-0005-0000-0000-0000AE9E0000}"/>
    <cellStyle name="Note 4 2 7 6" xfId="40625" xr:uid="{00000000-0005-0000-0000-0000AF9E0000}"/>
    <cellStyle name="Note 4 2 7 7" xfId="40626" xr:uid="{00000000-0005-0000-0000-0000B09E0000}"/>
    <cellStyle name="Note 4 2 7 8" xfId="40627" xr:uid="{00000000-0005-0000-0000-0000B19E0000}"/>
    <cellStyle name="Note 4 2 8" xfId="40628" xr:uid="{00000000-0005-0000-0000-0000B29E0000}"/>
    <cellStyle name="Note 4 2 8 2" xfId="40629" xr:uid="{00000000-0005-0000-0000-0000B39E0000}"/>
    <cellStyle name="Note 4 2 8 2 2" xfId="40630" xr:uid="{00000000-0005-0000-0000-0000B49E0000}"/>
    <cellStyle name="Note 4 2 8 2 3" xfId="40631" xr:uid="{00000000-0005-0000-0000-0000B59E0000}"/>
    <cellStyle name="Note 4 2 8 2 4" xfId="40632" xr:uid="{00000000-0005-0000-0000-0000B69E0000}"/>
    <cellStyle name="Note 4 2 8 2 5" xfId="40633" xr:uid="{00000000-0005-0000-0000-0000B79E0000}"/>
    <cellStyle name="Note 4 2 8 2 6" xfId="40634" xr:uid="{00000000-0005-0000-0000-0000B89E0000}"/>
    <cellStyle name="Note 4 2 8 3" xfId="40635" xr:uid="{00000000-0005-0000-0000-0000B99E0000}"/>
    <cellStyle name="Note 4 2 8 4" xfId="40636" xr:uid="{00000000-0005-0000-0000-0000BA9E0000}"/>
    <cellStyle name="Note 4 2 8 5" xfId="40637" xr:uid="{00000000-0005-0000-0000-0000BB9E0000}"/>
    <cellStyle name="Note 4 2 8 6" xfId="40638" xr:uid="{00000000-0005-0000-0000-0000BC9E0000}"/>
    <cellStyle name="Note 4 2 9" xfId="40639" xr:uid="{00000000-0005-0000-0000-0000BD9E0000}"/>
    <cellStyle name="Note 4 2 9 2" xfId="40640" xr:uid="{00000000-0005-0000-0000-0000BE9E0000}"/>
    <cellStyle name="Note 4 2 9 2 2" xfId="40641" xr:uid="{00000000-0005-0000-0000-0000BF9E0000}"/>
    <cellStyle name="Note 4 2 9 2 3" xfId="40642" xr:uid="{00000000-0005-0000-0000-0000C09E0000}"/>
    <cellStyle name="Note 4 2 9 2 4" xfId="40643" xr:uid="{00000000-0005-0000-0000-0000C19E0000}"/>
    <cellStyle name="Note 4 2 9 2 5" xfId="40644" xr:uid="{00000000-0005-0000-0000-0000C29E0000}"/>
    <cellStyle name="Note 4 2 9 2 6" xfId="40645" xr:uid="{00000000-0005-0000-0000-0000C39E0000}"/>
    <cellStyle name="Note 4 2 9 3" xfId="40646" xr:uid="{00000000-0005-0000-0000-0000C49E0000}"/>
    <cellStyle name="Note 4 2 9 4" xfId="40647" xr:uid="{00000000-0005-0000-0000-0000C59E0000}"/>
    <cellStyle name="Note 4 2 9 5" xfId="40648" xr:uid="{00000000-0005-0000-0000-0000C69E0000}"/>
    <cellStyle name="Note 4 2 9 6" xfId="40649" xr:uid="{00000000-0005-0000-0000-0000C79E0000}"/>
    <cellStyle name="Note 4 3" xfId="40650" xr:uid="{00000000-0005-0000-0000-0000C89E0000}"/>
    <cellStyle name="Note 4 3 2" xfId="40651" xr:uid="{00000000-0005-0000-0000-0000C99E0000}"/>
    <cellStyle name="Note 4 3 2 2" xfId="40652" xr:uid="{00000000-0005-0000-0000-0000CA9E0000}"/>
    <cellStyle name="Note 4 3 2 2 2" xfId="40653" xr:uid="{00000000-0005-0000-0000-0000CB9E0000}"/>
    <cellStyle name="Note 4 3 2 2 3" xfId="40654" xr:uid="{00000000-0005-0000-0000-0000CC9E0000}"/>
    <cellStyle name="Note 4 3 2 2 4" xfId="40655" xr:uid="{00000000-0005-0000-0000-0000CD9E0000}"/>
    <cellStyle name="Note 4 3 2 2 5" xfId="40656" xr:uid="{00000000-0005-0000-0000-0000CE9E0000}"/>
    <cellStyle name="Note 4 3 2 2 6" xfId="40657" xr:uid="{00000000-0005-0000-0000-0000CF9E0000}"/>
    <cellStyle name="Note 4 3 2 3" xfId="40658" xr:uid="{00000000-0005-0000-0000-0000D09E0000}"/>
    <cellStyle name="Note 4 3 2 4" xfId="40659" xr:uid="{00000000-0005-0000-0000-0000D19E0000}"/>
    <cellStyle name="Note 4 3 2 5" xfId="40660" xr:uid="{00000000-0005-0000-0000-0000D29E0000}"/>
    <cellStyle name="Note 4 3 2 6" xfId="40661" xr:uid="{00000000-0005-0000-0000-0000D39E0000}"/>
    <cellStyle name="Note 4 3 3" xfId="40662" xr:uid="{00000000-0005-0000-0000-0000D49E0000}"/>
    <cellStyle name="Note 4 3 3 2" xfId="40663" xr:uid="{00000000-0005-0000-0000-0000D59E0000}"/>
    <cellStyle name="Note 4 3 3 2 2" xfId="40664" xr:uid="{00000000-0005-0000-0000-0000D69E0000}"/>
    <cellStyle name="Note 4 3 3 2 3" xfId="40665" xr:uid="{00000000-0005-0000-0000-0000D79E0000}"/>
    <cellStyle name="Note 4 3 3 2 4" xfId="40666" xr:uid="{00000000-0005-0000-0000-0000D89E0000}"/>
    <cellStyle name="Note 4 3 3 2 5" xfId="40667" xr:uid="{00000000-0005-0000-0000-0000D99E0000}"/>
    <cellStyle name="Note 4 3 3 2 6" xfId="40668" xr:uid="{00000000-0005-0000-0000-0000DA9E0000}"/>
    <cellStyle name="Note 4 3 3 3" xfId="40669" xr:uid="{00000000-0005-0000-0000-0000DB9E0000}"/>
    <cellStyle name="Note 4 3 3 4" xfId="40670" xr:uid="{00000000-0005-0000-0000-0000DC9E0000}"/>
    <cellStyle name="Note 4 3 3 5" xfId="40671" xr:uid="{00000000-0005-0000-0000-0000DD9E0000}"/>
    <cellStyle name="Note 4 3 3 6" xfId="40672" xr:uid="{00000000-0005-0000-0000-0000DE9E0000}"/>
    <cellStyle name="Note 4 3 4" xfId="40673" xr:uid="{00000000-0005-0000-0000-0000DF9E0000}"/>
    <cellStyle name="Note 4 3 4 2" xfId="40674" xr:uid="{00000000-0005-0000-0000-0000E09E0000}"/>
    <cellStyle name="Note 4 3 4 3" xfId="40675" xr:uid="{00000000-0005-0000-0000-0000E19E0000}"/>
    <cellStyle name="Note 4 3 4 4" xfId="40676" xr:uid="{00000000-0005-0000-0000-0000E29E0000}"/>
    <cellStyle name="Note 4 3 4 5" xfId="40677" xr:uid="{00000000-0005-0000-0000-0000E39E0000}"/>
    <cellStyle name="Note 4 3 4 6" xfId="40678" xr:uid="{00000000-0005-0000-0000-0000E49E0000}"/>
    <cellStyle name="Note 4 3 5" xfId="40679" xr:uid="{00000000-0005-0000-0000-0000E59E0000}"/>
    <cellStyle name="Note 4 3 6" xfId="40680" xr:uid="{00000000-0005-0000-0000-0000E69E0000}"/>
    <cellStyle name="Note 4 3 7" xfId="40681" xr:uid="{00000000-0005-0000-0000-0000E79E0000}"/>
    <cellStyle name="Note 4 3 8" xfId="40682" xr:uid="{00000000-0005-0000-0000-0000E89E0000}"/>
    <cellStyle name="Note 4 4" xfId="40683" xr:uid="{00000000-0005-0000-0000-0000E99E0000}"/>
    <cellStyle name="Note 4 4 2" xfId="40684" xr:uid="{00000000-0005-0000-0000-0000EA9E0000}"/>
    <cellStyle name="Note 4 4 2 2" xfId="40685" xr:uid="{00000000-0005-0000-0000-0000EB9E0000}"/>
    <cellStyle name="Note 4 4 2 2 2" xfId="40686" xr:uid="{00000000-0005-0000-0000-0000EC9E0000}"/>
    <cellStyle name="Note 4 4 2 2 3" xfId="40687" xr:uid="{00000000-0005-0000-0000-0000ED9E0000}"/>
    <cellStyle name="Note 4 4 2 2 4" xfId="40688" xr:uid="{00000000-0005-0000-0000-0000EE9E0000}"/>
    <cellStyle name="Note 4 4 2 2 5" xfId="40689" xr:uid="{00000000-0005-0000-0000-0000EF9E0000}"/>
    <cellStyle name="Note 4 4 2 2 6" xfId="40690" xr:uid="{00000000-0005-0000-0000-0000F09E0000}"/>
    <cellStyle name="Note 4 4 2 3" xfId="40691" xr:uid="{00000000-0005-0000-0000-0000F19E0000}"/>
    <cellStyle name="Note 4 4 2 4" xfId="40692" xr:uid="{00000000-0005-0000-0000-0000F29E0000}"/>
    <cellStyle name="Note 4 4 2 5" xfId="40693" xr:uid="{00000000-0005-0000-0000-0000F39E0000}"/>
    <cellStyle name="Note 4 4 2 6" xfId="40694" xr:uid="{00000000-0005-0000-0000-0000F49E0000}"/>
    <cellStyle name="Note 4 4 3" xfId="40695" xr:uid="{00000000-0005-0000-0000-0000F59E0000}"/>
    <cellStyle name="Note 4 4 3 2" xfId="40696" xr:uid="{00000000-0005-0000-0000-0000F69E0000}"/>
    <cellStyle name="Note 4 4 3 2 2" xfId="40697" xr:uid="{00000000-0005-0000-0000-0000F79E0000}"/>
    <cellStyle name="Note 4 4 3 2 3" xfId="40698" xr:uid="{00000000-0005-0000-0000-0000F89E0000}"/>
    <cellStyle name="Note 4 4 3 2 4" xfId="40699" xr:uid="{00000000-0005-0000-0000-0000F99E0000}"/>
    <cellStyle name="Note 4 4 3 2 5" xfId="40700" xr:uid="{00000000-0005-0000-0000-0000FA9E0000}"/>
    <cellStyle name="Note 4 4 3 2 6" xfId="40701" xr:uid="{00000000-0005-0000-0000-0000FB9E0000}"/>
    <cellStyle name="Note 4 4 3 3" xfId="40702" xr:uid="{00000000-0005-0000-0000-0000FC9E0000}"/>
    <cellStyle name="Note 4 4 3 4" xfId="40703" xr:uid="{00000000-0005-0000-0000-0000FD9E0000}"/>
    <cellStyle name="Note 4 4 3 5" xfId="40704" xr:uid="{00000000-0005-0000-0000-0000FE9E0000}"/>
    <cellStyle name="Note 4 4 3 6" xfId="40705" xr:uid="{00000000-0005-0000-0000-0000FF9E0000}"/>
    <cellStyle name="Note 4 4 4" xfId="40706" xr:uid="{00000000-0005-0000-0000-0000009F0000}"/>
    <cellStyle name="Note 4 4 4 2" xfId="40707" xr:uid="{00000000-0005-0000-0000-0000019F0000}"/>
    <cellStyle name="Note 4 4 4 3" xfId="40708" xr:uid="{00000000-0005-0000-0000-0000029F0000}"/>
    <cellStyle name="Note 4 4 4 4" xfId="40709" xr:uid="{00000000-0005-0000-0000-0000039F0000}"/>
    <cellStyle name="Note 4 4 4 5" xfId="40710" xr:uid="{00000000-0005-0000-0000-0000049F0000}"/>
    <cellStyle name="Note 4 4 4 6" xfId="40711" xr:uid="{00000000-0005-0000-0000-0000059F0000}"/>
    <cellStyle name="Note 4 4 5" xfId="40712" xr:uid="{00000000-0005-0000-0000-0000069F0000}"/>
    <cellStyle name="Note 4 4 6" xfId="40713" xr:uid="{00000000-0005-0000-0000-0000079F0000}"/>
    <cellStyle name="Note 4 4 7" xfId="40714" xr:uid="{00000000-0005-0000-0000-0000089F0000}"/>
    <cellStyle name="Note 4 4 8" xfId="40715" xr:uid="{00000000-0005-0000-0000-0000099F0000}"/>
    <cellStyle name="Note 4 5" xfId="40716" xr:uid="{00000000-0005-0000-0000-00000A9F0000}"/>
    <cellStyle name="Note 4 5 2" xfId="40717" xr:uid="{00000000-0005-0000-0000-00000B9F0000}"/>
    <cellStyle name="Note 4 5 3" xfId="40718" xr:uid="{00000000-0005-0000-0000-00000C9F0000}"/>
    <cellStyle name="Note 4 5 4" xfId="40719" xr:uid="{00000000-0005-0000-0000-00000D9F0000}"/>
    <cellStyle name="Note 4 5 5" xfId="40720" xr:uid="{00000000-0005-0000-0000-00000E9F0000}"/>
    <cellStyle name="Note 4 5 6" xfId="40721" xr:uid="{00000000-0005-0000-0000-00000F9F0000}"/>
    <cellStyle name="Note 4 6" xfId="40722" xr:uid="{00000000-0005-0000-0000-0000109F0000}"/>
    <cellStyle name="Note 4 7" xfId="40723" xr:uid="{00000000-0005-0000-0000-0000119F0000}"/>
    <cellStyle name="Note 4 8" xfId="40724" xr:uid="{00000000-0005-0000-0000-0000129F0000}"/>
    <cellStyle name="Note 4 9" xfId="40725" xr:uid="{00000000-0005-0000-0000-0000139F0000}"/>
    <cellStyle name="Note 5" xfId="40726" xr:uid="{00000000-0005-0000-0000-0000149F0000}"/>
    <cellStyle name="Note 5 2" xfId="40727" xr:uid="{00000000-0005-0000-0000-0000159F0000}"/>
    <cellStyle name="Note 5 3" xfId="40728" xr:uid="{00000000-0005-0000-0000-0000169F0000}"/>
    <cellStyle name="Number_A" xfId="40729" xr:uid="{00000000-0005-0000-0000-0000179F0000}"/>
    <cellStyle name="numbtext" xfId="40730" xr:uid="{00000000-0005-0000-0000-0000189F0000}"/>
    <cellStyle name="NumColmHd" xfId="40731" xr:uid="{00000000-0005-0000-0000-0000199F0000}"/>
    <cellStyle name="Output 2" xfId="40732" xr:uid="{00000000-0005-0000-0000-00001A9F0000}"/>
    <cellStyle name="Output 2 10" xfId="40733" xr:uid="{00000000-0005-0000-0000-00001B9F0000}"/>
    <cellStyle name="Output 2 10 2" xfId="40734" xr:uid="{00000000-0005-0000-0000-00001C9F0000}"/>
    <cellStyle name="Output 2 10 2 2" xfId="40735" xr:uid="{00000000-0005-0000-0000-00001D9F0000}"/>
    <cellStyle name="Output 2 10 2 3" xfId="40736" xr:uid="{00000000-0005-0000-0000-00001E9F0000}"/>
    <cellStyle name="Output 2 10 2 4" xfId="40737" xr:uid="{00000000-0005-0000-0000-00001F9F0000}"/>
    <cellStyle name="Output 2 10 2 5" xfId="40738" xr:uid="{00000000-0005-0000-0000-0000209F0000}"/>
    <cellStyle name="Output 2 10 3" xfId="40739" xr:uid="{00000000-0005-0000-0000-0000219F0000}"/>
    <cellStyle name="Output 2 10 4" xfId="40740" xr:uid="{00000000-0005-0000-0000-0000229F0000}"/>
    <cellStyle name="Output 2 10 5" xfId="40741" xr:uid="{00000000-0005-0000-0000-0000239F0000}"/>
    <cellStyle name="Output 2 10 6" xfId="40742" xr:uid="{00000000-0005-0000-0000-0000249F0000}"/>
    <cellStyle name="Output 2 11" xfId="40743" xr:uid="{00000000-0005-0000-0000-0000259F0000}"/>
    <cellStyle name="Output 2 11 2" xfId="40744" xr:uid="{00000000-0005-0000-0000-0000269F0000}"/>
    <cellStyle name="Output 2 11 2 2" xfId="40745" xr:uid="{00000000-0005-0000-0000-0000279F0000}"/>
    <cellStyle name="Output 2 11 2 3" xfId="40746" xr:uid="{00000000-0005-0000-0000-0000289F0000}"/>
    <cellStyle name="Output 2 11 2 4" xfId="40747" xr:uid="{00000000-0005-0000-0000-0000299F0000}"/>
    <cellStyle name="Output 2 11 2 5" xfId="40748" xr:uid="{00000000-0005-0000-0000-00002A9F0000}"/>
    <cellStyle name="Output 2 11 3" xfId="40749" xr:uid="{00000000-0005-0000-0000-00002B9F0000}"/>
    <cellStyle name="Output 2 11 4" xfId="40750" xr:uid="{00000000-0005-0000-0000-00002C9F0000}"/>
    <cellStyle name="Output 2 11 5" xfId="40751" xr:uid="{00000000-0005-0000-0000-00002D9F0000}"/>
    <cellStyle name="Output 2 11 6" xfId="40752" xr:uid="{00000000-0005-0000-0000-00002E9F0000}"/>
    <cellStyle name="Output 2 12" xfId="40753" xr:uid="{00000000-0005-0000-0000-00002F9F0000}"/>
    <cellStyle name="Output 2 12 2" xfId="40754" xr:uid="{00000000-0005-0000-0000-0000309F0000}"/>
    <cellStyle name="Output 2 12 2 2" xfId="40755" xr:uid="{00000000-0005-0000-0000-0000319F0000}"/>
    <cellStyle name="Output 2 12 2 3" xfId="40756" xr:uid="{00000000-0005-0000-0000-0000329F0000}"/>
    <cellStyle name="Output 2 12 2 4" xfId="40757" xr:uid="{00000000-0005-0000-0000-0000339F0000}"/>
    <cellStyle name="Output 2 12 2 5" xfId="40758" xr:uid="{00000000-0005-0000-0000-0000349F0000}"/>
    <cellStyle name="Output 2 12 3" xfId="40759" xr:uid="{00000000-0005-0000-0000-0000359F0000}"/>
    <cellStyle name="Output 2 12 4" xfId="40760" xr:uid="{00000000-0005-0000-0000-0000369F0000}"/>
    <cellStyle name="Output 2 12 5" xfId="40761" xr:uid="{00000000-0005-0000-0000-0000379F0000}"/>
    <cellStyle name="Output 2 12 6" xfId="40762" xr:uid="{00000000-0005-0000-0000-0000389F0000}"/>
    <cellStyle name="Output 2 13" xfId="40763" xr:uid="{00000000-0005-0000-0000-0000399F0000}"/>
    <cellStyle name="Output 2 13 2" xfId="40764" xr:uid="{00000000-0005-0000-0000-00003A9F0000}"/>
    <cellStyle name="Output 2 13 2 2" xfId="40765" xr:uid="{00000000-0005-0000-0000-00003B9F0000}"/>
    <cellStyle name="Output 2 13 2 3" xfId="40766" xr:uid="{00000000-0005-0000-0000-00003C9F0000}"/>
    <cellStyle name="Output 2 13 2 4" xfId="40767" xr:uid="{00000000-0005-0000-0000-00003D9F0000}"/>
    <cellStyle name="Output 2 13 2 5" xfId="40768" xr:uid="{00000000-0005-0000-0000-00003E9F0000}"/>
    <cellStyle name="Output 2 13 3" xfId="40769" xr:uid="{00000000-0005-0000-0000-00003F9F0000}"/>
    <cellStyle name="Output 2 13 4" xfId="40770" xr:uid="{00000000-0005-0000-0000-0000409F0000}"/>
    <cellStyle name="Output 2 13 5" xfId="40771" xr:uid="{00000000-0005-0000-0000-0000419F0000}"/>
    <cellStyle name="Output 2 13 6" xfId="40772" xr:uid="{00000000-0005-0000-0000-0000429F0000}"/>
    <cellStyle name="Output 2 14" xfId="40773" xr:uid="{00000000-0005-0000-0000-0000439F0000}"/>
    <cellStyle name="Output 2 14 2" xfId="40774" xr:uid="{00000000-0005-0000-0000-0000449F0000}"/>
    <cellStyle name="Output 2 14 2 2" xfId="40775" xr:uid="{00000000-0005-0000-0000-0000459F0000}"/>
    <cellStyle name="Output 2 14 2 3" xfId="40776" xr:uid="{00000000-0005-0000-0000-0000469F0000}"/>
    <cellStyle name="Output 2 14 2 4" xfId="40777" xr:uid="{00000000-0005-0000-0000-0000479F0000}"/>
    <cellStyle name="Output 2 14 2 5" xfId="40778" xr:uid="{00000000-0005-0000-0000-0000489F0000}"/>
    <cellStyle name="Output 2 14 3" xfId="40779" xr:uid="{00000000-0005-0000-0000-0000499F0000}"/>
    <cellStyle name="Output 2 14 4" xfId="40780" xr:uid="{00000000-0005-0000-0000-00004A9F0000}"/>
    <cellStyle name="Output 2 14 5" xfId="40781" xr:uid="{00000000-0005-0000-0000-00004B9F0000}"/>
    <cellStyle name="Output 2 14 6" xfId="40782" xr:uid="{00000000-0005-0000-0000-00004C9F0000}"/>
    <cellStyle name="Output 2 15" xfId="40783" xr:uid="{00000000-0005-0000-0000-00004D9F0000}"/>
    <cellStyle name="Output 2 15 2" xfId="40784" xr:uid="{00000000-0005-0000-0000-00004E9F0000}"/>
    <cellStyle name="Output 2 15 2 2" xfId="40785" xr:uid="{00000000-0005-0000-0000-00004F9F0000}"/>
    <cellStyle name="Output 2 15 2 3" xfId="40786" xr:uid="{00000000-0005-0000-0000-0000509F0000}"/>
    <cellStyle name="Output 2 15 2 4" xfId="40787" xr:uid="{00000000-0005-0000-0000-0000519F0000}"/>
    <cellStyle name="Output 2 15 2 5" xfId="40788" xr:uid="{00000000-0005-0000-0000-0000529F0000}"/>
    <cellStyle name="Output 2 15 3" xfId="40789" xr:uid="{00000000-0005-0000-0000-0000539F0000}"/>
    <cellStyle name="Output 2 15 4" xfId="40790" xr:uid="{00000000-0005-0000-0000-0000549F0000}"/>
    <cellStyle name="Output 2 15 5" xfId="40791" xr:uid="{00000000-0005-0000-0000-0000559F0000}"/>
    <cellStyle name="Output 2 15 6" xfId="40792" xr:uid="{00000000-0005-0000-0000-0000569F0000}"/>
    <cellStyle name="Output 2 16" xfId="40793" xr:uid="{00000000-0005-0000-0000-0000579F0000}"/>
    <cellStyle name="Output 2 16 2" xfId="40794" xr:uid="{00000000-0005-0000-0000-0000589F0000}"/>
    <cellStyle name="Output 2 16 2 2" xfId="40795" xr:uid="{00000000-0005-0000-0000-0000599F0000}"/>
    <cellStyle name="Output 2 16 2 3" xfId="40796" xr:uid="{00000000-0005-0000-0000-00005A9F0000}"/>
    <cellStyle name="Output 2 16 2 4" xfId="40797" xr:uid="{00000000-0005-0000-0000-00005B9F0000}"/>
    <cellStyle name="Output 2 16 2 5" xfId="40798" xr:uid="{00000000-0005-0000-0000-00005C9F0000}"/>
    <cellStyle name="Output 2 16 3" xfId="40799" xr:uid="{00000000-0005-0000-0000-00005D9F0000}"/>
    <cellStyle name="Output 2 16 4" xfId="40800" xr:uid="{00000000-0005-0000-0000-00005E9F0000}"/>
    <cellStyle name="Output 2 16 5" xfId="40801" xr:uid="{00000000-0005-0000-0000-00005F9F0000}"/>
    <cellStyle name="Output 2 16 6" xfId="40802" xr:uid="{00000000-0005-0000-0000-0000609F0000}"/>
    <cellStyle name="Output 2 17" xfId="40803" xr:uid="{00000000-0005-0000-0000-0000619F0000}"/>
    <cellStyle name="Output 2 17 2" xfId="40804" xr:uid="{00000000-0005-0000-0000-0000629F0000}"/>
    <cellStyle name="Output 2 17 2 2" xfId="40805" xr:uid="{00000000-0005-0000-0000-0000639F0000}"/>
    <cellStyle name="Output 2 17 2 3" xfId="40806" xr:uid="{00000000-0005-0000-0000-0000649F0000}"/>
    <cellStyle name="Output 2 17 2 4" xfId="40807" xr:uid="{00000000-0005-0000-0000-0000659F0000}"/>
    <cellStyle name="Output 2 17 2 5" xfId="40808" xr:uid="{00000000-0005-0000-0000-0000669F0000}"/>
    <cellStyle name="Output 2 17 3" xfId="40809" xr:uid="{00000000-0005-0000-0000-0000679F0000}"/>
    <cellStyle name="Output 2 17 4" xfId="40810" xr:uid="{00000000-0005-0000-0000-0000689F0000}"/>
    <cellStyle name="Output 2 17 5" xfId="40811" xr:uid="{00000000-0005-0000-0000-0000699F0000}"/>
    <cellStyle name="Output 2 17 6" xfId="40812" xr:uid="{00000000-0005-0000-0000-00006A9F0000}"/>
    <cellStyle name="Output 2 18" xfId="40813" xr:uid="{00000000-0005-0000-0000-00006B9F0000}"/>
    <cellStyle name="Output 2 18 2" xfId="40814" xr:uid="{00000000-0005-0000-0000-00006C9F0000}"/>
    <cellStyle name="Output 2 18 2 2" xfId="40815" xr:uid="{00000000-0005-0000-0000-00006D9F0000}"/>
    <cellStyle name="Output 2 18 2 3" xfId="40816" xr:uid="{00000000-0005-0000-0000-00006E9F0000}"/>
    <cellStyle name="Output 2 18 2 4" xfId="40817" xr:uid="{00000000-0005-0000-0000-00006F9F0000}"/>
    <cellStyle name="Output 2 18 2 5" xfId="40818" xr:uid="{00000000-0005-0000-0000-0000709F0000}"/>
    <cellStyle name="Output 2 18 3" xfId="40819" xr:uid="{00000000-0005-0000-0000-0000719F0000}"/>
    <cellStyle name="Output 2 18 4" xfId="40820" xr:uid="{00000000-0005-0000-0000-0000729F0000}"/>
    <cellStyle name="Output 2 18 5" xfId="40821" xr:uid="{00000000-0005-0000-0000-0000739F0000}"/>
    <cellStyle name="Output 2 18 6" xfId="40822" xr:uid="{00000000-0005-0000-0000-0000749F0000}"/>
    <cellStyle name="Output 2 19" xfId="40823" xr:uid="{00000000-0005-0000-0000-0000759F0000}"/>
    <cellStyle name="Output 2 19 2" xfId="40824" xr:uid="{00000000-0005-0000-0000-0000769F0000}"/>
    <cellStyle name="Output 2 19 2 2" xfId="40825" xr:uid="{00000000-0005-0000-0000-0000779F0000}"/>
    <cellStyle name="Output 2 19 2 3" xfId="40826" xr:uid="{00000000-0005-0000-0000-0000789F0000}"/>
    <cellStyle name="Output 2 19 2 4" xfId="40827" xr:uid="{00000000-0005-0000-0000-0000799F0000}"/>
    <cellStyle name="Output 2 19 2 5" xfId="40828" xr:uid="{00000000-0005-0000-0000-00007A9F0000}"/>
    <cellStyle name="Output 2 19 3" xfId="40829" xr:uid="{00000000-0005-0000-0000-00007B9F0000}"/>
    <cellStyle name="Output 2 19 4" xfId="40830" xr:uid="{00000000-0005-0000-0000-00007C9F0000}"/>
    <cellStyle name="Output 2 19 5" xfId="40831" xr:uid="{00000000-0005-0000-0000-00007D9F0000}"/>
    <cellStyle name="Output 2 19 6" xfId="40832" xr:uid="{00000000-0005-0000-0000-00007E9F0000}"/>
    <cellStyle name="Output 2 2" xfId="40833" xr:uid="{00000000-0005-0000-0000-00007F9F0000}"/>
    <cellStyle name="Output 2 2 10" xfId="40834" xr:uid="{00000000-0005-0000-0000-0000809F0000}"/>
    <cellStyle name="Output 2 2 10 2" xfId="40835" xr:uid="{00000000-0005-0000-0000-0000819F0000}"/>
    <cellStyle name="Output 2 2 10 2 2" xfId="40836" xr:uid="{00000000-0005-0000-0000-0000829F0000}"/>
    <cellStyle name="Output 2 2 10 2 3" xfId="40837" xr:uid="{00000000-0005-0000-0000-0000839F0000}"/>
    <cellStyle name="Output 2 2 10 2 4" xfId="40838" xr:uid="{00000000-0005-0000-0000-0000849F0000}"/>
    <cellStyle name="Output 2 2 10 2 5" xfId="40839" xr:uid="{00000000-0005-0000-0000-0000859F0000}"/>
    <cellStyle name="Output 2 2 10 3" xfId="40840" xr:uid="{00000000-0005-0000-0000-0000869F0000}"/>
    <cellStyle name="Output 2 2 10 4" xfId="40841" xr:uid="{00000000-0005-0000-0000-0000879F0000}"/>
    <cellStyle name="Output 2 2 10 5" xfId="40842" xr:uid="{00000000-0005-0000-0000-0000889F0000}"/>
    <cellStyle name="Output 2 2 10 6" xfId="40843" xr:uid="{00000000-0005-0000-0000-0000899F0000}"/>
    <cellStyle name="Output 2 2 11" xfId="40844" xr:uid="{00000000-0005-0000-0000-00008A9F0000}"/>
    <cellStyle name="Output 2 2 11 2" xfId="40845" xr:uid="{00000000-0005-0000-0000-00008B9F0000}"/>
    <cellStyle name="Output 2 2 11 2 2" xfId="40846" xr:uid="{00000000-0005-0000-0000-00008C9F0000}"/>
    <cellStyle name="Output 2 2 11 2 3" xfId="40847" xr:uid="{00000000-0005-0000-0000-00008D9F0000}"/>
    <cellStyle name="Output 2 2 11 2 4" xfId="40848" xr:uid="{00000000-0005-0000-0000-00008E9F0000}"/>
    <cellStyle name="Output 2 2 11 2 5" xfId="40849" xr:uid="{00000000-0005-0000-0000-00008F9F0000}"/>
    <cellStyle name="Output 2 2 11 3" xfId="40850" xr:uid="{00000000-0005-0000-0000-0000909F0000}"/>
    <cellStyle name="Output 2 2 11 4" xfId="40851" xr:uid="{00000000-0005-0000-0000-0000919F0000}"/>
    <cellStyle name="Output 2 2 11 5" xfId="40852" xr:uid="{00000000-0005-0000-0000-0000929F0000}"/>
    <cellStyle name="Output 2 2 11 6" xfId="40853" xr:uid="{00000000-0005-0000-0000-0000939F0000}"/>
    <cellStyle name="Output 2 2 12" xfId="40854" xr:uid="{00000000-0005-0000-0000-0000949F0000}"/>
    <cellStyle name="Output 2 2 12 2" xfId="40855" xr:uid="{00000000-0005-0000-0000-0000959F0000}"/>
    <cellStyle name="Output 2 2 12 2 2" xfId="40856" xr:uid="{00000000-0005-0000-0000-0000969F0000}"/>
    <cellStyle name="Output 2 2 12 2 3" xfId="40857" xr:uid="{00000000-0005-0000-0000-0000979F0000}"/>
    <cellStyle name="Output 2 2 12 2 4" xfId="40858" xr:uid="{00000000-0005-0000-0000-0000989F0000}"/>
    <cellStyle name="Output 2 2 12 2 5" xfId="40859" xr:uid="{00000000-0005-0000-0000-0000999F0000}"/>
    <cellStyle name="Output 2 2 12 3" xfId="40860" xr:uid="{00000000-0005-0000-0000-00009A9F0000}"/>
    <cellStyle name="Output 2 2 12 4" xfId="40861" xr:uid="{00000000-0005-0000-0000-00009B9F0000}"/>
    <cellStyle name="Output 2 2 12 5" xfId="40862" xr:uid="{00000000-0005-0000-0000-00009C9F0000}"/>
    <cellStyle name="Output 2 2 12 6" xfId="40863" xr:uid="{00000000-0005-0000-0000-00009D9F0000}"/>
    <cellStyle name="Output 2 2 13" xfId="40864" xr:uid="{00000000-0005-0000-0000-00009E9F0000}"/>
    <cellStyle name="Output 2 2 13 2" xfId="40865" xr:uid="{00000000-0005-0000-0000-00009F9F0000}"/>
    <cellStyle name="Output 2 2 13 2 2" xfId="40866" xr:uid="{00000000-0005-0000-0000-0000A09F0000}"/>
    <cellStyle name="Output 2 2 13 2 3" xfId="40867" xr:uid="{00000000-0005-0000-0000-0000A19F0000}"/>
    <cellStyle name="Output 2 2 13 2 4" xfId="40868" xr:uid="{00000000-0005-0000-0000-0000A29F0000}"/>
    <cellStyle name="Output 2 2 13 2 5" xfId="40869" xr:uid="{00000000-0005-0000-0000-0000A39F0000}"/>
    <cellStyle name="Output 2 2 13 3" xfId="40870" xr:uid="{00000000-0005-0000-0000-0000A49F0000}"/>
    <cellStyle name="Output 2 2 13 4" xfId="40871" xr:uid="{00000000-0005-0000-0000-0000A59F0000}"/>
    <cellStyle name="Output 2 2 13 5" xfId="40872" xr:uid="{00000000-0005-0000-0000-0000A69F0000}"/>
    <cellStyle name="Output 2 2 13 6" xfId="40873" xr:uid="{00000000-0005-0000-0000-0000A79F0000}"/>
    <cellStyle name="Output 2 2 14" xfId="40874" xr:uid="{00000000-0005-0000-0000-0000A89F0000}"/>
    <cellStyle name="Output 2 2 14 2" xfId="40875" xr:uid="{00000000-0005-0000-0000-0000A99F0000}"/>
    <cellStyle name="Output 2 2 14 2 2" xfId="40876" xr:uid="{00000000-0005-0000-0000-0000AA9F0000}"/>
    <cellStyle name="Output 2 2 14 2 3" xfId="40877" xr:uid="{00000000-0005-0000-0000-0000AB9F0000}"/>
    <cellStyle name="Output 2 2 14 2 4" xfId="40878" xr:uid="{00000000-0005-0000-0000-0000AC9F0000}"/>
    <cellStyle name="Output 2 2 14 2 5" xfId="40879" xr:uid="{00000000-0005-0000-0000-0000AD9F0000}"/>
    <cellStyle name="Output 2 2 14 3" xfId="40880" xr:uid="{00000000-0005-0000-0000-0000AE9F0000}"/>
    <cellStyle name="Output 2 2 14 4" xfId="40881" xr:uid="{00000000-0005-0000-0000-0000AF9F0000}"/>
    <cellStyle name="Output 2 2 14 5" xfId="40882" xr:uid="{00000000-0005-0000-0000-0000B09F0000}"/>
    <cellStyle name="Output 2 2 14 6" xfId="40883" xr:uid="{00000000-0005-0000-0000-0000B19F0000}"/>
    <cellStyle name="Output 2 2 15" xfId="40884" xr:uid="{00000000-0005-0000-0000-0000B29F0000}"/>
    <cellStyle name="Output 2 2 15 2" xfId="40885" xr:uid="{00000000-0005-0000-0000-0000B39F0000}"/>
    <cellStyle name="Output 2 2 15 2 2" xfId="40886" xr:uid="{00000000-0005-0000-0000-0000B49F0000}"/>
    <cellStyle name="Output 2 2 15 2 3" xfId="40887" xr:uid="{00000000-0005-0000-0000-0000B59F0000}"/>
    <cellStyle name="Output 2 2 15 2 4" xfId="40888" xr:uid="{00000000-0005-0000-0000-0000B69F0000}"/>
    <cellStyle name="Output 2 2 15 2 5" xfId="40889" xr:uid="{00000000-0005-0000-0000-0000B79F0000}"/>
    <cellStyle name="Output 2 2 15 3" xfId="40890" xr:uid="{00000000-0005-0000-0000-0000B89F0000}"/>
    <cellStyle name="Output 2 2 15 4" xfId="40891" xr:uid="{00000000-0005-0000-0000-0000B99F0000}"/>
    <cellStyle name="Output 2 2 15 5" xfId="40892" xr:uid="{00000000-0005-0000-0000-0000BA9F0000}"/>
    <cellStyle name="Output 2 2 15 6" xfId="40893" xr:uid="{00000000-0005-0000-0000-0000BB9F0000}"/>
    <cellStyle name="Output 2 2 16" xfId="40894" xr:uid="{00000000-0005-0000-0000-0000BC9F0000}"/>
    <cellStyle name="Output 2 2 16 2" xfId="40895" xr:uid="{00000000-0005-0000-0000-0000BD9F0000}"/>
    <cellStyle name="Output 2 2 16 2 2" xfId="40896" xr:uid="{00000000-0005-0000-0000-0000BE9F0000}"/>
    <cellStyle name="Output 2 2 16 2 3" xfId="40897" xr:uid="{00000000-0005-0000-0000-0000BF9F0000}"/>
    <cellStyle name="Output 2 2 16 2 4" xfId="40898" xr:uid="{00000000-0005-0000-0000-0000C09F0000}"/>
    <cellStyle name="Output 2 2 16 2 5" xfId="40899" xr:uid="{00000000-0005-0000-0000-0000C19F0000}"/>
    <cellStyle name="Output 2 2 16 3" xfId="40900" xr:uid="{00000000-0005-0000-0000-0000C29F0000}"/>
    <cellStyle name="Output 2 2 16 4" xfId="40901" xr:uid="{00000000-0005-0000-0000-0000C39F0000}"/>
    <cellStyle name="Output 2 2 16 5" xfId="40902" xr:uid="{00000000-0005-0000-0000-0000C49F0000}"/>
    <cellStyle name="Output 2 2 16 6" xfId="40903" xr:uid="{00000000-0005-0000-0000-0000C59F0000}"/>
    <cellStyle name="Output 2 2 17" xfId="40904" xr:uid="{00000000-0005-0000-0000-0000C69F0000}"/>
    <cellStyle name="Output 2 2 17 2" xfId="40905" xr:uid="{00000000-0005-0000-0000-0000C79F0000}"/>
    <cellStyle name="Output 2 2 17 2 2" xfId="40906" xr:uid="{00000000-0005-0000-0000-0000C89F0000}"/>
    <cellStyle name="Output 2 2 17 2 3" xfId="40907" xr:uid="{00000000-0005-0000-0000-0000C99F0000}"/>
    <cellStyle name="Output 2 2 17 2 4" xfId="40908" xr:uid="{00000000-0005-0000-0000-0000CA9F0000}"/>
    <cellStyle name="Output 2 2 17 2 5" xfId="40909" xr:uid="{00000000-0005-0000-0000-0000CB9F0000}"/>
    <cellStyle name="Output 2 2 17 3" xfId="40910" xr:uid="{00000000-0005-0000-0000-0000CC9F0000}"/>
    <cellStyle name="Output 2 2 17 4" xfId="40911" xr:uid="{00000000-0005-0000-0000-0000CD9F0000}"/>
    <cellStyle name="Output 2 2 17 5" xfId="40912" xr:uid="{00000000-0005-0000-0000-0000CE9F0000}"/>
    <cellStyle name="Output 2 2 17 6" xfId="40913" xr:uid="{00000000-0005-0000-0000-0000CF9F0000}"/>
    <cellStyle name="Output 2 2 18" xfId="40914" xr:uid="{00000000-0005-0000-0000-0000D09F0000}"/>
    <cellStyle name="Output 2 2 18 2" xfId="40915" xr:uid="{00000000-0005-0000-0000-0000D19F0000}"/>
    <cellStyle name="Output 2 2 18 2 2" xfId="40916" xr:uid="{00000000-0005-0000-0000-0000D29F0000}"/>
    <cellStyle name="Output 2 2 18 2 3" xfId="40917" xr:uid="{00000000-0005-0000-0000-0000D39F0000}"/>
    <cellStyle name="Output 2 2 18 2 4" xfId="40918" xr:uid="{00000000-0005-0000-0000-0000D49F0000}"/>
    <cellStyle name="Output 2 2 18 2 5" xfId="40919" xr:uid="{00000000-0005-0000-0000-0000D59F0000}"/>
    <cellStyle name="Output 2 2 18 3" xfId="40920" xr:uid="{00000000-0005-0000-0000-0000D69F0000}"/>
    <cellStyle name="Output 2 2 18 4" xfId="40921" xr:uid="{00000000-0005-0000-0000-0000D79F0000}"/>
    <cellStyle name="Output 2 2 18 5" xfId="40922" xr:uid="{00000000-0005-0000-0000-0000D89F0000}"/>
    <cellStyle name="Output 2 2 18 6" xfId="40923" xr:uid="{00000000-0005-0000-0000-0000D99F0000}"/>
    <cellStyle name="Output 2 2 19" xfId="40924" xr:uid="{00000000-0005-0000-0000-0000DA9F0000}"/>
    <cellStyle name="Output 2 2 19 2" xfId="40925" xr:uid="{00000000-0005-0000-0000-0000DB9F0000}"/>
    <cellStyle name="Output 2 2 19 2 2" xfId="40926" xr:uid="{00000000-0005-0000-0000-0000DC9F0000}"/>
    <cellStyle name="Output 2 2 19 2 3" xfId="40927" xr:uid="{00000000-0005-0000-0000-0000DD9F0000}"/>
    <cellStyle name="Output 2 2 19 2 4" xfId="40928" xr:uid="{00000000-0005-0000-0000-0000DE9F0000}"/>
    <cellStyle name="Output 2 2 19 2 5" xfId="40929" xr:uid="{00000000-0005-0000-0000-0000DF9F0000}"/>
    <cellStyle name="Output 2 2 19 3" xfId="40930" xr:uid="{00000000-0005-0000-0000-0000E09F0000}"/>
    <cellStyle name="Output 2 2 19 4" xfId="40931" xr:uid="{00000000-0005-0000-0000-0000E19F0000}"/>
    <cellStyle name="Output 2 2 19 5" xfId="40932" xr:uid="{00000000-0005-0000-0000-0000E29F0000}"/>
    <cellStyle name="Output 2 2 19 6" xfId="40933" xr:uid="{00000000-0005-0000-0000-0000E39F0000}"/>
    <cellStyle name="Output 2 2 2" xfId="40934" xr:uid="{00000000-0005-0000-0000-0000E49F0000}"/>
    <cellStyle name="Output 2 2 2 10" xfId="40935" xr:uid="{00000000-0005-0000-0000-0000E59F0000}"/>
    <cellStyle name="Output 2 2 2 10 2" xfId="40936" xr:uid="{00000000-0005-0000-0000-0000E69F0000}"/>
    <cellStyle name="Output 2 2 2 10 3" xfId="40937" xr:uid="{00000000-0005-0000-0000-0000E79F0000}"/>
    <cellStyle name="Output 2 2 2 10 4" xfId="40938" xr:uid="{00000000-0005-0000-0000-0000E89F0000}"/>
    <cellStyle name="Output 2 2 2 10 5" xfId="40939" xr:uid="{00000000-0005-0000-0000-0000E99F0000}"/>
    <cellStyle name="Output 2 2 2 10 6" xfId="40940" xr:uid="{00000000-0005-0000-0000-0000EA9F0000}"/>
    <cellStyle name="Output 2 2 2 11" xfId="40941" xr:uid="{00000000-0005-0000-0000-0000EB9F0000}"/>
    <cellStyle name="Output 2 2 2 11 2" xfId="40942" xr:uid="{00000000-0005-0000-0000-0000EC9F0000}"/>
    <cellStyle name="Output 2 2 2 11 3" xfId="40943" xr:uid="{00000000-0005-0000-0000-0000ED9F0000}"/>
    <cellStyle name="Output 2 2 2 11 4" xfId="40944" xr:uid="{00000000-0005-0000-0000-0000EE9F0000}"/>
    <cellStyle name="Output 2 2 2 11 5" xfId="40945" xr:uid="{00000000-0005-0000-0000-0000EF9F0000}"/>
    <cellStyle name="Output 2 2 2 12" xfId="40946" xr:uid="{00000000-0005-0000-0000-0000F09F0000}"/>
    <cellStyle name="Output 2 2 2 13" xfId="40947" xr:uid="{00000000-0005-0000-0000-0000F19F0000}"/>
    <cellStyle name="Output 2 2 2 14" xfId="40948" xr:uid="{00000000-0005-0000-0000-0000F29F0000}"/>
    <cellStyle name="Output 2 2 2 15" xfId="40949" xr:uid="{00000000-0005-0000-0000-0000F39F0000}"/>
    <cellStyle name="Output 2 2 2 2" xfId="40950" xr:uid="{00000000-0005-0000-0000-0000F49F0000}"/>
    <cellStyle name="Output 2 2 2 2 10" xfId="40951" xr:uid="{00000000-0005-0000-0000-0000F59F0000}"/>
    <cellStyle name="Output 2 2 2 2 2" xfId="40952" xr:uid="{00000000-0005-0000-0000-0000F69F0000}"/>
    <cellStyle name="Output 2 2 2 2 2 2" xfId="40953" xr:uid="{00000000-0005-0000-0000-0000F79F0000}"/>
    <cellStyle name="Output 2 2 2 2 2 2 2" xfId="40954" xr:uid="{00000000-0005-0000-0000-0000F89F0000}"/>
    <cellStyle name="Output 2 2 2 2 2 2 2 2" xfId="40955" xr:uid="{00000000-0005-0000-0000-0000F99F0000}"/>
    <cellStyle name="Output 2 2 2 2 2 2 2 3" xfId="40956" xr:uid="{00000000-0005-0000-0000-0000FA9F0000}"/>
    <cellStyle name="Output 2 2 2 2 2 2 2 4" xfId="40957" xr:uid="{00000000-0005-0000-0000-0000FB9F0000}"/>
    <cellStyle name="Output 2 2 2 2 2 2 2 5" xfId="40958" xr:uid="{00000000-0005-0000-0000-0000FC9F0000}"/>
    <cellStyle name="Output 2 2 2 2 2 2 2 6" xfId="40959" xr:uid="{00000000-0005-0000-0000-0000FD9F0000}"/>
    <cellStyle name="Output 2 2 2 2 2 2 3" xfId="40960" xr:uid="{00000000-0005-0000-0000-0000FE9F0000}"/>
    <cellStyle name="Output 2 2 2 2 2 2 4" xfId="40961" xr:uid="{00000000-0005-0000-0000-0000FF9F0000}"/>
    <cellStyle name="Output 2 2 2 2 2 2 5" xfId="40962" xr:uid="{00000000-0005-0000-0000-000000A00000}"/>
    <cellStyle name="Output 2 2 2 2 2 2 6" xfId="40963" xr:uid="{00000000-0005-0000-0000-000001A00000}"/>
    <cellStyle name="Output 2 2 2 2 2 3" xfId="40964" xr:uid="{00000000-0005-0000-0000-000002A00000}"/>
    <cellStyle name="Output 2 2 2 2 2 3 2" xfId="40965" xr:uid="{00000000-0005-0000-0000-000003A00000}"/>
    <cellStyle name="Output 2 2 2 2 2 3 2 2" xfId="40966" xr:uid="{00000000-0005-0000-0000-000004A00000}"/>
    <cellStyle name="Output 2 2 2 2 2 3 2 3" xfId="40967" xr:uid="{00000000-0005-0000-0000-000005A00000}"/>
    <cellStyle name="Output 2 2 2 2 2 3 2 4" xfId="40968" xr:uid="{00000000-0005-0000-0000-000006A00000}"/>
    <cellStyle name="Output 2 2 2 2 2 3 2 5" xfId="40969" xr:uid="{00000000-0005-0000-0000-000007A00000}"/>
    <cellStyle name="Output 2 2 2 2 2 3 2 6" xfId="40970" xr:uid="{00000000-0005-0000-0000-000008A00000}"/>
    <cellStyle name="Output 2 2 2 2 2 3 3" xfId="40971" xr:uid="{00000000-0005-0000-0000-000009A00000}"/>
    <cellStyle name="Output 2 2 2 2 2 3 4" xfId="40972" xr:uid="{00000000-0005-0000-0000-00000AA00000}"/>
    <cellStyle name="Output 2 2 2 2 2 3 5" xfId="40973" xr:uid="{00000000-0005-0000-0000-00000BA00000}"/>
    <cellStyle name="Output 2 2 2 2 2 3 6" xfId="40974" xr:uid="{00000000-0005-0000-0000-00000CA00000}"/>
    <cellStyle name="Output 2 2 2 2 2 4" xfId="40975" xr:uid="{00000000-0005-0000-0000-00000DA00000}"/>
    <cellStyle name="Output 2 2 2 2 2 4 2" xfId="40976" xr:uid="{00000000-0005-0000-0000-00000EA00000}"/>
    <cellStyle name="Output 2 2 2 2 2 4 3" xfId="40977" xr:uid="{00000000-0005-0000-0000-00000FA00000}"/>
    <cellStyle name="Output 2 2 2 2 2 4 4" xfId="40978" xr:uid="{00000000-0005-0000-0000-000010A00000}"/>
    <cellStyle name="Output 2 2 2 2 2 4 5" xfId="40979" xr:uid="{00000000-0005-0000-0000-000011A00000}"/>
    <cellStyle name="Output 2 2 2 2 2 4 6" xfId="40980" xr:uid="{00000000-0005-0000-0000-000012A00000}"/>
    <cellStyle name="Output 2 2 2 2 2 5" xfId="40981" xr:uid="{00000000-0005-0000-0000-000013A00000}"/>
    <cellStyle name="Output 2 2 2 2 2 6" xfId="40982" xr:uid="{00000000-0005-0000-0000-000014A00000}"/>
    <cellStyle name="Output 2 2 2 2 2 7" xfId="40983" xr:uid="{00000000-0005-0000-0000-000015A00000}"/>
    <cellStyle name="Output 2 2 2 2 2 8" xfId="40984" xr:uid="{00000000-0005-0000-0000-000016A00000}"/>
    <cellStyle name="Output 2 2 2 2 3" xfId="40985" xr:uid="{00000000-0005-0000-0000-000017A00000}"/>
    <cellStyle name="Output 2 2 2 2 3 2" xfId="40986" xr:uid="{00000000-0005-0000-0000-000018A00000}"/>
    <cellStyle name="Output 2 2 2 2 3 2 2" xfId="40987" xr:uid="{00000000-0005-0000-0000-000019A00000}"/>
    <cellStyle name="Output 2 2 2 2 3 2 3" xfId="40988" xr:uid="{00000000-0005-0000-0000-00001AA00000}"/>
    <cellStyle name="Output 2 2 2 2 3 2 4" xfId="40989" xr:uid="{00000000-0005-0000-0000-00001BA00000}"/>
    <cellStyle name="Output 2 2 2 2 3 2 5" xfId="40990" xr:uid="{00000000-0005-0000-0000-00001CA00000}"/>
    <cellStyle name="Output 2 2 2 2 3 2 6" xfId="40991" xr:uid="{00000000-0005-0000-0000-00001DA00000}"/>
    <cellStyle name="Output 2 2 2 2 3 3" xfId="40992" xr:uid="{00000000-0005-0000-0000-00001EA00000}"/>
    <cellStyle name="Output 2 2 2 2 3 4" xfId="40993" xr:uid="{00000000-0005-0000-0000-00001FA00000}"/>
    <cellStyle name="Output 2 2 2 2 3 5" xfId="40994" xr:uid="{00000000-0005-0000-0000-000020A00000}"/>
    <cellStyle name="Output 2 2 2 2 3 6" xfId="40995" xr:uid="{00000000-0005-0000-0000-000021A00000}"/>
    <cellStyle name="Output 2 2 2 2 4" xfId="40996" xr:uid="{00000000-0005-0000-0000-000022A00000}"/>
    <cellStyle name="Output 2 2 2 2 4 2" xfId="40997" xr:uid="{00000000-0005-0000-0000-000023A00000}"/>
    <cellStyle name="Output 2 2 2 2 4 2 2" xfId="40998" xr:uid="{00000000-0005-0000-0000-000024A00000}"/>
    <cellStyle name="Output 2 2 2 2 4 2 3" xfId="40999" xr:uid="{00000000-0005-0000-0000-000025A00000}"/>
    <cellStyle name="Output 2 2 2 2 4 2 4" xfId="41000" xr:uid="{00000000-0005-0000-0000-000026A00000}"/>
    <cellStyle name="Output 2 2 2 2 4 2 5" xfId="41001" xr:uid="{00000000-0005-0000-0000-000027A00000}"/>
    <cellStyle name="Output 2 2 2 2 4 2 6" xfId="41002" xr:uid="{00000000-0005-0000-0000-000028A00000}"/>
    <cellStyle name="Output 2 2 2 2 4 3" xfId="41003" xr:uid="{00000000-0005-0000-0000-000029A00000}"/>
    <cellStyle name="Output 2 2 2 2 4 4" xfId="41004" xr:uid="{00000000-0005-0000-0000-00002AA00000}"/>
    <cellStyle name="Output 2 2 2 2 4 5" xfId="41005" xr:uid="{00000000-0005-0000-0000-00002BA00000}"/>
    <cellStyle name="Output 2 2 2 2 4 6" xfId="41006" xr:uid="{00000000-0005-0000-0000-00002CA00000}"/>
    <cellStyle name="Output 2 2 2 2 5" xfId="41007" xr:uid="{00000000-0005-0000-0000-00002DA00000}"/>
    <cellStyle name="Output 2 2 2 2 5 2" xfId="41008" xr:uid="{00000000-0005-0000-0000-00002EA00000}"/>
    <cellStyle name="Output 2 2 2 2 5 3" xfId="41009" xr:uid="{00000000-0005-0000-0000-00002FA00000}"/>
    <cellStyle name="Output 2 2 2 2 5 4" xfId="41010" xr:uid="{00000000-0005-0000-0000-000030A00000}"/>
    <cellStyle name="Output 2 2 2 2 5 5" xfId="41011" xr:uid="{00000000-0005-0000-0000-000031A00000}"/>
    <cellStyle name="Output 2 2 2 2 5 6" xfId="41012" xr:uid="{00000000-0005-0000-0000-000032A00000}"/>
    <cellStyle name="Output 2 2 2 2 6" xfId="41013" xr:uid="{00000000-0005-0000-0000-000033A00000}"/>
    <cellStyle name="Output 2 2 2 2 6 2" xfId="41014" xr:uid="{00000000-0005-0000-0000-000034A00000}"/>
    <cellStyle name="Output 2 2 2 2 6 3" xfId="41015" xr:uid="{00000000-0005-0000-0000-000035A00000}"/>
    <cellStyle name="Output 2 2 2 2 6 4" xfId="41016" xr:uid="{00000000-0005-0000-0000-000036A00000}"/>
    <cellStyle name="Output 2 2 2 2 6 5" xfId="41017" xr:uid="{00000000-0005-0000-0000-000037A00000}"/>
    <cellStyle name="Output 2 2 2 2 7" xfId="41018" xr:uid="{00000000-0005-0000-0000-000038A00000}"/>
    <cellStyle name="Output 2 2 2 2 8" xfId="41019" xr:uid="{00000000-0005-0000-0000-000039A00000}"/>
    <cellStyle name="Output 2 2 2 2 9" xfId="41020" xr:uid="{00000000-0005-0000-0000-00003AA00000}"/>
    <cellStyle name="Output 2 2 2 3" xfId="41021" xr:uid="{00000000-0005-0000-0000-00003BA00000}"/>
    <cellStyle name="Output 2 2 2 3 2" xfId="41022" xr:uid="{00000000-0005-0000-0000-00003CA00000}"/>
    <cellStyle name="Output 2 2 2 3 2 2" xfId="41023" xr:uid="{00000000-0005-0000-0000-00003DA00000}"/>
    <cellStyle name="Output 2 2 2 3 2 2 2" xfId="41024" xr:uid="{00000000-0005-0000-0000-00003EA00000}"/>
    <cellStyle name="Output 2 2 2 3 2 2 3" xfId="41025" xr:uid="{00000000-0005-0000-0000-00003FA00000}"/>
    <cellStyle name="Output 2 2 2 3 2 2 4" xfId="41026" xr:uid="{00000000-0005-0000-0000-000040A00000}"/>
    <cellStyle name="Output 2 2 2 3 2 2 5" xfId="41027" xr:uid="{00000000-0005-0000-0000-000041A00000}"/>
    <cellStyle name="Output 2 2 2 3 2 2 6" xfId="41028" xr:uid="{00000000-0005-0000-0000-000042A00000}"/>
    <cellStyle name="Output 2 2 2 3 2 3" xfId="41029" xr:uid="{00000000-0005-0000-0000-000043A00000}"/>
    <cellStyle name="Output 2 2 2 3 2 4" xfId="41030" xr:uid="{00000000-0005-0000-0000-000044A00000}"/>
    <cellStyle name="Output 2 2 2 3 2 5" xfId="41031" xr:uid="{00000000-0005-0000-0000-000045A00000}"/>
    <cellStyle name="Output 2 2 2 3 2 6" xfId="41032" xr:uid="{00000000-0005-0000-0000-000046A00000}"/>
    <cellStyle name="Output 2 2 2 3 3" xfId="41033" xr:uid="{00000000-0005-0000-0000-000047A00000}"/>
    <cellStyle name="Output 2 2 2 3 3 2" xfId="41034" xr:uid="{00000000-0005-0000-0000-000048A00000}"/>
    <cellStyle name="Output 2 2 2 3 3 2 2" xfId="41035" xr:uid="{00000000-0005-0000-0000-000049A00000}"/>
    <cellStyle name="Output 2 2 2 3 3 2 3" xfId="41036" xr:uid="{00000000-0005-0000-0000-00004AA00000}"/>
    <cellStyle name="Output 2 2 2 3 3 2 4" xfId="41037" xr:uid="{00000000-0005-0000-0000-00004BA00000}"/>
    <cellStyle name="Output 2 2 2 3 3 2 5" xfId="41038" xr:uid="{00000000-0005-0000-0000-00004CA00000}"/>
    <cellStyle name="Output 2 2 2 3 3 2 6" xfId="41039" xr:uid="{00000000-0005-0000-0000-00004DA00000}"/>
    <cellStyle name="Output 2 2 2 3 3 3" xfId="41040" xr:uid="{00000000-0005-0000-0000-00004EA00000}"/>
    <cellStyle name="Output 2 2 2 3 3 4" xfId="41041" xr:uid="{00000000-0005-0000-0000-00004FA00000}"/>
    <cellStyle name="Output 2 2 2 3 3 5" xfId="41042" xr:uid="{00000000-0005-0000-0000-000050A00000}"/>
    <cellStyle name="Output 2 2 2 3 3 6" xfId="41043" xr:uid="{00000000-0005-0000-0000-000051A00000}"/>
    <cellStyle name="Output 2 2 2 3 4" xfId="41044" xr:uid="{00000000-0005-0000-0000-000052A00000}"/>
    <cellStyle name="Output 2 2 2 3 4 2" xfId="41045" xr:uid="{00000000-0005-0000-0000-000053A00000}"/>
    <cellStyle name="Output 2 2 2 3 4 3" xfId="41046" xr:uid="{00000000-0005-0000-0000-000054A00000}"/>
    <cellStyle name="Output 2 2 2 3 4 4" xfId="41047" xr:uid="{00000000-0005-0000-0000-000055A00000}"/>
    <cellStyle name="Output 2 2 2 3 4 5" xfId="41048" xr:uid="{00000000-0005-0000-0000-000056A00000}"/>
    <cellStyle name="Output 2 2 2 3 4 6" xfId="41049" xr:uid="{00000000-0005-0000-0000-000057A00000}"/>
    <cellStyle name="Output 2 2 2 3 5" xfId="41050" xr:uid="{00000000-0005-0000-0000-000058A00000}"/>
    <cellStyle name="Output 2 2 2 3 6" xfId="41051" xr:uid="{00000000-0005-0000-0000-000059A00000}"/>
    <cellStyle name="Output 2 2 2 3 7" xfId="41052" xr:uid="{00000000-0005-0000-0000-00005AA00000}"/>
    <cellStyle name="Output 2 2 2 3 8" xfId="41053" xr:uid="{00000000-0005-0000-0000-00005BA00000}"/>
    <cellStyle name="Output 2 2 2 4" xfId="41054" xr:uid="{00000000-0005-0000-0000-00005CA00000}"/>
    <cellStyle name="Output 2 2 2 4 2" xfId="41055" xr:uid="{00000000-0005-0000-0000-00005DA00000}"/>
    <cellStyle name="Output 2 2 2 4 2 2" xfId="41056" xr:uid="{00000000-0005-0000-0000-00005EA00000}"/>
    <cellStyle name="Output 2 2 2 4 2 2 2" xfId="41057" xr:uid="{00000000-0005-0000-0000-00005FA00000}"/>
    <cellStyle name="Output 2 2 2 4 2 2 3" xfId="41058" xr:uid="{00000000-0005-0000-0000-000060A00000}"/>
    <cellStyle name="Output 2 2 2 4 2 2 4" xfId="41059" xr:uid="{00000000-0005-0000-0000-000061A00000}"/>
    <cellStyle name="Output 2 2 2 4 2 2 5" xfId="41060" xr:uid="{00000000-0005-0000-0000-000062A00000}"/>
    <cellStyle name="Output 2 2 2 4 2 2 6" xfId="41061" xr:uid="{00000000-0005-0000-0000-000063A00000}"/>
    <cellStyle name="Output 2 2 2 4 2 3" xfId="41062" xr:uid="{00000000-0005-0000-0000-000064A00000}"/>
    <cellStyle name="Output 2 2 2 4 2 4" xfId="41063" xr:uid="{00000000-0005-0000-0000-000065A00000}"/>
    <cellStyle name="Output 2 2 2 4 2 5" xfId="41064" xr:uid="{00000000-0005-0000-0000-000066A00000}"/>
    <cellStyle name="Output 2 2 2 4 2 6" xfId="41065" xr:uid="{00000000-0005-0000-0000-000067A00000}"/>
    <cellStyle name="Output 2 2 2 4 3" xfId="41066" xr:uid="{00000000-0005-0000-0000-000068A00000}"/>
    <cellStyle name="Output 2 2 2 4 3 2" xfId="41067" xr:uid="{00000000-0005-0000-0000-000069A00000}"/>
    <cellStyle name="Output 2 2 2 4 3 2 2" xfId="41068" xr:uid="{00000000-0005-0000-0000-00006AA00000}"/>
    <cellStyle name="Output 2 2 2 4 3 2 3" xfId="41069" xr:uid="{00000000-0005-0000-0000-00006BA00000}"/>
    <cellStyle name="Output 2 2 2 4 3 2 4" xfId="41070" xr:uid="{00000000-0005-0000-0000-00006CA00000}"/>
    <cellStyle name="Output 2 2 2 4 3 2 5" xfId="41071" xr:uid="{00000000-0005-0000-0000-00006DA00000}"/>
    <cellStyle name="Output 2 2 2 4 3 2 6" xfId="41072" xr:uid="{00000000-0005-0000-0000-00006EA00000}"/>
    <cellStyle name="Output 2 2 2 4 3 3" xfId="41073" xr:uid="{00000000-0005-0000-0000-00006FA00000}"/>
    <cellStyle name="Output 2 2 2 4 3 4" xfId="41074" xr:uid="{00000000-0005-0000-0000-000070A00000}"/>
    <cellStyle name="Output 2 2 2 4 3 5" xfId="41075" xr:uid="{00000000-0005-0000-0000-000071A00000}"/>
    <cellStyle name="Output 2 2 2 4 3 6" xfId="41076" xr:uid="{00000000-0005-0000-0000-000072A00000}"/>
    <cellStyle name="Output 2 2 2 4 4" xfId="41077" xr:uid="{00000000-0005-0000-0000-000073A00000}"/>
    <cellStyle name="Output 2 2 2 4 4 2" xfId="41078" xr:uid="{00000000-0005-0000-0000-000074A00000}"/>
    <cellStyle name="Output 2 2 2 4 4 3" xfId="41079" xr:uid="{00000000-0005-0000-0000-000075A00000}"/>
    <cellStyle name="Output 2 2 2 4 4 4" xfId="41080" xr:uid="{00000000-0005-0000-0000-000076A00000}"/>
    <cellStyle name="Output 2 2 2 4 4 5" xfId="41081" xr:uid="{00000000-0005-0000-0000-000077A00000}"/>
    <cellStyle name="Output 2 2 2 4 4 6" xfId="41082" xr:uid="{00000000-0005-0000-0000-000078A00000}"/>
    <cellStyle name="Output 2 2 2 4 5" xfId="41083" xr:uid="{00000000-0005-0000-0000-000079A00000}"/>
    <cellStyle name="Output 2 2 2 4 6" xfId="41084" xr:uid="{00000000-0005-0000-0000-00007AA00000}"/>
    <cellStyle name="Output 2 2 2 4 7" xfId="41085" xr:uid="{00000000-0005-0000-0000-00007BA00000}"/>
    <cellStyle name="Output 2 2 2 4 8" xfId="41086" xr:uid="{00000000-0005-0000-0000-00007CA00000}"/>
    <cellStyle name="Output 2 2 2 5" xfId="41087" xr:uid="{00000000-0005-0000-0000-00007DA00000}"/>
    <cellStyle name="Output 2 2 2 5 2" xfId="41088" xr:uid="{00000000-0005-0000-0000-00007EA00000}"/>
    <cellStyle name="Output 2 2 2 5 2 2" xfId="41089" xr:uid="{00000000-0005-0000-0000-00007FA00000}"/>
    <cellStyle name="Output 2 2 2 5 2 2 2" xfId="41090" xr:uid="{00000000-0005-0000-0000-000080A00000}"/>
    <cellStyle name="Output 2 2 2 5 2 2 3" xfId="41091" xr:uid="{00000000-0005-0000-0000-000081A00000}"/>
    <cellStyle name="Output 2 2 2 5 2 2 4" xfId="41092" xr:uid="{00000000-0005-0000-0000-000082A00000}"/>
    <cellStyle name="Output 2 2 2 5 2 2 5" xfId="41093" xr:uid="{00000000-0005-0000-0000-000083A00000}"/>
    <cellStyle name="Output 2 2 2 5 2 2 6" xfId="41094" xr:uid="{00000000-0005-0000-0000-000084A00000}"/>
    <cellStyle name="Output 2 2 2 5 2 3" xfId="41095" xr:uid="{00000000-0005-0000-0000-000085A00000}"/>
    <cellStyle name="Output 2 2 2 5 2 4" xfId="41096" xr:uid="{00000000-0005-0000-0000-000086A00000}"/>
    <cellStyle name="Output 2 2 2 5 2 5" xfId="41097" xr:uid="{00000000-0005-0000-0000-000087A00000}"/>
    <cellStyle name="Output 2 2 2 5 2 6" xfId="41098" xr:uid="{00000000-0005-0000-0000-000088A00000}"/>
    <cellStyle name="Output 2 2 2 5 3" xfId="41099" xr:uid="{00000000-0005-0000-0000-000089A00000}"/>
    <cellStyle name="Output 2 2 2 5 3 2" xfId="41100" xr:uid="{00000000-0005-0000-0000-00008AA00000}"/>
    <cellStyle name="Output 2 2 2 5 3 2 2" xfId="41101" xr:uid="{00000000-0005-0000-0000-00008BA00000}"/>
    <cellStyle name="Output 2 2 2 5 3 2 3" xfId="41102" xr:uid="{00000000-0005-0000-0000-00008CA00000}"/>
    <cellStyle name="Output 2 2 2 5 3 2 4" xfId="41103" xr:uid="{00000000-0005-0000-0000-00008DA00000}"/>
    <cellStyle name="Output 2 2 2 5 3 2 5" xfId="41104" xr:uid="{00000000-0005-0000-0000-00008EA00000}"/>
    <cellStyle name="Output 2 2 2 5 3 2 6" xfId="41105" xr:uid="{00000000-0005-0000-0000-00008FA00000}"/>
    <cellStyle name="Output 2 2 2 5 3 3" xfId="41106" xr:uid="{00000000-0005-0000-0000-000090A00000}"/>
    <cellStyle name="Output 2 2 2 5 3 4" xfId="41107" xr:uid="{00000000-0005-0000-0000-000091A00000}"/>
    <cellStyle name="Output 2 2 2 5 3 5" xfId="41108" xr:uid="{00000000-0005-0000-0000-000092A00000}"/>
    <cellStyle name="Output 2 2 2 5 3 6" xfId="41109" xr:uid="{00000000-0005-0000-0000-000093A00000}"/>
    <cellStyle name="Output 2 2 2 5 4" xfId="41110" xr:uid="{00000000-0005-0000-0000-000094A00000}"/>
    <cellStyle name="Output 2 2 2 5 4 2" xfId="41111" xr:uid="{00000000-0005-0000-0000-000095A00000}"/>
    <cellStyle name="Output 2 2 2 5 4 3" xfId="41112" xr:uid="{00000000-0005-0000-0000-000096A00000}"/>
    <cellStyle name="Output 2 2 2 5 4 4" xfId="41113" xr:uid="{00000000-0005-0000-0000-000097A00000}"/>
    <cellStyle name="Output 2 2 2 5 4 5" xfId="41114" xr:uid="{00000000-0005-0000-0000-000098A00000}"/>
    <cellStyle name="Output 2 2 2 5 4 6" xfId="41115" xr:uid="{00000000-0005-0000-0000-000099A00000}"/>
    <cellStyle name="Output 2 2 2 5 5" xfId="41116" xr:uid="{00000000-0005-0000-0000-00009AA00000}"/>
    <cellStyle name="Output 2 2 2 5 6" xfId="41117" xr:uid="{00000000-0005-0000-0000-00009BA00000}"/>
    <cellStyle name="Output 2 2 2 5 7" xfId="41118" xr:uid="{00000000-0005-0000-0000-00009CA00000}"/>
    <cellStyle name="Output 2 2 2 5 8" xfId="41119" xr:uid="{00000000-0005-0000-0000-00009DA00000}"/>
    <cellStyle name="Output 2 2 2 6" xfId="41120" xr:uid="{00000000-0005-0000-0000-00009EA00000}"/>
    <cellStyle name="Output 2 2 2 6 2" xfId="41121" xr:uid="{00000000-0005-0000-0000-00009FA00000}"/>
    <cellStyle name="Output 2 2 2 6 2 2" xfId="41122" xr:uid="{00000000-0005-0000-0000-0000A0A00000}"/>
    <cellStyle name="Output 2 2 2 6 2 2 2" xfId="41123" xr:uid="{00000000-0005-0000-0000-0000A1A00000}"/>
    <cellStyle name="Output 2 2 2 6 2 2 3" xfId="41124" xr:uid="{00000000-0005-0000-0000-0000A2A00000}"/>
    <cellStyle name="Output 2 2 2 6 2 2 4" xfId="41125" xr:uid="{00000000-0005-0000-0000-0000A3A00000}"/>
    <cellStyle name="Output 2 2 2 6 2 2 5" xfId="41126" xr:uid="{00000000-0005-0000-0000-0000A4A00000}"/>
    <cellStyle name="Output 2 2 2 6 2 2 6" xfId="41127" xr:uid="{00000000-0005-0000-0000-0000A5A00000}"/>
    <cellStyle name="Output 2 2 2 6 2 3" xfId="41128" xr:uid="{00000000-0005-0000-0000-0000A6A00000}"/>
    <cellStyle name="Output 2 2 2 6 2 4" xfId="41129" xr:uid="{00000000-0005-0000-0000-0000A7A00000}"/>
    <cellStyle name="Output 2 2 2 6 2 5" xfId="41130" xr:uid="{00000000-0005-0000-0000-0000A8A00000}"/>
    <cellStyle name="Output 2 2 2 6 2 6" xfId="41131" xr:uid="{00000000-0005-0000-0000-0000A9A00000}"/>
    <cellStyle name="Output 2 2 2 6 3" xfId="41132" xr:uid="{00000000-0005-0000-0000-0000AAA00000}"/>
    <cellStyle name="Output 2 2 2 6 3 2" xfId="41133" xr:uid="{00000000-0005-0000-0000-0000ABA00000}"/>
    <cellStyle name="Output 2 2 2 6 3 2 2" xfId="41134" xr:uid="{00000000-0005-0000-0000-0000ACA00000}"/>
    <cellStyle name="Output 2 2 2 6 3 2 3" xfId="41135" xr:uid="{00000000-0005-0000-0000-0000ADA00000}"/>
    <cellStyle name="Output 2 2 2 6 3 2 4" xfId="41136" xr:uid="{00000000-0005-0000-0000-0000AEA00000}"/>
    <cellStyle name="Output 2 2 2 6 3 2 5" xfId="41137" xr:uid="{00000000-0005-0000-0000-0000AFA00000}"/>
    <cellStyle name="Output 2 2 2 6 3 2 6" xfId="41138" xr:uid="{00000000-0005-0000-0000-0000B0A00000}"/>
    <cellStyle name="Output 2 2 2 6 3 3" xfId="41139" xr:uid="{00000000-0005-0000-0000-0000B1A00000}"/>
    <cellStyle name="Output 2 2 2 6 3 4" xfId="41140" xr:uid="{00000000-0005-0000-0000-0000B2A00000}"/>
    <cellStyle name="Output 2 2 2 6 3 5" xfId="41141" xr:uid="{00000000-0005-0000-0000-0000B3A00000}"/>
    <cellStyle name="Output 2 2 2 6 3 6" xfId="41142" xr:uid="{00000000-0005-0000-0000-0000B4A00000}"/>
    <cellStyle name="Output 2 2 2 6 4" xfId="41143" xr:uid="{00000000-0005-0000-0000-0000B5A00000}"/>
    <cellStyle name="Output 2 2 2 6 4 2" xfId="41144" xr:uid="{00000000-0005-0000-0000-0000B6A00000}"/>
    <cellStyle name="Output 2 2 2 6 4 3" xfId="41145" xr:uid="{00000000-0005-0000-0000-0000B7A00000}"/>
    <cellStyle name="Output 2 2 2 6 4 4" xfId="41146" xr:uid="{00000000-0005-0000-0000-0000B8A00000}"/>
    <cellStyle name="Output 2 2 2 6 4 5" xfId="41147" xr:uid="{00000000-0005-0000-0000-0000B9A00000}"/>
    <cellStyle name="Output 2 2 2 6 4 6" xfId="41148" xr:uid="{00000000-0005-0000-0000-0000BAA00000}"/>
    <cellStyle name="Output 2 2 2 6 5" xfId="41149" xr:uid="{00000000-0005-0000-0000-0000BBA00000}"/>
    <cellStyle name="Output 2 2 2 6 6" xfId="41150" xr:uid="{00000000-0005-0000-0000-0000BCA00000}"/>
    <cellStyle name="Output 2 2 2 6 7" xfId="41151" xr:uid="{00000000-0005-0000-0000-0000BDA00000}"/>
    <cellStyle name="Output 2 2 2 6 8" xfId="41152" xr:uid="{00000000-0005-0000-0000-0000BEA00000}"/>
    <cellStyle name="Output 2 2 2 7" xfId="41153" xr:uid="{00000000-0005-0000-0000-0000BFA00000}"/>
    <cellStyle name="Output 2 2 2 7 2" xfId="41154" xr:uid="{00000000-0005-0000-0000-0000C0A00000}"/>
    <cellStyle name="Output 2 2 2 7 2 2" xfId="41155" xr:uid="{00000000-0005-0000-0000-0000C1A00000}"/>
    <cellStyle name="Output 2 2 2 7 2 2 2" xfId="41156" xr:uid="{00000000-0005-0000-0000-0000C2A00000}"/>
    <cellStyle name="Output 2 2 2 7 2 2 3" xfId="41157" xr:uid="{00000000-0005-0000-0000-0000C3A00000}"/>
    <cellStyle name="Output 2 2 2 7 2 2 4" xfId="41158" xr:uid="{00000000-0005-0000-0000-0000C4A00000}"/>
    <cellStyle name="Output 2 2 2 7 2 2 5" xfId="41159" xr:uid="{00000000-0005-0000-0000-0000C5A00000}"/>
    <cellStyle name="Output 2 2 2 7 2 2 6" xfId="41160" xr:uid="{00000000-0005-0000-0000-0000C6A00000}"/>
    <cellStyle name="Output 2 2 2 7 2 3" xfId="41161" xr:uid="{00000000-0005-0000-0000-0000C7A00000}"/>
    <cellStyle name="Output 2 2 2 7 2 4" xfId="41162" xr:uid="{00000000-0005-0000-0000-0000C8A00000}"/>
    <cellStyle name="Output 2 2 2 7 2 5" xfId="41163" xr:uid="{00000000-0005-0000-0000-0000C9A00000}"/>
    <cellStyle name="Output 2 2 2 7 2 6" xfId="41164" xr:uid="{00000000-0005-0000-0000-0000CAA00000}"/>
    <cellStyle name="Output 2 2 2 7 3" xfId="41165" xr:uid="{00000000-0005-0000-0000-0000CBA00000}"/>
    <cellStyle name="Output 2 2 2 7 3 2" xfId="41166" xr:uid="{00000000-0005-0000-0000-0000CCA00000}"/>
    <cellStyle name="Output 2 2 2 7 3 2 2" xfId="41167" xr:uid="{00000000-0005-0000-0000-0000CDA00000}"/>
    <cellStyle name="Output 2 2 2 7 3 2 3" xfId="41168" xr:uid="{00000000-0005-0000-0000-0000CEA00000}"/>
    <cellStyle name="Output 2 2 2 7 3 2 4" xfId="41169" xr:uid="{00000000-0005-0000-0000-0000CFA00000}"/>
    <cellStyle name="Output 2 2 2 7 3 2 5" xfId="41170" xr:uid="{00000000-0005-0000-0000-0000D0A00000}"/>
    <cellStyle name="Output 2 2 2 7 3 2 6" xfId="41171" xr:uid="{00000000-0005-0000-0000-0000D1A00000}"/>
    <cellStyle name="Output 2 2 2 7 3 3" xfId="41172" xr:uid="{00000000-0005-0000-0000-0000D2A00000}"/>
    <cellStyle name="Output 2 2 2 7 3 4" xfId="41173" xr:uid="{00000000-0005-0000-0000-0000D3A00000}"/>
    <cellStyle name="Output 2 2 2 7 3 5" xfId="41174" xr:uid="{00000000-0005-0000-0000-0000D4A00000}"/>
    <cellStyle name="Output 2 2 2 7 3 6" xfId="41175" xr:uid="{00000000-0005-0000-0000-0000D5A00000}"/>
    <cellStyle name="Output 2 2 2 7 4" xfId="41176" xr:uid="{00000000-0005-0000-0000-0000D6A00000}"/>
    <cellStyle name="Output 2 2 2 7 4 2" xfId="41177" xr:uid="{00000000-0005-0000-0000-0000D7A00000}"/>
    <cellStyle name="Output 2 2 2 7 4 3" xfId="41178" xr:uid="{00000000-0005-0000-0000-0000D8A00000}"/>
    <cellStyle name="Output 2 2 2 7 4 4" xfId="41179" xr:uid="{00000000-0005-0000-0000-0000D9A00000}"/>
    <cellStyle name="Output 2 2 2 7 4 5" xfId="41180" xr:uid="{00000000-0005-0000-0000-0000DAA00000}"/>
    <cellStyle name="Output 2 2 2 7 4 6" xfId="41181" xr:uid="{00000000-0005-0000-0000-0000DBA00000}"/>
    <cellStyle name="Output 2 2 2 7 5" xfId="41182" xr:uid="{00000000-0005-0000-0000-0000DCA00000}"/>
    <cellStyle name="Output 2 2 2 7 6" xfId="41183" xr:uid="{00000000-0005-0000-0000-0000DDA00000}"/>
    <cellStyle name="Output 2 2 2 7 7" xfId="41184" xr:uid="{00000000-0005-0000-0000-0000DEA00000}"/>
    <cellStyle name="Output 2 2 2 7 8" xfId="41185" xr:uid="{00000000-0005-0000-0000-0000DFA00000}"/>
    <cellStyle name="Output 2 2 2 8" xfId="41186" xr:uid="{00000000-0005-0000-0000-0000E0A00000}"/>
    <cellStyle name="Output 2 2 2 8 2" xfId="41187" xr:uid="{00000000-0005-0000-0000-0000E1A00000}"/>
    <cellStyle name="Output 2 2 2 8 2 2" xfId="41188" xr:uid="{00000000-0005-0000-0000-0000E2A00000}"/>
    <cellStyle name="Output 2 2 2 8 2 3" xfId="41189" xr:uid="{00000000-0005-0000-0000-0000E3A00000}"/>
    <cellStyle name="Output 2 2 2 8 2 4" xfId="41190" xr:uid="{00000000-0005-0000-0000-0000E4A00000}"/>
    <cellStyle name="Output 2 2 2 8 2 5" xfId="41191" xr:uid="{00000000-0005-0000-0000-0000E5A00000}"/>
    <cellStyle name="Output 2 2 2 8 2 6" xfId="41192" xr:uid="{00000000-0005-0000-0000-0000E6A00000}"/>
    <cellStyle name="Output 2 2 2 8 3" xfId="41193" xr:uid="{00000000-0005-0000-0000-0000E7A00000}"/>
    <cellStyle name="Output 2 2 2 8 4" xfId="41194" xr:uid="{00000000-0005-0000-0000-0000E8A00000}"/>
    <cellStyle name="Output 2 2 2 8 5" xfId="41195" xr:uid="{00000000-0005-0000-0000-0000E9A00000}"/>
    <cellStyle name="Output 2 2 2 8 6" xfId="41196" xr:uid="{00000000-0005-0000-0000-0000EAA00000}"/>
    <cellStyle name="Output 2 2 2 9" xfId="41197" xr:uid="{00000000-0005-0000-0000-0000EBA00000}"/>
    <cellStyle name="Output 2 2 2 9 2" xfId="41198" xr:uid="{00000000-0005-0000-0000-0000ECA00000}"/>
    <cellStyle name="Output 2 2 2 9 2 2" xfId="41199" xr:uid="{00000000-0005-0000-0000-0000EDA00000}"/>
    <cellStyle name="Output 2 2 2 9 2 3" xfId="41200" xr:uid="{00000000-0005-0000-0000-0000EEA00000}"/>
    <cellStyle name="Output 2 2 2 9 2 4" xfId="41201" xr:uid="{00000000-0005-0000-0000-0000EFA00000}"/>
    <cellStyle name="Output 2 2 2 9 2 5" xfId="41202" xr:uid="{00000000-0005-0000-0000-0000F0A00000}"/>
    <cellStyle name="Output 2 2 2 9 2 6" xfId="41203" xr:uid="{00000000-0005-0000-0000-0000F1A00000}"/>
    <cellStyle name="Output 2 2 2 9 3" xfId="41204" xr:uid="{00000000-0005-0000-0000-0000F2A00000}"/>
    <cellStyle name="Output 2 2 2 9 4" xfId="41205" xr:uid="{00000000-0005-0000-0000-0000F3A00000}"/>
    <cellStyle name="Output 2 2 2 9 5" xfId="41206" xr:uid="{00000000-0005-0000-0000-0000F4A00000}"/>
    <cellStyle name="Output 2 2 2 9 6" xfId="41207" xr:uid="{00000000-0005-0000-0000-0000F5A00000}"/>
    <cellStyle name="Output 2 2 20" xfId="41208" xr:uid="{00000000-0005-0000-0000-0000F6A00000}"/>
    <cellStyle name="Output 2 2 20 2" xfId="41209" xr:uid="{00000000-0005-0000-0000-0000F7A00000}"/>
    <cellStyle name="Output 2 2 20 2 2" xfId="41210" xr:uid="{00000000-0005-0000-0000-0000F8A00000}"/>
    <cellStyle name="Output 2 2 20 2 3" xfId="41211" xr:uid="{00000000-0005-0000-0000-0000F9A00000}"/>
    <cellStyle name="Output 2 2 20 2 4" xfId="41212" xr:uid="{00000000-0005-0000-0000-0000FAA00000}"/>
    <cellStyle name="Output 2 2 20 2 5" xfId="41213" xr:uid="{00000000-0005-0000-0000-0000FBA00000}"/>
    <cellStyle name="Output 2 2 20 3" xfId="41214" xr:uid="{00000000-0005-0000-0000-0000FCA00000}"/>
    <cellStyle name="Output 2 2 20 4" xfId="41215" xr:uid="{00000000-0005-0000-0000-0000FDA00000}"/>
    <cellStyle name="Output 2 2 20 5" xfId="41216" xr:uid="{00000000-0005-0000-0000-0000FEA00000}"/>
    <cellStyle name="Output 2 2 20 6" xfId="41217" xr:uid="{00000000-0005-0000-0000-0000FFA00000}"/>
    <cellStyle name="Output 2 2 21" xfId="41218" xr:uid="{00000000-0005-0000-0000-000000A10000}"/>
    <cellStyle name="Output 2 2 21 2" xfId="41219" xr:uid="{00000000-0005-0000-0000-000001A10000}"/>
    <cellStyle name="Output 2 2 21 2 2" xfId="41220" xr:uid="{00000000-0005-0000-0000-000002A10000}"/>
    <cellStyle name="Output 2 2 21 2 3" xfId="41221" xr:uid="{00000000-0005-0000-0000-000003A10000}"/>
    <cellStyle name="Output 2 2 21 2 4" xfId="41222" xr:uid="{00000000-0005-0000-0000-000004A10000}"/>
    <cellStyle name="Output 2 2 21 2 5" xfId="41223" xr:uid="{00000000-0005-0000-0000-000005A10000}"/>
    <cellStyle name="Output 2 2 21 3" xfId="41224" xr:uid="{00000000-0005-0000-0000-000006A10000}"/>
    <cellStyle name="Output 2 2 21 4" xfId="41225" xr:uid="{00000000-0005-0000-0000-000007A10000}"/>
    <cellStyle name="Output 2 2 21 5" xfId="41226" xr:uid="{00000000-0005-0000-0000-000008A10000}"/>
    <cellStyle name="Output 2 2 21 6" xfId="41227" xr:uid="{00000000-0005-0000-0000-000009A10000}"/>
    <cellStyle name="Output 2 2 22" xfId="41228" xr:uid="{00000000-0005-0000-0000-00000AA10000}"/>
    <cellStyle name="Output 2 2 22 2" xfId="41229" xr:uid="{00000000-0005-0000-0000-00000BA10000}"/>
    <cellStyle name="Output 2 2 22 2 2" xfId="41230" xr:uid="{00000000-0005-0000-0000-00000CA10000}"/>
    <cellStyle name="Output 2 2 22 2 3" xfId="41231" xr:uid="{00000000-0005-0000-0000-00000DA10000}"/>
    <cellStyle name="Output 2 2 22 2 4" xfId="41232" xr:uid="{00000000-0005-0000-0000-00000EA10000}"/>
    <cellStyle name="Output 2 2 22 2 5" xfId="41233" xr:uid="{00000000-0005-0000-0000-00000FA10000}"/>
    <cellStyle name="Output 2 2 22 3" xfId="41234" xr:uid="{00000000-0005-0000-0000-000010A10000}"/>
    <cellStyle name="Output 2 2 22 4" xfId="41235" xr:uid="{00000000-0005-0000-0000-000011A10000}"/>
    <cellStyle name="Output 2 2 22 5" xfId="41236" xr:uid="{00000000-0005-0000-0000-000012A10000}"/>
    <cellStyle name="Output 2 2 22 6" xfId="41237" xr:uid="{00000000-0005-0000-0000-000013A10000}"/>
    <cellStyle name="Output 2 2 23" xfId="41238" xr:uid="{00000000-0005-0000-0000-000014A10000}"/>
    <cellStyle name="Output 2 2 23 2" xfId="41239" xr:uid="{00000000-0005-0000-0000-000015A10000}"/>
    <cellStyle name="Output 2 2 23 2 2" xfId="41240" xr:uid="{00000000-0005-0000-0000-000016A10000}"/>
    <cellStyle name="Output 2 2 23 2 3" xfId="41241" xr:uid="{00000000-0005-0000-0000-000017A10000}"/>
    <cellStyle name="Output 2 2 23 2 4" xfId="41242" xr:uid="{00000000-0005-0000-0000-000018A10000}"/>
    <cellStyle name="Output 2 2 23 2 5" xfId="41243" xr:uid="{00000000-0005-0000-0000-000019A10000}"/>
    <cellStyle name="Output 2 2 23 3" xfId="41244" xr:uid="{00000000-0005-0000-0000-00001AA10000}"/>
    <cellStyle name="Output 2 2 23 4" xfId="41245" xr:uid="{00000000-0005-0000-0000-00001BA10000}"/>
    <cellStyle name="Output 2 2 23 5" xfId="41246" xr:uid="{00000000-0005-0000-0000-00001CA10000}"/>
    <cellStyle name="Output 2 2 23 6" xfId="41247" xr:uid="{00000000-0005-0000-0000-00001DA10000}"/>
    <cellStyle name="Output 2 2 24" xfId="41248" xr:uid="{00000000-0005-0000-0000-00001EA10000}"/>
    <cellStyle name="Output 2 2 24 2" xfId="41249" xr:uid="{00000000-0005-0000-0000-00001FA10000}"/>
    <cellStyle name="Output 2 2 24 2 2" xfId="41250" xr:uid="{00000000-0005-0000-0000-000020A10000}"/>
    <cellStyle name="Output 2 2 24 2 3" xfId="41251" xr:uid="{00000000-0005-0000-0000-000021A10000}"/>
    <cellStyle name="Output 2 2 24 2 4" xfId="41252" xr:uid="{00000000-0005-0000-0000-000022A10000}"/>
    <cellStyle name="Output 2 2 24 2 5" xfId="41253" xr:uid="{00000000-0005-0000-0000-000023A10000}"/>
    <cellStyle name="Output 2 2 24 3" xfId="41254" xr:uid="{00000000-0005-0000-0000-000024A10000}"/>
    <cellStyle name="Output 2 2 24 4" xfId="41255" xr:uid="{00000000-0005-0000-0000-000025A10000}"/>
    <cellStyle name="Output 2 2 24 5" xfId="41256" xr:uid="{00000000-0005-0000-0000-000026A10000}"/>
    <cellStyle name="Output 2 2 24 6" xfId="41257" xr:uid="{00000000-0005-0000-0000-000027A10000}"/>
    <cellStyle name="Output 2 2 25" xfId="41258" xr:uid="{00000000-0005-0000-0000-000028A10000}"/>
    <cellStyle name="Output 2 2 25 2" xfId="41259" xr:uid="{00000000-0005-0000-0000-000029A10000}"/>
    <cellStyle name="Output 2 2 25 2 2" xfId="41260" xr:uid="{00000000-0005-0000-0000-00002AA10000}"/>
    <cellStyle name="Output 2 2 25 2 3" xfId="41261" xr:uid="{00000000-0005-0000-0000-00002BA10000}"/>
    <cellStyle name="Output 2 2 25 2 4" xfId="41262" xr:uid="{00000000-0005-0000-0000-00002CA10000}"/>
    <cellStyle name="Output 2 2 25 2 5" xfId="41263" xr:uid="{00000000-0005-0000-0000-00002DA10000}"/>
    <cellStyle name="Output 2 2 25 3" xfId="41264" xr:uid="{00000000-0005-0000-0000-00002EA10000}"/>
    <cellStyle name="Output 2 2 25 4" xfId="41265" xr:uid="{00000000-0005-0000-0000-00002FA10000}"/>
    <cellStyle name="Output 2 2 25 5" xfId="41266" xr:uid="{00000000-0005-0000-0000-000030A10000}"/>
    <cellStyle name="Output 2 2 25 6" xfId="41267" xr:uid="{00000000-0005-0000-0000-000031A10000}"/>
    <cellStyle name="Output 2 2 26" xfId="41268" xr:uid="{00000000-0005-0000-0000-000032A10000}"/>
    <cellStyle name="Output 2 2 26 2" xfId="41269" xr:uid="{00000000-0005-0000-0000-000033A10000}"/>
    <cellStyle name="Output 2 2 26 2 2" xfId="41270" xr:uid="{00000000-0005-0000-0000-000034A10000}"/>
    <cellStyle name="Output 2 2 26 2 3" xfId="41271" xr:uid="{00000000-0005-0000-0000-000035A10000}"/>
    <cellStyle name="Output 2 2 26 2 4" xfId="41272" xr:uid="{00000000-0005-0000-0000-000036A10000}"/>
    <cellStyle name="Output 2 2 26 2 5" xfId="41273" xr:uid="{00000000-0005-0000-0000-000037A10000}"/>
    <cellStyle name="Output 2 2 26 3" xfId="41274" xr:uid="{00000000-0005-0000-0000-000038A10000}"/>
    <cellStyle name="Output 2 2 26 4" xfId="41275" xr:uid="{00000000-0005-0000-0000-000039A10000}"/>
    <cellStyle name="Output 2 2 26 5" xfId="41276" xr:uid="{00000000-0005-0000-0000-00003AA10000}"/>
    <cellStyle name="Output 2 2 26 6" xfId="41277" xr:uid="{00000000-0005-0000-0000-00003BA10000}"/>
    <cellStyle name="Output 2 2 27" xfId="41278" xr:uid="{00000000-0005-0000-0000-00003CA10000}"/>
    <cellStyle name="Output 2 2 27 2" xfId="41279" xr:uid="{00000000-0005-0000-0000-00003DA10000}"/>
    <cellStyle name="Output 2 2 27 2 2" xfId="41280" xr:uid="{00000000-0005-0000-0000-00003EA10000}"/>
    <cellStyle name="Output 2 2 27 2 3" xfId="41281" xr:uid="{00000000-0005-0000-0000-00003FA10000}"/>
    <cellStyle name="Output 2 2 27 2 4" xfId="41282" xr:uid="{00000000-0005-0000-0000-000040A10000}"/>
    <cellStyle name="Output 2 2 27 2 5" xfId="41283" xr:uid="{00000000-0005-0000-0000-000041A10000}"/>
    <cellStyle name="Output 2 2 27 3" xfId="41284" xr:uid="{00000000-0005-0000-0000-000042A10000}"/>
    <cellStyle name="Output 2 2 27 4" xfId="41285" xr:uid="{00000000-0005-0000-0000-000043A10000}"/>
    <cellStyle name="Output 2 2 27 5" xfId="41286" xr:uid="{00000000-0005-0000-0000-000044A10000}"/>
    <cellStyle name="Output 2 2 27 6" xfId="41287" xr:uid="{00000000-0005-0000-0000-000045A10000}"/>
    <cellStyle name="Output 2 2 28" xfId="41288" xr:uid="{00000000-0005-0000-0000-000046A10000}"/>
    <cellStyle name="Output 2 2 28 2" xfId="41289" xr:uid="{00000000-0005-0000-0000-000047A10000}"/>
    <cellStyle name="Output 2 2 28 2 2" xfId="41290" xr:uid="{00000000-0005-0000-0000-000048A10000}"/>
    <cellStyle name="Output 2 2 28 2 3" xfId="41291" xr:uid="{00000000-0005-0000-0000-000049A10000}"/>
    <cellStyle name="Output 2 2 28 2 4" xfId="41292" xr:uid="{00000000-0005-0000-0000-00004AA10000}"/>
    <cellStyle name="Output 2 2 28 2 5" xfId="41293" xr:uid="{00000000-0005-0000-0000-00004BA10000}"/>
    <cellStyle name="Output 2 2 28 3" xfId="41294" xr:uid="{00000000-0005-0000-0000-00004CA10000}"/>
    <cellStyle name="Output 2 2 28 4" xfId="41295" xr:uid="{00000000-0005-0000-0000-00004DA10000}"/>
    <cellStyle name="Output 2 2 28 5" xfId="41296" xr:uid="{00000000-0005-0000-0000-00004EA10000}"/>
    <cellStyle name="Output 2 2 28 6" xfId="41297" xr:uid="{00000000-0005-0000-0000-00004FA10000}"/>
    <cellStyle name="Output 2 2 29" xfId="41298" xr:uid="{00000000-0005-0000-0000-000050A10000}"/>
    <cellStyle name="Output 2 2 29 2" xfId="41299" xr:uid="{00000000-0005-0000-0000-000051A10000}"/>
    <cellStyle name="Output 2 2 29 2 2" xfId="41300" xr:uid="{00000000-0005-0000-0000-000052A10000}"/>
    <cellStyle name="Output 2 2 29 2 3" xfId="41301" xr:uid="{00000000-0005-0000-0000-000053A10000}"/>
    <cellStyle name="Output 2 2 29 2 4" xfId="41302" xr:uid="{00000000-0005-0000-0000-000054A10000}"/>
    <cellStyle name="Output 2 2 29 2 5" xfId="41303" xr:uid="{00000000-0005-0000-0000-000055A10000}"/>
    <cellStyle name="Output 2 2 29 3" xfId="41304" xr:uid="{00000000-0005-0000-0000-000056A10000}"/>
    <cellStyle name="Output 2 2 29 4" xfId="41305" xr:uid="{00000000-0005-0000-0000-000057A10000}"/>
    <cellStyle name="Output 2 2 29 5" xfId="41306" xr:uid="{00000000-0005-0000-0000-000058A10000}"/>
    <cellStyle name="Output 2 2 29 6" xfId="41307" xr:uid="{00000000-0005-0000-0000-000059A10000}"/>
    <cellStyle name="Output 2 2 3" xfId="41308" xr:uid="{00000000-0005-0000-0000-00005AA10000}"/>
    <cellStyle name="Output 2 2 3 2" xfId="41309" xr:uid="{00000000-0005-0000-0000-00005BA10000}"/>
    <cellStyle name="Output 2 2 3 2 2" xfId="41310" xr:uid="{00000000-0005-0000-0000-00005CA10000}"/>
    <cellStyle name="Output 2 2 3 2 3" xfId="41311" xr:uid="{00000000-0005-0000-0000-00005DA10000}"/>
    <cellStyle name="Output 2 2 3 2 4" xfId="41312" xr:uid="{00000000-0005-0000-0000-00005EA10000}"/>
    <cellStyle name="Output 2 2 3 2 5" xfId="41313" xr:uid="{00000000-0005-0000-0000-00005FA10000}"/>
    <cellStyle name="Output 2 2 3 3" xfId="41314" xr:uid="{00000000-0005-0000-0000-000060A10000}"/>
    <cellStyle name="Output 2 2 3 3 2" xfId="41315" xr:uid="{00000000-0005-0000-0000-000061A10000}"/>
    <cellStyle name="Output 2 2 3 3 3" xfId="41316" xr:uid="{00000000-0005-0000-0000-000062A10000}"/>
    <cellStyle name="Output 2 2 3 3 4" xfId="41317" xr:uid="{00000000-0005-0000-0000-000063A10000}"/>
    <cellStyle name="Output 2 2 3 3 5" xfId="41318" xr:uid="{00000000-0005-0000-0000-000064A10000}"/>
    <cellStyle name="Output 2 2 3 4" xfId="41319" xr:uid="{00000000-0005-0000-0000-000065A10000}"/>
    <cellStyle name="Output 2 2 3 5" xfId="41320" xr:uid="{00000000-0005-0000-0000-000066A10000}"/>
    <cellStyle name="Output 2 2 3 6" xfId="41321" xr:uid="{00000000-0005-0000-0000-000067A10000}"/>
    <cellStyle name="Output 2 2 3 7" xfId="41322" xr:uid="{00000000-0005-0000-0000-000068A10000}"/>
    <cellStyle name="Output 2 2 3 8" xfId="41323" xr:uid="{00000000-0005-0000-0000-000069A10000}"/>
    <cellStyle name="Output 2 2 30" xfId="41324" xr:uid="{00000000-0005-0000-0000-00006AA10000}"/>
    <cellStyle name="Output 2 2 30 2" xfId="41325" xr:uid="{00000000-0005-0000-0000-00006BA10000}"/>
    <cellStyle name="Output 2 2 30 2 2" xfId="41326" xr:uid="{00000000-0005-0000-0000-00006CA10000}"/>
    <cellStyle name="Output 2 2 30 2 3" xfId="41327" xr:uid="{00000000-0005-0000-0000-00006DA10000}"/>
    <cellStyle name="Output 2 2 30 2 4" xfId="41328" xr:uid="{00000000-0005-0000-0000-00006EA10000}"/>
    <cellStyle name="Output 2 2 30 2 5" xfId="41329" xr:uid="{00000000-0005-0000-0000-00006FA10000}"/>
    <cellStyle name="Output 2 2 30 3" xfId="41330" xr:uid="{00000000-0005-0000-0000-000070A10000}"/>
    <cellStyle name="Output 2 2 30 4" xfId="41331" xr:uid="{00000000-0005-0000-0000-000071A10000}"/>
    <cellStyle name="Output 2 2 30 5" xfId="41332" xr:uid="{00000000-0005-0000-0000-000072A10000}"/>
    <cellStyle name="Output 2 2 30 6" xfId="41333" xr:uid="{00000000-0005-0000-0000-000073A10000}"/>
    <cellStyle name="Output 2 2 31" xfId="41334" xr:uid="{00000000-0005-0000-0000-000074A10000}"/>
    <cellStyle name="Output 2 2 31 2" xfId="41335" xr:uid="{00000000-0005-0000-0000-000075A10000}"/>
    <cellStyle name="Output 2 2 31 2 2" xfId="41336" xr:uid="{00000000-0005-0000-0000-000076A10000}"/>
    <cellStyle name="Output 2 2 31 2 3" xfId="41337" xr:uid="{00000000-0005-0000-0000-000077A10000}"/>
    <cellStyle name="Output 2 2 31 2 4" xfId="41338" xr:uid="{00000000-0005-0000-0000-000078A10000}"/>
    <cellStyle name="Output 2 2 31 2 5" xfId="41339" xr:uid="{00000000-0005-0000-0000-000079A10000}"/>
    <cellStyle name="Output 2 2 31 3" xfId="41340" xr:uid="{00000000-0005-0000-0000-00007AA10000}"/>
    <cellStyle name="Output 2 2 31 4" xfId="41341" xr:uid="{00000000-0005-0000-0000-00007BA10000}"/>
    <cellStyle name="Output 2 2 31 5" xfId="41342" xr:uid="{00000000-0005-0000-0000-00007CA10000}"/>
    <cellStyle name="Output 2 2 31 6" xfId="41343" xr:uid="{00000000-0005-0000-0000-00007DA10000}"/>
    <cellStyle name="Output 2 2 32" xfId="41344" xr:uid="{00000000-0005-0000-0000-00007EA10000}"/>
    <cellStyle name="Output 2 2 32 2" xfId="41345" xr:uid="{00000000-0005-0000-0000-00007FA10000}"/>
    <cellStyle name="Output 2 2 32 2 2" xfId="41346" xr:uid="{00000000-0005-0000-0000-000080A10000}"/>
    <cellStyle name="Output 2 2 32 2 3" xfId="41347" xr:uid="{00000000-0005-0000-0000-000081A10000}"/>
    <cellStyle name="Output 2 2 32 2 4" xfId="41348" xr:uid="{00000000-0005-0000-0000-000082A10000}"/>
    <cellStyle name="Output 2 2 32 2 5" xfId="41349" xr:uid="{00000000-0005-0000-0000-000083A10000}"/>
    <cellStyle name="Output 2 2 32 3" xfId="41350" xr:uid="{00000000-0005-0000-0000-000084A10000}"/>
    <cellStyle name="Output 2 2 32 4" xfId="41351" xr:uid="{00000000-0005-0000-0000-000085A10000}"/>
    <cellStyle name="Output 2 2 32 5" xfId="41352" xr:uid="{00000000-0005-0000-0000-000086A10000}"/>
    <cellStyle name="Output 2 2 32 6" xfId="41353" xr:uid="{00000000-0005-0000-0000-000087A10000}"/>
    <cellStyle name="Output 2 2 33" xfId="41354" xr:uid="{00000000-0005-0000-0000-000088A10000}"/>
    <cellStyle name="Output 2 2 33 2" xfId="41355" xr:uid="{00000000-0005-0000-0000-000089A10000}"/>
    <cellStyle name="Output 2 2 33 2 2" xfId="41356" xr:uid="{00000000-0005-0000-0000-00008AA10000}"/>
    <cellStyle name="Output 2 2 33 2 3" xfId="41357" xr:uid="{00000000-0005-0000-0000-00008BA10000}"/>
    <cellStyle name="Output 2 2 33 2 4" xfId="41358" xr:uid="{00000000-0005-0000-0000-00008CA10000}"/>
    <cellStyle name="Output 2 2 33 2 5" xfId="41359" xr:uid="{00000000-0005-0000-0000-00008DA10000}"/>
    <cellStyle name="Output 2 2 33 3" xfId="41360" xr:uid="{00000000-0005-0000-0000-00008EA10000}"/>
    <cellStyle name="Output 2 2 33 4" xfId="41361" xr:uid="{00000000-0005-0000-0000-00008FA10000}"/>
    <cellStyle name="Output 2 2 33 5" xfId="41362" xr:uid="{00000000-0005-0000-0000-000090A10000}"/>
    <cellStyle name="Output 2 2 33 6" xfId="41363" xr:uid="{00000000-0005-0000-0000-000091A10000}"/>
    <cellStyle name="Output 2 2 34" xfId="41364" xr:uid="{00000000-0005-0000-0000-000092A10000}"/>
    <cellStyle name="Output 2 2 34 2" xfId="41365" xr:uid="{00000000-0005-0000-0000-000093A10000}"/>
    <cellStyle name="Output 2 2 34 2 2" xfId="41366" xr:uid="{00000000-0005-0000-0000-000094A10000}"/>
    <cellStyle name="Output 2 2 34 2 3" xfId="41367" xr:uid="{00000000-0005-0000-0000-000095A10000}"/>
    <cellStyle name="Output 2 2 34 2 4" xfId="41368" xr:uid="{00000000-0005-0000-0000-000096A10000}"/>
    <cellStyle name="Output 2 2 34 2 5" xfId="41369" xr:uid="{00000000-0005-0000-0000-000097A10000}"/>
    <cellStyle name="Output 2 2 34 3" xfId="41370" xr:uid="{00000000-0005-0000-0000-000098A10000}"/>
    <cellStyle name="Output 2 2 34 4" xfId="41371" xr:uid="{00000000-0005-0000-0000-000099A10000}"/>
    <cellStyle name="Output 2 2 34 5" xfId="41372" xr:uid="{00000000-0005-0000-0000-00009AA10000}"/>
    <cellStyle name="Output 2 2 34 6" xfId="41373" xr:uid="{00000000-0005-0000-0000-00009BA10000}"/>
    <cellStyle name="Output 2 2 35" xfId="41374" xr:uid="{00000000-0005-0000-0000-00009CA10000}"/>
    <cellStyle name="Output 2 2 35 2" xfId="41375" xr:uid="{00000000-0005-0000-0000-00009DA10000}"/>
    <cellStyle name="Output 2 2 35 2 2" xfId="41376" xr:uid="{00000000-0005-0000-0000-00009EA10000}"/>
    <cellStyle name="Output 2 2 35 2 3" xfId="41377" xr:uid="{00000000-0005-0000-0000-00009FA10000}"/>
    <cellStyle name="Output 2 2 35 2 4" xfId="41378" xr:uid="{00000000-0005-0000-0000-0000A0A10000}"/>
    <cellStyle name="Output 2 2 35 2 5" xfId="41379" xr:uid="{00000000-0005-0000-0000-0000A1A10000}"/>
    <cellStyle name="Output 2 2 35 3" xfId="41380" xr:uid="{00000000-0005-0000-0000-0000A2A10000}"/>
    <cellStyle name="Output 2 2 35 4" xfId="41381" xr:uid="{00000000-0005-0000-0000-0000A3A10000}"/>
    <cellStyle name="Output 2 2 35 5" xfId="41382" xr:uid="{00000000-0005-0000-0000-0000A4A10000}"/>
    <cellStyle name="Output 2 2 35 6" xfId="41383" xr:uid="{00000000-0005-0000-0000-0000A5A10000}"/>
    <cellStyle name="Output 2 2 36" xfId="41384" xr:uid="{00000000-0005-0000-0000-0000A6A10000}"/>
    <cellStyle name="Output 2 2 36 2" xfId="41385" xr:uid="{00000000-0005-0000-0000-0000A7A10000}"/>
    <cellStyle name="Output 2 2 36 2 2" xfId="41386" xr:uid="{00000000-0005-0000-0000-0000A8A10000}"/>
    <cellStyle name="Output 2 2 36 2 3" xfId="41387" xr:uid="{00000000-0005-0000-0000-0000A9A10000}"/>
    <cellStyle name="Output 2 2 36 2 4" xfId="41388" xr:uid="{00000000-0005-0000-0000-0000AAA10000}"/>
    <cellStyle name="Output 2 2 36 2 5" xfId="41389" xr:uid="{00000000-0005-0000-0000-0000ABA10000}"/>
    <cellStyle name="Output 2 2 36 3" xfId="41390" xr:uid="{00000000-0005-0000-0000-0000ACA10000}"/>
    <cellStyle name="Output 2 2 36 4" xfId="41391" xr:uid="{00000000-0005-0000-0000-0000ADA10000}"/>
    <cellStyle name="Output 2 2 36 5" xfId="41392" xr:uid="{00000000-0005-0000-0000-0000AEA10000}"/>
    <cellStyle name="Output 2 2 36 6" xfId="41393" xr:uid="{00000000-0005-0000-0000-0000AFA10000}"/>
    <cellStyle name="Output 2 2 37" xfId="41394" xr:uid="{00000000-0005-0000-0000-0000B0A10000}"/>
    <cellStyle name="Output 2 2 37 2" xfId="41395" xr:uid="{00000000-0005-0000-0000-0000B1A10000}"/>
    <cellStyle name="Output 2 2 37 2 2" xfId="41396" xr:uid="{00000000-0005-0000-0000-0000B2A10000}"/>
    <cellStyle name="Output 2 2 37 2 3" xfId="41397" xr:uid="{00000000-0005-0000-0000-0000B3A10000}"/>
    <cellStyle name="Output 2 2 37 2 4" xfId="41398" xr:uid="{00000000-0005-0000-0000-0000B4A10000}"/>
    <cellStyle name="Output 2 2 37 2 5" xfId="41399" xr:uid="{00000000-0005-0000-0000-0000B5A10000}"/>
    <cellStyle name="Output 2 2 37 3" xfId="41400" xr:uid="{00000000-0005-0000-0000-0000B6A10000}"/>
    <cellStyle name="Output 2 2 37 4" xfId="41401" xr:uid="{00000000-0005-0000-0000-0000B7A10000}"/>
    <cellStyle name="Output 2 2 37 5" xfId="41402" xr:uid="{00000000-0005-0000-0000-0000B8A10000}"/>
    <cellStyle name="Output 2 2 37 6" xfId="41403" xr:uid="{00000000-0005-0000-0000-0000B9A10000}"/>
    <cellStyle name="Output 2 2 38" xfId="41404" xr:uid="{00000000-0005-0000-0000-0000BAA10000}"/>
    <cellStyle name="Output 2 2 38 2" xfId="41405" xr:uid="{00000000-0005-0000-0000-0000BBA10000}"/>
    <cellStyle name="Output 2 2 38 2 2" xfId="41406" xr:uid="{00000000-0005-0000-0000-0000BCA10000}"/>
    <cellStyle name="Output 2 2 38 2 3" xfId="41407" xr:uid="{00000000-0005-0000-0000-0000BDA10000}"/>
    <cellStyle name="Output 2 2 38 2 4" xfId="41408" xr:uid="{00000000-0005-0000-0000-0000BEA10000}"/>
    <cellStyle name="Output 2 2 38 2 5" xfId="41409" xr:uid="{00000000-0005-0000-0000-0000BFA10000}"/>
    <cellStyle name="Output 2 2 38 3" xfId="41410" xr:uid="{00000000-0005-0000-0000-0000C0A10000}"/>
    <cellStyle name="Output 2 2 38 4" xfId="41411" xr:uid="{00000000-0005-0000-0000-0000C1A10000}"/>
    <cellStyle name="Output 2 2 38 5" xfId="41412" xr:uid="{00000000-0005-0000-0000-0000C2A10000}"/>
    <cellStyle name="Output 2 2 38 6" xfId="41413" xr:uid="{00000000-0005-0000-0000-0000C3A10000}"/>
    <cellStyle name="Output 2 2 39" xfId="41414" xr:uid="{00000000-0005-0000-0000-0000C4A10000}"/>
    <cellStyle name="Output 2 2 39 2" xfId="41415" xr:uid="{00000000-0005-0000-0000-0000C5A10000}"/>
    <cellStyle name="Output 2 2 39 2 2" xfId="41416" xr:uid="{00000000-0005-0000-0000-0000C6A10000}"/>
    <cellStyle name="Output 2 2 39 2 3" xfId="41417" xr:uid="{00000000-0005-0000-0000-0000C7A10000}"/>
    <cellStyle name="Output 2 2 39 2 4" xfId="41418" xr:uid="{00000000-0005-0000-0000-0000C8A10000}"/>
    <cellStyle name="Output 2 2 39 2 5" xfId="41419" xr:uid="{00000000-0005-0000-0000-0000C9A10000}"/>
    <cellStyle name="Output 2 2 39 3" xfId="41420" xr:uid="{00000000-0005-0000-0000-0000CAA10000}"/>
    <cellStyle name="Output 2 2 39 4" xfId="41421" xr:uid="{00000000-0005-0000-0000-0000CBA10000}"/>
    <cellStyle name="Output 2 2 39 5" xfId="41422" xr:uid="{00000000-0005-0000-0000-0000CCA10000}"/>
    <cellStyle name="Output 2 2 39 6" xfId="41423" xr:uid="{00000000-0005-0000-0000-0000CDA10000}"/>
    <cellStyle name="Output 2 2 4" xfId="41424" xr:uid="{00000000-0005-0000-0000-0000CEA10000}"/>
    <cellStyle name="Output 2 2 4 2" xfId="41425" xr:uid="{00000000-0005-0000-0000-0000CFA10000}"/>
    <cellStyle name="Output 2 2 4 2 2" xfId="41426" xr:uid="{00000000-0005-0000-0000-0000D0A10000}"/>
    <cellStyle name="Output 2 2 4 2 3" xfId="41427" xr:uid="{00000000-0005-0000-0000-0000D1A10000}"/>
    <cellStyle name="Output 2 2 4 2 4" xfId="41428" xr:uid="{00000000-0005-0000-0000-0000D2A10000}"/>
    <cellStyle name="Output 2 2 4 2 5" xfId="41429" xr:uid="{00000000-0005-0000-0000-0000D3A10000}"/>
    <cellStyle name="Output 2 2 4 3" xfId="41430" xr:uid="{00000000-0005-0000-0000-0000D4A10000}"/>
    <cellStyle name="Output 2 2 4 4" xfId="41431" xr:uid="{00000000-0005-0000-0000-0000D5A10000}"/>
    <cellStyle name="Output 2 2 4 5" xfId="41432" xr:uid="{00000000-0005-0000-0000-0000D6A10000}"/>
    <cellStyle name="Output 2 2 4 6" xfId="41433" xr:uid="{00000000-0005-0000-0000-0000D7A10000}"/>
    <cellStyle name="Output 2 2 40" xfId="41434" xr:uid="{00000000-0005-0000-0000-0000D8A10000}"/>
    <cellStyle name="Output 2 2 40 2" xfId="41435" xr:uid="{00000000-0005-0000-0000-0000D9A10000}"/>
    <cellStyle name="Output 2 2 40 2 2" xfId="41436" xr:uid="{00000000-0005-0000-0000-0000DAA10000}"/>
    <cellStyle name="Output 2 2 40 2 3" xfId="41437" xr:uid="{00000000-0005-0000-0000-0000DBA10000}"/>
    <cellStyle name="Output 2 2 40 2 4" xfId="41438" xr:uid="{00000000-0005-0000-0000-0000DCA10000}"/>
    <cellStyle name="Output 2 2 40 2 5" xfId="41439" xr:uid="{00000000-0005-0000-0000-0000DDA10000}"/>
    <cellStyle name="Output 2 2 40 3" xfId="41440" xr:uid="{00000000-0005-0000-0000-0000DEA10000}"/>
    <cellStyle name="Output 2 2 40 4" xfId="41441" xr:uid="{00000000-0005-0000-0000-0000DFA10000}"/>
    <cellStyle name="Output 2 2 40 5" xfId="41442" xr:uid="{00000000-0005-0000-0000-0000E0A10000}"/>
    <cellStyle name="Output 2 2 40 6" xfId="41443" xr:uid="{00000000-0005-0000-0000-0000E1A10000}"/>
    <cellStyle name="Output 2 2 41" xfId="41444" xr:uid="{00000000-0005-0000-0000-0000E2A10000}"/>
    <cellStyle name="Output 2 2 41 2" xfId="41445" xr:uid="{00000000-0005-0000-0000-0000E3A10000}"/>
    <cellStyle name="Output 2 2 41 2 2" xfId="41446" xr:uid="{00000000-0005-0000-0000-0000E4A10000}"/>
    <cellStyle name="Output 2 2 41 2 3" xfId="41447" xr:uid="{00000000-0005-0000-0000-0000E5A10000}"/>
    <cellStyle name="Output 2 2 41 2 4" xfId="41448" xr:uid="{00000000-0005-0000-0000-0000E6A10000}"/>
    <cellStyle name="Output 2 2 41 2 5" xfId="41449" xr:uid="{00000000-0005-0000-0000-0000E7A10000}"/>
    <cellStyle name="Output 2 2 41 3" xfId="41450" xr:uid="{00000000-0005-0000-0000-0000E8A10000}"/>
    <cellStyle name="Output 2 2 41 4" xfId="41451" xr:uid="{00000000-0005-0000-0000-0000E9A10000}"/>
    <cellStyle name="Output 2 2 41 5" xfId="41452" xr:uid="{00000000-0005-0000-0000-0000EAA10000}"/>
    <cellStyle name="Output 2 2 41 6" xfId="41453" xr:uid="{00000000-0005-0000-0000-0000EBA10000}"/>
    <cellStyle name="Output 2 2 42" xfId="41454" xr:uid="{00000000-0005-0000-0000-0000ECA10000}"/>
    <cellStyle name="Output 2 2 42 2" xfId="41455" xr:uid="{00000000-0005-0000-0000-0000EDA10000}"/>
    <cellStyle name="Output 2 2 42 3" xfId="41456" xr:uid="{00000000-0005-0000-0000-0000EEA10000}"/>
    <cellStyle name="Output 2 2 42 4" xfId="41457" xr:uid="{00000000-0005-0000-0000-0000EFA10000}"/>
    <cellStyle name="Output 2 2 42 5" xfId="41458" xr:uid="{00000000-0005-0000-0000-0000F0A10000}"/>
    <cellStyle name="Output 2 2 43" xfId="41459" xr:uid="{00000000-0005-0000-0000-0000F1A10000}"/>
    <cellStyle name="Output 2 2 43 2" xfId="41460" xr:uid="{00000000-0005-0000-0000-0000F2A10000}"/>
    <cellStyle name="Output 2 2 43 3" xfId="41461" xr:uid="{00000000-0005-0000-0000-0000F3A10000}"/>
    <cellStyle name="Output 2 2 43 4" xfId="41462" xr:uid="{00000000-0005-0000-0000-0000F4A10000}"/>
    <cellStyle name="Output 2 2 43 5" xfId="41463" xr:uid="{00000000-0005-0000-0000-0000F5A10000}"/>
    <cellStyle name="Output 2 2 44" xfId="41464" xr:uid="{00000000-0005-0000-0000-0000F6A10000}"/>
    <cellStyle name="Output 2 2 45" xfId="41465" xr:uid="{00000000-0005-0000-0000-0000F7A10000}"/>
    <cellStyle name="Output 2 2 46" xfId="41466" xr:uid="{00000000-0005-0000-0000-0000F8A10000}"/>
    <cellStyle name="Output 2 2 47" xfId="41467" xr:uid="{00000000-0005-0000-0000-0000F9A10000}"/>
    <cellStyle name="Output 2 2 5" xfId="41468" xr:uid="{00000000-0005-0000-0000-0000FAA10000}"/>
    <cellStyle name="Output 2 2 5 2" xfId="41469" xr:uid="{00000000-0005-0000-0000-0000FBA10000}"/>
    <cellStyle name="Output 2 2 5 2 2" xfId="41470" xr:uid="{00000000-0005-0000-0000-0000FCA10000}"/>
    <cellStyle name="Output 2 2 5 2 3" xfId="41471" xr:uid="{00000000-0005-0000-0000-0000FDA10000}"/>
    <cellStyle name="Output 2 2 5 2 4" xfId="41472" xr:uid="{00000000-0005-0000-0000-0000FEA10000}"/>
    <cellStyle name="Output 2 2 5 2 5" xfId="41473" xr:uid="{00000000-0005-0000-0000-0000FFA10000}"/>
    <cellStyle name="Output 2 2 5 3" xfId="41474" xr:uid="{00000000-0005-0000-0000-000000A20000}"/>
    <cellStyle name="Output 2 2 5 4" xfId="41475" xr:uid="{00000000-0005-0000-0000-000001A20000}"/>
    <cellStyle name="Output 2 2 5 5" xfId="41476" xr:uid="{00000000-0005-0000-0000-000002A20000}"/>
    <cellStyle name="Output 2 2 5 6" xfId="41477" xr:uid="{00000000-0005-0000-0000-000003A20000}"/>
    <cellStyle name="Output 2 2 6" xfId="41478" xr:uid="{00000000-0005-0000-0000-000004A20000}"/>
    <cellStyle name="Output 2 2 6 2" xfId="41479" xr:uid="{00000000-0005-0000-0000-000005A20000}"/>
    <cellStyle name="Output 2 2 6 2 2" xfId="41480" xr:uid="{00000000-0005-0000-0000-000006A20000}"/>
    <cellStyle name="Output 2 2 6 2 3" xfId="41481" xr:uid="{00000000-0005-0000-0000-000007A20000}"/>
    <cellStyle name="Output 2 2 6 2 4" xfId="41482" xr:uid="{00000000-0005-0000-0000-000008A20000}"/>
    <cellStyle name="Output 2 2 6 2 5" xfId="41483" xr:uid="{00000000-0005-0000-0000-000009A20000}"/>
    <cellStyle name="Output 2 2 6 3" xfId="41484" xr:uid="{00000000-0005-0000-0000-00000AA20000}"/>
    <cellStyle name="Output 2 2 6 4" xfId="41485" xr:uid="{00000000-0005-0000-0000-00000BA20000}"/>
    <cellStyle name="Output 2 2 6 5" xfId="41486" xr:uid="{00000000-0005-0000-0000-00000CA20000}"/>
    <cellStyle name="Output 2 2 6 6" xfId="41487" xr:uid="{00000000-0005-0000-0000-00000DA20000}"/>
    <cellStyle name="Output 2 2 7" xfId="41488" xr:uid="{00000000-0005-0000-0000-00000EA20000}"/>
    <cellStyle name="Output 2 2 7 2" xfId="41489" xr:uid="{00000000-0005-0000-0000-00000FA20000}"/>
    <cellStyle name="Output 2 2 7 2 2" xfId="41490" xr:uid="{00000000-0005-0000-0000-000010A20000}"/>
    <cellStyle name="Output 2 2 7 2 3" xfId="41491" xr:uid="{00000000-0005-0000-0000-000011A20000}"/>
    <cellStyle name="Output 2 2 7 2 4" xfId="41492" xr:uid="{00000000-0005-0000-0000-000012A20000}"/>
    <cellStyle name="Output 2 2 7 2 5" xfId="41493" xr:uid="{00000000-0005-0000-0000-000013A20000}"/>
    <cellStyle name="Output 2 2 7 3" xfId="41494" xr:uid="{00000000-0005-0000-0000-000014A20000}"/>
    <cellStyle name="Output 2 2 7 4" xfId="41495" xr:uid="{00000000-0005-0000-0000-000015A20000}"/>
    <cellStyle name="Output 2 2 7 5" xfId="41496" xr:uid="{00000000-0005-0000-0000-000016A20000}"/>
    <cellStyle name="Output 2 2 7 6" xfId="41497" xr:uid="{00000000-0005-0000-0000-000017A20000}"/>
    <cellStyle name="Output 2 2 8" xfId="41498" xr:uid="{00000000-0005-0000-0000-000018A20000}"/>
    <cellStyle name="Output 2 2 8 2" xfId="41499" xr:uid="{00000000-0005-0000-0000-000019A20000}"/>
    <cellStyle name="Output 2 2 8 2 2" xfId="41500" xr:uid="{00000000-0005-0000-0000-00001AA20000}"/>
    <cellStyle name="Output 2 2 8 2 3" xfId="41501" xr:uid="{00000000-0005-0000-0000-00001BA20000}"/>
    <cellStyle name="Output 2 2 8 2 4" xfId="41502" xr:uid="{00000000-0005-0000-0000-00001CA20000}"/>
    <cellStyle name="Output 2 2 8 2 5" xfId="41503" xr:uid="{00000000-0005-0000-0000-00001DA20000}"/>
    <cellStyle name="Output 2 2 8 3" xfId="41504" xr:uid="{00000000-0005-0000-0000-00001EA20000}"/>
    <cellStyle name="Output 2 2 8 4" xfId="41505" xr:uid="{00000000-0005-0000-0000-00001FA20000}"/>
    <cellStyle name="Output 2 2 8 5" xfId="41506" xr:uid="{00000000-0005-0000-0000-000020A20000}"/>
    <cellStyle name="Output 2 2 8 6" xfId="41507" xr:uid="{00000000-0005-0000-0000-000021A20000}"/>
    <cellStyle name="Output 2 2 9" xfId="41508" xr:uid="{00000000-0005-0000-0000-000022A20000}"/>
    <cellStyle name="Output 2 2 9 2" xfId="41509" xr:uid="{00000000-0005-0000-0000-000023A20000}"/>
    <cellStyle name="Output 2 2 9 2 2" xfId="41510" xr:uid="{00000000-0005-0000-0000-000024A20000}"/>
    <cellStyle name="Output 2 2 9 2 3" xfId="41511" xr:uid="{00000000-0005-0000-0000-000025A20000}"/>
    <cellStyle name="Output 2 2 9 2 4" xfId="41512" xr:uid="{00000000-0005-0000-0000-000026A20000}"/>
    <cellStyle name="Output 2 2 9 2 5" xfId="41513" xr:uid="{00000000-0005-0000-0000-000027A20000}"/>
    <cellStyle name="Output 2 2 9 3" xfId="41514" xr:uid="{00000000-0005-0000-0000-000028A20000}"/>
    <cellStyle name="Output 2 2 9 4" xfId="41515" xr:uid="{00000000-0005-0000-0000-000029A20000}"/>
    <cellStyle name="Output 2 2 9 5" xfId="41516" xr:uid="{00000000-0005-0000-0000-00002AA20000}"/>
    <cellStyle name="Output 2 2 9 6" xfId="41517" xr:uid="{00000000-0005-0000-0000-00002BA20000}"/>
    <cellStyle name="Output 2 20" xfId="41518" xr:uid="{00000000-0005-0000-0000-00002CA20000}"/>
    <cellStyle name="Output 2 20 2" xfId="41519" xr:uid="{00000000-0005-0000-0000-00002DA20000}"/>
    <cellStyle name="Output 2 20 2 2" xfId="41520" xr:uid="{00000000-0005-0000-0000-00002EA20000}"/>
    <cellStyle name="Output 2 20 2 3" xfId="41521" xr:uid="{00000000-0005-0000-0000-00002FA20000}"/>
    <cellStyle name="Output 2 20 2 4" xfId="41522" xr:uid="{00000000-0005-0000-0000-000030A20000}"/>
    <cellStyle name="Output 2 20 2 5" xfId="41523" xr:uid="{00000000-0005-0000-0000-000031A20000}"/>
    <cellStyle name="Output 2 20 3" xfId="41524" xr:uid="{00000000-0005-0000-0000-000032A20000}"/>
    <cellStyle name="Output 2 20 4" xfId="41525" xr:uid="{00000000-0005-0000-0000-000033A20000}"/>
    <cellStyle name="Output 2 20 5" xfId="41526" xr:uid="{00000000-0005-0000-0000-000034A20000}"/>
    <cellStyle name="Output 2 20 6" xfId="41527" xr:uid="{00000000-0005-0000-0000-000035A20000}"/>
    <cellStyle name="Output 2 21" xfId="41528" xr:uid="{00000000-0005-0000-0000-000036A20000}"/>
    <cellStyle name="Output 2 21 2" xfId="41529" xr:uid="{00000000-0005-0000-0000-000037A20000}"/>
    <cellStyle name="Output 2 21 2 2" xfId="41530" xr:uid="{00000000-0005-0000-0000-000038A20000}"/>
    <cellStyle name="Output 2 21 2 3" xfId="41531" xr:uid="{00000000-0005-0000-0000-000039A20000}"/>
    <cellStyle name="Output 2 21 2 4" xfId="41532" xr:uid="{00000000-0005-0000-0000-00003AA20000}"/>
    <cellStyle name="Output 2 21 2 5" xfId="41533" xr:uid="{00000000-0005-0000-0000-00003BA20000}"/>
    <cellStyle name="Output 2 21 3" xfId="41534" xr:uid="{00000000-0005-0000-0000-00003CA20000}"/>
    <cellStyle name="Output 2 21 4" xfId="41535" xr:uid="{00000000-0005-0000-0000-00003DA20000}"/>
    <cellStyle name="Output 2 21 5" xfId="41536" xr:uid="{00000000-0005-0000-0000-00003EA20000}"/>
    <cellStyle name="Output 2 21 6" xfId="41537" xr:uid="{00000000-0005-0000-0000-00003FA20000}"/>
    <cellStyle name="Output 2 22" xfId="41538" xr:uid="{00000000-0005-0000-0000-000040A20000}"/>
    <cellStyle name="Output 2 22 2" xfId="41539" xr:uid="{00000000-0005-0000-0000-000041A20000}"/>
    <cellStyle name="Output 2 22 2 2" xfId="41540" xr:uid="{00000000-0005-0000-0000-000042A20000}"/>
    <cellStyle name="Output 2 22 2 3" xfId="41541" xr:uid="{00000000-0005-0000-0000-000043A20000}"/>
    <cellStyle name="Output 2 22 2 4" xfId="41542" xr:uid="{00000000-0005-0000-0000-000044A20000}"/>
    <cellStyle name="Output 2 22 2 5" xfId="41543" xr:uid="{00000000-0005-0000-0000-000045A20000}"/>
    <cellStyle name="Output 2 22 3" xfId="41544" xr:uid="{00000000-0005-0000-0000-000046A20000}"/>
    <cellStyle name="Output 2 22 4" xfId="41545" xr:uid="{00000000-0005-0000-0000-000047A20000}"/>
    <cellStyle name="Output 2 22 5" xfId="41546" xr:uid="{00000000-0005-0000-0000-000048A20000}"/>
    <cellStyle name="Output 2 22 6" xfId="41547" xr:uid="{00000000-0005-0000-0000-000049A20000}"/>
    <cellStyle name="Output 2 23" xfId="41548" xr:uid="{00000000-0005-0000-0000-00004AA20000}"/>
    <cellStyle name="Output 2 23 2" xfId="41549" xr:uid="{00000000-0005-0000-0000-00004BA20000}"/>
    <cellStyle name="Output 2 23 2 2" xfId="41550" xr:uid="{00000000-0005-0000-0000-00004CA20000}"/>
    <cellStyle name="Output 2 23 2 3" xfId="41551" xr:uid="{00000000-0005-0000-0000-00004DA20000}"/>
    <cellStyle name="Output 2 23 2 4" xfId="41552" xr:uid="{00000000-0005-0000-0000-00004EA20000}"/>
    <cellStyle name="Output 2 23 2 5" xfId="41553" xr:uid="{00000000-0005-0000-0000-00004FA20000}"/>
    <cellStyle name="Output 2 23 3" xfId="41554" xr:uid="{00000000-0005-0000-0000-000050A20000}"/>
    <cellStyle name="Output 2 23 4" xfId="41555" xr:uid="{00000000-0005-0000-0000-000051A20000}"/>
    <cellStyle name="Output 2 23 5" xfId="41556" xr:uid="{00000000-0005-0000-0000-000052A20000}"/>
    <cellStyle name="Output 2 23 6" xfId="41557" xr:uid="{00000000-0005-0000-0000-000053A20000}"/>
    <cellStyle name="Output 2 24" xfId="41558" xr:uid="{00000000-0005-0000-0000-000054A20000}"/>
    <cellStyle name="Output 2 24 2" xfId="41559" xr:uid="{00000000-0005-0000-0000-000055A20000}"/>
    <cellStyle name="Output 2 24 2 2" xfId="41560" xr:uid="{00000000-0005-0000-0000-000056A20000}"/>
    <cellStyle name="Output 2 24 2 3" xfId="41561" xr:uid="{00000000-0005-0000-0000-000057A20000}"/>
    <cellStyle name="Output 2 24 2 4" xfId="41562" xr:uid="{00000000-0005-0000-0000-000058A20000}"/>
    <cellStyle name="Output 2 24 2 5" xfId="41563" xr:uid="{00000000-0005-0000-0000-000059A20000}"/>
    <cellStyle name="Output 2 24 3" xfId="41564" xr:uid="{00000000-0005-0000-0000-00005AA20000}"/>
    <cellStyle name="Output 2 24 4" xfId="41565" xr:uid="{00000000-0005-0000-0000-00005BA20000}"/>
    <cellStyle name="Output 2 24 5" xfId="41566" xr:uid="{00000000-0005-0000-0000-00005CA20000}"/>
    <cellStyle name="Output 2 24 6" xfId="41567" xr:uid="{00000000-0005-0000-0000-00005DA20000}"/>
    <cellStyle name="Output 2 25" xfId="41568" xr:uid="{00000000-0005-0000-0000-00005EA20000}"/>
    <cellStyle name="Output 2 25 2" xfId="41569" xr:uid="{00000000-0005-0000-0000-00005FA20000}"/>
    <cellStyle name="Output 2 25 2 2" xfId="41570" xr:uid="{00000000-0005-0000-0000-000060A20000}"/>
    <cellStyle name="Output 2 25 2 3" xfId="41571" xr:uid="{00000000-0005-0000-0000-000061A20000}"/>
    <cellStyle name="Output 2 25 2 4" xfId="41572" xr:uid="{00000000-0005-0000-0000-000062A20000}"/>
    <cellStyle name="Output 2 25 2 5" xfId="41573" xr:uid="{00000000-0005-0000-0000-000063A20000}"/>
    <cellStyle name="Output 2 25 3" xfId="41574" xr:uid="{00000000-0005-0000-0000-000064A20000}"/>
    <cellStyle name="Output 2 25 4" xfId="41575" xr:uid="{00000000-0005-0000-0000-000065A20000}"/>
    <cellStyle name="Output 2 25 5" xfId="41576" xr:uid="{00000000-0005-0000-0000-000066A20000}"/>
    <cellStyle name="Output 2 25 6" xfId="41577" xr:uid="{00000000-0005-0000-0000-000067A20000}"/>
    <cellStyle name="Output 2 26" xfId="41578" xr:uid="{00000000-0005-0000-0000-000068A20000}"/>
    <cellStyle name="Output 2 26 2" xfId="41579" xr:uid="{00000000-0005-0000-0000-000069A20000}"/>
    <cellStyle name="Output 2 26 2 2" xfId="41580" xr:uid="{00000000-0005-0000-0000-00006AA20000}"/>
    <cellStyle name="Output 2 26 2 3" xfId="41581" xr:uid="{00000000-0005-0000-0000-00006BA20000}"/>
    <cellStyle name="Output 2 26 2 4" xfId="41582" xr:uid="{00000000-0005-0000-0000-00006CA20000}"/>
    <cellStyle name="Output 2 26 2 5" xfId="41583" xr:uid="{00000000-0005-0000-0000-00006DA20000}"/>
    <cellStyle name="Output 2 26 3" xfId="41584" xr:uid="{00000000-0005-0000-0000-00006EA20000}"/>
    <cellStyle name="Output 2 26 4" xfId="41585" xr:uid="{00000000-0005-0000-0000-00006FA20000}"/>
    <cellStyle name="Output 2 26 5" xfId="41586" xr:uid="{00000000-0005-0000-0000-000070A20000}"/>
    <cellStyle name="Output 2 26 6" xfId="41587" xr:uid="{00000000-0005-0000-0000-000071A20000}"/>
    <cellStyle name="Output 2 27" xfId="41588" xr:uid="{00000000-0005-0000-0000-000072A20000}"/>
    <cellStyle name="Output 2 27 2" xfId="41589" xr:uid="{00000000-0005-0000-0000-000073A20000}"/>
    <cellStyle name="Output 2 27 2 2" xfId="41590" xr:uid="{00000000-0005-0000-0000-000074A20000}"/>
    <cellStyle name="Output 2 27 2 3" xfId="41591" xr:uid="{00000000-0005-0000-0000-000075A20000}"/>
    <cellStyle name="Output 2 27 2 4" xfId="41592" xr:uid="{00000000-0005-0000-0000-000076A20000}"/>
    <cellStyle name="Output 2 27 2 5" xfId="41593" xr:uid="{00000000-0005-0000-0000-000077A20000}"/>
    <cellStyle name="Output 2 27 3" xfId="41594" xr:uid="{00000000-0005-0000-0000-000078A20000}"/>
    <cellStyle name="Output 2 27 4" xfId="41595" xr:uid="{00000000-0005-0000-0000-000079A20000}"/>
    <cellStyle name="Output 2 27 5" xfId="41596" xr:uid="{00000000-0005-0000-0000-00007AA20000}"/>
    <cellStyle name="Output 2 27 6" xfId="41597" xr:uid="{00000000-0005-0000-0000-00007BA20000}"/>
    <cellStyle name="Output 2 28" xfId="41598" xr:uid="{00000000-0005-0000-0000-00007CA20000}"/>
    <cellStyle name="Output 2 28 2" xfId="41599" xr:uid="{00000000-0005-0000-0000-00007DA20000}"/>
    <cellStyle name="Output 2 28 2 2" xfId="41600" xr:uid="{00000000-0005-0000-0000-00007EA20000}"/>
    <cellStyle name="Output 2 28 2 3" xfId="41601" xr:uid="{00000000-0005-0000-0000-00007FA20000}"/>
    <cellStyle name="Output 2 28 2 4" xfId="41602" xr:uid="{00000000-0005-0000-0000-000080A20000}"/>
    <cellStyle name="Output 2 28 2 5" xfId="41603" xr:uid="{00000000-0005-0000-0000-000081A20000}"/>
    <cellStyle name="Output 2 28 3" xfId="41604" xr:uid="{00000000-0005-0000-0000-000082A20000}"/>
    <cellStyle name="Output 2 28 4" xfId="41605" xr:uid="{00000000-0005-0000-0000-000083A20000}"/>
    <cellStyle name="Output 2 28 5" xfId="41606" xr:uid="{00000000-0005-0000-0000-000084A20000}"/>
    <cellStyle name="Output 2 28 6" xfId="41607" xr:uid="{00000000-0005-0000-0000-000085A20000}"/>
    <cellStyle name="Output 2 29" xfId="41608" xr:uid="{00000000-0005-0000-0000-000086A20000}"/>
    <cellStyle name="Output 2 29 2" xfId="41609" xr:uid="{00000000-0005-0000-0000-000087A20000}"/>
    <cellStyle name="Output 2 29 2 2" xfId="41610" xr:uid="{00000000-0005-0000-0000-000088A20000}"/>
    <cellStyle name="Output 2 29 2 3" xfId="41611" xr:uid="{00000000-0005-0000-0000-000089A20000}"/>
    <cellStyle name="Output 2 29 2 4" xfId="41612" xr:uid="{00000000-0005-0000-0000-00008AA20000}"/>
    <cellStyle name="Output 2 29 2 5" xfId="41613" xr:uid="{00000000-0005-0000-0000-00008BA20000}"/>
    <cellStyle name="Output 2 29 3" xfId="41614" xr:uid="{00000000-0005-0000-0000-00008CA20000}"/>
    <cellStyle name="Output 2 29 4" xfId="41615" xr:uid="{00000000-0005-0000-0000-00008DA20000}"/>
    <cellStyle name="Output 2 29 5" xfId="41616" xr:uid="{00000000-0005-0000-0000-00008EA20000}"/>
    <cellStyle name="Output 2 29 6" xfId="41617" xr:uid="{00000000-0005-0000-0000-00008FA20000}"/>
    <cellStyle name="Output 2 3" xfId="41618" xr:uid="{00000000-0005-0000-0000-000090A20000}"/>
    <cellStyle name="Output 2 3 10" xfId="41619" xr:uid="{00000000-0005-0000-0000-000091A20000}"/>
    <cellStyle name="Output 2 3 10 2" xfId="41620" xr:uid="{00000000-0005-0000-0000-000092A20000}"/>
    <cellStyle name="Output 2 3 10 2 2" xfId="41621" xr:uid="{00000000-0005-0000-0000-000093A20000}"/>
    <cellStyle name="Output 2 3 10 2 3" xfId="41622" xr:uid="{00000000-0005-0000-0000-000094A20000}"/>
    <cellStyle name="Output 2 3 10 2 4" xfId="41623" xr:uid="{00000000-0005-0000-0000-000095A20000}"/>
    <cellStyle name="Output 2 3 10 2 5" xfId="41624" xr:uid="{00000000-0005-0000-0000-000096A20000}"/>
    <cellStyle name="Output 2 3 10 3" xfId="41625" xr:uid="{00000000-0005-0000-0000-000097A20000}"/>
    <cellStyle name="Output 2 3 10 3 2" xfId="41626" xr:uid="{00000000-0005-0000-0000-000098A20000}"/>
    <cellStyle name="Output 2 3 10 3 3" xfId="41627" xr:uid="{00000000-0005-0000-0000-000099A20000}"/>
    <cellStyle name="Output 2 3 10 3 4" xfId="41628" xr:uid="{00000000-0005-0000-0000-00009AA20000}"/>
    <cellStyle name="Output 2 3 10 3 5" xfId="41629" xr:uid="{00000000-0005-0000-0000-00009BA20000}"/>
    <cellStyle name="Output 2 3 10 4" xfId="41630" xr:uid="{00000000-0005-0000-0000-00009CA20000}"/>
    <cellStyle name="Output 2 3 10 5" xfId="41631" xr:uid="{00000000-0005-0000-0000-00009DA20000}"/>
    <cellStyle name="Output 2 3 10 6" xfId="41632" xr:uid="{00000000-0005-0000-0000-00009EA20000}"/>
    <cellStyle name="Output 2 3 10 7" xfId="41633" xr:uid="{00000000-0005-0000-0000-00009FA20000}"/>
    <cellStyle name="Output 2 3 10 8" xfId="41634" xr:uid="{00000000-0005-0000-0000-0000A0A20000}"/>
    <cellStyle name="Output 2 3 11" xfId="41635" xr:uid="{00000000-0005-0000-0000-0000A1A20000}"/>
    <cellStyle name="Output 2 3 11 2" xfId="41636" xr:uid="{00000000-0005-0000-0000-0000A2A20000}"/>
    <cellStyle name="Output 2 3 11 2 2" xfId="41637" xr:uid="{00000000-0005-0000-0000-0000A3A20000}"/>
    <cellStyle name="Output 2 3 11 2 3" xfId="41638" xr:uid="{00000000-0005-0000-0000-0000A4A20000}"/>
    <cellStyle name="Output 2 3 11 2 4" xfId="41639" xr:uid="{00000000-0005-0000-0000-0000A5A20000}"/>
    <cellStyle name="Output 2 3 11 2 5" xfId="41640" xr:uid="{00000000-0005-0000-0000-0000A6A20000}"/>
    <cellStyle name="Output 2 3 11 3" xfId="41641" xr:uid="{00000000-0005-0000-0000-0000A7A20000}"/>
    <cellStyle name="Output 2 3 11 4" xfId="41642" xr:uid="{00000000-0005-0000-0000-0000A8A20000}"/>
    <cellStyle name="Output 2 3 11 5" xfId="41643" xr:uid="{00000000-0005-0000-0000-0000A9A20000}"/>
    <cellStyle name="Output 2 3 11 6" xfId="41644" xr:uid="{00000000-0005-0000-0000-0000AAA20000}"/>
    <cellStyle name="Output 2 3 12" xfId="41645" xr:uid="{00000000-0005-0000-0000-0000ABA20000}"/>
    <cellStyle name="Output 2 3 12 2" xfId="41646" xr:uid="{00000000-0005-0000-0000-0000ACA20000}"/>
    <cellStyle name="Output 2 3 12 2 2" xfId="41647" xr:uid="{00000000-0005-0000-0000-0000ADA20000}"/>
    <cellStyle name="Output 2 3 12 2 3" xfId="41648" xr:uid="{00000000-0005-0000-0000-0000AEA20000}"/>
    <cellStyle name="Output 2 3 12 2 4" xfId="41649" xr:uid="{00000000-0005-0000-0000-0000AFA20000}"/>
    <cellStyle name="Output 2 3 12 2 5" xfId="41650" xr:uid="{00000000-0005-0000-0000-0000B0A20000}"/>
    <cellStyle name="Output 2 3 12 3" xfId="41651" xr:uid="{00000000-0005-0000-0000-0000B1A20000}"/>
    <cellStyle name="Output 2 3 12 4" xfId="41652" xr:uid="{00000000-0005-0000-0000-0000B2A20000}"/>
    <cellStyle name="Output 2 3 12 5" xfId="41653" xr:uid="{00000000-0005-0000-0000-0000B3A20000}"/>
    <cellStyle name="Output 2 3 12 6" xfId="41654" xr:uid="{00000000-0005-0000-0000-0000B4A20000}"/>
    <cellStyle name="Output 2 3 13" xfId="41655" xr:uid="{00000000-0005-0000-0000-0000B5A20000}"/>
    <cellStyle name="Output 2 3 13 2" xfId="41656" xr:uid="{00000000-0005-0000-0000-0000B6A20000}"/>
    <cellStyle name="Output 2 3 13 2 2" xfId="41657" xr:uid="{00000000-0005-0000-0000-0000B7A20000}"/>
    <cellStyle name="Output 2 3 13 2 3" xfId="41658" xr:uid="{00000000-0005-0000-0000-0000B8A20000}"/>
    <cellStyle name="Output 2 3 13 2 4" xfId="41659" xr:uid="{00000000-0005-0000-0000-0000B9A20000}"/>
    <cellStyle name="Output 2 3 13 2 5" xfId="41660" xr:uid="{00000000-0005-0000-0000-0000BAA20000}"/>
    <cellStyle name="Output 2 3 13 3" xfId="41661" xr:uid="{00000000-0005-0000-0000-0000BBA20000}"/>
    <cellStyle name="Output 2 3 13 4" xfId="41662" xr:uid="{00000000-0005-0000-0000-0000BCA20000}"/>
    <cellStyle name="Output 2 3 13 5" xfId="41663" xr:uid="{00000000-0005-0000-0000-0000BDA20000}"/>
    <cellStyle name="Output 2 3 13 6" xfId="41664" xr:uid="{00000000-0005-0000-0000-0000BEA20000}"/>
    <cellStyle name="Output 2 3 14" xfId="41665" xr:uid="{00000000-0005-0000-0000-0000BFA20000}"/>
    <cellStyle name="Output 2 3 14 2" xfId="41666" xr:uid="{00000000-0005-0000-0000-0000C0A20000}"/>
    <cellStyle name="Output 2 3 14 2 2" xfId="41667" xr:uid="{00000000-0005-0000-0000-0000C1A20000}"/>
    <cellStyle name="Output 2 3 14 2 3" xfId="41668" xr:uid="{00000000-0005-0000-0000-0000C2A20000}"/>
    <cellStyle name="Output 2 3 14 2 4" xfId="41669" xr:uid="{00000000-0005-0000-0000-0000C3A20000}"/>
    <cellStyle name="Output 2 3 14 2 5" xfId="41670" xr:uid="{00000000-0005-0000-0000-0000C4A20000}"/>
    <cellStyle name="Output 2 3 14 3" xfId="41671" xr:uid="{00000000-0005-0000-0000-0000C5A20000}"/>
    <cellStyle name="Output 2 3 14 4" xfId="41672" xr:uid="{00000000-0005-0000-0000-0000C6A20000}"/>
    <cellStyle name="Output 2 3 14 5" xfId="41673" xr:uid="{00000000-0005-0000-0000-0000C7A20000}"/>
    <cellStyle name="Output 2 3 14 6" xfId="41674" xr:uid="{00000000-0005-0000-0000-0000C8A20000}"/>
    <cellStyle name="Output 2 3 15" xfId="41675" xr:uid="{00000000-0005-0000-0000-0000C9A20000}"/>
    <cellStyle name="Output 2 3 15 2" xfId="41676" xr:uid="{00000000-0005-0000-0000-0000CAA20000}"/>
    <cellStyle name="Output 2 3 15 2 2" xfId="41677" xr:uid="{00000000-0005-0000-0000-0000CBA20000}"/>
    <cellStyle name="Output 2 3 15 2 3" xfId="41678" xr:uid="{00000000-0005-0000-0000-0000CCA20000}"/>
    <cellStyle name="Output 2 3 15 2 4" xfId="41679" xr:uid="{00000000-0005-0000-0000-0000CDA20000}"/>
    <cellStyle name="Output 2 3 15 2 5" xfId="41680" xr:uid="{00000000-0005-0000-0000-0000CEA20000}"/>
    <cellStyle name="Output 2 3 15 3" xfId="41681" xr:uid="{00000000-0005-0000-0000-0000CFA20000}"/>
    <cellStyle name="Output 2 3 15 4" xfId="41682" xr:uid="{00000000-0005-0000-0000-0000D0A20000}"/>
    <cellStyle name="Output 2 3 15 5" xfId="41683" xr:uid="{00000000-0005-0000-0000-0000D1A20000}"/>
    <cellStyle name="Output 2 3 15 6" xfId="41684" xr:uid="{00000000-0005-0000-0000-0000D2A20000}"/>
    <cellStyle name="Output 2 3 16" xfId="41685" xr:uid="{00000000-0005-0000-0000-0000D3A20000}"/>
    <cellStyle name="Output 2 3 16 2" xfId="41686" xr:uid="{00000000-0005-0000-0000-0000D4A20000}"/>
    <cellStyle name="Output 2 3 16 2 2" xfId="41687" xr:uid="{00000000-0005-0000-0000-0000D5A20000}"/>
    <cellStyle name="Output 2 3 16 2 3" xfId="41688" xr:uid="{00000000-0005-0000-0000-0000D6A20000}"/>
    <cellStyle name="Output 2 3 16 2 4" xfId="41689" xr:uid="{00000000-0005-0000-0000-0000D7A20000}"/>
    <cellStyle name="Output 2 3 16 2 5" xfId="41690" xr:uid="{00000000-0005-0000-0000-0000D8A20000}"/>
    <cellStyle name="Output 2 3 16 3" xfId="41691" xr:uid="{00000000-0005-0000-0000-0000D9A20000}"/>
    <cellStyle name="Output 2 3 16 4" xfId="41692" xr:uid="{00000000-0005-0000-0000-0000DAA20000}"/>
    <cellStyle name="Output 2 3 16 5" xfId="41693" xr:uid="{00000000-0005-0000-0000-0000DBA20000}"/>
    <cellStyle name="Output 2 3 16 6" xfId="41694" xr:uid="{00000000-0005-0000-0000-0000DCA20000}"/>
    <cellStyle name="Output 2 3 17" xfId="41695" xr:uid="{00000000-0005-0000-0000-0000DDA20000}"/>
    <cellStyle name="Output 2 3 17 2" xfId="41696" xr:uid="{00000000-0005-0000-0000-0000DEA20000}"/>
    <cellStyle name="Output 2 3 17 2 2" xfId="41697" xr:uid="{00000000-0005-0000-0000-0000DFA20000}"/>
    <cellStyle name="Output 2 3 17 2 3" xfId="41698" xr:uid="{00000000-0005-0000-0000-0000E0A20000}"/>
    <cellStyle name="Output 2 3 17 2 4" xfId="41699" xr:uid="{00000000-0005-0000-0000-0000E1A20000}"/>
    <cellStyle name="Output 2 3 17 2 5" xfId="41700" xr:uid="{00000000-0005-0000-0000-0000E2A20000}"/>
    <cellStyle name="Output 2 3 17 3" xfId="41701" xr:uid="{00000000-0005-0000-0000-0000E3A20000}"/>
    <cellStyle name="Output 2 3 17 4" xfId="41702" xr:uid="{00000000-0005-0000-0000-0000E4A20000}"/>
    <cellStyle name="Output 2 3 17 5" xfId="41703" xr:uid="{00000000-0005-0000-0000-0000E5A20000}"/>
    <cellStyle name="Output 2 3 17 6" xfId="41704" xr:uid="{00000000-0005-0000-0000-0000E6A20000}"/>
    <cellStyle name="Output 2 3 18" xfId="41705" xr:uid="{00000000-0005-0000-0000-0000E7A20000}"/>
    <cellStyle name="Output 2 3 18 2" xfId="41706" xr:uid="{00000000-0005-0000-0000-0000E8A20000}"/>
    <cellStyle name="Output 2 3 18 2 2" xfId="41707" xr:uid="{00000000-0005-0000-0000-0000E9A20000}"/>
    <cellStyle name="Output 2 3 18 2 3" xfId="41708" xr:uid="{00000000-0005-0000-0000-0000EAA20000}"/>
    <cellStyle name="Output 2 3 18 2 4" xfId="41709" xr:uid="{00000000-0005-0000-0000-0000EBA20000}"/>
    <cellStyle name="Output 2 3 18 2 5" xfId="41710" xr:uid="{00000000-0005-0000-0000-0000ECA20000}"/>
    <cellStyle name="Output 2 3 18 3" xfId="41711" xr:uid="{00000000-0005-0000-0000-0000EDA20000}"/>
    <cellStyle name="Output 2 3 18 4" xfId="41712" xr:uid="{00000000-0005-0000-0000-0000EEA20000}"/>
    <cellStyle name="Output 2 3 18 5" xfId="41713" xr:uid="{00000000-0005-0000-0000-0000EFA20000}"/>
    <cellStyle name="Output 2 3 18 6" xfId="41714" xr:uid="{00000000-0005-0000-0000-0000F0A20000}"/>
    <cellStyle name="Output 2 3 19" xfId="41715" xr:uid="{00000000-0005-0000-0000-0000F1A20000}"/>
    <cellStyle name="Output 2 3 19 2" xfId="41716" xr:uid="{00000000-0005-0000-0000-0000F2A20000}"/>
    <cellStyle name="Output 2 3 19 2 2" xfId="41717" xr:uid="{00000000-0005-0000-0000-0000F3A20000}"/>
    <cellStyle name="Output 2 3 19 2 3" xfId="41718" xr:uid="{00000000-0005-0000-0000-0000F4A20000}"/>
    <cellStyle name="Output 2 3 19 2 4" xfId="41719" xr:uid="{00000000-0005-0000-0000-0000F5A20000}"/>
    <cellStyle name="Output 2 3 19 2 5" xfId="41720" xr:uid="{00000000-0005-0000-0000-0000F6A20000}"/>
    <cellStyle name="Output 2 3 19 3" xfId="41721" xr:uid="{00000000-0005-0000-0000-0000F7A20000}"/>
    <cellStyle name="Output 2 3 19 4" xfId="41722" xr:uid="{00000000-0005-0000-0000-0000F8A20000}"/>
    <cellStyle name="Output 2 3 19 5" xfId="41723" xr:uid="{00000000-0005-0000-0000-0000F9A20000}"/>
    <cellStyle name="Output 2 3 19 6" xfId="41724" xr:uid="{00000000-0005-0000-0000-0000FAA20000}"/>
    <cellStyle name="Output 2 3 2" xfId="41725" xr:uid="{00000000-0005-0000-0000-0000FBA20000}"/>
    <cellStyle name="Output 2 3 2 10" xfId="41726" xr:uid="{00000000-0005-0000-0000-0000FCA20000}"/>
    <cellStyle name="Output 2 3 2 2" xfId="41727" xr:uid="{00000000-0005-0000-0000-0000FDA20000}"/>
    <cellStyle name="Output 2 3 2 2 2" xfId="41728" xr:uid="{00000000-0005-0000-0000-0000FEA20000}"/>
    <cellStyle name="Output 2 3 2 2 2 2" xfId="41729" xr:uid="{00000000-0005-0000-0000-0000FFA20000}"/>
    <cellStyle name="Output 2 3 2 2 2 2 2" xfId="41730" xr:uid="{00000000-0005-0000-0000-000000A30000}"/>
    <cellStyle name="Output 2 3 2 2 2 2 3" xfId="41731" xr:uid="{00000000-0005-0000-0000-000001A30000}"/>
    <cellStyle name="Output 2 3 2 2 2 2 4" xfId="41732" xr:uid="{00000000-0005-0000-0000-000002A30000}"/>
    <cellStyle name="Output 2 3 2 2 2 2 5" xfId="41733" xr:uid="{00000000-0005-0000-0000-000003A30000}"/>
    <cellStyle name="Output 2 3 2 2 2 2 6" xfId="41734" xr:uid="{00000000-0005-0000-0000-000004A30000}"/>
    <cellStyle name="Output 2 3 2 2 2 3" xfId="41735" xr:uid="{00000000-0005-0000-0000-000005A30000}"/>
    <cellStyle name="Output 2 3 2 2 2 4" xfId="41736" xr:uid="{00000000-0005-0000-0000-000006A30000}"/>
    <cellStyle name="Output 2 3 2 2 2 5" xfId="41737" xr:uid="{00000000-0005-0000-0000-000007A30000}"/>
    <cellStyle name="Output 2 3 2 2 2 6" xfId="41738" xr:uid="{00000000-0005-0000-0000-000008A30000}"/>
    <cellStyle name="Output 2 3 2 2 3" xfId="41739" xr:uid="{00000000-0005-0000-0000-000009A30000}"/>
    <cellStyle name="Output 2 3 2 2 3 2" xfId="41740" xr:uid="{00000000-0005-0000-0000-00000AA30000}"/>
    <cellStyle name="Output 2 3 2 2 3 2 2" xfId="41741" xr:uid="{00000000-0005-0000-0000-00000BA30000}"/>
    <cellStyle name="Output 2 3 2 2 3 2 3" xfId="41742" xr:uid="{00000000-0005-0000-0000-00000CA30000}"/>
    <cellStyle name="Output 2 3 2 2 3 2 4" xfId="41743" xr:uid="{00000000-0005-0000-0000-00000DA30000}"/>
    <cellStyle name="Output 2 3 2 2 3 2 5" xfId="41744" xr:uid="{00000000-0005-0000-0000-00000EA30000}"/>
    <cellStyle name="Output 2 3 2 2 3 2 6" xfId="41745" xr:uid="{00000000-0005-0000-0000-00000FA30000}"/>
    <cellStyle name="Output 2 3 2 2 3 3" xfId="41746" xr:uid="{00000000-0005-0000-0000-000010A30000}"/>
    <cellStyle name="Output 2 3 2 2 3 4" xfId="41747" xr:uid="{00000000-0005-0000-0000-000011A30000}"/>
    <cellStyle name="Output 2 3 2 2 3 5" xfId="41748" xr:uid="{00000000-0005-0000-0000-000012A30000}"/>
    <cellStyle name="Output 2 3 2 2 3 6" xfId="41749" xr:uid="{00000000-0005-0000-0000-000013A30000}"/>
    <cellStyle name="Output 2 3 2 2 4" xfId="41750" xr:uid="{00000000-0005-0000-0000-000014A30000}"/>
    <cellStyle name="Output 2 3 2 2 4 2" xfId="41751" xr:uid="{00000000-0005-0000-0000-000015A30000}"/>
    <cellStyle name="Output 2 3 2 2 4 3" xfId="41752" xr:uid="{00000000-0005-0000-0000-000016A30000}"/>
    <cellStyle name="Output 2 3 2 2 4 4" xfId="41753" xr:uid="{00000000-0005-0000-0000-000017A30000}"/>
    <cellStyle name="Output 2 3 2 2 4 5" xfId="41754" xr:uid="{00000000-0005-0000-0000-000018A30000}"/>
    <cellStyle name="Output 2 3 2 2 4 6" xfId="41755" xr:uid="{00000000-0005-0000-0000-000019A30000}"/>
    <cellStyle name="Output 2 3 2 2 5" xfId="41756" xr:uid="{00000000-0005-0000-0000-00001AA30000}"/>
    <cellStyle name="Output 2 3 2 2 5 2" xfId="41757" xr:uid="{00000000-0005-0000-0000-00001BA30000}"/>
    <cellStyle name="Output 2 3 2 2 5 3" xfId="41758" xr:uid="{00000000-0005-0000-0000-00001CA30000}"/>
    <cellStyle name="Output 2 3 2 2 5 4" xfId="41759" xr:uid="{00000000-0005-0000-0000-00001DA30000}"/>
    <cellStyle name="Output 2 3 2 2 5 5" xfId="41760" xr:uid="{00000000-0005-0000-0000-00001EA30000}"/>
    <cellStyle name="Output 2 3 2 2 6" xfId="41761" xr:uid="{00000000-0005-0000-0000-00001FA30000}"/>
    <cellStyle name="Output 2 3 2 2 7" xfId="41762" xr:uid="{00000000-0005-0000-0000-000020A30000}"/>
    <cellStyle name="Output 2 3 2 2 8" xfId="41763" xr:uid="{00000000-0005-0000-0000-000021A30000}"/>
    <cellStyle name="Output 2 3 2 2 9" xfId="41764" xr:uid="{00000000-0005-0000-0000-000022A30000}"/>
    <cellStyle name="Output 2 3 2 3" xfId="41765" xr:uid="{00000000-0005-0000-0000-000023A30000}"/>
    <cellStyle name="Output 2 3 2 3 2" xfId="41766" xr:uid="{00000000-0005-0000-0000-000024A30000}"/>
    <cellStyle name="Output 2 3 2 3 2 2" xfId="41767" xr:uid="{00000000-0005-0000-0000-000025A30000}"/>
    <cellStyle name="Output 2 3 2 3 2 3" xfId="41768" xr:uid="{00000000-0005-0000-0000-000026A30000}"/>
    <cellStyle name="Output 2 3 2 3 2 4" xfId="41769" xr:uid="{00000000-0005-0000-0000-000027A30000}"/>
    <cellStyle name="Output 2 3 2 3 2 5" xfId="41770" xr:uid="{00000000-0005-0000-0000-000028A30000}"/>
    <cellStyle name="Output 2 3 2 3 2 6" xfId="41771" xr:uid="{00000000-0005-0000-0000-000029A30000}"/>
    <cellStyle name="Output 2 3 2 3 3" xfId="41772" xr:uid="{00000000-0005-0000-0000-00002AA30000}"/>
    <cellStyle name="Output 2 3 2 3 4" xfId="41773" xr:uid="{00000000-0005-0000-0000-00002BA30000}"/>
    <cellStyle name="Output 2 3 2 3 5" xfId="41774" xr:uid="{00000000-0005-0000-0000-00002CA30000}"/>
    <cellStyle name="Output 2 3 2 3 6" xfId="41775" xr:uid="{00000000-0005-0000-0000-00002DA30000}"/>
    <cellStyle name="Output 2 3 2 4" xfId="41776" xr:uid="{00000000-0005-0000-0000-00002EA30000}"/>
    <cellStyle name="Output 2 3 2 4 2" xfId="41777" xr:uid="{00000000-0005-0000-0000-00002FA30000}"/>
    <cellStyle name="Output 2 3 2 4 2 2" xfId="41778" xr:uid="{00000000-0005-0000-0000-000030A30000}"/>
    <cellStyle name="Output 2 3 2 4 2 3" xfId="41779" xr:uid="{00000000-0005-0000-0000-000031A30000}"/>
    <cellStyle name="Output 2 3 2 4 2 4" xfId="41780" xr:uid="{00000000-0005-0000-0000-000032A30000}"/>
    <cellStyle name="Output 2 3 2 4 2 5" xfId="41781" xr:uid="{00000000-0005-0000-0000-000033A30000}"/>
    <cellStyle name="Output 2 3 2 4 2 6" xfId="41782" xr:uid="{00000000-0005-0000-0000-000034A30000}"/>
    <cellStyle name="Output 2 3 2 4 3" xfId="41783" xr:uid="{00000000-0005-0000-0000-000035A30000}"/>
    <cellStyle name="Output 2 3 2 4 4" xfId="41784" xr:uid="{00000000-0005-0000-0000-000036A30000}"/>
    <cellStyle name="Output 2 3 2 4 5" xfId="41785" xr:uid="{00000000-0005-0000-0000-000037A30000}"/>
    <cellStyle name="Output 2 3 2 4 6" xfId="41786" xr:uid="{00000000-0005-0000-0000-000038A30000}"/>
    <cellStyle name="Output 2 3 2 5" xfId="41787" xr:uid="{00000000-0005-0000-0000-000039A30000}"/>
    <cellStyle name="Output 2 3 2 5 2" xfId="41788" xr:uid="{00000000-0005-0000-0000-00003AA30000}"/>
    <cellStyle name="Output 2 3 2 5 3" xfId="41789" xr:uid="{00000000-0005-0000-0000-00003BA30000}"/>
    <cellStyle name="Output 2 3 2 5 4" xfId="41790" xr:uid="{00000000-0005-0000-0000-00003CA30000}"/>
    <cellStyle name="Output 2 3 2 5 5" xfId="41791" xr:uid="{00000000-0005-0000-0000-00003DA30000}"/>
    <cellStyle name="Output 2 3 2 5 6" xfId="41792" xr:uid="{00000000-0005-0000-0000-00003EA30000}"/>
    <cellStyle name="Output 2 3 2 6" xfId="41793" xr:uid="{00000000-0005-0000-0000-00003FA30000}"/>
    <cellStyle name="Output 2 3 2 6 2" xfId="41794" xr:uid="{00000000-0005-0000-0000-000040A30000}"/>
    <cellStyle name="Output 2 3 2 6 3" xfId="41795" xr:uid="{00000000-0005-0000-0000-000041A30000}"/>
    <cellStyle name="Output 2 3 2 6 4" xfId="41796" xr:uid="{00000000-0005-0000-0000-000042A30000}"/>
    <cellStyle name="Output 2 3 2 6 5" xfId="41797" xr:uid="{00000000-0005-0000-0000-000043A30000}"/>
    <cellStyle name="Output 2 3 2 7" xfId="41798" xr:uid="{00000000-0005-0000-0000-000044A30000}"/>
    <cellStyle name="Output 2 3 2 8" xfId="41799" xr:uid="{00000000-0005-0000-0000-000045A30000}"/>
    <cellStyle name="Output 2 3 2 9" xfId="41800" xr:uid="{00000000-0005-0000-0000-000046A30000}"/>
    <cellStyle name="Output 2 3 20" xfId="41801" xr:uid="{00000000-0005-0000-0000-000047A30000}"/>
    <cellStyle name="Output 2 3 20 2" xfId="41802" xr:uid="{00000000-0005-0000-0000-000048A30000}"/>
    <cellStyle name="Output 2 3 20 2 2" xfId="41803" xr:uid="{00000000-0005-0000-0000-000049A30000}"/>
    <cellStyle name="Output 2 3 20 2 3" xfId="41804" xr:uid="{00000000-0005-0000-0000-00004AA30000}"/>
    <cellStyle name="Output 2 3 20 2 4" xfId="41805" xr:uid="{00000000-0005-0000-0000-00004BA30000}"/>
    <cellStyle name="Output 2 3 20 2 5" xfId="41806" xr:uid="{00000000-0005-0000-0000-00004CA30000}"/>
    <cellStyle name="Output 2 3 20 3" xfId="41807" xr:uid="{00000000-0005-0000-0000-00004DA30000}"/>
    <cellStyle name="Output 2 3 20 4" xfId="41808" xr:uid="{00000000-0005-0000-0000-00004EA30000}"/>
    <cellStyle name="Output 2 3 20 5" xfId="41809" xr:uid="{00000000-0005-0000-0000-00004FA30000}"/>
    <cellStyle name="Output 2 3 20 6" xfId="41810" xr:uid="{00000000-0005-0000-0000-000050A30000}"/>
    <cellStyle name="Output 2 3 21" xfId="41811" xr:uid="{00000000-0005-0000-0000-000051A30000}"/>
    <cellStyle name="Output 2 3 21 2" xfId="41812" xr:uid="{00000000-0005-0000-0000-000052A30000}"/>
    <cellStyle name="Output 2 3 21 2 2" xfId="41813" xr:uid="{00000000-0005-0000-0000-000053A30000}"/>
    <cellStyle name="Output 2 3 21 2 3" xfId="41814" xr:uid="{00000000-0005-0000-0000-000054A30000}"/>
    <cellStyle name="Output 2 3 21 2 4" xfId="41815" xr:uid="{00000000-0005-0000-0000-000055A30000}"/>
    <cellStyle name="Output 2 3 21 2 5" xfId="41816" xr:uid="{00000000-0005-0000-0000-000056A30000}"/>
    <cellStyle name="Output 2 3 21 3" xfId="41817" xr:uid="{00000000-0005-0000-0000-000057A30000}"/>
    <cellStyle name="Output 2 3 21 4" xfId="41818" xr:uid="{00000000-0005-0000-0000-000058A30000}"/>
    <cellStyle name="Output 2 3 21 5" xfId="41819" xr:uid="{00000000-0005-0000-0000-000059A30000}"/>
    <cellStyle name="Output 2 3 21 6" xfId="41820" xr:uid="{00000000-0005-0000-0000-00005AA30000}"/>
    <cellStyle name="Output 2 3 22" xfId="41821" xr:uid="{00000000-0005-0000-0000-00005BA30000}"/>
    <cellStyle name="Output 2 3 22 2" xfId="41822" xr:uid="{00000000-0005-0000-0000-00005CA30000}"/>
    <cellStyle name="Output 2 3 22 2 2" xfId="41823" xr:uid="{00000000-0005-0000-0000-00005DA30000}"/>
    <cellStyle name="Output 2 3 22 2 3" xfId="41824" xr:uid="{00000000-0005-0000-0000-00005EA30000}"/>
    <cellStyle name="Output 2 3 22 2 4" xfId="41825" xr:uid="{00000000-0005-0000-0000-00005FA30000}"/>
    <cellStyle name="Output 2 3 22 2 5" xfId="41826" xr:uid="{00000000-0005-0000-0000-000060A30000}"/>
    <cellStyle name="Output 2 3 22 3" xfId="41827" xr:uid="{00000000-0005-0000-0000-000061A30000}"/>
    <cellStyle name="Output 2 3 22 4" xfId="41828" xr:uid="{00000000-0005-0000-0000-000062A30000}"/>
    <cellStyle name="Output 2 3 22 5" xfId="41829" xr:uid="{00000000-0005-0000-0000-000063A30000}"/>
    <cellStyle name="Output 2 3 22 6" xfId="41830" xr:uid="{00000000-0005-0000-0000-000064A30000}"/>
    <cellStyle name="Output 2 3 23" xfId="41831" xr:uid="{00000000-0005-0000-0000-000065A30000}"/>
    <cellStyle name="Output 2 3 23 2" xfId="41832" xr:uid="{00000000-0005-0000-0000-000066A30000}"/>
    <cellStyle name="Output 2 3 23 2 2" xfId="41833" xr:uid="{00000000-0005-0000-0000-000067A30000}"/>
    <cellStyle name="Output 2 3 23 2 3" xfId="41834" xr:uid="{00000000-0005-0000-0000-000068A30000}"/>
    <cellStyle name="Output 2 3 23 2 4" xfId="41835" xr:uid="{00000000-0005-0000-0000-000069A30000}"/>
    <cellStyle name="Output 2 3 23 2 5" xfId="41836" xr:uid="{00000000-0005-0000-0000-00006AA30000}"/>
    <cellStyle name="Output 2 3 23 3" xfId="41837" xr:uid="{00000000-0005-0000-0000-00006BA30000}"/>
    <cellStyle name="Output 2 3 23 4" xfId="41838" xr:uid="{00000000-0005-0000-0000-00006CA30000}"/>
    <cellStyle name="Output 2 3 23 5" xfId="41839" xr:uid="{00000000-0005-0000-0000-00006DA30000}"/>
    <cellStyle name="Output 2 3 23 6" xfId="41840" xr:uid="{00000000-0005-0000-0000-00006EA30000}"/>
    <cellStyle name="Output 2 3 24" xfId="41841" xr:uid="{00000000-0005-0000-0000-00006FA30000}"/>
    <cellStyle name="Output 2 3 24 2" xfId="41842" xr:uid="{00000000-0005-0000-0000-000070A30000}"/>
    <cellStyle name="Output 2 3 24 2 2" xfId="41843" xr:uid="{00000000-0005-0000-0000-000071A30000}"/>
    <cellStyle name="Output 2 3 24 2 3" xfId="41844" xr:uid="{00000000-0005-0000-0000-000072A30000}"/>
    <cellStyle name="Output 2 3 24 2 4" xfId="41845" xr:uid="{00000000-0005-0000-0000-000073A30000}"/>
    <cellStyle name="Output 2 3 24 2 5" xfId="41846" xr:uid="{00000000-0005-0000-0000-000074A30000}"/>
    <cellStyle name="Output 2 3 24 3" xfId="41847" xr:uid="{00000000-0005-0000-0000-000075A30000}"/>
    <cellStyle name="Output 2 3 24 4" xfId="41848" xr:uid="{00000000-0005-0000-0000-000076A30000}"/>
    <cellStyle name="Output 2 3 24 5" xfId="41849" xr:uid="{00000000-0005-0000-0000-000077A30000}"/>
    <cellStyle name="Output 2 3 24 6" xfId="41850" xr:uid="{00000000-0005-0000-0000-000078A30000}"/>
    <cellStyle name="Output 2 3 25" xfId="41851" xr:uid="{00000000-0005-0000-0000-000079A30000}"/>
    <cellStyle name="Output 2 3 25 2" xfId="41852" xr:uid="{00000000-0005-0000-0000-00007AA30000}"/>
    <cellStyle name="Output 2 3 25 2 2" xfId="41853" xr:uid="{00000000-0005-0000-0000-00007BA30000}"/>
    <cellStyle name="Output 2 3 25 2 3" xfId="41854" xr:uid="{00000000-0005-0000-0000-00007CA30000}"/>
    <cellStyle name="Output 2 3 25 2 4" xfId="41855" xr:uid="{00000000-0005-0000-0000-00007DA30000}"/>
    <cellStyle name="Output 2 3 25 2 5" xfId="41856" xr:uid="{00000000-0005-0000-0000-00007EA30000}"/>
    <cellStyle name="Output 2 3 25 3" xfId="41857" xr:uid="{00000000-0005-0000-0000-00007FA30000}"/>
    <cellStyle name="Output 2 3 25 4" xfId="41858" xr:uid="{00000000-0005-0000-0000-000080A30000}"/>
    <cellStyle name="Output 2 3 25 5" xfId="41859" xr:uid="{00000000-0005-0000-0000-000081A30000}"/>
    <cellStyle name="Output 2 3 25 6" xfId="41860" xr:uid="{00000000-0005-0000-0000-000082A30000}"/>
    <cellStyle name="Output 2 3 26" xfId="41861" xr:uid="{00000000-0005-0000-0000-000083A30000}"/>
    <cellStyle name="Output 2 3 26 2" xfId="41862" xr:uid="{00000000-0005-0000-0000-000084A30000}"/>
    <cellStyle name="Output 2 3 26 2 2" xfId="41863" xr:uid="{00000000-0005-0000-0000-000085A30000}"/>
    <cellStyle name="Output 2 3 26 2 3" xfId="41864" xr:uid="{00000000-0005-0000-0000-000086A30000}"/>
    <cellStyle name="Output 2 3 26 2 4" xfId="41865" xr:uid="{00000000-0005-0000-0000-000087A30000}"/>
    <cellStyle name="Output 2 3 26 2 5" xfId="41866" xr:uid="{00000000-0005-0000-0000-000088A30000}"/>
    <cellStyle name="Output 2 3 26 3" xfId="41867" xr:uid="{00000000-0005-0000-0000-000089A30000}"/>
    <cellStyle name="Output 2 3 26 4" xfId="41868" xr:uid="{00000000-0005-0000-0000-00008AA30000}"/>
    <cellStyle name="Output 2 3 26 5" xfId="41869" xr:uid="{00000000-0005-0000-0000-00008BA30000}"/>
    <cellStyle name="Output 2 3 26 6" xfId="41870" xr:uid="{00000000-0005-0000-0000-00008CA30000}"/>
    <cellStyle name="Output 2 3 27" xfId="41871" xr:uid="{00000000-0005-0000-0000-00008DA30000}"/>
    <cellStyle name="Output 2 3 27 2" xfId="41872" xr:uid="{00000000-0005-0000-0000-00008EA30000}"/>
    <cellStyle name="Output 2 3 27 2 2" xfId="41873" xr:uid="{00000000-0005-0000-0000-00008FA30000}"/>
    <cellStyle name="Output 2 3 27 2 3" xfId="41874" xr:uid="{00000000-0005-0000-0000-000090A30000}"/>
    <cellStyle name="Output 2 3 27 2 4" xfId="41875" xr:uid="{00000000-0005-0000-0000-000091A30000}"/>
    <cellStyle name="Output 2 3 27 2 5" xfId="41876" xr:uid="{00000000-0005-0000-0000-000092A30000}"/>
    <cellStyle name="Output 2 3 27 3" xfId="41877" xr:uid="{00000000-0005-0000-0000-000093A30000}"/>
    <cellStyle name="Output 2 3 27 4" xfId="41878" xr:uid="{00000000-0005-0000-0000-000094A30000}"/>
    <cellStyle name="Output 2 3 27 5" xfId="41879" xr:uid="{00000000-0005-0000-0000-000095A30000}"/>
    <cellStyle name="Output 2 3 27 6" xfId="41880" xr:uid="{00000000-0005-0000-0000-000096A30000}"/>
    <cellStyle name="Output 2 3 28" xfId="41881" xr:uid="{00000000-0005-0000-0000-000097A30000}"/>
    <cellStyle name="Output 2 3 28 2" xfId="41882" xr:uid="{00000000-0005-0000-0000-000098A30000}"/>
    <cellStyle name="Output 2 3 28 2 2" xfId="41883" xr:uid="{00000000-0005-0000-0000-000099A30000}"/>
    <cellStyle name="Output 2 3 28 2 3" xfId="41884" xr:uid="{00000000-0005-0000-0000-00009AA30000}"/>
    <cellStyle name="Output 2 3 28 2 4" xfId="41885" xr:uid="{00000000-0005-0000-0000-00009BA30000}"/>
    <cellStyle name="Output 2 3 28 2 5" xfId="41886" xr:uid="{00000000-0005-0000-0000-00009CA30000}"/>
    <cellStyle name="Output 2 3 28 3" xfId="41887" xr:uid="{00000000-0005-0000-0000-00009DA30000}"/>
    <cellStyle name="Output 2 3 28 4" xfId="41888" xr:uid="{00000000-0005-0000-0000-00009EA30000}"/>
    <cellStyle name="Output 2 3 28 5" xfId="41889" xr:uid="{00000000-0005-0000-0000-00009FA30000}"/>
    <cellStyle name="Output 2 3 28 6" xfId="41890" xr:uid="{00000000-0005-0000-0000-0000A0A30000}"/>
    <cellStyle name="Output 2 3 29" xfId="41891" xr:uid="{00000000-0005-0000-0000-0000A1A30000}"/>
    <cellStyle name="Output 2 3 29 2" xfId="41892" xr:uid="{00000000-0005-0000-0000-0000A2A30000}"/>
    <cellStyle name="Output 2 3 29 2 2" xfId="41893" xr:uid="{00000000-0005-0000-0000-0000A3A30000}"/>
    <cellStyle name="Output 2 3 29 2 3" xfId="41894" xr:uid="{00000000-0005-0000-0000-0000A4A30000}"/>
    <cellStyle name="Output 2 3 29 2 4" xfId="41895" xr:uid="{00000000-0005-0000-0000-0000A5A30000}"/>
    <cellStyle name="Output 2 3 29 2 5" xfId="41896" xr:uid="{00000000-0005-0000-0000-0000A6A30000}"/>
    <cellStyle name="Output 2 3 29 3" xfId="41897" xr:uid="{00000000-0005-0000-0000-0000A7A30000}"/>
    <cellStyle name="Output 2 3 29 4" xfId="41898" xr:uid="{00000000-0005-0000-0000-0000A8A30000}"/>
    <cellStyle name="Output 2 3 29 5" xfId="41899" xr:uid="{00000000-0005-0000-0000-0000A9A30000}"/>
    <cellStyle name="Output 2 3 29 6" xfId="41900" xr:uid="{00000000-0005-0000-0000-0000AAA30000}"/>
    <cellStyle name="Output 2 3 3" xfId="41901" xr:uid="{00000000-0005-0000-0000-0000ABA30000}"/>
    <cellStyle name="Output 2 3 3 2" xfId="41902" xr:uid="{00000000-0005-0000-0000-0000ACA30000}"/>
    <cellStyle name="Output 2 3 3 2 2" xfId="41903" xr:uid="{00000000-0005-0000-0000-0000ADA30000}"/>
    <cellStyle name="Output 2 3 3 2 2 2" xfId="41904" xr:uid="{00000000-0005-0000-0000-0000AEA30000}"/>
    <cellStyle name="Output 2 3 3 2 2 3" xfId="41905" xr:uid="{00000000-0005-0000-0000-0000AFA30000}"/>
    <cellStyle name="Output 2 3 3 2 2 4" xfId="41906" xr:uid="{00000000-0005-0000-0000-0000B0A30000}"/>
    <cellStyle name="Output 2 3 3 2 2 5" xfId="41907" xr:uid="{00000000-0005-0000-0000-0000B1A30000}"/>
    <cellStyle name="Output 2 3 3 2 2 6" xfId="41908" xr:uid="{00000000-0005-0000-0000-0000B2A30000}"/>
    <cellStyle name="Output 2 3 3 2 3" xfId="41909" xr:uid="{00000000-0005-0000-0000-0000B3A30000}"/>
    <cellStyle name="Output 2 3 3 2 3 2" xfId="41910" xr:uid="{00000000-0005-0000-0000-0000B4A30000}"/>
    <cellStyle name="Output 2 3 3 2 3 3" xfId="41911" xr:uid="{00000000-0005-0000-0000-0000B5A30000}"/>
    <cellStyle name="Output 2 3 3 2 3 4" xfId="41912" xr:uid="{00000000-0005-0000-0000-0000B6A30000}"/>
    <cellStyle name="Output 2 3 3 2 3 5" xfId="41913" xr:uid="{00000000-0005-0000-0000-0000B7A30000}"/>
    <cellStyle name="Output 2 3 3 2 4" xfId="41914" xr:uid="{00000000-0005-0000-0000-0000B8A30000}"/>
    <cellStyle name="Output 2 3 3 2 5" xfId="41915" xr:uid="{00000000-0005-0000-0000-0000B9A30000}"/>
    <cellStyle name="Output 2 3 3 2 6" xfId="41916" xr:uid="{00000000-0005-0000-0000-0000BAA30000}"/>
    <cellStyle name="Output 2 3 3 2 7" xfId="41917" xr:uid="{00000000-0005-0000-0000-0000BBA30000}"/>
    <cellStyle name="Output 2 3 3 3" xfId="41918" xr:uid="{00000000-0005-0000-0000-0000BCA30000}"/>
    <cellStyle name="Output 2 3 3 3 2" xfId="41919" xr:uid="{00000000-0005-0000-0000-0000BDA30000}"/>
    <cellStyle name="Output 2 3 3 3 2 2" xfId="41920" xr:uid="{00000000-0005-0000-0000-0000BEA30000}"/>
    <cellStyle name="Output 2 3 3 3 2 3" xfId="41921" xr:uid="{00000000-0005-0000-0000-0000BFA30000}"/>
    <cellStyle name="Output 2 3 3 3 2 4" xfId="41922" xr:uid="{00000000-0005-0000-0000-0000C0A30000}"/>
    <cellStyle name="Output 2 3 3 3 2 5" xfId="41923" xr:uid="{00000000-0005-0000-0000-0000C1A30000}"/>
    <cellStyle name="Output 2 3 3 3 2 6" xfId="41924" xr:uid="{00000000-0005-0000-0000-0000C2A30000}"/>
    <cellStyle name="Output 2 3 3 3 3" xfId="41925" xr:uid="{00000000-0005-0000-0000-0000C3A30000}"/>
    <cellStyle name="Output 2 3 3 3 4" xfId="41926" xr:uid="{00000000-0005-0000-0000-0000C4A30000}"/>
    <cellStyle name="Output 2 3 3 3 5" xfId="41927" xr:uid="{00000000-0005-0000-0000-0000C5A30000}"/>
    <cellStyle name="Output 2 3 3 3 6" xfId="41928" xr:uid="{00000000-0005-0000-0000-0000C6A30000}"/>
    <cellStyle name="Output 2 3 3 4" xfId="41929" xr:uid="{00000000-0005-0000-0000-0000C7A30000}"/>
    <cellStyle name="Output 2 3 3 4 2" xfId="41930" xr:uid="{00000000-0005-0000-0000-0000C8A30000}"/>
    <cellStyle name="Output 2 3 3 4 3" xfId="41931" xr:uid="{00000000-0005-0000-0000-0000C9A30000}"/>
    <cellStyle name="Output 2 3 3 4 4" xfId="41932" xr:uid="{00000000-0005-0000-0000-0000CAA30000}"/>
    <cellStyle name="Output 2 3 3 4 5" xfId="41933" xr:uid="{00000000-0005-0000-0000-0000CBA30000}"/>
    <cellStyle name="Output 2 3 3 4 6" xfId="41934" xr:uid="{00000000-0005-0000-0000-0000CCA30000}"/>
    <cellStyle name="Output 2 3 3 5" xfId="41935" xr:uid="{00000000-0005-0000-0000-0000CDA30000}"/>
    <cellStyle name="Output 2 3 3 5 2" xfId="41936" xr:uid="{00000000-0005-0000-0000-0000CEA30000}"/>
    <cellStyle name="Output 2 3 3 5 3" xfId="41937" xr:uid="{00000000-0005-0000-0000-0000CFA30000}"/>
    <cellStyle name="Output 2 3 3 5 4" xfId="41938" xr:uid="{00000000-0005-0000-0000-0000D0A30000}"/>
    <cellStyle name="Output 2 3 3 5 5" xfId="41939" xr:uid="{00000000-0005-0000-0000-0000D1A30000}"/>
    <cellStyle name="Output 2 3 3 6" xfId="41940" xr:uid="{00000000-0005-0000-0000-0000D2A30000}"/>
    <cellStyle name="Output 2 3 3 7" xfId="41941" xr:uid="{00000000-0005-0000-0000-0000D3A30000}"/>
    <cellStyle name="Output 2 3 3 8" xfId="41942" xr:uid="{00000000-0005-0000-0000-0000D4A30000}"/>
    <cellStyle name="Output 2 3 3 9" xfId="41943" xr:uid="{00000000-0005-0000-0000-0000D5A30000}"/>
    <cellStyle name="Output 2 3 30" xfId="41944" xr:uid="{00000000-0005-0000-0000-0000D6A30000}"/>
    <cellStyle name="Output 2 3 30 2" xfId="41945" xr:uid="{00000000-0005-0000-0000-0000D7A30000}"/>
    <cellStyle name="Output 2 3 30 2 2" xfId="41946" xr:uid="{00000000-0005-0000-0000-0000D8A30000}"/>
    <cellStyle name="Output 2 3 30 2 3" xfId="41947" xr:uid="{00000000-0005-0000-0000-0000D9A30000}"/>
    <cellStyle name="Output 2 3 30 2 4" xfId="41948" xr:uid="{00000000-0005-0000-0000-0000DAA30000}"/>
    <cellStyle name="Output 2 3 30 2 5" xfId="41949" xr:uid="{00000000-0005-0000-0000-0000DBA30000}"/>
    <cellStyle name="Output 2 3 30 3" xfId="41950" xr:uid="{00000000-0005-0000-0000-0000DCA30000}"/>
    <cellStyle name="Output 2 3 30 4" xfId="41951" xr:uid="{00000000-0005-0000-0000-0000DDA30000}"/>
    <cellStyle name="Output 2 3 30 5" xfId="41952" xr:uid="{00000000-0005-0000-0000-0000DEA30000}"/>
    <cellStyle name="Output 2 3 30 6" xfId="41953" xr:uid="{00000000-0005-0000-0000-0000DFA30000}"/>
    <cellStyle name="Output 2 3 31" xfId="41954" xr:uid="{00000000-0005-0000-0000-0000E0A30000}"/>
    <cellStyle name="Output 2 3 31 2" xfId="41955" xr:uid="{00000000-0005-0000-0000-0000E1A30000}"/>
    <cellStyle name="Output 2 3 31 2 2" xfId="41956" xr:uid="{00000000-0005-0000-0000-0000E2A30000}"/>
    <cellStyle name="Output 2 3 31 2 3" xfId="41957" xr:uid="{00000000-0005-0000-0000-0000E3A30000}"/>
    <cellStyle name="Output 2 3 31 2 4" xfId="41958" xr:uid="{00000000-0005-0000-0000-0000E4A30000}"/>
    <cellStyle name="Output 2 3 31 2 5" xfId="41959" xr:uid="{00000000-0005-0000-0000-0000E5A30000}"/>
    <cellStyle name="Output 2 3 31 3" xfId="41960" xr:uid="{00000000-0005-0000-0000-0000E6A30000}"/>
    <cellStyle name="Output 2 3 31 4" xfId="41961" xr:uid="{00000000-0005-0000-0000-0000E7A30000}"/>
    <cellStyle name="Output 2 3 31 5" xfId="41962" xr:uid="{00000000-0005-0000-0000-0000E8A30000}"/>
    <cellStyle name="Output 2 3 31 6" xfId="41963" xr:uid="{00000000-0005-0000-0000-0000E9A30000}"/>
    <cellStyle name="Output 2 3 32" xfId="41964" xr:uid="{00000000-0005-0000-0000-0000EAA30000}"/>
    <cellStyle name="Output 2 3 32 2" xfId="41965" xr:uid="{00000000-0005-0000-0000-0000EBA30000}"/>
    <cellStyle name="Output 2 3 32 2 2" xfId="41966" xr:uid="{00000000-0005-0000-0000-0000ECA30000}"/>
    <cellStyle name="Output 2 3 32 2 3" xfId="41967" xr:uid="{00000000-0005-0000-0000-0000EDA30000}"/>
    <cellStyle name="Output 2 3 32 2 4" xfId="41968" xr:uid="{00000000-0005-0000-0000-0000EEA30000}"/>
    <cellStyle name="Output 2 3 32 2 5" xfId="41969" xr:uid="{00000000-0005-0000-0000-0000EFA30000}"/>
    <cellStyle name="Output 2 3 32 3" xfId="41970" xr:uid="{00000000-0005-0000-0000-0000F0A30000}"/>
    <cellStyle name="Output 2 3 32 4" xfId="41971" xr:uid="{00000000-0005-0000-0000-0000F1A30000}"/>
    <cellStyle name="Output 2 3 32 5" xfId="41972" xr:uid="{00000000-0005-0000-0000-0000F2A30000}"/>
    <cellStyle name="Output 2 3 32 6" xfId="41973" xr:uid="{00000000-0005-0000-0000-0000F3A30000}"/>
    <cellStyle name="Output 2 3 33" xfId="41974" xr:uid="{00000000-0005-0000-0000-0000F4A30000}"/>
    <cellStyle name="Output 2 3 33 2" xfId="41975" xr:uid="{00000000-0005-0000-0000-0000F5A30000}"/>
    <cellStyle name="Output 2 3 33 2 2" xfId="41976" xr:uid="{00000000-0005-0000-0000-0000F6A30000}"/>
    <cellStyle name="Output 2 3 33 2 3" xfId="41977" xr:uid="{00000000-0005-0000-0000-0000F7A30000}"/>
    <cellStyle name="Output 2 3 33 2 4" xfId="41978" xr:uid="{00000000-0005-0000-0000-0000F8A30000}"/>
    <cellStyle name="Output 2 3 33 2 5" xfId="41979" xr:uid="{00000000-0005-0000-0000-0000F9A30000}"/>
    <cellStyle name="Output 2 3 33 3" xfId="41980" xr:uid="{00000000-0005-0000-0000-0000FAA30000}"/>
    <cellStyle name="Output 2 3 33 4" xfId="41981" xr:uid="{00000000-0005-0000-0000-0000FBA30000}"/>
    <cellStyle name="Output 2 3 33 5" xfId="41982" xr:uid="{00000000-0005-0000-0000-0000FCA30000}"/>
    <cellStyle name="Output 2 3 33 6" xfId="41983" xr:uid="{00000000-0005-0000-0000-0000FDA30000}"/>
    <cellStyle name="Output 2 3 34" xfId="41984" xr:uid="{00000000-0005-0000-0000-0000FEA30000}"/>
    <cellStyle name="Output 2 3 34 2" xfId="41985" xr:uid="{00000000-0005-0000-0000-0000FFA30000}"/>
    <cellStyle name="Output 2 3 34 2 2" xfId="41986" xr:uid="{00000000-0005-0000-0000-000000A40000}"/>
    <cellStyle name="Output 2 3 34 2 3" xfId="41987" xr:uid="{00000000-0005-0000-0000-000001A40000}"/>
    <cellStyle name="Output 2 3 34 2 4" xfId="41988" xr:uid="{00000000-0005-0000-0000-000002A40000}"/>
    <cellStyle name="Output 2 3 34 2 5" xfId="41989" xr:uid="{00000000-0005-0000-0000-000003A40000}"/>
    <cellStyle name="Output 2 3 34 3" xfId="41990" xr:uid="{00000000-0005-0000-0000-000004A40000}"/>
    <cellStyle name="Output 2 3 34 4" xfId="41991" xr:uid="{00000000-0005-0000-0000-000005A40000}"/>
    <cellStyle name="Output 2 3 34 5" xfId="41992" xr:uid="{00000000-0005-0000-0000-000006A40000}"/>
    <cellStyle name="Output 2 3 34 6" xfId="41993" xr:uid="{00000000-0005-0000-0000-000007A40000}"/>
    <cellStyle name="Output 2 3 35" xfId="41994" xr:uid="{00000000-0005-0000-0000-000008A40000}"/>
    <cellStyle name="Output 2 3 35 2" xfId="41995" xr:uid="{00000000-0005-0000-0000-000009A40000}"/>
    <cellStyle name="Output 2 3 35 2 2" xfId="41996" xr:uid="{00000000-0005-0000-0000-00000AA40000}"/>
    <cellStyle name="Output 2 3 35 2 3" xfId="41997" xr:uid="{00000000-0005-0000-0000-00000BA40000}"/>
    <cellStyle name="Output 2 3 35 2 4" xfId="41998" xr:uid="{00000000-0005-0000-0000-00000CA40000}"/>
    <cellStyle name="Output 2 3 35 2 5" xfId="41999" xr:uid="{00000000-0005-0000-0000-00000DA40000}"/>
    <cellStyle name="Output 2 3 35 3" xfId="42000" xr:uid="{00000000-0005-0000-0000-00000EA40000}"/>
    <cellStyle name="Output 2 3 35 4" xfId="42001" xr:uid="{00000000-0005-0000-0000-00000FA40000}"/>
    <cellStyle name="Output 2 3 35 5" xfId="42002" xr:uid="{00000000-0005-0000-0000-000010A40000}"/>
    <cellStyle name="Output 2 3 35 6" xfId="42003" xr:uid="{00000000-0005-0000-0000-000011A40000}"/>
    <cellStyle name="Output 2 3 36" xfId="42004" xr:uid="{00000000-0005-0000-0000-000012A40000}"/>
    <cellStyle name="Output 2 3 36 2" xfId="42005" xr:uid="{00000000-0005-0000-0000-000013A40000}"/>
    <cellStyle name="Output 2 3 36 2 2" xfId="42006" xr:uid="{00000000-0005-0000-0000-000014A40000}"/>
    <cellStyle name="Output 2 3 36 2 3" xfId="42007" xr:uid="{00000000-0005-0000-0000-000015A40000}"/>
    <cellStyle name="Output 2 3 36 2 4" xfId="42008" xr:uid="{00000000-0005-0000-0000-000016A40000}"/>
    <cellStyle name="Output 2 3 36 2 5" xfId="42009" xr:uid="{00000000-0005-0000-0000-000017A40000}"/>
    <cellStyle name="Output 2 3 36 3" xfId="42010" xr:uid="{00000000-0005-0000-0000-000018A40000}"/>
    <cellStyle name="Output 2 3 36 4" xfId="42011" xr:uid="{00000000-0005-0000-0000-000019A40000}"/>
    <cellStyle name="Output 2 3 36 5" xfId="42012" xr:uid="{00000000-0005-0000-0000-00001AA40000}"/>
    <cellStyle name="Output 2 3 36 6" xfId="42013" xr:uid="{00000000-0005-0000-0000-00001BA40000}"/>
    <cellStyle name="Output 2 3 37" xfId="42014" xr:uid="{00000000-0005-0000-0000-00001CA40000}"/>
    <cellStyle name="Output 2 3 37 2" xfId="42015" xr:uid="{00000000-0005-0000-0000-00001DA40000}"/>
    <cellStyle name="Output 2 3 37 2 2" xfId="42016" xr:uid="{00000000-0005-0000-0000-00001EA40000}"/>
    <cellStyle name="Output 2 3 37 2 3" xfId="42017" xr:uid="{00000000-0005-0000-0000-00001FA40000}"/>
    <cellStyle name="Output 2 3 37 2 4" xfId="42018" xr:uid="{00000000-0005-0000-0000-000020A40000}"/>
    <cellStyle name="Output 2 3 37 2 5" xfId="42019" xr:uid="{00000000-0005-0000-0000-000021A40000}"/>
    <cellStyle name="Output 2 3 37 3" xfId="42020" xr:uid="{00000000-0005-0000-0000-000022A40000}"/>
    <cellStyle name="Output 2 3 37 4" xfId="42021" xr:uid="{00000000-0005-0000-0000-000023A40000}"/>
    <cellStyle name="Output 2 3 37 5" xfId="42022" xr:uid="{00000000-0005-0000-0000-000024A40000}"/>
    <cellStyle name="Output 2 3 37 6" xfId="42023" xr:uid="{00000000-0005-0000-0000-000025A40000}"/>
    <cellStyle name="Output 2 3 38" xfId="42024" xr:uid="{00000000-0005-0000-0000-000026A40000}"/>
    <cellStyle name="Output 2 3 38 2" xfId="42025" xr:uid="{00000000-0005-0000-0000-000027A40000}"/>
    <cellStyle name="Output 2 3 38 2 2" xfId="42026" xr:uid="{00000000-0005-0000-0000-000028A40000}"/>
    <cellStyle name="Output 2 3 38 2 3" xfId="42027" xr:uid="{00000000-0005-0000-0000-000029A40000}"/>
    <cellStyle name="Output 2 3 38 2 4" xfId="42028" xr:uid="{00000000-0005-0000-0000-00002AA40000}"/>
    <cellStyle name="Output 2 3 38 2 5" xfId="42029" xr:uid="{00000000-0005-0000-0000-00002BA40000}"/>
    <cellStyle name="Output 2 3 38 3" xfId="42030" xr:uid="{00000000-0005-0000-0000-00002CA40000}"/>
    <cellStyle name="Output 2 3 38 4" xfId="42031" xr:uid="{00000000-0005-0000-0000-00002DA40000}"/>
    <cellStyle name="Output 2 3 38 5" xfId="42032" xr:uid="{00000000-0005-0000-0000-00002EA40000}"/>
    <cellStyle name="Output 2 3 38 6" xfId="42033" xr:uid="{00000000-0005-0000-0000-00002FA40000}"/>
    <cellStyle name="Output 2 3 39" xfId="42034" xr:uid="{00000000-0005-0000-0000-000030A40000}"/>
    <cellStyle name="Output 2 3 39 2" xfId="42035" xr:uid="{00000000-0005-0000-0000-000031A40000}"/>
    <cellStyle name="Output 2 3 39 2 2" xfId="42036" xr:uid="{00000000-0005-0000-0000-000032A40000}"/>
    <cellStyle name="Output 2 3 39 2 3" xfId="42037" xr:uid="{00000000-0005-0000-0000-000033A40000}"/>
    <cellStyle name="Output 2 3 39 2 4" xfId="42038" xr:uid="{00000000-0005-0000-0000-000034A40000}"/>
    <cellStyle name="Output 2 3 39 2 5" xfId="42039" xr:uid="{00000000-0005-0000-0000-000035A40000}"/>
    <cellStyle name="Output 2 3 39 3" xfId="42040" xr:uid="{00000000-0005-0000-0000-000036A40000}"/>
    <cellStyle name="Output 2 3 39 4" xfId="42041" xr:uid="{00000000-0005-0000-0000-000037A40000}"/>
    <cellStyle name="Output 2 3 39 5" xfId="42042" xr:uid="{00000000-0005-0000-0000-000038A40000}"/>
    <cellStyle name="Output 2 3 39 6" xfId="42043" xr:uid="{00000000-0005-0000-0000-000039A40000}"/>
    <cellStyle name="Output 2 3 4" xfId="42044" xr:uid="{00000000-0005-0000-0000-00003AA40000}"/>
    <cellStyle name="Output 2 3 4 2" xfId="42045" xr:uid="{00000000-0005-0000-0000-00003BA40000}"/>
    <cellStyle name="Output 2 3 4 2 2" xfId="42046" xr:uid="{00000000-0005-0000-0000-00003CA40000}"/>
    <cellStyle name="Output 2 3 4 2 2 2" xfId="42047" xr:uid="{00000000-0005-0000-0000-00003DA40000}"/>
    <cellStyle name="Output 2 3 4 2 2 3" xfId="42048" xr:uid="{00000000-0005-0000-0000-00003EA40000}"/>
    <cellStyle name="Output 2 3 4 2 2 4" xfId="42049" xr:uid="{00000000-0005-0000-0000-00003FA40000}"/>
    <cellStyle name="Output 2 3 4 2 2 5" xfId="42050" xr:uid="{00000000-0005-0000-0000-000040A40000}"/>
    <cellStyle name="Output 2 3 4 2 2 6" xfId="42051" xr:uid="{00000000-0005-0000-0000-000041A40000}"/>
    <cellStyle name="Output 2 3 4 2 3" xfId="42052" xr:uid="{00000000-0005-0000-0000-000042A40000}"/>
    <cellStyle name="Output 2 3 4 2 3 2" xfId="42053" xr:uid="{00000000-0005-0000-0000-000043A40000}"/>
    <cellStyle name="Output 2 3 4 2 3 3" xfId="42054" xr:uid="{00000000-0005-0000-0000-000044A40000}"/>
    <cellStyle name="Output 2 3 4 2 3 4" xfId="42055" xr:uid="{00000000-0005-0000-0000-000045A40000}"/>
    <cellStyle name="Output 2 3 4 2 3 5" xfId="42056" xr:uid="{00000000-0005-0000-0000-000046A40000}"/>
    <cellStyle name="Output 2 3 4 2 4" xfId="42057" xr:uid="{00000000-0005-0000-0000-000047A40000}"/>
    <cellStyle name="Output 2 3 4 2 5" xfId="42058" xr:uid="{00000000-0005-0000-0000-000048A40000}"/>
    <cellStyle name="Output 2 3 4 2 6" xfId="42059" xr:uid="{00000000-0005-0000-0000-000049A40000}"/>
    <cellStyle name="Output 2 3 4 2 7" xfId="42060" xr:uid="{00000000-0005-0000-0000-00004AA40000}"/>
    <cellStyle name="Output 2 3 4 3" xfId="42061" xr:uid="{00000000-0005-0000-0000-00004BA40000}"/>
    <cellStyle name="Output 2 3 4 3 2" xfId="42062" xr:uid="{00000000-0005-0000-0000-00004CA40000}"/>
    <cellStyle name="Output 2 3 4 3 2 2" xfId="42063" xr:uid="{00000000-0005-0000-0000-00004DA40000}"/>
    <cellStyle name="Output 2 3 4 3 2 3" xfId="42064" xr:uid="{00000000-0005-0000-0000-00004EA40000}"/>
    <cellStyle name="Output 2 3 4 3 2 4" xfId="42065" xr:uid="{00000000-0005-0000-0000-00004FA40000}"/>
    <cellStyle name="Output 2 3 4 3 2 5" xfId="42066" xr:uid="{00000000-0005-0000-0000-000050A40000}"/>
    <cellStyle name="Output 2 3 4 3 2 6" xfId="42067" xr:uid="{00000000-0005-0000-0000-000051A40000}"/>
    <cellStyle name="Output 2 3 4 3 3" xfId="42068" xr:uid="{00000000-0005-0000-0000-000052A40000}"/>
    <cellStyle name="Output 2 3 4 3 4" xfId="42069" xr:uid="{00000000-0005-0000-0000-000053A40000}"/>
    <cellStyle name="Output 2 3 4 3 5" xfId="42070" xr:uid="{00000000-0005-0000-0000-000054A40000}"/>
    <cellStyle name="Output 2 3 4 3 6" xfId="42071" xr:uid="{00000000-0005-0000-0000-000055A40000}"/>
    <cellStyle name="Output 2 3 4 4" xfId="42072" xr:uid="{00000000-0005-0000-0000-000056A40000}"/>
    <cellStyle name="Output 2 3 4 4 2" xfId="42073" xr:uid="{00000000-0005-0000-0000-000057A40000}"/>
    <cellStyle name="Output 2 3 4 4 3" xfId="42074" xr:uid="{00000000-0005-0000-0000-000058A40000}"/>
    <cellStyle name="Output 2 3 4 4 4" xfId="42075" xr:uid="{00000000-0005-0000-0000-000059A40000}"/>
    <cellStyle name="Output 2 3 4 4 5" xfId="42076" xr:uid="{00000000-0005-0000-0000-00005AA40000}"/>
    <cellStyle name="Output 2 3 4 4 6" xfId="42077" xr:uid="{00000000-0005-0000-0000-00005BA40000}"/>
    <cellStyle name="Output 2 3 4 5" xfId="42078" xr:uid="{00000000-0005-0000-0000-00005CA40000}"/>
    <cellStyle name="Output 2 3 4 5 2" xfId="42079" xr:uid="{00000000-0005-0000-0000-00005DA40000}"/>
    <cellStyle name="Output 2 3 4 5 3" xfId="42080" xr:uid="{00000000-0005-0000-0000-00005EA40000}"/>
    <cellStyle name="Output 2 3 4 5 4" xfId="42081" xr:uid="{00000000-0005-0000-0000-00005FA40000}"/>
    <cellStyle name="Output 2 3 4 5 5" xfId="42082" xr:uid="{00000000-0005-0000-0000-000060A40000}"/>
    <cellStyle name="Output 2 3 4 6" xfId="42083" xr:uid="{00000000-0005-0000-0000-000061A40000}"/>
    <cellStyle name="Output 2 3 4 7" xfId="42084" xr:uid="{00000000-0005-0000-0000-000062A40000}"/>
    <cellStyle name="Output 2 3 4 8" xfId="42085" xr:uid="{00000000-0005-0000-0000-000063A40000}"/>
    <cellStyle name="Output 2 3 4 9" xfId="42086" xr:uid="{00000000-0005-0000-0000-000064A40000}"/>
    <cellStyle name="Output 2 3 40" xfId="42087" xr:uid="{00000000-0005-0000-0000-000065A40000}"/>
    <cellStyle name="Output 2 3 40 2" xfId="42088" xr:uid="{00000000-0005-0000-0000-000066A40000}"/>
    <cellStyle name="Output 2 3 40 2 2" xfId="42089" xr:uid="{00000000-0005-0000-0000-000067A40000}"/>
    <cellStyle name="Output 2 3 40 2 3" xfId="42090" xr:uid="{00000000-0005-0000-0000-000068A40000}"/>
    <cellStyle name="Output 2 3 40 2 4" xfId="42091" xr:uid="{00000000-0005-0000-0000-000069A40000}"/>
    <cellStyle name="Output 2 3 40 2 5" xfId="42092" xr:uid="{00000000-0005-0000-0000-00006AA40000}"/>
    <cellStyle name="Output 2 3 40 3" xfId="42093" xr:uid="{00000000-0005-0000-0000-00006BA40000}"/>
    <cellStyle name="Output 2 3 40 4" xfId="42094" xr:uid="{00000000-0005-0000-0000-00006CA40000}"/>
    <cellStyle name="Output 2 3 40 5" xfId="42095" xr:uid="{00000000-0005-0000-0000-00006DA40000}"/>
    <cellStyle name="Output 2 3 40 6" xfId="42096" xr:uid="{00000000-0005-0000-0000-00006EA40000}"/>
    <cellStyle name="Output 2 3 41" xfId="42097" xr:uid="{00000000-0005-0000-0000-00006FA40000}"/>
    <cellStyle name="Output 2 3 41 2" xfId="42098" xr:uid="{00000000-0005-0000-0000-000070A40000}"/>
    <cellStyle name="Output 2 3 41 2 2" xfId="42099" xr:uid="{00000000-0005-0000-0000-000071A40000}"/>
    <cellStyle name="Output 2 3 41 2 3" xfId="42100" xr:uid="{00000000-0005-0000-0000-000072A40000}"/>
    <cellStyle name="Output 2 3 41 2 4" xfId="42101" xr:uid="{00000000-0005-0000-0000-000073A40000}"/>
    <cellStyle name="Output 2 3 41 2 5" xfId="42102" xr:uid="{00000000-0005-0000-0000-000074A40000}"/>
    <cellStyle name="Output 2 3 41 3" xfId="42103" xr:uid="{00000000-0005-0000-0000-000075A40000}"/>
    <cellStyle name="Output 2 3 41 4" xfId="42104" xr:uid="{00000000-0005-0000-0000-000076A40000}"/>
    <cellStyle name="Output 2 3 41 5" xfId="42105" xr:uid="{00000000-0005-0000-0000-000077A40000}"/>
    <cellStyle name="Output 2 3 41 6" xfId="42106" xr:uid="{00000000-0005-0000-0000-000078A40000}"/>
    <cellStyle name="Output 2 3 42" xfId="42107" xr:uid="{00000000-0005-0000-0000-000079A40000}"/>
    <cellStyle name="Output 2 3 42 2" xfId="42108" xr:uid="{00000000-0005-0000-0000-00007AA40000}"/>
    <cellStyle name="Output 2 3 42 3" xfId="42109" xr:uid="{00000000-0005-0000-0000-00007BA40000}"/>
    <cellStyle name="Output 2 3 42 4" xfId="42110" xr:uid="{00000000-0005-0000-0000-00007CA40000}"/>
    <cellStyle name="Output 2 3 42 5" xfId="42111" xr:uid="{00000000-0005-0000-0000-00007DA40000}"/>
    <cellStyle name="Output 2 3 43" xfId="42112" xr:uid="{00000000-0005-0000-0000-00007EA40000}"/>
    <cellStyle name="Output 2 3 43 2" xfId="42113" xr:uid="{00000000-0005-0000-0000-00007FA40000}"/>
    <cellStyle name="Output 2 3 43 3" xfId="42114" xr:uid="{00000000-0005-0000-0000-000080A40000}"/>
    <cellStyle name="Output 2 3 43 4" xfId="42115" xr:uid="{00000000-0005-0000-0000-000081A40000}"/>
    <cellStyle name="Output 2 3 43 5" xfId="42116" xr:uid="{00000000-0005-0000-0000-000082A40000}"/>
    <cellStyle name="Output 2 3 44" xfId="42117" xr:uid="{00000000-0005-0000-0000-000083A40000}"/>
    <cellStyle name="Output 2 3 45" xfId="42118" xr:uid="{00000000-0005-0000-0000-000084A40000}"/>
    <cellStyle name="Output 2 3 46" xfId="42119" xr:uid="{00000000-0005-0000-0000-000085A40000}"/>
    <cellStyle name="Output 2 3 47" xfId="42120" xr:uid="{00000000-0005-0000-0000-000086A40000}"/>
    <cellStyle name="Output 2 3 5" xfId="42121" xr:uid="{00000000-0005-0000-0000-000087A40000}"/>
    <cellStyle name="Output 2 3 5 2" xfId="42122" xr:uid="{00000000-0005-0000-0000-000088A40000}"/>
    <cellStyle name="Output 2 3 5 2 2" xfId="42123" xr:uid="{00000000-0005-0000-0000-000089A40000}"/>
    <cellStyle name="Output 2 3 5 2 2 2" xfId="42124" xr:uid="{00000000-0005-0000-0000-00008AA40000}"/>
    <cellStyle name="Output 2 3 5 2 2 3" xfId="42125" xr:uid="{00000000-0005-0000-0000-00008BA40000}"/>
    <cellStyle name="Output 2 3 5 2 2 4" xfId="42126" xr:uid="{00000000-0005-0000-0000-00008CA40000}"/>
    <cellStyle name="Output 2 3 5 2 2 5" xfId="42127" xr:uid="{00000000-0005-0000-0000-00008DA40000}"/>
    <cellStyle name="Output 2 3 5 2 2 6" xfId="42128" xr:uid="{00000000-0005-0000-0000-00008EA40000}"/>
    <cellStyle name="Output 2 3 5 2 3" xfId="42129" xr:uid="{00000000-0005-0000-0000-00008FA40000}"/>
    <cellStyle name="Output 2 3 5 2 3 2" xfId="42130" xr:uid="{00000000-0005-0000-0000-000090A40000}"/>
    <cellStyle name="Output 2 3 5 2 3 3" xfId="42131" xr:uid="{00000000-0005-0000-0000-000091A40000}"/>
    <cellStyle name="Output 2 3 5 2 3 4" xfId="42132" xr:uid="{00000000-0005-0000-0000-000092A40000}"/>
    <cellStyle name="Output 2 3 5 2 3 5" xfId="42133" xr:uid="{00000000-0005-0000-0000-000093A40000}"/>
    <cellStyle name="Output 2 3 5 2 4" xfId="42134" xr:uid="{00000000-0005-0000-0000-000094A40000}"/>
    <cellStyle name="Output 2 3 5 2 5" xfId="42135" xr:uid="{00000000-0005-0000-0000-000095A40000}"/>
    <cellStyle name="Output 2 3 5 2 6" xfId="42136" xr:uid="{00000000-0005-0000-0000-000096A40000}"/>
    <cellStyle name="Output 2 3 5 2 7" xfId="42137" xr:uid="{00000000-0005-0000-0000-000097A40000}"/>
    <cellStyle name="Output 2 3 5 3" xfId="42138" xr:uid="{00000000-0005-0000-0000-000098A40000}"/>
    <cellStyle name="Output 2 3 5 3 2" xfId="42139" xr:uid="{00000000-0005-0000-0000-000099A40000}"/>
    <cellStyle name="Output 2 3 5 3 2 2" xfId="42140" xr:uid="{00000000-0005-0000-0000-00009AA40000}"/>
    <cellStyle name="Output 2 3 5 3 2 3" xfId="42141" xr:uid="{00000000-0005-0000-0000-00009BA40000}"/>
    <cellStyle name="Output 2 3 5 3 2 4" xfId="42142" xr:uid="{00000000-0005-0000-0000-00009CA40000}"/>
    <cellStyle name="Output 2 3 5 3 2 5" xfId="42143" xr:uid="{00000000-0005-0000-0000-00009DA40000}"/>
    <cellStyle name="Output 2 3 5 3 2 6" xfId="42144" xr:uid="{00000000-0005-0000-0000-00009EA40000}"/>
    <cellStyle name="Output 2 3 5 3 3" xfId="42145" xr:uid="{00000000-0005-0000-0000-00009FA40000}"/>
    <cellStyle name="Output 2 3 5 3 4" xfId="42146" xr:uid="{00000000-0005-0000-0000-0000A0A40000}"/>
    <cellStyle name="Output 2 3 5 3 5" xfId="42147" xr:uid="{00000000-0005-0000-0000-0000A1A40000}"/>
    <cellStyle name="Output 2 3 5 3 6" xfId="42148" xr:uid="{00000000-0005-0000-0000-0000A2A40000}"/>
    <cellStyle name="Output 2 3 5 4" xfId="42149" xr:uid="{00000000-0005-0000-0000-0000A3A40000}"/>
    <cellStyle name="Output 2 3 5 4 2" xfId="42150" xr:uid="{00000000-0005-0000-0000-0000A4A40000}"/>
    <cellStyle name="Output 2 3 5 4 3" xfId="42151" xr:uid="{00000000-0005-0000-0000-0000A5A40000}"/>
    <cellStyle name="Output 2 3 5 4 4" xfId="42152" xr:uid="{00000000-0005-0000-0000-0000A6A40000}"/>
    <cellStyle name="Output 2 3 5 4 5" xfId="42153" xr:uid="{00000000-0005-0000-0000-0000A7A40000}"/>
    <cellStyle name="Output 2 3 5 4 6" xfId="42154" xr:uid="{00000000-0005-0000-0000-0000A8A40000}"/>
    <cellStyle name="Output 2 3 5 5" xfId="42155" xr:uid="{00000000-0005-0000-0000-0000A9A40000}"/>
    <cellStyle name="Output 2 3 5 5 2" xfId="42156" xr:uid="{00000000-0005-0000-0000-0000AAA40000}"/>
    <cellStyle name="Output 2 3 5 5 3" xfId="42157" xr:uid="{00000000-0005-0000-0000-0000ABA40000}"/>
    <cellStyle name="Output 2 3 5 5 4" xfId="42158" xr:uid="{00000000-0005-0000-0000-0000ACA40000}"/>
    <cellStyle name="Output 2 3 5 5 5" xfId="42159" xr:uid="{00000000-0005-0000-0000-0000ADA40000}"/>
    <cellStyle name="Output 2 3 5 6" xfId="42160" xr:uid="{00000000-0005-0000-0000-0000AEA40000}"/>
    <cellStyle name="Output 2 3 5 7" xfId="42161" xr:uid="{00000000-0005-0000-0000-0000AFA40000}"/>
    <cellStyle name="Output 2 3 5 8" xfId="42162" xr:uid="{00000000-0005-0000-0000-0000B0A40000}"/>
    <cellStyle name="Output 2 3 5 9" xfId="42163" xr:uid="{00000000-0005-0000-0000-0000B1A40000}"/>
    <cellStyle name="Output 2 3 6" xfId="42164" xr:uid="{00000000-0005-0000-0000-0000B2A40000}"/>
    <cellStyle name="Output 2 3 6 2" xfId="42165" xr:uid="{00000000-0005-0000-0000-0000B3A40000}"/>
    <cellStyle name="Output 2 3 6 2 2" xfId="42166" xr:uid="{00000000-0005-0000-0000-0000B4A40000}"/>
    <cellStyle name="Output 2 3 6 2 2 2" xfId="42167" xr:uid="{00000000-0005-0000-0000-0000B5A40000}"/>
    <cellStyle name="Output 2 3 6 2 2 3" xfId="42168" xr:uid="{00000000-0005-0000-0000-0000B6A40000}"/>
    <cellStyle name="Output 2 3 6 2 2 4" xfId="42169" xr:uid="{00000000-0005-0000-0000-0000B7A40000}"/>
    <cellStyle name="Output 2 3 6 2 2 5" xfId="42170" xr:uid="{00000000-0005-0000-0000-0000B8A40000}"/>
    <cellStyle name="Output 2 3 6 2 2 6" xfId="42171" xr:uid="{00000000-0005-0000-0000-0000B9A40000}"/>
    <cellStyle name="Output 2 3 6 2 3" xfId="42172" xr:uid="{00000000-0005-0000-0000-0000BAA40000}"/>
    <cellStyle name="Output 2 3 6 2 3 2" xfId="42173" xr:uid="{00000000-0005-0000-0000-0000BBA40000}"/>
    <cellStyle name="Output 2 3 6 2 3 3" xfId="42174" xr:uid="{00000000-0005-0000-0000-0000BCA40000}"/>
    <cellStyle name="Output 2 3 6 2 3 4" xfId="42175" xr:uid="{00000000-0005-0000-0000-0000BDA40000}"/>
    <cellStyle name="Output 2 3 6 2 3 5" xfId="42176" xr:uid="{00000000-0005-0000-0000-0000BEA40000}"/>
    <cellStyle name="Output 2 3 6 2 4" xfId="42177" xr:uid="{00000000-0005-0000-0000-0000BFA40000}"/>
    <cellStyle name="Output 2 3 6 2 5" xfId="42178" xr:uid="{00000000-0005-0000-0000-0000C0A40000}"/>
    <cellStyle name="Output 2 3 6 2 6" xfId="42179" xr:uid="{00000000-0005-0000-0000-0000C1A40000}"/>
    <cellStyle name="Output 2 3 6 2 7" xfId="42180" xr:uid="{00000000-0005-0000-0000-0000C2A40000}"/>
    <cellStyle name="Output 2 3 6 3" xfId="42181" xr:uid="{00000000-0005-0000-0000-0000C3A40000}"/>
    <cellStyle name="Output 2 3 6 3 2" xfId="42182" xr:uid="{00000000-0005-0000-0000-0000C4A40000}"/>
    <cellStyle name="Output 2 3 6 3 2 2" xfId="42183" xr:uid="{00000000-0005-0000-0000-0000C5A40000}"/>
    <cellStyle name="Output 2 3 6 3 2 3" xfId="42184" xr:uid="{00000000-0005-0000-0000-0000C6A40000}"/>
    <cellStyle name="Output 2 3 6 3 2 4" xfId="42185" xr:uid="{00000000-0005-0000-0000-0000C7A40000}"/>
    <cellStyle name="Output 2 3 6 3 2 5" xfId="42186" xr:uid="{00000000-0005-0000-0000-0000C8A40000}"/>
    <cellStyle name="Output 2 3 6 3 2 6" xfId="42187" xr:uid="{00000000-0005-0000-0000-0000C9A40000}"/>
    <cellStyle name="Output 2 3 6 3 3" xfId="42188" xr:uid="{00000000-0005-0000-0000-0000CAA40000}"/>
    <cellStyle name="Output 2 3 6 3 4" xfId="42189" xr:uid="{00000000-0005-0000-0000-0000CBA40000}"/>
    <cellStyle name="Output 2 3 6 3 5" xfId="42190" xr:uid="{00000000-0005-0000-0000-0000CCA40000}"/>
    <cellStyle name="Output 2 3 6 3 6" xfId="42191" xr:uid="{00000000-0005-0000-0000-0000CDA40000}"/>
    <cellStyle name="Output 2 3 6 4" xfId="42192" xr:uid="{00000000-0005-0000-0000-0000CEA40000}"/>
    <cellStyle name="Output 2 3 6 4 2" xfId="42193" xr:uid="{00000000-0005-0000-0000-0000CFA40000}"/>
    <cellStyle name="Output 2 3 6 4 3" xfId="42194" xr:uid="{00000000-0005-0000-0000-0000D0A40000}"/>
    <cellStyle name="Output 2 3 6 4 4" xfId="42195" xr:uid="{00000000-0005-0000-0000-0000D1A40000}"/>
    <cellStyle name="Output 2 3 6 4 5" xfId="42196" xr:uid="{00000000-0005-0000-0000-0000D2A40000}"/>
    <cellStyle name="Output 2 3 6 4 6" xfId="42197" xr:uid="{00000000-0005-0000-0000-0000D3A40000}"/>
    <cellStyle name="Output 2 3 6 5" xfId="42198" xr:uid="{00000000-0005-0000-0000-0000D4A40000}"/>
    <cellStyle name="Output 2 3 6 5 2" xfId="42199" xr:uid="{00000000-0005-0000-0000-0000D5A40000}"/>
    <cellStyle name="Output 2 3 6 5 3" xfId="42200" xr:uid="{00000000-0005-0000-0000-0000D6A40000}"/>
    <cellStyle name="Output 2 3 6 5 4" xfId="42201" xr:uid="{00000000-0005-0000-0000-0000D7A40000}"/>
    <cellStyle name="Output 2 3 6 5 5" xfId="42202" xr:uid="{00000000-0005-0000-0000-0000D8A40000}"/>
    <cellStyle name="Output 2 3 6 6" xfId="42203" xr:uid="{00000000-0005-0000-0000-0000D9A40000}"/>
    <cellStyle name="Output 2 3 6 7" xfId="42204" xr:uid="{00000000-0005-0000-0000-0000DAA40000}"/>
    <cellStyle name="Output 2 3 6 8" xfId="42205" xr:uid="{00000000-0005-0000-0000-0000DBA40000}"/>
    <cellStyle name="Output 2 3 6 9" xfId="42206" xr:uid="{00000000-0005-0000-0000-0000DCA40000}"/>
    <cellStyle name="Output 2 3 7" xfId="42207" xr:uid="{00000000-0005-0000-0000-0000DDA40000}"/>
    <cellStyle name="Output 2 3 7 2" xfId="42208" xr:uid="{00000000-0005-0000-0000-0000DEA40000}"/>
    <cellStyle name="Output 2 3 7 2 2" xfId="42209" xr:uid="{00000000-0005-0000-0000-0000DFA40000}"/>
    <cellStyle name="Output 2 3 7 2 2 2" xfId="42210" xr:uid="{00000000-0005-0000-0000-0000E0A40000}"/>
    <cellStyle name="Output 2 3 7 2 2 3" xfId="42211" xr:uid="{00000000-0005-0000-0000-0000E1A40000}"/>
    <cellStyle name="Output 2 3 7 2 2 4" xfId="42212" xr:uid="{00000000-0005-0000-0000-0000E2A40000}"/>
    <cellStyle name="Output 2 3 7 2 2 5" xfId="42213" xr:uid="{00000000-0005-0000-0000-0000E3A40000}"/>
    <cellStyle name="Output 2 3 7 2 2 6" xfId="42214" xr:uid="{00000000-0005-0000-0000-0000E4A40000}"/>
    <cellStyle name="Output 2 3 7 2 3" xfId="42215" xr:uid="{00000000-0005-0000-0000-0000E5A40000}"/>
    <cellStyle name="Output 2 3 7 2 3 2" xfId="42216" xr:uid="{00000000-0005-0000-0000-0000E6A40000}"/>
    <cellStyle name="Output 2 3 7 2 3 3" xfId="42217" xr:uid="{00000000-0005-0000-0000-0000E7A40000}"/>
    <cellStyle name="Output 2 3 7 2 3 4" xfId="42218" xr:uid="{00000000-0005-0000-0000-0000E8A40000}"/>
    <cellStyle name="Output 2 3 7 2 3 5" xfId="42219" xr:uid="{00000000-0005-0000-0000-0000E9A40000}"/>
    <cellStyle name="Output 2 3 7 2 4" xfId="42220" xr:uid="{00000000-0005-0000-0000-0000EAA40000}"/>
    <cellStyle name="Output 2 3 7 2 5" xfId="42221" xr:uid="{00000000-0005-0000-0000-0000EBA40000}"/>
    <cellStyle name="Output 2 3 7 2 6" xfId="42222" xr:uid="{00000000-0005-0000-0000-0000ECA40000}"/>
    <cellStyle name="Output 2 3 7 2 7" xfId="42223" xr:uid="{00000000-0005-0000-0000-0000EDA40000}"/>
    <cellStyle name="Output 2 3 7 3" xfId="42224" xr:uid="{00000000-0005-0000-0000-0000EEA40000}"/>
    <cellStyle name="Output 2 3 7 3 2" xfId="42225" xr:uid="{00000000-0005-0000-0000-0000EFA40000}"/>
    <cellStyle name="Output 2 3 7 3 2 2" xfId="42226" xr:uid="{00000000-0005-0000-0000-0000F0A40000}"/>
    <cellStyle name="Output 2 3 7 3 2 3" xfId="42227" xr:uid="{00000000-0005-0000-0000-0000F1A40000}"/>
    <cellStyle name="Output 2 3 7 3 2 4" xfId="42228" xr:uid="{00000000-0005-0000-0000-0000F2A40000}"/>
    <cellStyle name="Output 2 3 7 3 2 5" xfId="42229" xr:uid="{00000000-0005-0000-0000-0000F3A40000}"/>
    <cellStyle name="Output 2 3 7 3 2 6" xfId="42230" xr:uid="{00000000-0005-0000-0000-0000F4A40000}"/>
    <cellStyle name="Output 2 3 7 3 3" xfId="42231" xr:uid="{00000000-0005-0000-0000-0000F5A40000}"/>
    <cellStyle name="Output 2 3 7 3 4" xfId="42232" xr:uid="{00000000-0005-0000-0000-0000F6A40000}"/>
    <cellStyle name="Output 2 3 7 3 5" xfId="42233" xr:uid="{00000000-0005-0000-0000-0000F7A40000}"/>
    <cellStyle name="Output 2 3 7 3 6" xfId="42234" xr:uid="{00000000-0005-0000-0000-0000F8A40000}"/>
    <cellStyle name="Output 2 3 7 4" xfId="42235" xr:uid="{00000000-0005-0000-0000-0000F9A40000}"/>
    <cellStyle name="Output 2 3 7 4 2" xfId="42236" xr:uid="{00000000-0005-0000-0000-0000FAA40000}"/>
    <cellStyle name="Output 2 3 7 4 3" xfId="42237" xr:uid="{00000000-0005-0000-0000-0000FBA40000}"/>
    <cellStyle name="Output 2 3 7 4 4" xfId="42238" xr:uid="{00000000-0005-0000-0000-0000FCA40000}"/>
    <cellStyle name="Output 2 3 7 4 5" xfId="42239" xr:uid="{00000000-0005-0000-0000-0000FDA40000}"/>
    <cellStyle name="Output 2 3 7 4 6" xfId="42240" xr:uid="{00000000-0005-0000-0000-0000FEA40000}"/>
    <cellStyle name="Output 2 3 7 5" xfId="42241" xr:uid="{00000000-0005-0000-0000-0000FFA40000}"/>
    <cellStyle name="Output 2 3 7 5 2" xfId="42242" xr:uid="{00000000-0005-0000-0000-000000A50000}"/>
    <cellStyle name="Output 2 3 7 5 3" xfId="42243" xr:uid="{00000000-0005-0000-0000-000001A50000}"/>
    <cellStyle name="Output 2 3 7 5 4" xfId="42244" xr:uid="{00000000-0005-0000-0000-000002A50000}"/>
    <cellStyle name="Output 2 3 7 5 5" xfId="42245" xr:uid="{00000000-0005-0000-0000-000003A50000}"/>
    <cellStyle name="Output 2 3 7 6" xfId="42246" xr:uid="{00000000-0005-0000-0000-000004A50000}"/>
    <cellStyle name="Output 2 3 7 7" xfId="42247" xr:uid="{00000000-0005-0000-0000-000005A50000}"/>
    <cellStyle name="Output 2 3 7 8" xfId="42248" xr:uid="{00000000-0005-0000-0000-000006A50000}"/>
    <cellStyle name="Output 2 3 7 9" xfId="42249" xr:uid="{00000000-0005-0000-0000-000007A50000}"/>
    <cellStyle name="Output 2 3 8" xfId="42250" xr:uid="{00000000-0005-0000-0000-000008A50000}"/>
    <cellStyle name="Output 2 3 8 2" xfId="42251" xr:uid="{00000000-0005-0000-0000-000009A50000}"/>
    <cellStyle name="Output 2 3 8 2 2" xfId="42252" xr:uid="{00000000-0005-0000-0000-00000AA50000}"/>
    <cellStyle name="Output 2 3 8 2 2 2" xfId="42253" xr:uid="{00000000-0005-0000-0000-00000BA50000}"/>
    <cellStyle name="Output 2 3 8 2 2 3" xfId="42254" xr:uid="{00000000-0005-0000-0000-00000CA50000}"/>
    <cellStyle name="Output 2 3 8 2 2 4" xfId="42255" xr:uid="{00000000-0005-0000-0000-00000DA50000}"/>
    <cellStyle name="Output 2 3 8 2 2 5" xfId="42256" xr:uid="{00000000-0005-0000-0000-00000EA50000}"/>
    <cellStyle name="Output 2 3 8 2 3" xfId="42257" xr:uid="{00000000-0005-0000-0000-00000FA50000}"/>
    <cellStyle name="Output 2 3 8 2 4" xfId="42258" xr:uid="{00000000-0005-0000-0000-000010A50000}"/>
    <cellStyle name="Output 2 3 8 2 5" xfId="42259" xr:uid="{00000000-0005-0000-0000-000011A50000}"/>
    <cellStyle name="Output 2 3 8 2 6" xfId="42260" xr:uid="{00000000-0005-0000-0000-000012A50000}"/>
    <cellStyle name="Output 2 3 8 2 7" xfId="42261" xr:uid="{00000000-0005-0000-0000-000013A50000}"/>
    <cellStyle name="Output 2 3 8 3" xfId="42262" xr:uid="{00000000-0005-0000-0000-000014A50000}"/>
    <cellStyle name="Output 2 3 8 3 2" xfId="42263" xr:uid="{00000000-0005-0000-0000-000015A50000}"/>
    <cellStyle name="Output 2 3 8 3 3" xfId="42264" xr:uid="{00000000-0005-0000-0000-000016A50000}"/>
    <cellStyle name="Output 2 3 8 3 4" xfId="42265" xr:uid="{00000000-0005-0000-0000-000017A50000}"/>
    <cellStyle name="Output 2 3 8 3 5" xfId="42266" xr:uid="{00000000-0005-0000-0000-000018A50000}"/>
    <cellStyle name="Output 2 3 8 4" xfId="42267" xr:uid="{00000000-0005-0000-0000-000019A50000}"/>
    <cellStyle name="Output 2 3 8 5" xfId="42268" xr:uid="{00000000-0005-0000-0000-00001AA50000}"/>
    <cellStyle name="Output 2 3 8 6" xfId="42269" xr:uid="{00000000-0005-0000-0000-00001BA50000}"/>
    <cellStyle name="Output 2 3 8 7" xfId="42270" xr:uid="{00000000-0005-0000-0000-00001CA50000}"/>
    <cellStyle name="Output 2 3 9" xfId="42271" xr:uid="{00000000-0005-0000-0000-00001DA50000}"/>
    <cellStyle name="Output 2 3 9 2" xfId="42272" xr:uid="{00000000-0005-0000-0000-00001EA50000}"/>
    <cellStyle name="Output 2 3 9 2 2" xfId="42273" xr:uid="{00000000-0005-0000-0000-00001FA50000}"/>
    <cellStyle name="Output 2 3 9 2 2 2" xfId="42274" xr:uid="{00000000-0005-0000-0000-000020A50000}"/>
    <cellStyle name="Output 2 3 9 2 2 3" xfId="42275" xr:uid="{00000000-0005-0000-0000-000021A50000}"/>
    <cellStyle name="Output 2 3 9 2 2 4" xfId="42276" xr:uid="{00000000-0005-0000-0000-000022A50000}"/>
    <cellStyle name="Output 2 3 9 2 2 5" xfId="42277" xr:uid="{00000000-0005-0000-0000-000023A50000}"/>
    <cellStyle name="Output 2 3 9 2 3" xfId="42278" xr:uid="{00000000-0005-0000-0000-000024A50000}"/>
    <cellStyle name="Output 2 3 9 2 4" xfId="42279" xr:uid="{00000000-0005-0000-0000-000025A50000}"/>
    <cellStyle name="Output 2 3 9 2 5" xfId="42280" xr:uid="{00000000-0005-0000-0000-000026A50000}"/>
    <cellStyle name="Output 2 3 9 2 6" xfId="42281" xr:uid="{00000000-0005-0000-0000-000027A50000}"/>
    <cellStyle name="Output 2 3 9 2 7" xfId="42282" xr:uid="{00000000-0005-0000-0000-000028A50000}"/>
    <cellStyle name="Output 2 3 9 3" xfId="42283" xr:uid="{00000000-0005-0000-0000-000029A50000}"/>
    <cellStyle name="Output 2 3 9 3 2" xfId="42284" xr:uid="{00000000-0005-0000-0000-00002AA50000}"/>
    <cellStyle name="Output 2 3 9 3 3" xfId="42285" xr:uid="{00000000-0005-0000-0000-00002BA50000}"/>
    <cellStyle name="Output 2 3 9 3 4" xfId="42286" xr:uid="{00000000-0005-0000-0000-00002CA50000}"/>
    <cellStyle name="Output 2 3 9 3 5" xfId="42287" xr:uid="{00000000-0005-0000-0000-00002DA50000}"/>
    <cellStyle name="Output 2 3 9 4" xfId="42288" xr:uid="{00000000-0005-0000-0000-00002EA50000}"/>
    <cellStyle name="Output 2 3 9 5" xfId="42289" xr:uid="{00000000-0005-0000-0000-00002FA50000}"/>
    <cellStyle name="Output 2 3 9 6" xfId="42290" xr:uid="{00000000-0005-0000-0000-000030A50000}"/>
    <cellStyle name="Output 2 3 9 7" xfId="42291" xr:uid="{00000000-0005-0000-0000-000031A50000}"/>
    <cellStyle name="Output 2 30" xfId="42292" xr:uid="{00000000-0005-0000-0000-000032A50000}"/>
    <cellStyle name="Output 2 30 2" xfId="42293" xr:uid="{00000000-0005-0000-0000-000033A50000}"/>
    <cellStyle name="Output 2 30 2 2" xfId="42294" xr:uid="{00000000-0005-0000-0000-000034A50000}"/>
    <cellStyle name="Output 2 30 2 3" xfId="42295" xr:uid="{00000000-0005-0000-0000-000035A50000}"/>
    <cellStyle name="Output 2 30 2 4" xfId="42296" xr:uid="{00000000-0005-0000-0000-000036A50000}"/>
    <cellStyle name="Output 2 30 2 5" xfId="42297" xr:uid="{00000000-0005-0000-0000-000037A50000}"/>
    <cellStyle name="Output 2 30 3" xfId="42298" xr:uid="{00000000-0005-0000-0000-000038A50000}"/>
    <cellStyle name="Output 2 30 4" xfId="42299" xr:uid="{00000000-0005-0000-0000-000039A50000}"/>
    <cellStyle name="Output 2 30 5" xfId="42300" xr:uid="{00000000-0005-0000-0000-00003AA50000}"/>
    <cellStyle name="Output 2 30 6" xfId="42301" xr:uid="{00000000-0005-0000-0000-00003BA50000}"/>
    <cellStyle name="Output 2 31" xfId="42302" xr:uid="{00000000-0005-0000-0000-00003CA50000}"/>
    <cellStyle name="Output 2 31 2" xfId="42303" xr:uid="{00000000-0005-0000-0000-00003DA50000}"/>
    <cellStyle name="Output 2 31 2 2" xfId="42304" xr:uid="{00000000-0005-0000-0000-00003EA50000}"/>
    <cellStyle name="Output 2 31 2 3" xfId="42305" xr:uid="{00000000-0005-0000-0000-00003FA50000}"/>
    <cellStyle name="Output 2 31 2 4" xfId="42306" xr:uid="{00000000-0005-0000-0000-000040A50000}"/>
    <cellStyle name="Output 2 31 2 5" xfId="42307" xr:uid="{00000000-0005-0000-0000-000041A50000}"/>
    <cellStyle name="Output 2 31 3" xfId="42308" xr:uid="{00000000-0005-0000-0000-000042A50000}"/>
    <cellStyle name="Output 2 31 4" xfId="42309" xr:uid="{00000000-0005-0000-0000-000043A50000}"/>
    <cellStyle name="Output 2 31 5" xfId="42310" xr:uid="{00000000-0005-0000-0000-000044A50000}"/>
    <cellStyle name="Output 2 31 6" xfId="42311" xr:uid="{00000000-0005-0000-0000-000045A50000}"/>
    <cellStyle name="Output 2 32" xfId="42312" xr:uid="{00000000-0005-0000-0000-000046A50000}"/>
    <cellStyle name="Output 2 32 2" xfId="42313" xr:uid="{00000000-0005-0000-0000-000047A50000}"/>
    <cellStyle name="Output 2 32 2 2" xfId="42314" xr:uid="{00000000-0005-0000-0000-000048A50000}"/>
    <cellStyle name="Output 2 32 2 3" xfId="42315" xr:uid="{00000000-0005-0000-0000-000049A50000}"/>
    <cellStyle name="Output 2 32 2 4" xfId="42316" xr:uid="{00000000-0005-0000-0000-00004AA50000}"/>
    <cellStyle name="Output 2 32 2 5" xfId="42317" xr:uid="{00000000-0005-0000-0000-00004BA50000}"/>
    <cellStyle name="Output 2 32 3" xfId="42318" xr:uid="{00000000-0005-0000-0000-00004CA50000}"/>
    <cellStyle name="Output 2 32 4" xfId="42319" xr:uid="{00000000-0005-0000-0000-00004DA50000}"/>
    <cellStyle name="Output 2 32 5" xfId="42320" xr:uid="{00000000-0005-0000-0000-00004EA50000}"/>
    <cellStyle name="Output 2 32 6" xfId="42321" xr:uid="{00000000-0005-0000-0000-00004FA50000}"/>
    <cellStyle name="Output 2 33" xfId="42322" xr:uid="{00000000-0005-0000-0000-000050A50000}"/>
    <cellStyle name="Output 2 33 2" xfId="42323" xr:uid="{00000000-0005-0000-0000-000051A50000}"/>
    <cellStyle name="Output 2 33 2 2" xfId="42324" xr:uid="{00000000-0005-0000-0000-000052A50000}"/>
    <cellStyle name="Output 2 33 2 3" xfId="42325" xr:uid="{00000000-0005-0000-0000-000053A50000}"/>
    <cellStyle name="Output 2 33 2 4" xfId="42326" xr:uid="{00000000-0005-0000-0000-000054A50000}"/>
    <cellStyle name="Output 2 33 2 5" xfId="42327" xr:uid="{00000000-0005-0000-0000-000055A50000}"/>
    <cellStyle name="Output 2 33 3" xfId="42328" xr:uid="{00000000-0005-0000-0000-000056A50000}"/>
    <cellStyle name="Output 2 33 4" xfId="42329" xr:uid="{00000000-0005-0000-0000-000057A50000}"/>
    <cellStyle name="Output 2 33 5" xfId="42330" xr:uid="{00000000-0005-0000-0000-000058A50000}"/>
    <cellStyle name="Output 2 33 6" xfId="42331" xr:uid="{00000000-0005-0000-0000-000059A50000}"/>
    <cellStyle name="Output 2 34" xfId="42332" xr:uid="{00000000-0005-0000-0000-00005AA50000}"/>
    <cellStyle name="Output 2 34 2" xfId="42333" xr:uid="{00000000-0005-0000-0000-00005BA50000}"/>
    <cellStyle name="Output 2 34 2 2" xfId="42334" xr:uid="{00000000-0005-0000-0000-00005CA50000}"/>
    <cellStyle name="Output 2 34 2 3" xfId="42335" xr:uid="{00000000-0005-0000-0000-00005DA50000}"/>
    <cellStyle name="Output 2 34 2 4" xfId="42336" xr:uid="{00000000-0005-0000-0000-00005EA50000}"/>
    <cellStyle name="Output 2 34 2 5" xfId="42337" xr:uid="{00000000-0005-0000-0000-00005FA50000}"/>
    <cellStyle name="Output 2 34 3" xfId="42338" xr:uid="{00000000-0005-0000-0000-000060A50000}"/>
    <cellStyle name="Output 2 34 4" xfId="42339" xr:uid="{00000000-0005-0000-0000-000061A50000}"/>
    <cellStyle name="Output 2 34 5" xfId="42340" xr:uid="{00000000-0005-0000-0000-000062A50000}"/>
    <cellStyle name="Output 2 34 6" xfId="42341" xr:uid="{00000000-0005-0000-0000-000063A50000}"/>
    <cellStyle name="Output 2 35" xfId="42342" xr:uid="{00000000-0005-0000-0000-000064A50000}"/>
    <cellStyle name="Output 2 35 2" xfId="42343" xr:uid="{00000000-0005-0000-0000-000065A50000}"/>
    <cellStyle name="Output 2 35 2 2" xfId="42344" xr:uid="{00000000-0005-0000-0000-000066A50000}"/>
    <cellStyle name="Output 2 35 2 3" xfId="42345" xr:uid="{00000000-0005-0000-0000-000067A50000}"/>
    <cellStyle name="Output 2 35 2 4" xfId="42346" xr:uid="{00000000-0005-0000-0000-000068A50000}"/>
    <cellStyle name="Output 2 35 2 5" xfId="42347" xr:uid="{00000000-0005-0000-0000-000069A50000}"/>
    <cellStyle name="Output 2 35 3" xfId="42348" xr:uid="{00000000-0005-0000-0000-00006AA50000}"/>
    <cellStyle name="Output 2 35 4" xfId="42349" xr:uid="{00000000-0005-0000-0000-00006BA50000}"/>
    <cellStyle name="Output 2 35 5" xfId="42350" xr:uid="{00000000-0005-0000-0000-00006CA50000}"/>
    <cellStyle name="Output 2 35 6" xfId="42351" xr:uid="{00000000-0005-0000-0000-00006DA50000}"/>
    <cellStyle name="Output 2 36" xfId="42352" xr:uid="{00000000-0005-0000-0000-00006EA50000}"/>
    <cellStyle name="Output 2 36 2" xfId="42353" xr:uid="{00000000-0005-0000-0000-00006FA50000}"/>
    <cellStyle name="Output 2 36 2 2" xfId="42354" xr:uid="{00000000-0005-0000-0000-000070A50000}"/>
    <cellStyle name="Output 2 36 2 3" xfId="42355" xr:uid="{00000000-0005-0000-0000-000071A50000}"/>
    <cellStyle name="Output 2 36 2 4" xfId="42356" xr:uid="{00000000-0005-0000-0000-000072A50000}"/>
    <cellStyle name="Output 2 36 2 5" xfId="42357" xr:uid="{00000000-0005-0000-0000-000073A50000}"/>
    <cellStyle name="Output 2 36 3" xfId="42358" xr:uid="{00000000-0005-0000-0000-000074A50000}"/>
    <cellStyle name="Output 2 36 4" xfId="42359" xr:uid="{00000000-0005-0000-0000-000075A50000}"/>
    <cellStyle name="Output 2 36 5" xfId="42360" xr:uid="{00000000-0005-0000-0000-000076A50000}"/>
    <cellStyle name="Output 2 36 6" xfId="42361" xr:uid="{00000000-0005-0000-0000-000077A50000}"/>
    <cellStyle name="Output 2 37" xfId="42362" xr:uid="{00000000-0005-0000-0000-000078A50000}"/>
    <cellStyle name="Output 2 37 2" xfId="42363" xr:uid="{00000000-0005-0000-0000-000079A50000}"/>
    <cellStyle name="Output 2 37 2 2" xfId="42364" xr:uid="{00000000-0005-0000-0000-00007AA50000}"/>
    <cellStyle name="Output 2 37 2 3" xfId="42365" xr:uid="{00000000-0005-0000-0000-00007BA50000}"/>
    <cellStyle name="Output 2 37 2 4" xfId="42366" xr:uid="{00000000-0005-0000-0000-00007CA50000}"/>
    <cellStyle name="Output 2 37 2 5" xfId="42367" xr:uid="{00000000-0005-0000-0000-00007DA50000}"/>
    <cellStyle name="Output 2 37 3" xfId="42368" xr:uid="{00000000-0005-0000-0000-00007EA50000}"/>
    <cellStyle name="Output 2 37 4" xfId="42369" xr:uid="{00000000-0005-0000-0000-00007FA50000}"/>
    <cellStyle name="Output 2 37 5" xfId="42370" xr:uid="{00000000-0005-0000-0000-000080A50000}"/>
    <cellStyle name="Output 2 37 6" xfId="42371" xr:uid="{00000000-0005-0000-0000-000081A50000}"/>
    <cellStyle name="Output 2 38" xfId="42372" xr:uid="{00000000-0005-0000-0000-000082A50000}"/>
    <cellStyle name="Output 2 38 2" xfId="42373" xr:uid="{00000000-0005-0000-0000-000083A50000}"/>
    <cellStyle name="Output 2 38 2 2" xfId="42374" xr:uid="{00000000-0005-0000-0000-000084A50000}"/>
    <cellStyle name="Output 2 38 2 3" xfId="42375" xr:uid="{00000000-0005-0000-0000-000085A50000}"/>
    <cellStyle name="Output 2 38 2 4" xfId="42376" xr:uid="{00000000-0005-0000-0000-000086A50000}"/>
    <cellStyle name="Output 2 38 2 5" xfId="42377" xr:uid="{00000000-0005-0000-0000-000087A50000}"/>
    <cellStyle name="Output 2 38 3" xfId="42378" xr:uid="{00000000-0005-0000-0000-000088A50000}"/>
    <cellStyle name="Output 2 38 4" xfId="42379" xr:uid="{00000000-0005-0000-0000-000089A50000}"/>
    <cellStyle name="Output 2 38 5" xfId="42380" xr:uid="{00000000-0005-0000-0000-00008AA50000}"/>
    <cellStyle name="Output 2 38 6" xfId="42381" xr:uid="{00000000-0005-0000-0000-00008BA50000}"/>
    <cellStyle name="Output 2 39" xfId="42382" xr:uid="{00000000-0005-0000-0000-00008CA50000}"/>
    <cellStyle name="Output 2 39 2" xfId="42383" xr:uid="{00000000-0005-0000-0000-00008DA50000}"/>
    <cellStyle name="Output 2 39 2 2" xfId="42384" xr:uid="{00000000-0005-0000-0000-00008EA50000}"/>
    <cellStyle name="Output 2 39 2 3" xfId="42385" xr:uid="{00000000-0005-0000-0000-00008FA50000}"/>
    <cellStyle name="Output 2 39 2 4" xfId="42386" xr:uid="{00000000-0005-0000-0000-000090A50000}"/>
    <cellStyle name="Output 2 39 2 5" xfId="42387" xr:uid="{00000000-0005-0000-0000-000091A50000}"/>
    <cellStyle name="Output 2 39 3" xfId="42388" xr:uid="{00000000-0005-0000-0000-000092A50000}"/>
    <cellStyle name="Output 2 39 4" xfId="42389" xr:uid="{00000000-0005-0000-0000-000093A50000}"/>
    <cellStyle name="Output 2 39 5" xfId="42390" xr:uid="{00000000-0005-0000-0000-000094A50000}"/>
    <cellStyle name="Output 2 39 6" xfId="42391" xr:uid="{00000000-0005-0000-0000-000095A50000}"/>
    <cellStyle name="Output 2 4" xfId="42392" xr:uid="{00000000-0005-0000-0000-000096A50000}"/>
    <cellStyle name="Output 2 4 2" xfId="42393" xr:uid="{00000000-0005-0000-0000-000097A50000}"/>
    <cellStyle name="Output 2 4 2 2" xfId="42394" xr:uid="{00000000-0005-0000-0000-000098A50000}"/>
    <cellStyle name="Output 2 4 2 3" xfId="42395" xr:uid="{00000000-0005-0000-0000-000099A50000}"/>
    <cellStyle name="Output 2 4 2 4" xfId="42396" xr:uid="{00000000-0005-0000-0000-00009AA50000}"/>
    <cellStyle name="Output 2 4 2 5" xfId="42397" xr:uid="{00000000-0005-0000-0000-00009BA50000}"/>
    <cellStyle name="Output 2 4 3" xfId="42398" xr:uid="{00000000-0005-0000-0000-00009CA50000}"/>
    <cellStyle name="Output 2 4 3 2" xfId="42399" xr:uid="{00000000-0005-0000-0000-00009DA50000}"/>
    <cellStyle name="Output 2 4 3 3" xfId="42400" xr:uid="{00000000-0005-0000-0000-00009EA50000}"/>
    <cellStyle name="Output 2 4 3 4" xfId="42401" xr:uid="{00000000-0005-0000-0000-00009FA50000}"/>
    <cellStyle name="Output 2 4 3 5" xfId="42402" xr:uid="{00000000-0005-0000-0000-0000A0A50000}"/>
    <cellStyle name="Output 2 4 4" xfId="42403" xr:uid="{00000000-0005-0000-0000-0000A1A50000}"/>
    <cellStyle name="Output 2 4 5" xfId="42404" xr:uid="{00000000-0005-0000-0000-0000A2A50000}"/>
    <cellStyle name="Output 2 4 6" xfId="42405" xr:uid="{00000000-0005-0000-0000-0000A3A50000}"/>
    <cellStyle name="Output 2 4 7" xfId="42406" xr:uid="{00000000-0005-0000-0000-0000A4A50000}"/>
    <cellStyle name="Output 2 4 8" xfId="42407" xr:uid="{00000000-0005-0000-0000-0000A5A50000}"/>
    <cellStyle name="Output 2 40" xfId="42408" xr:uid="{00000000-0005-0000-0000-0000A6A50000}"/>
    <cellStyle name="Output 2 40 2" xfId="42409" xr:uid="{00000000-0005-0000-0000-0000A7A50000}"/>
    <cellStyle name="Output 2 40 2 2" xfId="42410" xr:uid="{00000000-0005-0000-0000-0000A8A50000}"/>
    <cellStyle name="Output 2 40 2 3" xfId="42411" xr:uid="{00000000-0005-0000-0000-0000A9A50000}"/>
    <cellStyle name="Output 2 40 2 4" xfId="42412" xr:uid="{00000000-0005-0000-0000-0000AAA50000}"/>
    <cellStyle name="Output 2 40 2 5" xfId="42413" xr:uid="{00000000-0005-0000-0000-0000ABA50000}"/>
    <cellStyle name="Output 2 40 3" xfId="42414" xr:uid="{00000000-0005-0000-0000-0000ACA50000}"/>
    <cellStyle name="Output 2 40 4" xfId="42415" xr:uid="{00000000-0005-0000-0000-0000ADA50000}"/>
    <cellStyle name="Output 2 40 5" xfId="42416" xr:uid="{00000000-0005-0000-0000-0000AEA50000}"/>
    <cellStyle name="Output 2 40 6" xfId="42417" xr:uid="{00000000-0005-0000-0000-0000AFA50000}"/>
    <cellStyle name="Output 2 41" xfId="42418" xr:uid="{00000000-0005-0000-0000-0000B0A50000}"/>
    <cellStyle name="Output 2 41 2" xfId="42419" xr:uid="{00000000-0005-0000-0000-0000B1A50000}"/>
    <cellStyle name="Output 2 41 2 2" xfId="42420" xr:uid="{00000000-0005-0000-0000-0000B2A50000}"/>
    <cellStyle name="Output 2 41 2 3" xfId="42421" xr:uid="{00000000-0005-0000-0000-0000B3A50000}"/>
    <cellStyle name="Output 2 41 2 4" xfId="42422" xr:uid="{00000000-0005-0000-0000-0000B4A50000}"/>
    <cellStyle name="Output 2 41 2 5" xfId="42423" xr:uid="{00000000-0005-0000-0000-0000B5A50000}"/>
    <cellStyle name="Output 2 41 3" xfId="42424" xr:uid="{00000000-0005-0000-0000-0000B6A50000}"/>
    <cellStyle name="Output 2 41 4" xfId="42425" xr:uid="{00000000-0005-0000-0000-0000B7A50000}"/>
    <cellStyle name="Output 2 41 5" xfId="42426" xr:uid="{00000000-0005-0000-0000-0000B8A50000}"/>
    <cellStyle name="Output 2 41 6" xfId="42427" xr:uid="{00000000-0005-0000-0000-0000B9A50000}"/>
    <cellStyle name="Output 2 42" xfId="42428" xr:uid="{00000000-0005-0000-0000-0000BAA50000}"/>
    <cellStyle name="Output 2 42 2" xfId="42429" xr:uid="{00000000-0005-0000-0000-0000BBA50000}"/>
    <cellStyle name="Output 2 42 2 2" xfId="42430" xr:uid="{00000000-0005-0000-0000-0000BCA50000}"/>
    <cellStyle name="Output 2 42 2 3" xfId="42431" xr:uid="{00000000-0005-0000-0000-0000BDA50000}"/>
    <cellStyle name="Output 2 42 2 4" xfId="42432" xr:uid="{00000000-0005-0000-0000-0000BEA50000}"/>
    <cellStyle name="Output 2 42 2 5" xfId="42433" xr:uid="{00000000-0005-0000-0000-0000BFA50000}"/>
    <cellStyle name="Output 2 42 3" xfId="42434" xr:uid="{00000000-0005-0000-0000-0000C0A50000}"/>
    <cellStyle name="Output 2 42 4" xfId="42435" xr:uid="{00000000-0005-0000-0000-0000C1A50000}"/>
    <cellStyle name="Output 2 42 5" xfId="42436" xr:uid="{00000000-0005-0000-0000-0000C2A50000}"/>
    <cellStyle name="Output 2 42 6" xfId="42437" xr:uid="{00000000-0005-0000-0000-0000C3A50000}"/>
    <cellStyle name="Output 2 43" xfId="42438" xr:uid="{00000000-0005-0000-0000-0000C4A50000}"/>
    <cellStyle name="Output 2 43 2" xfId="42439" xr:uid="{00000000-0005-0000-0000-0000C5A50000}"/>
    <cellStyle name="Output 2 43 2 2" xfId="42440" xr:uid="{00000000-0005-0000-0000-0000C6A50000}"/>
    <cellStyle name="Output 2 43 2 3" xfId="42441" xr:uid="{00000000-0005-0000-0000-0000C7A50000}"/>
    <cellStyle name="Output 2 43 2 4" xfId="42442" xr:uid="{00000000-0005-0000-0000-0000C8A50000}"/>
    <cellStyle name="Output 2 43 2 5" xfId="42443" xr:uid="{00000000-0005-0000-0000-0000C9A50000}"/>
    <cellStyle name="Output 2 43 3" xfId="42444" xr:uid="{00000000-0005-0000-0000-0000CAA50000}"/>
    <cellStyle name="Output 2 43 4" xfId="42445" xr:uid="{00000000-0005-0000-0000-0000CBA50000}"/>
    <cellStyle name="Output 2 43 5" xfId="42446" xr:uid="{00000000-0005-0000-0000-0000CCA50000}"/>
    <cellStyle name="Output 2 43 6" xfId="42447" xr:uid="{00000000-0005-0000-0000-0000CDA50000}"/>
    <cellStyle name="Output 2 44" xfId="42448" xr:uid="{00000000-0005-0000-0000-0000CEA50000}"/>
    <cellStyle name="Output 2 44 2" xfId="42449" xr:uid="{00000000-0005-0000-0000-0000CFA50000}"/>
    <cellStyle name="Output 2 44 3" xfId="42450" xr:uid="{00000000-0005-0000-0000-0000D0A50000}"/>
    <cellStyle name="Output 2 44 4" xfId="42451" xr:uid="{00000000-0005-0000-0000-0000D1A50000}"/>
    <cellStyle name="Output 2 44 5" xfId="42452" xr:uid="{00000000-0005-0000-0000-0000D2A50000}"/>
    <cellStyle name="Output 2 45" xfId="42453" xr:uid="{00000000-0005-0000-0000-0000D3A50000}"/>
    <cellStyle name="Output 2 46" xfId="42454" xr:uid="{00000000-0005-0000-0000-0000D4A50000}"/>
    <cellStyle name="Output 2 47" xfId="42455" xr:uid="{00000000-0005-0000-0000-0000D5A50000}"/>
    <cellStyle name="Output 2 48" xfId="42456" xr:uid="{00000000-0005-0000-0000-0000D6A50000}"/>
    <cellStyle name="Output 2 5" xfId="42457" xr:uid="{00000000-0005-0000-0000-0000D7A50000}"/>
    <cellStyle name="Output 2 5 2" xfId="42458" xr:uid="{00000000-0005-0000-0000-0000D8A50000}"/>
    <cellStyle name="Output 2 5 2 2" xfId="42459" xr:uid="{00000000-0005-0000-0000-0000D9A50000}"/>
    <cellStyle name="Output 2 5 2 3" xfId="42460" xr:uid="{00000000-0005-0000-0000-0000DAA50000}"/>
    <cellStyle name="Output 2 5 2 4" xfId="42461" xr:uid="{00000000-0005-0000-0000-0000DBA50000}"/>
    <cellStyle name="Output 2 5 2 5" xfId="42462" xr:uid="{00000000-0005-0000-0000-0000DCA50000}"/>
    <cellStyle name="Output 2 5 3" xfId="42463" xr:uid="{00000000-0005-0000-0000-0000DDA50000}"/>
    <cellStyle name="Output 2 5 4" xfId="42464" xr:uid="{00000000-0005-0000-0000-0000DEA50000}"/>
    <cellStyle name="Output 2 5 5" xfId="42465" xr:uid="{00000000-0005-0000-0000-0000DFA50000}"/>
    <cellStyle name="Output 2 5 6" xfId="42466" xr:uid="{00000000-0005-0000-0000-0000E0A50000}"/>
    <cellStyle name="Output 2 6" xfId="42467" xr:uid="{00000000-0005-0000-0000-0000E1A50000}"/>
    <cellStyle name="Output 2 6 2" xfId="42468" xr:uid="{00000000-0005-0000-0000-0000E2A50000}"/>
    <cellStyle name="Output 2 6 2 2" xfId="42469" xr:uid="{00000000-0005-0000-0000-0000E3A50000}"/>
    <cellStyle name="Output 2 6 2 3" xfId="42470" xr:uid="{00000000-0005-0000-0000-0000E4A50000}"/>
    <cellStyle name="Output 2 6 2 4" xfId="42471" xr:uid="{00000000-0005-0000-0000-0000E5A50000}"/>
    <cellStyle name="Output 2 6 2 5" xfId="42472" xr:uid="{00000000-0005-0000-0000-0000E6A50000}"/>
    <cellStyle name="Output 2 6 3" xfId="42473" xr:uid="{00000000-0005-0000-0000-0000E7A50000}"/>
    <cellStyle name="Output 2 6 4" xfId="42474" xr:uid="{00000000-0005-0000-0000-0000E8A50000}"/>
    <cellStyle name="Output 2 6 5" xfId="42475" xr:uid="{00000000-0005-0000-0000-0000E9A50000}"/>
    <cellStyle name="Output 2 6 6" xfId="42476" xr:uid="{00000000-0005-0000-0000-0000EAA50000}"/>
    <cellStyle name="Output 2 7" xfId="42477" xr:uid="{00000000-0005-0000-0000-0000EBA50000}"/>
    <cellStyle name="Output 2 7 2" xfId="42478" xr:uid="{00000000-0005-0000-0000-0000ECA50000}"/>
    <cellStyle name="Output 2 7 2 2" xfId="42479" xr:uid="{00000000-0005-0000-0000-0000EDA50000}"/>
    <cellStyle name="Output 2 7 2 3" xfId="42480" xr:uid="{00000000-0005-0000-0000-0000EEA50000}"/>
    <cellStyle name="Output 2 7 2 4" xfId="42481" xr:uid="{00000000-0005-0000-0000-0000EFA50000}"/>
    <cellStyle name="Output 2 7 2 5" xfId="42482" xr:uid="{00000000-0005-0000-0000-0000F0A50000}"/>
    <cellStyle name="Output 2 7 3" xfId="42483" xr:uid="{00000000-0005-0000-0000-0000F1A50000}"/>
    <cellStyle name="Output 2 7 4" xfId="42484" xr:uid="{00000000-0005-0000-0000-0000F2A50000}"/>
    <cellStyle name="Output 2 7 5" xfId="42485" xr:uid="{00000000-0005-0000-0000-0000F3A50000}"/>
    <cellStyle name="Output 2 7 6" xfId="42486" xr:uid="{00000000-0005-0000-0000-0000F4A50000}"/>
    <cellStyle name="Output 2 8" xfId="42487" xr:uid="{00000000-0005-0000-0000-0000F5A50000}"/>
    <cellStyle name="Output 2 8 2" xfId="42488" xr:uid="{00000000-0005-0000-0000-0000F6A50000}"/>
    <cellStyle name="Output 2 8 2 2" xfId="42489" xr:uid="{00000000-0005-0000-0000-0000F7A50000}"/>
    <cellStyle name="Output 2 8 2 3" xfId="42490" xr:uid="{00000000-0005-0000-0000-0000F8A50000}"/>
    <cellStyle name="Output 2 8 2 4" xfId="42491" xr:uid="{00000000-0005-0000-0000-0000F9A50000}"/>
    <cellStyle name="Output 2 8 2 5" xfId="42492" xr:uid="{00000000-0005-0000-0000-0000FAA50000}"/>
    <cellStyle name="Output 2 8 3" xfId="42493" xr:uid="{00000000-0005-0000-0000-0000FBA50000}"/>
    <cellStyle name="Output 2 8 4" xfId="42494" xr:uid="{00000000-0005-0000-0000-0000FCA50000}"/>
    <cellStyle name="Output 2 8 5" xfId="42495" xr:uid="{00000000-0005-0000-0000-0000FDA50000}"/>
    <cellStyle name="Output 2 8 6" xfId="42496" xr:uid="{00000000-0005-0000-0000-0000FEA50000}"/>
    <cellStyle name="Output 2 9" xfId="42497" xr:uid="{00000000-0005-0000-0000-0000FFA50000}"/>
    <cellStyle name="Output 2 9 2" xfId="42498" xr:uid="{00000000-0005-0000-0000-000000A60000}"/>
    <cellStyle name="Output 2 9 2 2" xfId="42499" xr:uid="{00000000-0005-0000-0000-000001A60000}"/>
    <cellStyle name="Output 2 9 2 3" xfId="42500" xr:uid="{00000000-0005-0000-0000-000002A60000}"/>
    <cellStyle name="Output 2 9 2 4" xfId="42501" xr:uid="{00000000-0005-0000-0000-000003A60000}"/>
    <cellStyle name="Output 2 9 2 5" xfId="42502" xr:uid="{00000000-0005-0000-0000-000004A60000}"/>
    <cellStyle name="Output 2 9 3" xfId="42503" xr:uid="{00000000-0005-0000-0000-000005A60000}"/>
    <cellStyle name="Output 2 9 4" xfId="42504" xr:uid="{00000000-0005-0000-0000-000006A60000}"/>
    <cellStyle name="Output 2 9 5" xfId="42505" xr:uid="{00000000-0005-0000-0000-000007A60000}"/>
    <cellStyle name="Output 2 9 6" xfId="42506" xr:uid="{00000000-0005-0000-0000-000008A60000}"/>
    <cellStyle name="Output 3" xfId="42507" xr:uid="{00000000-0005-0000-0000-000009A60000}"/>
    <cellStyle name="Output 3 10" xfId="42508" xr:uid="{00000000-0005-0000-0000-00000AA60000}"/>
    <cellStyle name="Output 3 10 2" xfId="42509" xr:uid="{00000000-0005-0000-0000-00000BA60000}"/>
    <cellStyle name="Output 3 10 2 2" xfId="42510" xr:uid="{00000000-0005-0000-0000-00000CA60000}"/>
    <cellStyle name="Output 3 10 2 3" xfId="42511" xr:uid="{00000000-0005-0000-0000-00000DA60000}"/>
    <cellStyle name="Output 3 10 2 4" xfId="42512" xr:uid="{00000000-0005-0000-0000-00000EA60000}"/>
    <cellStyle name="Output 3 10 2 5" xfId="42513" xr:uid="{00000000-0005-0000-0000-00000FA60000}"/>
    <cellStyle name="Output 3 10 3" xfId="42514" xr:uid="{00000000-0005-0000-0000-000010A60000}"/>
    <cellStyle name="Output 3 10 4" xfId="42515" xr:uid="{00000000-0005-0000-0000-000011A60000}"/>
    <cellStyle name="Output 3 10 5" xfId="42516" xr:uid="{00000000-0005-0000-0000-000012A60000}"/>
    <cellStyle name="Output 3 10 6" xfId="42517" xr:uid="{00000000-0005-0000-0000-000013A60000}"/>
    <cellStyle name="Output 3 11" xfId="42518" xr:uid="{00000000-0005-0000-0000-000014A60000}"/>
    <cellStyle name="Output 3 11 2" xfId="42519" xr:uid="{00000000-0005-0000-0000-000015A60000}"/>
    <cellStyle name="Output 3 11 2 2" xfId="42520" xr:uid="{00000000-0005-0000-0000-000016A60000}"/>
    <cellStyle name="Output 3 11 2 3" xfId="42521" xr:uid="{00000000-0005-0000-0000-000017A60000}"/>
    <cellStyle name="Output 3 11 2 4" xfId="42522" xr:uid="{00000000-0005-0000-0000-000018A60000}"/>
    <cellStyle name="Output 3 11 2 5" xfId="42523" xr:uid="{00000000-0005-0000-0000-000019A60000}"/>
    <cellStyle name="Output 3 11 3" xfId="42524" xr:uid="{00000000-0005-0000-0000-00001AA60000}"/>
    <cellStyle name="Output 3 11 4" xfId="42525" xr:uid="{00000000-0005-0000-0000-00001BA60000}"/>
    <cellStyle name="Output 3 11 5" xfId="42526" xr:uid="{00000000-0005-0000-0000-00001CA60000}"/>
    <cellStyle name="Output 3 11 6" xfId="42527" xr:uid="{00000000-0005-0000-0000-00001DA60000}"/>
    <cellStyle name="Output 3 12" xfId="42528" xr:uid="{00000000-0005-0000-0000-00001EA60000}"/>
    <cellStyle name="Output 3 12 2" xfId="42529" xr:uid="{00000000-0005-0000-0000-00001FA60000}"/>
    <cellStyle name="Output 3 12 2 2" xfId="42530" xr:uid="{00000000-0005-0000-0000-000020A60000}"/>
    <cellStyle name="Output 3 12 2 3" xfId="42531" xr:uid="{00000000-0005-0000-0000-000021A60000}"/>
    <cellStyle name="Output 3 12 2 4" xfId="42532" xr:uid="{00000000-0005-0000-0000-000022A60000}"/>
    <cellStyle name="Output 3 12 2 5" xfId="42533" xr:uid="{00000000-0005-0000-0000-000023A60000}"/>
    <cellStyle name="Output 3 12 3" xfId="42534" xr:uid="{00000000-0005-0000-0000-000024A60000}"/>
    <cellStyle name="Output 3 12 4" xfId="42535" xr:uid="{00000000-0005-0000-0000-000025A60000}"/>
    <cellStyle name="Output 3 12 5" xfId="42536" xr:uid="{00000000-0005-0000-0000-000026A60000}"/>
    <cellStyle name="Output 3 12 6" xfId="42537" xr:uid="{00000000-0005-0000-0000-000027A60000}"/>
    <cellStyle name="Output 3 13" xfId="42538" xr:uid="{00000000-0005-0000-0000-000028A60000}"/>
    <cellStyle name="Output 3 13 2" xfId="42539" xr:uid="{00000000-0005-0000-0000-000029A60000}"/>
    <cellStyle name="Output 3 13 2 2" xfId="42540" xr:uid="{00000000-0005-0000-0000-00002AA60000}"/>
    <cellStyle name="Output 3 13 2 3" xfId="42541" xr:uid="{00000000-0005-0000-0000-00002BA60000}"/>
    <cellStyle name="Output 3 13 2 4" xfId="42542" xr:uid="{00000000-0005-0000-0000-00002CA60000}"/>
    <cellStyle name="Output 3 13 2 5" xfId="42543" xr:uid="{00000000-0005-0000-0000-00002DA60000}"/>
    <cellStyle name="Output 3 13 3" xfId="42544" xr:uid="{00000000-0005-0000-0000-00002EA60000}"/>
    <cellStyle name="Output 3 13 4" xfId="42545" xr:uid="{00000000-0005-0000-0000-00002FA60000}"/>
    <cellStyle name="Output 3 13 5" xfId="42546" xr:uid="{00000000-0005-0000-0000-000030A60000}"/>
    <cellStyle name="Output 3 13 6" xfId="42547" xr:uid="{00000000-0005-0000-0000-000031A60000}"/>
    <cellStyle name="Output 3 14" xfId="42548" xr:uid="{00000000-0005-0000-0000-000032A60000}"/>
    <cellStyle name="Output 3 14 2" xfId="42549" xr:uid="{00000000-0005-0000-0000-000033A60000}"/>
    <cellStyle name="Output 3 14 2 2" xfId="42550" xr:uid="{00000000-0005-0000-0000-000034A60000}"/>
    <cellStyle name="Output 3 14 2 3" xfId="42551" xr:uid="{00000000-0005-0000-0000-000035A60000}"/>
    <cellStyle name="Output 3 14 2 4" xfId="42552" xr:uid="{00000000-0005-0000-0000-000036A60000}"/>
    <cellStyle name="Output 3 14 2 5" xfId="42553" xr:uid="{00000000-0005-0000-0000-000037A60000}"/>
    <cellStyle name="Output 3 14 3" xfId="42554" xr:uid="{00000000-0005-0000-0000-000038A60000}"/>
    <cellStyle name="Output 3 14 4" xfId="42555" xr:uid="{00000000-0005-0000-0000-000039A60000}"/>
    <cellStyle name="Output 3 14 5" xfId="42556" xr:uid="{00000000-0005-0000-0000-00003AA60000}"/>
    <cellStyle name="Output 3 14 6" xfId="42557" xr:uid="{00000000-0005-0000-0000-00003BA60000}"/>
    <cellStyle name="Output 3 15" xfId="42558" xr:uid="{00000000-0005-0000-0000-00003CA60000}"/>
    <cellStyle name="Output 3 15 2" xfId="42559" xr:uid="{00000000-0005-0000-0000-00003DA60000}"/>
    <cellStyle name="Output 3 15 2 2" xfId="42560" xr:uid="{00000000-0005-0000-0000-00003EA60000}"/>
    <cellStyle name="Output 3 15 2 3" xfId="42561" xr:uid="{00000000-0005-0000-0000-00003FA60000}"/>
    <cellStyle name="Output 3 15 2 4" xfId="42562" xr:uid="{00000000-0005-0000-0000-000040A60000}"/>
    <cellStyle name="Output 3 15 2 5" xfId="42563" xr:uid="{00000000-0005-0000-0000-000041A60000}"/>
    <cellStyle name="Output 3 15 3" xfId="42564" xr:uid="{00000000-0005-0000-0000-000042A60000}"/>
    <cellStyle name="Output 3 15 4" xfId="42565" xr:uid="{00000000-0005-0000-0000-000043A60000}"/>
    <cellStyle name="Output 3 15 5" xfId="42566" xr:uid="{00000000-0005-0000-0000-000044A60000}"/>
    <cellStyle name="Output 3 15 6" xfId="42567" xr:uid="{00000000-0005-0000-0000-000045A60000}"/>
    <cellStyle name="Output 3 16" xfId="42568" xr:uid="{00000000-0005-0000-0000-000046A60000}"/>
    <cellStyle name="Output 3 16 2" xfId="42569" xr:uid="{00000000-0005-0000-0000-000047A60000}"/>
    <cellStyle name="Output 3 16 2 2" xfId="42570" xr:uid="{00000000-0005-0000-0000-000048A60000}"/>
    <cellStyle name="Output 3 16 2 3" xfId="42571" xr:uid="{00000000-0005-0000-0000-000049A60000}"/>
    <cellStyle name="Output 3 16 2 4" xfId="42572" xr:uid="{00000000-0005-0000-0000-00004AA60000}"/>
    <cellStyle name="Output 3 16 2 5" xfId="42573" xr:uid="{00000000-0005-0000-0000-00004BA60000}"/>
    <cellStyle name="Output 3 16 3" xfId="42574" xr:uid="{00000000-0005-0000-0000-00004CA60000}"/>
    <cellStyle name="Output 3 16 4" xfId="42575" xr:uid="{00000000-0005-0000-0000-00004DA60000}"/>
    <cellStyle name="Output 3 16 5" xfId="42576" xr:uid="{00000000-0005-0000-0000-00004EA60000}"/>
    <cellStyle name="Output 3 16 6" xfId="42577" xr:uid="{00000000-0005-0000-0000-00004FA60000}"/>
    <cellStyle name="Output 3 17" xfId="42578" xr:uid="{00000000-0005-0000-0000-000050A60000}"/>
    <cellStyle name="Output 3 17 2" xfId="42579" xr:uid="{00000000-0005-0000-0000-000051A60000}"/>
    <cellStyle name="Output 3 17 2 2" xfId="42580" xr:uid="{00000000-0005-0000-0000-000052A60000}"/>
    <cellStyle name="Output 3 17 2 3" xfId="42581" xr:uid="{00000000-0005-0000-0000-000053A60000}"/>
    <cellStyle name="Output 3 17 2 4" xfId="42582" xr:uid="{00000000-0005-0000-0000-000054A60000}"/>
    <cellStyle name="Output 3 17 2 5" xfId="42583" xr:uid="{00000000-0005-0000-0000-000055A60000}"/>
    <cellStyle name="Output 3 17 3" xfId="42584" xr:uid="{00000000-0005-0000-0000-000056A60000}"/>
    <cellStyle name="Output 3 17 4" xfId="42585" xr:uid="{00000000-0005-0000-0000-000057A60000}"/>
    <cellStyle name="Output 3 17 5" xfId="42586" xr:uid="{00000000-0005-0000-0000-000058A60000}"/>
    <cellStyle name="Output 3 17 6" xfId="42587" xr:uid="{00000000-0005-0000-0000-000059A60000}"/>
    <cellStyle name="Output 3 18" xfId="42588" xr:uid="{00000000-0005-0000-0000-00005AA60000}"/>
    <cellStyle name="Output 3 18 2" xfId="42589" xr:uid="{00000000-0005-0000-0000-00005BA60000}"/>
    <cellStyle name="Output 3 18 2 2" xfId="42590" xr:uid="{00000000-0005-0000-0000-00005CA60000}"/>
    <cellStyle name="Output 3 18 2 3" xfId="42591" xr:uid="{00000000-0005-0000-0000-00005DA60000}"/>
    <cellStyle name="Output 3 18 2 4" xfId="42592" xr:uid="{00000000-0005-0000-0000-00005EA60000}"/>
    <cellStyle name="Output 3 18 2 5" xfId="42593" xr:uid="{00000000-0005-0000-0000-00005FA60000}"/>
    <cellStyle name="Output 3 18 3" xfId="42594" xr:uid="{00000000-0005-0000-0000-000060A60000}"/>
    <cellStyle name="Output 3 18 4" xfId="42595" xr:uid="{00000000-0005-0000-0000-000061A60000}"/>
    <cellStyle name="Output 3 18 5" xfId="42596" xr:uid="{00000000-0005-0000-0000-000062A60000}"/>
    <cellStyle name="Output 3 18 6" xfId="42597" xr:uid="{00000000-0005-0000-0000-000063A60000}"/>
    <cellStyle name="Output 3 19" xfId="42598" xr:uid="{00000000-0005-0000-0000-000064A60000}"/>
    <cellStyle name="Output 3 19 2" xfId="42599" xr:uid="{00000000-0005-0000-0000-000065A60000}"/>
    <cellStyle name="Output 3 19 2 2" xfId="42600" xr:uid="{00000000-0005-0000-0000-000066A60000}"/>
    <cellStyle name="Output 3 19 2 3" xfId="42601" xr:uid="{00000000-0005-0000-0000-000067A60000}"/>
    <cellStyle name="Output 3 19 2 4" xfId="42602" xr:uid="{00000000-0005-0000-0000-000068A60000}"/>
    <cellStyle name="Output 3 19 2 5" xfId="42603" xr:uid="{00000000-0005-0000-0000-000069A60000}"/>
    <cellStyle name="Output 3 19 3" xfId="42604" xr:uid="{00000000-0005-0000-0000-00006AA60000}"/>
    <cellStyle name="Output 3 19 4" xfId="42605" xr:uid="{00000000-0005-0000-0000-00006BA60000}"/>
    <cellStyle name="Output 3 19 5" xfId="42606" xr:uid="{00000000-0005-0000-0000-00006CA60000}"/>
    <cellStyle name="Output 3 19 6" xfId="42607" xr:uid="{00000000-0005-0000-0000-00006DA60000}"/>
    <cellStyle name="Output 3 2" xfId="42608" xr:uid="{00000000-0005-0000-0000-00006EA60000}"/>
    <cellStyle name="Output 3 2 10" xfId="42609" xr:uid="{00000000-0005-0000-0000-00006FA60000}"/>
    <cellStyle name="Output 3 2 10 2" xfId="42610" xr:uid="{00000000-0005-0000-0000-000070A60000}"/>
    <cellStyle name="Output 3 2 10 2 2" xfId="42611" xr:uid="{00000000-0005-0000-0000-000071A60000}"/>
    <cellStyle name="Output 3 2 10 2 3" xfId="42612" xr:uid="{00000000-0005-0000-0000-000072A60000}"/>
    <cellStyle name="Output 3 2 10 2 4" xfId="42613" xr:uid="{00000000-0005-0000-0000-000073A60000}"/>
    <cellStyle name="Output 3 2 10 2 5" xfId="42614" xr:uid="{00000000-0005-0000-0000-000074A60000}"/>
    <cellStyle name="Output 3 2 10 3" xfId="42615" xr:uid="{00000000-0005-0000-0000-000075A60000}"/>
    <cellStyle name="Output 3 2 10 3 2" xfId="42616" xr:uid="{00000000-0005-0000-0000-000076A60000}"/>
    <cellStyle name="Output 3 2 10 3 3" xfId="42617" xr:uid="{00000000-0005-0000-0000-000077A60000}"/>
    <cellStyle name="Output 3 2 10 3 4" xfId="42618" xr:uid="{00000000-0005-0000-0000-000078A60000}"/>
    <cellStyle name="Output 3 2 10 3 5" xfId="42619" xr:uid="{00000000-0005-0000-0000-000079A60000}"/>
    <cellStyle name="Output 3 2 10 4" xfId="42620" xr:uid="{00000000-0005-0000-0000-00007AA60000}"/>
    <cellStyle name="Output 3 2 10 5" xfId="42621" xr:uid="{00000000-0005-0000-0000-00007BA60000}"/>
    <cellStyle name="Output 3 2 10 6" xfId="42622" xr:uid="{00000000-0005-0000-0000-00007CA60000}"/>
    <cellStyle name="Output 3 2 10 7" xfId="42623" xr:uid="{00000000-0005-0000-0000-00007DA60000}"/>
    <cellStyle name="Output 3 2 10 8" xfId="42624" xr:uid="{00000000-0005-0000-0000-00007EA60000}"/>
    <cellStyle name="Output 3 2 11" xfId="42625" xr:uid="{00000000-0005-0000-0000-00007FA60000}"/>
    <cellStyle name="Output 3 2 11 2" xfId="42626" xr:uid="{00000000-0005-0000-0000-000080A60000}"/>
    <cellStyle name="Output 3 2 11 2 2" xfId="42627" xr:uid="{00000000-0005-0000-0000-000081A60000}"/>
    <cellStyle name="Output 3 2 11 2 3" xfId="42628" xr:uid="{00000000-0005-0000-0000-000082A60000}"/>
    <cellStyle name="Output 3 2 11 2 4" xfId="42629" xr:uid="{00000000-0005-0000-0000-000083A60000}"/>
    <cellStyle name="Output 3 2 11 2 5" xfId="42630" xr:uid="{00000000-0005-0000-0000-000084A60000}"/>
    <cellStyle name="Output 3 2 11 3" xfId="42631" xr:uid="{00000000-0005-0000-0000-000085A60000}"/>
    <cellStyle name="Output 3 2 11 4" xfId="42632" xr:uid="{00000000-0005-0000-0000-000086A60000}"/>
    <cellStyle name="Output 3 2 11 5" xfId="42633" xr:uid="{00000000-0005-0000-0000-000087A60000}"/>
    <cellStyle name="Output 3 2 11 6" xfId="42634" xr:uid="{00000000-0005-0000-0000-000088A60000}"/>
    <cellStyle name="Output 3 2 12" xfId="42635" xr:uid="{00000000-0005-0000-0000-000089A60000}"/>
    <cellStyle name="Output 3 2 12 2" xfId="42636" xr:uid="{00000000-0005-0000-0000-00008AA60000}"/>
    <cellStyle name="Output 3 2 12 2 2" xfId="42637" xr:uid="{00000000-0005-0000-0000-00008BA60000}"/>
    <cellStyle name="Output 3 2 12 2 3" xfId="42638" xr:uid="{00000000-0005-0000-0000-00008CA60000}"/>
    <cellStyle name="Output 3 2 12 2 4" xfId="42639" xr:uid="{00000000-0005-0000-0000-00008DA60000}"/>
    <cellStyle name="Output 3 2 12 2 5" xfId="42640" xr:uid="{00000000-0005-0000-0000-00008EA60000}"/>
    <cellStyle name="Output 3 2 12 3" xfId="42641" xr:uid="{00000000-0005-0000-0000-00008FA60000}"/>
    <cellStyle name="Output 3 2 12 4" xfId="42642" xr:uid="{00000000-0005-0000-0000-000090A60000}"/>
    <cellStyle name="Output 3 2 12 5" xfId="42643" xr:uid="{00000000-0005-0000-0000-000091A60000}"/>
    <cellStyle name="Output 3 2 12 6" xfId="42644" xr:uid="{00000000-0005-0000-0000-000092A60000}"/>
    <cellStyle name="Output 3 2 13" xfId="42645" xr:uid="{00000000-0005-0000-0000-000093A60000}"/>
    <cellStyle name="Output 3 2 13 2" xfId="42646" xr:uid="{00000000-0005-0000-0000-000094A60000}"/>
    <cellStyle name="Output 3 2 13 2 2" xfId="42647" xr:uid="{00000000-0005-0000-0000-000095A60000}"/>
    <cellStyle name="Output 3 2 13 2 3" xfId="42648" xr:uid="{00000000-0005-0000-0000-000096A60000}"/>
    <cellStyle name="Output 3 2 13 2 4" xfId="42649" xr:uid="{00000000-0005-0000-0000-000097A60000}"/>
    <cellStyle name="Output 3 2 13 2 5" xfId="42650" xr:uid="{00000000-0005-0000-0000-000098A60000}"/>
    <cellStyle name="Output 3 2 13 3" xfId="42651" xr:uid="{00000000-0005-0000-0000-000099A60000}"/>
    <cellStyle name="Output 3 2 13 4" xfId="42652" xr:uid="{00000000-0005-0000-0000-00009AA60000}"/>
    <cellStyle name="Output 3 2 13 5" xfId="42653" xr:uid="{00000000-0005-0000-0000-00009BA60000}"/>
    <cellStyle name="Output 3 2 13 6" xfId="42654" xr:uid="{00000000-0005-0000-0000-00009CA60000}"/>
    <cellStyle name="Output 3 2 14" xfId="42655" xr:uid="{00000000-0005-0000-0000-00009DA60000}"/>
    <cellStyle name="Output 3 2 14 2" xfId="42656" xr:uid="{00000000-0005-0000-0000-00009EA60000}"/>
    <cellStyle name="Output 3 2 14 2 2" xfId="42657" xr:uid="{00000000-0005-0000-0000-00009FA60000}"/>
    <cellStyle name="Output 3 2 14 2 3" xfId="42658" xr:uid="{00000000-0005-0000-0000-0000A0A60000}"/>
    <cellStyle name="Output 3 2 14 2 4" xfId="42659" xr:uid="{00000000-0005-0000-0000-0000A1A60000}"/>
    <cellStyle name="Output 3 2 14 2 5" xfId="42660" xr:uid="{00000000-0005-0000-0000-0000A2A60000}"/>
    <cellStyle name="Output 3 2 14 3" xfId="42661" xr:uid="{00000000-0005-0000-0000-0000A3A60000}"/>
    <cellStyle name="Output 3 2 14 4" xfId="42662" xr:uid="{00000000-0005-0000-0000-0000A4A60000}"/>
    <cellStyle name="Output 3 2 14 5" xfId="42663" xr:uid="{00000000-0005-0000-0000-0000A5A60000}"/>
    <cellStyle name="Output 3 2 14 6" xfId="42664" xr:uid="{00000000-0005-0000-0000-0000A6A60000}"/>
    <cellStyle name="Output 3 2 15" xfId="42665" xr:uid="{00000000-0005-0000-0000-0000A7A60000}"/>
    <cellStyle name="Output 3 2 15 2" xfId="42666" xr:uid="{00000000-0005-0000-0000-0000A8A60000}"/>
    <cellStyle name="Output 3 2 15 2 2" xfId="42667" xr:uid="{00000000-0005-0000-0000-0000A9A60000}"/>
    <cellStyle name="Output 3 2 15 2 3" xfId="42668" xr:uid="{00000000-0005-0000-0000-0000AAA60000}"/>
    <cellStyle name="Output 3 2 15 2 4" xfId="42669" xr:uid="{00000000-0005-0000-0000-0000ABA60000}"/>
    <cellStyle name="Output 3 2 15 2 5" xfId="42670" xr:uid="{00000000-0005-0000-0000-0000ACA60000}"/>
    <cellStyle name="Output 3 2 15 3" xfId="42671" xr:uid="{00000000-0005-0000-0000-0000ADA60000}"/>
    <cellStyle name="Output 3 2 15 4" xfId="42672" xr:uid="{00000000-0005-0000-0000-0000AEA60000}"/>
    <cellStyle name="Output 3 2 15 5" xfId="42673" xr:uid="{00000000-0005-0000-0000-0000AFA60000}"/>
    <cellStyle name="Output 3 2 15 6" xfId="42674" xr:uid="{00000000-0005-0000-0000-0000B0A60000}"/>
    <cellStyle name="Output 3 2 16" xfId="42675" xr:uid="{00000000-0005-0000-0000-0000B1A60000}"/>
    <cellStyle name="Output 3 2 16 2" xfId="42676" xr:uid="{00000000-0005-0000-0000-0000B2A60000}"/>
    <cellStyle name="Output 3 2 16 2 2" xfId="42677" xr:uid="{00000000-0005-0000-0000-0000B3A60000}"/>
    <cellStyle name="Output 3 2 16 2 3" xfId="42678" xr:uid="{00000000-0005-0000-0000-0000B4A60000}"/>
    <cellStyle name="Output 3 2 16 2 4" xfId="42679" xr:uid="{00000000-0005-0000-0000-0000B5A60000}"/>
    <cellStyle name="Output 3 2 16 2 5" xfId="42680" xr:uid="{00000000-0005-0000-0000-0000B6A60000}"/>
    <cellStyle name="Output 3 2 16 3" xfId="42681" xr:uid="{00000000-0005-0000-0000-0000B7A60000}"/>
    <cellStyle name="Output 3 2 16 4" xfId="42682" xr:uid="{00000000-0005-0000-0000-0000B8A60000}"/>
    <cellStyle name="Output 3 2 16 5" xfId="42683" xr:uid="{00000000-0005-0000-0000-0000B9A60000}"/>
    <cellStyle name="Output 3 2 16 6" xfId="42684" xr:uid="{00000000-0005-0000-0000-0000BAA60000}"/>
    <cellStyle name="Output 3 2 17" xfId="42685" xr:uid="{00000000-0005-0000-0000-0000BBA60000}"/>
    <cellStyle name="Output 3 2 17 2" xfId="42686" xr:uid="{00000000-0005-0000-0000-0000BCA60000}"/>
    <cellStyle name="Output 3 2 17 2 2" xfId="42687" xr:uid="{00000000-0005-0000-0000-0000BDA60000}"/>
    <cellStyle name="Output 3 2 17 2 3" xfId="42688" xr:uid="{00000000-0005-0000-0000-0000BEA60000}"/>
    <cellStyle name="Output 3 2 17 2 4" xfId="42689" xr:uid="{00000000-0005-0000-0000-0000BFA60000}"/>
    <cellStyle name="Output 3 2 17 2 5" xfId="42690" xr:uid="{00000000-0005-0000-0000-0000C0A60000}"/>
    <cellStyle name="Output 3 2 17 3" xfId="42691" xr:uid="{00000000-0005-0000-0000-0000C1A60000}"/>
    <cellStyle name="Output 3 2 17 4" xfId="42692" xr:uid="{00000000-0005-0000-0000-0000C2A60000}"/>
    <cellStyle name="Output 3 2 17 5" xfId="42693" xr:uid="{00000000-0005-0000-0000-0000C3A60000}"/>
    <cellStyle name="Output 3 2 17 6" xfId="42694" xr:uid="{00000000-0005-0000-0000-0000C4A60000}"/>
    <cellStyle name="Output 3 2 18" xfId="42695" xr:uid="{00000000-0005-0000-0000-0000C5A60000}"/>
    <cellStyle name="Output 3 2 18 2" xfId="42696" xr:uid="{00000000-0005-0000-0000-0000C6A60000}"/>
    <cellStyle name="Output 3 2 18 2 2" xfId="42697" xr:uid="{00000000-0005-0000-0000-0000C7A60000}"/>
    <cellStyle name="Output 3 2 18 2 3" xfId="42698" xr:uid="{00000000-0005-0000-0000-0000C8A60000}"/>
    <cellStyle name="Output 3 2 18 2 4" xfId="42699" xr:uid="{00000000-0005-0000-0000-0000C9A60000}"/>
    <cellStyle name="Output 3 2 18 2 5" xfId="42700" xr:uid="{00000000-0005-0000-0000-0000CAA60000}"/>
    <cellStyle name="Output 3 2 18 3" xfId="42701" xr:uid="{00000000-0005-0000-0000-0000CBA60000}"/>
    <cellStyle name="Output 3 2 18 4" xfId="42702" xr:uid="{00000000-0005-0000-0000-0000CCA60000}"/>
    <cellStyle name="Output 3 2 18 5" xfId="42703" xr:uid="{00000000-0005-0000-0000-0000CDA60000}"/>
    <cellStyle name="Output 3 2 18 6" xfId="42704" xr:uid="{00000000-0005-0000-0000-0000CEA60000}"/>
    <cellStyle name="Output 3 2 19" xfId="42705" xr:uid="{00000000-0005-0000-0000-0000CFA60000}"/>
    <cellStyle name="Output 3 2 19 2" xfId="42706" xr:uid="{00000000-0005-0000-0000-0000D0A60000}"/>
    <cellStyle name="Output 3 2 19 2 2" xfId="42707" xr:uid="{00000000-0005-0000-0000-0000D1A60000}"/>
    <cellStyle name="Output 3 2 19 2 3" xfId="42708" xr:uid="{00000000-0005-0000-0000-0000D2A60000}"/>
    <cellStyle name="Output 3 2 19 2 4" xfId="42709" xr:uid="{00000000-0005-0000-0000-0000D3A60000}"/>
    <cellStyle name="Output 3 2 19 2 5" xfId="42710" xr:uid="{00000000-0005-0000-0000-0000D4A60000}"/>
    <cellStyle name="Output 3 2 19 3" xfId="42711" xr:uid="{00000000-0005-0000-0000-0000D5A60000}"/>
    <cellStyle name="Output 3 2 19 4" xfId="42712" xr:uid="{00000000-0005-0000-0000-0000D6A60000}"/>
    <cellStyle name="Output 3 2 19 5" xfId="42713" xr:uid="{00000000-0005-0000-0000-0000D7A60000}"/>
    <cellStyle name="Output 3 2 19 6" xfId="42714" xr:uid="{00000000-0005-0000-0000-0000D8A60000}"/>
    <cellStyle name="Output 3 2 2" xfId="42715" xr:uid="{00000000-0005-0000-0000-0000D9A60000}"/>
    <cellStyle name="Output 3 2 2 10" xfId="42716" xr:uid="{00000000-0005-0000-0000-0000DAA60000}"/>
    <cellStyle name="Output 3 2 2 2" xfId="42717" xr:uid="{00000000-0005-0000-0000-0000DBA60000}"/>
    <cellStyle name="Output 3 2 2 2 2" xfId="42718" xr:uid="{00000000-0005-0000-0000-0000DCA60000}"/>
    <cellStyle name="Output 3 2 2 2 2 2" xfId="42719" xr:uid="{00000000-0005-0000-0000-0000DDA60000}"/>
    <cellStyle name="Output 3 2 2 2 2 2 2" xfId="42720" xr:uid="{00000000-0005-0000-0000-0000DEA60000}"/>
    <cellStyle name="Output 3 2 2 2 2 2 3" xfId="42721" xr:uid="{00000000-0005-0000-0000-0000DFA60000}"/>
    <cellStyle name="Output 3 2 2 2 2 2 4" xfId="42722" xr:uid="{00000000-0005-0000-0000-0000E0A60000}"/>
    <cellStyle name="Output 3 2 2 2 2 2 5" xfId="42723" xr:uid="{00000000-0005-0000-0000-0000E1A60000}"/>
    <cellStyle name="Output 3 2 2 2 2 2 6" xfId="42724" xr:uid="{00000000-0005-0000-0000-0000E2A60000}"/>
    <cellStyle name="Output 3 2 2 2 2 3" xfId="42725" xr:uid="{00000000-0005-0000-0000-0000E3A60000}"/>
    <cellStyle name="Output 3 2 2 2 2 4" xfId="42726" xr:uid="{00000000-0005-0000-0000-0000E4A60000}"/>
    <cellStyle name="Output 3 2 2 2 2 5" xfId="42727" xr:uid="{00000000-0005-0000-0000-0000E5A60000}"/>
    <cellStyle name="Output 3 2 2 2 2 6" xfId="42728" xr:uid="{00000000-0005-0000-0000-0000E6A60000}"/>
    <cellStyle name="Output 3 2 2 2 3" xfId="42729" xr:uid="{00000000-0005-0000-0000-0000E7A60000}"/>
    <cellStyle name="Output 3 2 2 2 3 2" xfId="42730" xr:uid="{00000000-0005-0000-0000-0000E8A60000}"/>
    <cellStyle name="Output 3 2 2 2 3 2 2" xfId="42731" xr:uid="{00000000-0005-0000-0000-0000E9A60000}"/>
    <cellStyle name="Output 3 2 2 2 3 2 3" xfId="42732" xr:uid="{00000000-0005-0000-0000-0000EAA60000}"/>
    <cellStyle name="Output 3 2 2 2 3 2 4" xfId="42733" xr:uid="{00000000-0005-0000-0000-0000EBA60000}"/>
    <cellStyle name="Output 3 2 2 2 3 2 5" xfId="42734" xr:uid="{00000000-0005-0000-0000-0000ECA60000}"/>
    <cellStyle name="Output 3 2 2 2 3 2 6" xfId="42735" xr:uid="{00000000-0005-0000-0000-0000EDA60000}"/>
    <cellStyle name="Output 3 2 2 2 3 3" xfId="42736" xr:uid="{00000000-0005-0000-0000-0000EEA60000}"/>
    <cellStyle name="Output 3 2 2 2 3 4" xfId="42737" xr:uid="{00000000-0005-0000-0000-0000EFA60000}"/>
    <cellStyle name="Output 3 2 2 2 3 5" xfId="42738" xr:uid="{00000000-0005-0000-0000-0000F0A60000}"/>
    <cellStyle name="Output 3 2 2 2 3 6" xfId="42739" xr:uid="{00000000-0005-0000-0000-0000F1A60000}"/>
    <cellStyle name="Output 3 2 2 2 4" xfId="42740" xr:uid="{00000000-0005-0000-0000-0000F2A60000}"/>
    <cellStyle name="Output 3 2 2 2 4 2" xfId="42741" xr:uid="{00000000-0005-0000-0000-0000F3A60000}"/>
    <cellStyle name="Output 3 2 2 2 4 3" xfId="42742" xr:uid="{00000000-0005-0000-0000-0000F4A60000}"/>
    <cellStyle name="Output 3 2 2 2 4 4" xfId="42743" xr:uid="{00000000-0005-0000-0000-0000F5A60000}"/>
    <cellStyle name="Output 3 2 2 2 4 5" xfId="42744" xr:uid="{00000000-0005-0000-0000-0000F6A60000}"/>
    <cellStyle name="Output 3 2 2 2 4 6" xfId="42745" xr:uid="{00000000-0005-0000-0000-0000F7A60000}"/>
    <cellStyle name="Output 3 2 2 2 5" xfId="42746" xr:uid="{00000000-0005-0000-0000-0000F8A60000}"/>
    <cellStyle name="Output 3 2 2 2 5 2" xfId="42747" xr:uid="{00000000-0005-0000-0000-0000F9A60000}"/>
    <cellStyle name="Output 3 2 2 2 5 3" xfId="42748" xr:uid="{00000000-0005-0000-0000-0000FAA60000}"/>
    <cellStyle name="Output 3 2 2 2 5 4" xfId="42749" xr:uid="{00000000-0005-0000-0000-0000FBA60000}"/>
    <cellStyle name="Output 3 2 2 2 5 5" xfId="42750" xr:uid="{00000000-0005-0000-0000-0000FCA60000}"/>
    <cellStyle name="Output 3 2 2 2 6" xfId="42751" xr:uid="{00000000-0005-0000-0000-0000FDA60000}"/>
    <cellStyle name="Output 3 2 2 2 7" xfId="42752" xr:uid="{00000000-0005-0000-0000-0000FEA60000}"/>
    <cellStyle name="Output 3 2 2 2 8" xfId="42753" xr:uid="{00000000-0005-0000-0000-0000FFA60000}"/>
    <cellStyle name="Output 3 2 2 2 9" xfId="42754" xr:uid="{00000000-0005-0000-0000-000000A70000}"/>
    <cellStyle name="Output 3 2 2 3" xfId="42755" xr:uid="{00000000-0005-0000-0000-000001A70000}"/>
    <cellStyle name="Output 3 2 2 3 2" xfId="42756" xr:uid="{00000000-0005-0000-0000-000002A70000}"/>
    <cellStyle name="Output 3 2 2 3 2 2" xfId="42757" xr:uid="{00000000-0005-0000-0000-000003A70000}"/>
    <cellStyle name="Output 3 2 2 3 2 3" xfId="42758" xr:uid="{00000000-0005-0000-0000-000004A70000}"/>
    <cellStyle name="Output 3 2 2 3 2 4" xfId="42759" xr:uid="{00000000-0005-0000-0000-000005A70000}"/>
    <cellStyle name="Output 3 2 2 3 2 5" xfId="42760" xr:uid="{00000000-0005-0000-0000-000006A70000}"/>
    <cellStyle name="Output 3 2 2 3 2 6" xfId="42761" xr:uid="{00000000-0005-0000-0000-000007A70000}"/>
    <cellStyle name="Output 3 2 2 3 3" xfId="42762" xr:uid="{00000000-0005-0000-0000-000008A70000}"/>
    <cellStyle name="Output 3 2 2 3 4" xfId="42763" xr:uid="{00000000-0005-0000-0000-000009A70000}"/>
    <cellStyle name="Output 3 2 2 3 5" xfId="42764" xr:uid="{00000000-0005-0000-0000-00000AA70000}"/>
    <cellStyle name="Output 3 2 2 3 6" xfId="42765" xr:uid="{00000000-0005-0000-0000-00000BA70000}"/>
    <cellStyle name="Output 3 2 2 4" xfId="42766" xr:uid="{00000000-0005-0000-0000-00000CA70000}"/>
    <cellStyle name="Output 3 2 2 4 2" xfId="42767" xr:uid="{00000000-0005-0000-0000-00000DA70000}"/>
    <cellStyle name="Output 3 2 2 4 2 2" xfId="42768" xr:uid="{00000000-0005-0000-0000-00000EA70000}"/>
    <cellStyle name="Output 3 2 2 4 2 3" xfId="42769" xr:uid="{00000000-0005-0000-0000-00000FA70000}"/>
    <cellStyle name="Output 3 2 2 4 2 4" xfId="42770" xr:uid="{00000000-0005-0000-0000-000010A70000}"/>
    <cellStyle name="Output 3 2 2 4 2 5" xfId="42771" xr:uid="{00000000-0005-0000-0000-000011A70000}"/>
    <cellStyle name="Output 3 2 2 4 2 6" xfId="42772" xr:uid="{00000000-0005-0000-0000-000012A70000}"/>
    <cellStyle name="Output 3 2 2 4 3" xfId="42773" xr:uid="{00000000-0005-0000-0000-000013A70000}"/>
    <cellStyle name="Output 3 2 2 4 4" xfId="42774" xr:uid="{00000000-0005-0000-0000-000014A70000}"/>
    <cellStyle name="Output 3 2 2 4 5" xfId="42775" xr:uid="{00000000-0005-0000-0000-000015A70000}"/>
    <cellStyle name="Output 3 2 2 4 6" xfId="42776" xr:uid="{00000000-0005-0000-0000-000016A70000}"/>
    <cellStyle name="Output 3 2 2 5" xfId="42777" xr:uid="{00000000-0005-0000-0000-000017A70000}"/>
    <cellStyle name="Output 3 2 2 5 2" xfId="42778" xr:uid="{00000000-0005-0000-0000-000018A70000}"/>
    <cellStyle name="Output 3 2 2 5 3" xfId="42779" xr:uid="{00000000-0005-0000-0000-000019A70000}"/>
    <cellStyle name="Output 3 2 2 5 4" xfId="42780" xr:uid="{00000000-0005-0000-0000-00001AA70000}"/>
    <cellStyle name="Output 3 2 2 5 5" xfId="42781" xr:uid="{00000000-0005-0000-0000-00001BA70000}"/>
    <cellStyle name="Output 3 2 2 5 6" xfId="42782" xr:uid="{00000000-0005-0000-0000-00001CA70000}"/>
    <cellStyle name="Output 3 2 2 6" xfId="42783" xr:uid="{00000000-0005-0000-0000-00001DA70000}"/>
    <cellStyle name="Output 3 2 2 6 2" xfId="42784" xr:uid="{00000000-0005-0000-0000-00001EA70000}"/>
    <cellStyle name="Output 3 2 2 6 3" xfId="42785" xr:uid="{00000000-0005-0000-0000-00001FA70000}"/>
    <cellStyle name="Output 3 2 2 6 4" xfId="42786" xr:uid="{00000000-0005-0000-0000-000020A70000}"/>
    <cellStyle name="Output 3 2 2 6 5" xfId="42787" xr:uid="{00000000-0005-0000-0000-000021A70000}"/>
    <cellStyle name="Output 3 2 2 7" xfId="42788" xr:uid="{00000000-0005-0000-0000-000022A70000}"/>
    <cellStyle name="Output 3 2 2 8" xfId="42789" xr:uid="{00000000-0005-0000-0000-000023A70000}"/>
    <cellStyle name="Output 3 2 2 9" xfId="42790" xr:uid="{00000000-0005-0000-0000-000024A70000}"/>
    <cellStyle name="Output 3 2 20" xfId="42791" xr:uid="{00000000-0005-0000-0000-000025A70000}"/>
    <cellStyle name="Output 3 2 20 2" xfId="42792" xr:uid="{00000000-0005-0000-0000-000026A70000}"/>
    <cellStyle name="Output 3 2 20 2 2" xfId="42793" xr:uid="{00000000-0005-0000-0000-000027A70000}"/>
    <cellStyle name="Output 3 2 20 2 3" xfId="42794" xr:uid="{00000000-0005-0000-0000-000028A70000}"/>
    <cellStyle name="Output 3 2 20 2 4" xfId="42795" xr:uid="{00000000-0005-0000-0000-000029A70000}"/>
    <cellStyle name="Output 3 2 20 2 5" xfId="42796" xr:uid="{00000000-0005-0000-0000-00002AA70000}"/>
    <cellStyle name="Output 3 2 20 3" xfId="42797" xr:uid="{00000000-0005-0000-0000-00002BA70000}"/>
    <cellStyle name="Output 3 2 20 4" xfId="42798" xr:uid="{00000000-0005-0000-0000-00002CA70000}"/>
    <cellStyle name="Output 3 2 20 5" xfId="42799" xr:uid="{00000000-0005-0000-0000-00002DA70000}"/>
    <cellStyle name="Output 3 2 20 6" xfId="42800" xr:uid="{00000000-0005-0000-0000-00002EA70000}"/>
    <cellStyle name="Output 3 2 21" xfId="42801" xr:uid="{00000000-0005-0000-0000-00002FA70000}"/>
    <cellStyle name="Output 3 2 21 2" xfId="42802" xr:uid="{00000000-0005-0000-0000-000030A70000}"/>
    <cellStyle name="Output 3 2 21 2 2" xfId="42803" xr:uid="{00000000-0005-0000-0000-000031A70000}"/>
    <cellStyle name="Output 3 2 21 2 3" xfId="42804" xr:uid="{00000000-0005-0000-0000-000032A70000}"/>
    <cellStyle name="Output 3 2 21 2 4" xfId="42805" xr:uid="{00000000-0005-0000-0000-000033A70000}"/>
    <cellStyle name="Output 3 2 21 2 5" xfId="42806" xr:uid="{00000000-0005-0000-0000-000034A70000}"/>
    <cellStyle name="Output 3 2 21 3" xfId="42807" xr:uid="{00000000-0005-0000-0000-000035A70000}"/>
    <cellStyle name="Output 3 2 21 4" xfId="42808" xr:uid="{00000000-0005-0000-0000-000036A70000}"/>
    <cellStyle name="Output 3 2 21 5" xfId="42809" xr:uid="{00000000-0005-0000-0000-000037A70000}"/>
    <cellStyle name="Output 3 2 21 6" xfId="42810" xr:uid="{00000000-0005-0000-0000-000038A70000}"/>
    <cellStyle name="Output 3 2 22" xfId="42811" xr:uid="{00000000-0005-0000-0000-000039A70000}"/>
    <cellStyle name="Output 3 2 22 2" xfId="42812" xr:uid="{00000000-0005-0000-0000-00003AA70000}"/>
    <cellStyle name="Output 3 2 22 2 2" xfId="42813" xr:uid="{00000000-0005-0000-0000-00003BA70000}"/>
    <cellStyle name="Output 3 2 22 2 3" xfId="42814" xr:uid="{00000000-0005-0000-0000-00003CA70000}"/>
    <cellStyle name="Output 3 2 22 2 4" xfId="42815" xr:uid="{00000000-0005-0000-0000-00003DA70000}"/>
    <cellStyle name="Output 3 2 22 2 5" xfId="42816" xr:uid="{00000000-0005-0000-0000-00003EA70000}"/>
    <cellStyle name="Output 3 2 22 3" xfId="42817" xr:uid="{00000000-0005-0000-0000-00003FA70000}"/>
    <cellStyle name="Output 3 2 22 4" xfId="42818" xr:uid="{00000000-0005-0000-0000-000040A70000}"/>
    <cellStyle name="Output 3 2 22 5" xfId="42819" xr:uid="{00000000-0005-0000-0000-000041A70000}"/>
    <cellStyle name="Output 3 2 22 6" xfId="42820" xr:uid="{00000000-0005-0000-0000-000042A70000}"/>
    <cellStyle name="Output 3 2 23" xfId="42821" xr:uid="{00000000-0005-0000-0000-000043A70000}"/>
    <cellStyle name="Output 3 2 23 2" xfId="42822" xr:uid="{00000000-0005-0000-0000-000044A70000}"/>
    <cellStyle name="Output 3 2 23 2 2" xfId="42823" xr:uid="{00000000-0005-0000-0000-000045A70000}"/>
    <cellStyle name="Output 3 2 23 2 3" xfId="42824" xr:uid="{00000000-0005-0000-0000-000046A70000}"/>
    <cellStyle name="Output 3 2 23 2 4" xfId="42825" xr:uid="{00000000-0005-0000-0000-000047A70000}"/>
    <cellStyle name="Output 3 2 23 2 5" xfId="42826" xr:uid="{00000000-0005-0000-0000-000048A70000}"/>
    <cellStyle name="Output 3 2 23 3" xfId="42827" xr:uid="{00000000-0005-0000-0000-000049A70000}"/>
    <cellStyle name="Output 3 2 23 4" xfId="42828" xr:uid="{00000000-0005-0000-0000-00004AA70000}"/>
    <cellStyle name="Output 3 2 23 5" xfId="42829" xr:uid="{00000000-0005-0000-0000-00004BA70000}"/>
    <cellStyle name="Output 3 2 23 6" xfId="42830" xr:uid="{00000000-0005-0000-0000-00004CA70000}"/>
    <cellStyle name="Output 3 2 24" xfId="42831" xr:uid="{00000000-0005-0000-0000-00004DA70000}"/>
    <cellStyle name="Output 3 2 24 2" xfId="42832" xr:uid="{00000000-0005-0000-0000-00004EA70000}"/>
    <cellStyle name="Output 3 2 24 2 2" xfId="42833" xr:uid="{00000000-0005-0000-0000-00004FA70000}"/>
    <cellStyle name="Output 3 2 24 2 3" xfId="42834" xr:uid="{00000000-0005-0000-0000-000050A70000}"/>
    <cellStyle name="Output 3 2 24 2 4" xfId="42835" xr:uid="{00000000-0005-0000-0000-000051A70000}"/>
    <cellStyle name="Output 3 2 24 2 5" xfId="42836" xr:uid="{00000000-0005-0000-0000-000052A70000}"/>
    <cellStyle name="Output 3 2 24 3" xfId="42837" xr:uid="{00000000-0005-0000-0000-000053A70000}"/>
    <cellStyle name="Output 3 2 24 4" xfId="42838" xr:uid="{00000000-0005-0000-0000-000054A70000}"/>
    <cellStyle name="Output 3 2 24 5" xfId="42839" xr:uid="{00000000-0005-0000-0000-000055A70000}"/>
    <cellStyle name="Output 3 2 24 6" xfId="42840" xr:uid="{00000000-0005-0000-0000-000056A70000}"/>
    <cellStyle name="Output 3 2 25" xfId="42841" xr:uid="{00000000-0005-0000-0000-000057A70000}"/>
    <cellStyle name="Output 3 2 25 2" xfId="42842" xr:uid="{00000000-0005-0000-0000-000058A70000}"/>
    <cellStyle name="Output 3 2 25 2 2" xfId="42843" xr:uid="{00000000-0005-0000-0000-000059A70000}"/>
    <cellStyle name="Output 3 2 25 2 3" xfId="42844" xr:uid="{00000000-0005-0000-0000-00005AA70000}"/>
    <cellStyle name="Output 3 2 25 2 4" xfId="42845" xr:uid="{00000000-0005-0000-0000-00005BA70000}"/>
    <cellStyle name="Output 3 2 25 2 5" xfId="42846" xr:uid="{00000000-0005-0000-0000-00005CA70000}"/>
    <cellStyle name="Output 3 2 25 3" xfId="42847" xr:uid="{00000000-0005-0000-0000-00005DA70000}"/>
    <cellStyle name="Output 3 2 25 4" xfId="42848" xr:uid="{00000000-0005-0000-0000-00005EA70000}"/>
    <cellStyle name="Output 3 2 25 5" xfId="42849" xr:uid="{00000000-0005-0000-0000-00005FA70000}"/>
    <cellStyle name="Output 3 2 25 6" xfId="42850" xr:uid="{00000000-0005-0000-0000-000060A70000}"/>
    <cellStyle name="Output 3 2 26" xfId="42851" xr:uid="{00000000-0005-0000-0000-000061A70000}"/>
    <cellStyle name="Output 3 2 26 2" xfId="42852" xr:uid="{00000000-0005-0000-0000-000062A70000}"/>
    <cellStyle name="Output 3 2 26 2 2" xfId="42853" xr:uid="{00000000-0005-0000-0000-000063A70000}"/>
    <cellStyle name="Output 3 2 26 2 3" xfId="42854" xr:uid="{00000000-0005-0000-0000-000064A70000}"/>
    <cellStyle name="Output 3 2 26 2 4" xfId="42855" xr:uid="{00000000-0005-0000-0000-000065A70000}"/>
    <cellStyle name="Output 3 2 26 2 5" xfId="42856" xr:uid="{00000000-0005-0000-0000-000066A70000}"/>
    <cellStyle name="Output 3 2 26 3" xfId="42857" xr:uid="{00000000-0005-0000-0000-000067A70000}"/>
    <cellStyle name="Output 3 2 26 4" xfId="42858" xr:uid="{00000000-0005-0000-0000-000068A70000}"/>
    <cellStyle name="Output 3 2 26 5" xfId="42859" xr:uid="{00000000-0005-0000-0000-000069A70000}"/>
    <cellStyle name="Output 3 2 26 6" xfId="42860" xr:uid="{00000000-0005-0000-0000-00006AA70000}"/>
    <cellStyle name="Output 3 2 27" xfId="42861" xr:uid="{00000000-0005-0000-0000-00006BA70000}"/>
    <cellStyle name="Output 3 2 27 2" xfId="42862" xr:uid="{00000000-0005-0000-0000-00006CA70000}"/>
    <cellStyle name="Output 3 2 27 2 2" xfId="42863" xr:uid="{00000000-0005-0000-0000-00006DA70000}"/>
    <cellStyle name="Output 3 2 27 2 3" xfId="42864" xr:uid="{00000000-0005-0000-0000-00006EA70000}"/>
    <cellStyle name="Output 3 2 27 2 4" xfId="42865" xr:uid="{00000000-0005-0000-0000-00006FA70000}"/>
    <cellStyle name="Output 3 2 27 2 5" xfId="42866" xr:uid="{00000000-0005-0000-0000-000070A70000}"/>
    <cellStyle name="Output 3 2 27 3" xfId="42867" xr:uid="{00000000-0005-0000-0000-000071A70000}"/>
    <cellStyle name="Output 3 2 27 4" xfId="42868" xr:uid="{00000000-0005-0000-0000-000072A70000}"/>
    <cellStyle name="Output 3 2 27 5" xfId="42869" xr:uid="{00000000-0005-0000-0000-000073A70000}"/>
    <cellStyle name="Output 3 2 27 6" xfId="42870" xr:uid="{00000000-0005-0000-0000-000074A70000}"/>
    <cellStyle name="Output 3 2 28" xfId="42871" xr:uid="{00000000-0005-0000-0000-000075A70000}"/>
    <cellStyle name="Output 3 2 28 2" xfId="42872" xr:uid="{00000000-0005-0000-0000-000076A70000}"/>
    <cellStyle name="Output 3 2 28 2 2" xfId="42873" xr:uid="{00000000-0005-0000-0000-000077A70000}"/>
    <cellStyle name="Output 3 2 28 2 3" xfId="42874" xr:uid="{00000000-0005-0000-0000-000078A70000}"/>
    <cellStyle name="Output 3 2 28 2 4" xfId="42875" xr:uid="{00000000-0005-0000-0000-000079A70000}"/>
    <cellStyle name="Output 3 2 28 2 5" xfId="42876" xr:uid="{00000000-0005-0000-0000-00007AA70000}"/>
    <cellStyle name="Output 3 2 28 3" xfId="42877" xr:uid="{00000000-0005-0000-0000-00007BA70000}"/>
    <cellStyle name="Output 3 2 28 4" xfId="42878" xr:uid="{00000000-0005-0000-0000-00007CA70000}"/>
    <cellStyle name="Output 3 2 28 5" xfId="42879" xr:uid="{00000000-0005-0000-0000-00007DA70000}"/>
    <cellStyle name="Output 3 2 28 6" xfId="42880" xr:uid="{00000000-0005-0000-0000-00007EA70000}"/>
    <cellStyle name="Output 3 2 29" xfId="42881" xr:uid="{00000000-0005-0000-0000-00007FA70000}"/>
    <cellStyle name="Output 3 2 29 2" xfId="42882" xr:uid="{00000000-0005-0000-0000-000080A70000}"/>
    <cellStyle name="Output 3 2 29 2 2" xfId="42883" xr:uid="{00000000-0005-0000-0000-000081A70000}"/>
    <cellStyle name="Output 3 2 29 2 3" xfId="42884" xr:uid="{00000000-0005-0000-0000-000082A70000}"/>
    <cellStyle name="Output 3 2 29 2 4" xfId="42885" xr:uid="{00000000-0005-0000-0000-000083A70000}"/>
    <cellStyle name="Output 3 2 29 2 5" xfId="42886" xr:uid="{00000000-0005-0000-0000-000084A70000}"/>
    <cellStyle name="Output 3 2 29 3" xfId="42887" xr:uid="{00000000-0005-0000-0000-000085A70000}"/>
    <cellStyle name="Output 3 2 29 4" xfId="42888" xr:uid="{00000000-0005-0000-0000-000086A70000}"/>
    <cellStyle name="Output 3 2 29 5" xfId="42889" xr:uid="{00000000-0005-0000-0000-000087A70000}"/>
    <cellStyle name="Output 3 2 29 6" xfId="42890" xr:uid="{00000000-0005-0000-0000-000088A70000}"/>
    <cellStyle name="Output 3 2 3" xfId="42891" xr:uid="{00000000-0005-0000-0000-000089A70000}"/>
    <cellStyle name="Output 3 2 3 2" xfId="42892" xr:uid="{00000000-0005-0000-0000-00008AA70000}"/>
    <cellStyle name="Output 3 2 3 2 2" xfId="42893" xr:uid="{00000000-0005-0000-0000-00008BA70000}"/>
    <cellStyle name="Output 3 2 3 2 2 2" xfId="42894" xr:uid="{00000000-0005-0000-0000-00008CA70000}"/>
    <cellStyle name="Output 3 2 3 2 2 3" xfId="42895" xr:uid="{00000000-0005-0000-0000-00008DA70000}"/>
    <cellStyle name="Output 3 2 3 2 2 4" xfId="42896" xr:uid="{00000000-0005-0000-0000-00008EA70000}"/>
    <cellStyle name="Output 3 2 3 2 2 5" xfId="42897" xr:uid="{00000000-0005-0000-0000-00008FA70000}"/>
    <cellStyle name="Output 3 2 3 2 2 6" xfId="42898" xr:uid="{00000000-0005-0000-0000-000090A70000}"/>
    <cellStyle name="Output 3 2 3 2 3" xfId="42899" xr:uid="{00000000-0005-0000-0000-000091A70000}"/>
    <cellStyle name="Output 3 2 3 2 3 2" xfId="42900" xr:uid="{00000000-0005-0000-0000-000092A70000}"/>
    <cellStyle name="Output 3 2 3 2 3 3" xfId="42901" xr:uid="{00000000-0005-0000-0000-000093A70000}"/>
    <cellStyle name="Output 3 2 3 2 3 4" xfId="42902" xr:uid="{00000000-0005-0000-0000-000094A70000}"/>
    <cellStyle name="Output 3 2 3 2 3 5" xfId="42903" xr:uid="{00000000-0005-0000-0000-000095A70000}"/>
    <cellStyle name="Output 3 2 3 2 4" xfId="42904" xr:uid="{00000000-0005-0000-0000-000096A70000}"/>
    <cellStyle name="Output 3 2 3 2 5" xfId="42905" xr:uid="{00000000-0005-0000-0000-000097A70000}"/>
    <cellStyle name="Output 3 2 3 2 6" xfId="42906" xr:uid="{00000000-0005-0000-0000-000098A70000}"/>
    <cellStyle name="Output 3 2 3 2 7" xfId="42907" xr:uid="{00000000-0005-0000-0000-000099A70000}"/>
    <cellStyle name="Output 3 2 3 3" xfId="42908" xr:uid="{00000000-0005-0000-0000-00009AA70000}"/>
    <cellStyle name="Output 3 2 3 3 2" xfId="42909" xr:uid="{00000000-0005-0000-0000-00009BA70000}"/>
    <cellStyle name="Output 3 2 3 3 2 2" xfId="42910" xr:uid="{00000000-0005-0000-0000-00009CA70000}"/>
    <cellStyle name="Output 3 2 3 3 2 3" xfId="42911" xr:uid="{00000000-0005-0000-0000-00009DA70000}"/>
    <cellStyle name="Output 3 2 3 3 2 4" xfId="42912" xr:uid="{00000000-0005-0000-0000-00009EA70000}"/>
    <cellStyle name="Output 3 2 3 3 2 5" xfId="42913" xr:uid="{00000000-0005-0000-0000-00009FA70000}"/>
    <cellStyle name="Output 3 2 3 3 2 6" xfId="42914" xr:uid="{00000000-0005-0000-0000-0000A0A70000}"/>
    <cellStyle name="Output 3 2 3 3 3" xfId="42915" xr:uid="{00000000-0005-0000-0000-0000A1A70000}"/>
    <cellStyle name="Output 3 2 3 3 4" xfId="42916" xr:uid="{00000000-0005-0000-0000-0000A2A70000}"/>
    <cellStyle name="Output 3 2 3 3 5" xfId="42917" xr:uid="{00000000-0005-0000-0000-0000A3A70000}"/>
    <cellStyle name="Output 3 2 3 3 6" xfId="42918" xr:uid="{00000000-0005-0000-0000-0000A4A70000}"/>
    <cellStyle name="Output 3 2 3 4" xfId="42919" xr:uid="{00000000-0005-0000-0000-0000A5A70000}"/>
    <cellStyle name="Output 3 2 3 4 2" xfId="42920" xr:uid="{00000000-0005-0000-0000-0000A6A70000}"/>
    <cellStyle name="Output 3 2 3 4 3" xfId="42921" xr:uid="{00000000-0005-0000-0000-0000A7A70000}"/>
    <cellStyle name="Output 3 2 3 4 4" xfId="42922" xr:uid="{00000000-0005-0000-0000-0000A8A70000}"/>
    <cellStyle name="Output 3 2 3 4 5" xfId="42923" xr:uid="{00000000-0005-0000-0000-0000A9A70000}"/>
    <cellStyle name="Output 3 2 3 4 6" xfId="42924" xr:uid="{00000000-0005-0000-0000-0000AAA70000}"/>
    <cellStyle name="Output 3 2 3 5" xfId="42925" xr:uid="{00000000-0005-0000-0000-0000ABA70000}"/>
    <cellStyle name="Output 3 2 3 5 2" xfId="42926" xr:uid="{00000000-0005-0000-0000-0000ACA70000}"/>
    <cellStyle name="Output 3 2 3 5 3" xfId="42927" xr:uid="{00000000-0005-0000-0000-0000ADA70000}"/>
    <cellStyle name="Output 3 2 3 5 4" xfId="42928" xr:uid="{00000000-0005-0000-0000-0000AEA70000}"/>
    <cellStyle name="Output 3 2 3 5 5" xfId="42929" xr:uid="{00000000-0005-0000-0000-0000AFA70000}"/>
    <cellStyle name="Output 3 2 3 6" xfId="42930" xr:uid="{00000000-0005-0000-0000-0000B0A70000}"/>
    <cellStyle name="Output 3 2 3 7" xfId="42931" xr:uid="{00000000-0005-0000-0000-0000B1A70000}"/>
    <cellStyle name="Output 3 2 3 8" xfId="42932" xr:uid="{00000000-0005-0000-0000-0000B2A70000}"/>
    <cellStyle name="Output 3 2 3 9" xfId="42933" xr:uid="{00000000-0005-0000-0000-0000B3A70000}"/>
    <cellStyle name="Output 3 2 30" xfId="42934" xr:uid="{00000000-0005-0000-0000-0000B4A70000}"/>
    <cellStyle name="Output 3 2 30 2" xfId="42935" xr:uid="{00000000-0005-0000-0000-0000B5A70000}"/>
    <cellStyle name="Output 3 2 30 2 2" xfId="42936" xr:uid="{00000000-0005-0000-0000-0000B6A70000}"/>
    <cellStyle name="Output 3 2 30 2 3" xfId="42937" xr:uid="{00000000-0005-0000-0000-0000B7A70000}"/>
    <cellStyle name="Output 3 2 30 2 4" xfId="42938" xr:uid="{00000000-0005-0000-0000-0000B8A70000}"/>
    <cellStyle name="Output 3 2 30 2 5" xfId="42939" xr:uid="{00000000-0005-0000-0000-0000B9A70000}"/>
    <cellStyle name="Output 3 2 30 3" xfId="42940" xr:uid="{00000000-0005-0000-0000-0000BAA70000}"/>
    <cellStyle name="Output 3 2 30 4" xfId="42941" xr:uid="{00000000-0005-0000-0000-0000BBA70000}"/>
    <cellStyle name="Output 3 2 30 5" xfId="42942" xr:uid="{00000000-0005-0000-0000-0000BCA70000}"/>
    <cellStyle name="Output 3 2 30 6" xfId="42943" xr:uid="{00000000-0005-0000-0000-0000BDA70000}"/>
    <cellStyle name="Output 3 2 31" xfId="42944" xr:uid="{00000000-0005-0000-0000-0000BEA70000}"/>
    <cellStyle name="Output 3 2 31 2" xfId="42945" xr:uid="{00000000-0005-0000-0000-0000BFA70000}"/>
    <cellStyle name="Output 3 2 31 2 2" xfId="42946" xr:uid="{00000000-0005-0000-0000-0000C0A70000}"/>
    <cellStyle name="Output 3 2 31 2 3" xfId="42947" xr:uid="{00000000-0005-0000-0000-0000C1A70000}"/>
    <cellStyle name="Output 3 2 31 2 4" xfId="42948" xr:uid="{00000000-0005-0000-0000-0000C2A70000}"/>
    <cellStyle name="Output 3 2 31 2 5" xfId="42949" xr:uid="{00000000-0005-0000-0000-0000C3A70000}"/>
    <cellStyle name="Output 3 2 31 3" xfId="42950" xr:uid="{00000000-0005-0000-0000-0000C4A70000}"/>
    <cellStyle name="Output 3 2 31 4" xfId="42951" xr:uid="{00000000-0005-0000-0000-0000C5A70000}"/>
    <cellStyle name="Output 3 2 31 5" xfId="42952" xr:uid="{00000000-0005-0000-0000-0000C6A70000}"/>
    <cellStyle name="Output 3 2 31 6" xfId="42953" xr:uid="{00000000-0005-0000-0000-0000C7A70000}"/>
    <cellStyle name="Output 3 2 32" xfId="42954" xr:uid="{00000000-0005-0000-0000-0000C8A70000}"/>
    <cellStyle name="Output 3 2 32 2" xfId="42955" xr:uid="{00000000-0005-0000-0000-0000C9A70000}"/>
    <cellStyle name="Output 3 2 32 2 2" xfId="42956" xr:uid="{00000000-0005-0000-0000-0000CAA70000}"/>
    <cellStyle name="Output 3 2 32 2 3" xfId="42957" xr:uid="{00000000-0005-0000-0000-0000CBA70000}"/>
    <cellStyle name="Output 3 2 32 2 4" xfId="42958" xr:uid="{00000000-0005-0000-0000-0000CCA70000}"/>
    <cellStyle name="Output 3 2 32 2 5" xfId="42959" xr:uid="{00000000-0005-0000-0000-0000CDA70000}"/>
    <cellStyle name="Output 3 2 32 3" xfId="42960" xr:uid="{00000000-0005-0000-0000-0000CEA70000}"/>
    <cellStyle name="Output 3 2 32 4" xfId="42961" xr:uid="{00000000-0005-0000-0000-0000CFA70000}"/>
    <cellStyle name="Output 3 2 32 5" xfId="42962" xr:uid="{00000000-0005-0000-0000-0000D0A70000}"/>
    <cellStyle name="Output 3 2 32 6" xfId="42963" xr:uid="{00000000-0005-0000-0000-0000D1A70000}"/>
    <cellStyle name="Output 3 2 33" xfId="42964" xr:uid="{00000000-0005-0000-0000-0000D2A70000}"/>
    <cellStyle name="Output 3 2 33 2" xfId="42965" xr:uid="{00000000-0005-0000-0000-0000D3A70000}"/>
    <cellStyle name="Output 3 2 33 2 2" xfId="42966" xr:uid="{00000000-0005-0000-0000-0000D4A70000}"/>
    <cellStyle name="Output 3 2 33 2 3" xfId="42967" xr:uid="{00000000-0005-0000-0000-0000D5A70000}"/>
    <cellStyle name="Output 3 2 33 2 4" xfId="42968" xr:uid="{00000000-0005-0000-0000-0000D6A70000}"/>
    <cellStyle name="Output 3 2 33 2 5" xfId="42969" xr:uid="{00000000-0005-0000-0000-0000D7A70000}"/>
    <cellStyle name="Output 3 2 33 3" xfId="42970" xr:uid="{00000000-0005-0000-0000-0000D8A70000}"/>
    <cellStyle name="Output 3 2 33 4" xfId="42971" xr:uid="{00000000-0005-0000-0000-0000D9A70000}"/>
    <cellStyle name="Output 3 2 33 5" xfId="42972" xr:uid="{00000000-0005-0000-0000-0000DAA70000}"/>
    <cellStyle name="Output 3 2 33 6" xfId="42973" xr:uid="{00000000-0005-0000-0000-0000DBA70000}"/>
    <cellStyle name="Output 3 2 34" xfId="42974" xr:uid="{00000000-0005-0000-0000-0000DCA70000}"/>
    <cellStyle name="Output 3 2 34 2" xfId="42975" xr:uid="{00000000-0005-0000-0000-0000DDA70000}"/>
    <cellStyle name="Output 3 2 34 2 2" xfId="42976" xr:uid="{00000000-0005-0000-0000-0000DEA70000}"/>
    <cellStyle name="Output 3 2 34 2 3" xfId="42977" xr:uid="{00000000-0005-0000-0000-0000DFA70000}"/>
    <cellStyle name="Output 3 2 34 2 4" xfId="42978" xr:uid="{00000000-0005-0000-0000-0000E0A70000}"/>
    <cellStyle name="Output 3 2 34 2 5" xfId="42979" xr:uid="{00000000-0005-0000-0000-0000E1A70000}"/>
    <cellStyle name="Output 3 2 34 3" xfId="42980" xr:uid="{00000000-0005-0000-0000-0000E2A70000}"/>
    <cellStyle name="Output 3 2 34 4" xfId="42981" xr:uid="{00000000-0005-0000-0000-0000E3A70000}"/>
    <cellStyle name="Output 3 2 34 5" xfId="42982" xr:uid="{00000000-0005-0000-0000-0000E4A70000}"/>
    <cellStyle name="Output 3 2 34 6" xfId="42983" xr:uid="{00000000-0005-0000-0000-0000E5A70000}"/>
    <cellStyle name="Output 3 2 35" xfId="42984" xr:uid="{00000000-0005-0000-0000-0000E6A70000}"/>
    <cellStyle name="Output 3 2 35 2" xfId="42985" xr:uid="{00000000-0005-0000-0000-0000E7A70000}"/>
    <cellStyle name="Output 3 2 35 2 2" xfId="42986" xr:uid="{00000000-0005-0000-0000-0000E8A70000}"/>
    <cellStyle name="Output 3 2 35 2 3" xfId="42987" xr:uid="{00000000-0005-0000-0000-0000E9A70000}"/>
    <cellStyle name="Output 3 2 35 2 4" xfId="42988" xr:uid="{00000000-0005-0000-0000-0000EAA70000}"/>
    <cellStyle name="Output 3 2 35 2 5" xfId="42989" xr:uid="{00000000-0005-0000-0000-0000EBA70000}"/>
    <cellStyle name="Output 3 2 35 3" xfId="42990" xr:uid="{00000000-0005-0000-0000-0000ECA70000}"/>
    <cellStyle name="Output 3 2 35 4" xfId="42991" xr:uid="{00000000-0005-0000-0000-0000EDA70000}"/>
    <cellStyle name="Output 3 2 35 5" xfId="42992" xr:uid="{00000000-0005-0000-0000-0000EEA70000}"/>
    <cellStyle name="Output 3 2 35 6" xfId="42993" xr:uid="{00000000-0005-0000-0000-0000EFA70000}"/>
    <cellStyle name="Output 3 2 36" xfId="42994" xr:uid="{00000000-0005-0000-0000-0000F0A70000}"/>
    <cellStyle name="Output 3 2 36 2" xfId="42995" xr:uid="{00000000-0005-0000-0000-0000F1A70000}"/>
    <cellStyle name="Output 3 2 36 2 2" xfId="42996" xr:uid="{00000000-0005-0000-0000-0000F2A70000}"/>
    <cellStyle name="Output 3 2 36 2 3" xfId="42997" xr:uid="{00000000-0005-0000-0000-0000F3A70000}"/>
    <cellStyle name="Output 3 2 36 2 4" xfId="42998" xr:uid="{00000000-0005-0000-0000-0000F4A70000}"/>
    <cellStyle name="Output 3 2 36 2 5" xfId="42999" xr:uid="{00000000-0005-0000-0000-0000F5A70000}"/>
    <cellStyle name="Output 3 2 36 3" xfId="43000" xr:uid="{00000000-0005-0000-0000-0000F6A70000}"/>
    <cellStyle name="Output 3 2 36 4" xfId="43001" xr:uid="{00000000-0005-0000-0000-0000F7A70000}"/>
    <cellStyle name="Output 3 2 36 5" xfId="43002" xr:uid="{00000000-0005-0000-0000-0000F8A70000}"/>
    <cellStyle name="Output 3 2 36 6" xfId="43003" xr:uid="{00000000-0005-0000-0000-0000F9A70000}"/>
    <cellStyle name="Output 3 2 37" xfId="43004" xr:uid="{00000000-0005-0000-0000-0000FAA70000}"/>
    <cellStyle name="Output 3 2 37 2" xfId="43005" xr:uid="{00000000-0005-0000-0000-0000FBA70000}"/>
    <cellStyle name="Output 3 2 37 2 2" xfId="43006" xr:uid="{00000000-0005-0000-0000-0000FCA70000}"/>
    <cellStyle name="Output 3 2 37 2 3" xfId="43007" xr:uid="{00000000-0005-0000-0000-0000FDA70000}"/>
    <cellStyle name="Output 3 2 37 2 4" xfId="43008" xr:uid="{00000000-0005-0000-0000-0000FEA70000}"/>
    <cellStyle name="Output 3 2 37 2 5" xfId="43009" xr:uid="{00000000-0005-0000-0000-0000FFA70000}"/>
    <cellStyle name="Output 3 2 37 3" xfId="43010" xr:uid="{00000000-0005-0000-0000-000000A80000}"/>
    <cellStyle name="Output 3 2 37 4" xfId="43011" xr:uid="{00000000-0005-0000-0000-000001A80000}"/>
    <cellStyle name="Output 3 2 37 5" xfId="43012" xr:uid="{00000000-0005-0000-0000-000002A80000}"/>
    <cellStyle name="Output 3 2 37 6" xfId="43013" xr:uid="{00000000-0005-0000-0000-000003A80000}"/>
    <cellStyle name="Output 3 2 38" xfId="43014" xr:uid="{00000000-0005-0000-0000-000004A80000}"/>
    <cellStyle name="Output 3 2 38 2" xfId="43015" xr:uid="{00000000-0005-0000-0000-000005A80000}"/>
    <cellStyle name="Output 3 2 38 2 2" xfId="43016" xr:uid="{00000000-0005-0000-0000-000006A80000}"/>
    <cellStyle name="Output 3 2 38 2 3" xfId="43017" xr:uid="{00000000-0005-0000-0000-000007A80000}"/>
    <cellStyle name="Output 3 2 38 2 4" xfId="43018" xr:uid="{00000000-0005-0000-0000-000008A80000}"/>
    <cellStyle name="Output 3 2 38 2 5" xfId="43019" xr:uid="{00000000-0005-0000-0000-000009A80000}"/>
    <cellStyle name="Output 3 2 38 3" xfId="43020" xr:uid="{00000000-0005-0000-0000-00000AA80000}"/>
    <cellStyle name="Output 3 2 38 4" xfId="43021" xr:uid="{00000000-0005-0000-0000-00000BA80000}"/>
    <cellStyle name="Output 3 2 38 5" xfId="43022" xr:uid="{00000000-0005-0000-0000-00000CA80000}"/>
    <cellStyle name="Output 3 2 38 6" xfId="43023" xr:uid="{00000000-0005-0000-0000-00000DA80000}"/>
    <cellStyle name="Output 3 2 39" xfId="43024" xr:uid="{00000000-0005-0000-0000-00000EA80000}"/>
    <cellStyle name="Output 3 2 39 2" xfId="43025" xr:uid="{00000000-0005-0000-0000-00000FA80000}"/>
    <cellStyle name="Output 3 2 39 2 2" xfId="43026" xr:uid="{00000000-0005-0000-0000-000010A80000}"/>
    <cellStyle name="Output 3 2 39 2 3" xfId="43027" xr:uid="{00000000-0005-0000-0000-000011A80000}"/>
    <cellStyle name="Output 3 2 39 2 4" xfId="43028" xr:uid="{00000000-0005-0000-0000-000012A80000}"/>
    <cellStyle name="Output 3 2 39 2 5" xfId="43029" xr:uid="{00000000-0005-0000-0000-000013A80000}"/>
    <cellStyle name="Output 3 2 39 3" xfId="43030" xr:uid="{00000000-0005-0000-0000-000014A80000}"/>
    <cellStyle name="Output 3 2 39 4" xfId="43031" xr:uid="{00000000-0005-0000-0000-000015A80000}"/>
    <cellStyle name="Output 3 2 39 5" xfId="43032" xr:uid="{00000000-0005-0000-0000-000016A80000}"/>
    <cellStyle name="Output 3 2 39 6" xfId="43033" xr:uid="{00000000-0005-0000-0000-000017A80000}"/>
    <cellStyle name="Output 3 2 4" xfId="43034" xr:uid="{00000000-0005-0000-0000-000018A80000}"/>
    <cellStyle name="Output 3 2 4 2" xfId="43035" xr:uid="{00000000-0005-0000-0000-000019A80000}"/>
    <cellStyle name="Output 3 2 4 2 2" xfId="43036" xr:uid="{00000000-0005-0000-0000-00001AA80000}"/>
    <cellStyle name="Output 3 2 4 2 2 2" xfId="43037" xr:uid="{00000000-0005-0000-0000-00001BA80000}"/>
    <cellStyle name="Output 3 2 4 2 2 3" xfId="43038" xr:uid="{00000000-0005-0000-0000-00001CA80000}"/>
    <cellStyle name="Output 3 2 4 2 2 4" xfId="43039" xr:uid="{00000000-0005-0000-0000-00001DA80000}"/>
    <cellStyle name="Output 3 2 4 2 2 5" xfId="43040" xr:uid="{00000000-0005-0000-0000-00001EA80000}"/>
    <cellStyle name="Output 3 2 4 2 2 6" xfId="43041" xr:uid="{00000000-0005-0000-0000-00001FA80000}"/>
    <cellStyle name="Output 3 2 4 2 3" xfId="43042" xr:uid="{00000000-0005-0000-0000-000020A80000}"/>
    <cellStyle name="Output 3 2 4 2 3 2" xfId="43043" xr:uid="{00000000-0005-0000-0000-000021A80000}"/>
    <cellStyle name="Output 3 2 4 2 3 3" xfId="43044" xr:uid="{00000000-0005-0000-0000-000022A80000}"/>
    <cellStyle name="Output 3 2 4 2 3 4" xfId="43045" xr:uid="{00000000-0005-0000-0000-000023A80000}"/>
    <cellStyle name="Output 3 2 4 2 3 5" xfId="43046" xr:uid="{00000000-0005-0000-0000-000024A80000}"/>
    <cellStyle name="Output 3 2 4 2 4" xfId="43047" xr:uid="{00000000-0005-0000-0000-000025A80000}"/>
    <cellStyle name="Output 3 2 4 2 5" xfId="43048" xr:uid="{00000000-0005-0000-0000-000026A80000}"/>
    <cellStyle name="Output 3 2 4 2 6" xfId="43049" xr:uid="{00000000-0005-0000-0000-000027A80000}"/>
    <cellStyle name="Output 3 2 4 2 7" xfId="43050" xr:uid="{00000000-0005-0000-0000-000028A80000}"/>
    <cellStyle name="Output 3 2 4 3" xfId="43051" xr:uid="{00000000-0005-0000-0000-000029A80000}"/>
    <cellStyle name="Output 3 2 4 3 2" xfId="43052" xr:uid="{00000000-0005-0000-0000-00002AA80000}"/>
    <cellStyle name="Output 3 2 4 3 2 2" xfId="43053" xr:uid="{00000000-0005-0000-0000-00002BA80000}"/>
    <cellStyle name="Output 3 2 4 3 2 3" xfId="43054" xr:uid="{00000000-0005-0000-0000-00002CA80000}"/>
    <cellStyle name="Output 3 2 4 3 2 4" xfId="43055" xr:uid="{00000000-0005-0000-0000-00002DA80000}"/>
    <cellStyle name="Output 3 2 4 3 2 5" xfId="43056" xr:uid="{00000000-0005-0000-0000-00002EA80000}"/>
    <cellStyle name="Output 3 2 4 3 2 6" xfId="43057" xr:uid="{00000000-0005-0000-0000-00002FA80000}"/>
    <cellStyle name="Output 3 2 4 3 3" xfId="43058" xr:uid="{00000000-0005-0000-0000-000030A80000}"/>
    <cellStyle name="Output 3 2 4 3 4" xfId="43059" xr:uid="{00000000-0005-0000-0000-000031A80000}"/>
    <cellStyle name="Output 3 2 4 3 5" xfId="43060" xr:uid="{00000000-0005-0000-0000-000032A80000}"/>
    <cellStyle name="Output 3 2 4 3 6" xfId="43061" xr:uid="{00000000-0005-0000-0000-000033A80000}"/>
    <cellStyle name="Output 3 2 4 4" xfId="43062" xr:uid="{00000000-0005-0000-0000-000034A80000}"/>
    <cellStyle name="Output 3 2 4 4 2" xfId="43063" xr:uid="{00000000-0005-0000-0000-000035A80000}"/>
    <cellStyle name="Output 3 2 4 4 3" xfId="43064" xr:uid="{00000000-0005-0000-0000-000036A80000}"/>
    <cellStyle name="Output 3 2 4 4 4" xfId="43065" xr:uid="{00000000-0005-0000-0000-000037A80000}"/>
    <cellStyle name="Output 3 2 4 4 5" xfId="43066" xr:uid="{00000000-0005-0000-0000-000038A80000}"/>
    <cellStyle name="Output 3 2 4 4 6" xfId="43067" xr:uid="{00000000-0005-0000-0000-000039A80000}"/>
    <cellStyle name="Output 3 2 4 5" xfId="43068" xr:uid="{00000000-0005-0000-0000-00003AA80000}"/>
    <cellStyle name="Output 3 2 4 5 2" xfId="43069" xr:uid="{00000000-0005-0000-0000-00003BA80000}"/>
    <cellStyle name="Output 3 2 4 5 3" xfId="43070" xr:uid="{00000000-0005-0000-0000-00003CA80000}"/>
    <cellStyle name="Output 3 2 4 5 4" xfId="43071" xr:uid="{00000000-0005-0000-0000-00003DA80000}"/>
    <cellStyle name="Output 3 2 4 5 5" xfId="43072" xr:uid="{00000000-0005-0000-0000-00003EA80000}"/>
    <cellStyle name="Output 3 2 4 6" xfId="43073" xr:uid="{00000000-0005-0000-0000-00003FA80000}"/>
    <cellStyle name="Output 3 2 4 7" xfId="43074" xr:uid="{00000000-0005-0000-0000-000040A80000}"/>
    <cellStyle name="Output 3 2 4 8" xfId="43075" xr:uid="{00000000-0005-0000-0000-000041A80000}"/>
    <cellStyle name="Output 3 2 4 9" xfId="43076" xr:uid="{00000000-0005-0000-0000-000042A80000}"/>
    <cellStyle name="Output 3 2 40" xfId="43077" xr:uid="{00000000-0005-0000-0000-000043A80000}"/>
    <cellStyle name="Output 3 2 40 2" xfId="43078" xr:uid="{00000000-0005-0000-0000-000044A80000}"/>
    <cellStyle name="Output 3 2 40 2 2" xfId="43079" xr:uid="{00000000-0005-0000-0000-000045A80000}"/>
    <cellStyle name="Output 3 2 40 2 3" xfId="43080" xr:uid="{00000000-0005-0000-0000-000046A80000}"/>
    <cellStyle name="Output 3 2 40 2 4" xfId="43081" xr:uid="{00000000-0005-0000-0000-000047A80000}"/>
    <cellStyle name="Output 3 2 40 2 5" xfId="43082" xr:uid="{00000000-0005-0000-0000-000048A80000}"/>
    <cellStyle name="Output 3 2 40 3" xfId="43083" xr:uid="{00000000-0005-0000-0000-000049A80000}"/>
    <cellStyle name="Output 3 2 40 4" xfId="43084" xr:uid="{00000000-0005-0000-0000-00004AA80000}"/>
    <cellStyle name="Output 3 2 40 5" xfId="43085" xr:uid="{00000000-0005-0000-0000-00004BA80000}"/>
    <cellStyle name="Output 3 2 40 6" xfId="43086" xr:uid="{00000000-0005-0000-0000-00004CA80000}"/>
    <cellStyle name="Output 3 2 41" xfId="43087" xr:uid="{00000000-0005-0000-0000-00004DA80000}"/>
    <cellStyle name="Output 3 2 41 2" xfId="43088" xr:uid="{00000000-0005-0000-0000-00004EA80000}"/>
    <cellStyle name="Output 3 2 41 2 2" xfId="43089" xr:uid="{00000000-0005-0000-0000-00004FA80000}"/>
    <cellStyle name="Output 3 2 41 2 3" xfId="43090" xr:uid="{00000000-0005-0000-0000-000050A80000}"/>
    <cellStyle name="Output 3 2 41 2 4" xfId="43091" xr:uid="{00000000-0005-0000-0000-000051A80000}"/>
    <cellStyle name="Output 3 2 41 2 5" xfId="43092" xr:uid="{00000000-0005-0000-0000-000052A80000}"/>
    <cellStyle name="Output 3 2 41 3" xfId="43093" xr:uid="{00000000-0005-0000-0000-000053A80000}"/>
    <cellStyle name="Output 3 2 41 4" xfId="43094" xr:uid="{00000000-0005-0000-0000-000054A80000}"/>
    <cellStyle name="Output 3 2 41 5" xfId="43095" xr:uid="{00000000-0005-0000-0000-000055A80000}"/>
    <cellStyle name="Output 3 2 41 6" xfId="43096" xr:uid="{00000000-0005-0000-0000-000056A80000}"/>
    <cellStyle name="Output 3 2 42" xfId="43097" xr:uid="{00000000-0005-0000-0000-000057A80000}"/>
    <cellStyle name="Output 3 2 42 2" xfId="43098" xr:uid="{00000000-0005-0000-0000-000058A80000}"/>
    <cellStyle name="Output 3 2 42 3" xfId="43099" xr:uid="{00000000-0005-0000-0000-000059A80000}"/>
    <cellStyle name="Output 3 2 42 4" xfId="43100" xr:uid="{00000000-0005-0000-0000-00005AA80000}"/>
    <cellStyle name="Output 3 2 42 5" xfId="43101" xr:uid="{00000000-0005-0000-0000-00005BA80000}"/>
    <cellStyle name="Output 3 2 43" xfId="43102" xr:uid="{00000000-0005-0000-0000-00005CA80000}"/>
    <cellStyle name="Output 3 2 43 2" xfId="43103" xr:uid="{00000000-0005-0000-0000-00005DA80000}"/>
    <cellStyle name="Output 3 2 43 3" xfId="43104" xr:uid="{00000000-0005-0000-0000-00005EA80000}"/>
    <cellStyle name="Output 3 2 43 4" xfId="43105" xr:uid="{00000000-0005-0000-0000-00005FA80000}"/>
    <cellStyle name="Output 3 2 43 5" xfId="43106" xr:uid="{00000000-0005-0000-0000-000060A80000}"/>
    <cellStyle name="Output 3 2 44" xfId="43107" xr:uid="{00000000-0005-0000-0000-000061A80000}"/>
    <cellStyle name="Output 3 2 45" xfId="43108" xr:uid="{00000000-0005-0000-0000-000062A80000}"/>
    <cellStyle name="Output 3 2 46" xfId="43109" xr:uid="{00000000-0005-0000-0000-000063A80000}"/>
    <cellStyle name="Output 3 2 47" xfId="43110" xr:uid="{00000000-0005-0000-0000-000064A80000}"/>
    <cellStyle name="Output 3 2 5" xfId="43111" xr:uid="{00000000-0005-0000-0000-000065A80000}"/>
    <cellStyle name="Output 3 2 5 2" xfId="43112" xr:uid="{00000000-0005-0000-0000-000066A80000}"/>
    <cellStyle name="Output 3 2 5 2 2" xfId="43113" xr:uid="{00000000-0005-0000-0000-000067A80000}"/>
    <cellStyle name="Output 3 2 5 2 2 2" xfId="43114" xr:uid="{00000000-0005-0000-0000-000068A80000}"/>
    <cellStyle name="Output 3 2 5 2 2 3" xfId="43115" xr:uid="{00000000-0005-0000-0000-000069A80000}"/>
    <cellStyle name="Output 3 2 5 2 2 4" xfId="43116" xr:uid="{00000000-0005-0000-0000-00006AA80000}"/>
    <cellStyle name="Output 3 2 5 2 2 5" xfId="43117" xr:uid="{00000000-0005-0000-0000-00006BA80000}"/>
    <cellStyle name="Output 3 2 5 2 2 6" xfId="43118" xr:uid="{00000000-0005-0000-0000-00006CA80000}"/>
    <cellStyle name="Output 3 2 5 2 3" xfId="43119" xr:uid="{00000000-0005-0000-0000-00006DA80000}"/>
    <cellStyle name="Output 3 2 5 2 3 2" xfId="43120" xr:uid="{00000000-0005-0000-0000-00006EA80000}"/>
    <cellStyle name="Output 3 2 5 2 3 3" xfId="43121" xr:uid="{00000000-0005-0000-0000-00006FA80000}"/>
    <cellStyle name="Output 3 2 5 2 3 4" xfId="43122" xr:uid="{00000000-0005-0000-0000-000070A80000}"/>
    <cellStyle name="Output 3 2 5 2 3 5" xfId="43123" xr:uid="{00000000-0005-0000-0000-000071A80000}"/>
    <cellStyle name="Output 3 2 5 2 4" xfId="43124" xr:uid="{00000000-0005-0000-0000-000072A80000}"/>
    <cellStyle name="Output 3 2 5 2 5" xfId="43125" xr:uid="{00000000-0005-0000-0000-000073A80000}"/>
    <cellStyle name="Output 3 2 5 2 6" xfId="43126" xr:uid="{00000000-0005-0000-0000-000074A80000}"/>
    <cellStyle name="Output 3 2 5 2 7" xfId="43127" xr:uid="{00000000-0005-0000-0000-000075A80000}"/>
    <cellStyle name="Output 3 2 5 3" xfId="43128" xr:uid="{00000000-0005-0000-0000-000076A80000}"/>
    <cellStyle name="Output 3 2 5 3 2" xfId="43129" xr:uid="{00000000-0005-0000-0000-000077A80000}"/>
    <cellStyle name="Output 3 2 5 3 2 2" xfId="43130" xr:uid="{00000000-0005-0000-0000-000078A80000}"/>
    <cellStyle name="Output 3 2 5 3 2 3" xfId="43131" xr:uid="{00000000-0005-0000-0000-000079A80000}"/>
    <cellStyle name="Output 3 2 5 3 2 4" xfId="43132" xr:uid="{00000000-0005-0000-0000-00007AA80000}"/>
    <cellStyle name="Output 3 2 5 3 2 5" xfId="43133" xr:uid="{00000000-0005-0000-0000-00007BA80000}"/>
    <cellStyle name="Output 3 2 5 3 2 6" xfId="43134" xr:uid="{00000000-0005-0000-0000-00007CA80000}"/>
    <cellStyle name="Output 3 2 5 3 3" xfId="43135" xr:uid="{00000000-0005-0000-0000-00007DA80000}"/>
    <cellStyle name="Output 3 2 5 3 4" xfId="43136" xr:uid="{00000000-0005-0000-0000-00007EA80000}"/>
    <cellStyle name="Output 3 2 5 3 5" xfId="43137" xr:uid="{00000000-0005-0000-0000-00007FA80000}"/>
    <cellStyle name="Output 3 2 5 3 6" xfId="43138" xr:uid="{00000000-0005-0000-0000-000080A80000}"/>
    <cellStyle name="Output 3 2 5 4" xfId="43139" xr:uid="{00000000-0005-0000-0000-000081A80000}"/>
    <cellStyle name="Output 3 2 5 4 2" xfId="43140" xr:uid="{00000000-0005-0000-0000-000082A80000}"/>
    <cellStyle name="Output 3 2 5 4 3" xfId="43141" xr:uid="{00000000-0005-0000-0000-000083A80000}"/>
    <cellStyle name="Output 3 2 5 4 4" xfId="43142" xr:uid="{00000000-0005-0000-0000-000084A80000}"/>
    <cellStyle name="Output 3 2 5 4 5" xfId="43143" xr:uid="{00000000-0005-0000-0000-000085A80000}"/>
    <cellStyle name="Output 3 2 5 4 6" xfId="43144" xr:uid="{00000000-0005-0000-0000-000086A80000}"/>
    <cellStyle name="Output 3 2 5 5" xfId="43145" xr:uid="{00000000-0005-0000-0000-000087A80000}"/>
    <cellStyle name="Output 3 2 5 5 2" xfId="43146" xr:uid="{00000000-0005-0000-0000-000088A80000}"/>
    <cellStyle name="Output 3 2 5 5 3" xfId="43147" xr:uid="{00000000-0005-0000-0000-000089A80000}"/>
    <cellStyle name="Output 3 2 5 5 4" xfId="43148" xr:uid="{00000000-0005-0000-0000-00008AA80000}"/>
    <cellStyle name="Output 3 2 5 5 5" xfId="43149" xr:uid="{00000000-0005-0000-0000-00008BA80000}"/>
    <cellStyle name="Output 3 2 5 6" xfId="43150" xr:uid="{00000000-0005-0000-0000-00008CA80000}"/>
    <cellStyle name="Output 3 2 5 7" xfId="43151" xr:uid="{00000000-0005-0000-0000-00008DA80000}"/>
    <cellStyle name="Output 3 2 5 8" xfId="43152" xr:uid="{00000000-0005-0000-0000-00008EA80000}"/>
    <cellStyle name="Output 3 2 5 9" xfId="43153" xr:uid="{00000000-0005-0000-0000-00008FA80000}"/>
    <cellStyle name="Output 3 2 6" xfId="43154" xr:uid="{00000000-0005-0000-0000-000090A80000}"/>
    <cellStyle name="Output 3 2 6 2" xfId="43155" xr:uid="{00000000-0005-0000-0000-000091A80000}"/>
    <cellStyle name="Output 3 2 6 2 2" xfId="43156" xr:uid="{00000000-0005-0000-0000-000092A80000}"/>
    <cellStyle name="Output 3 2 6 2 2 2" xfId="43157" xr:uid="{00000000-0005-0000-0000-000093A80000}"/>
    <cellStyle name="Output 3 2 6 2 2 3" xfId="43158" xr:uid="{00000000-0005-0000-0000-000094A80000}"/>
    <cellStyle name="Output 3 2 6 2 2 4" xfId="43159" xr:uid="{00000000-0005-0000-0000-000095A80000}"/>
    <cellStyle name="Output 3 2 6 2 2 5" xfId="43160" xr:uid="{00000000-0005-0000-0000-000096A80000}"/>
    <cellStyle name="Output 3 2 6 2 2 6" xfId="43161" xr:uid="{00000000-0005-0000-0000-000097A80000}"/>
    <cellStyle name="Output 3 2 6 2 3" xfId="43162" xr:uid="{00000000-0005-0000-0000-000098A80000}"/>
    <cellStyle name="Output 3 2 6 2 3 2" xfId="43163" xr:uid="{00000000-0005-0000-0000-000099A80000}"/>
    <cellStyle name="Output 3 2 6 2 3 3" xfId="43164" xr:uid="{00000000-0005-0000-0000-00009AA80000}"/>
    <cellStyle name="Output 3 2 6 2 3 4" xfId="43165" xr:uid="{00000000-0005-0000-0000-00009BA80000}"/>
    <cellStyle name="Output 3 2 6 2 3 5" xfId="43166" xr:uid="{00000000-0005-0000-0000-00009CA80000}"/>
    <cellStyle name="Output 3 2 6 2 4" xfId="43167" xr:uid="{00000000-0005-0000-0000-00009DA80000}"/>
    <cellStyle name="Output 3 2 6 2 5" xfId="43168" xr:uid="{00000000-0005-0000-0000-00009EA80000}"/>
    <cellStyle name="Output 3 2 6 2 6" xfId="43169" xr:uid="{00000000-0005-0000-0000-00009FA80000}"/>
    <cellStyle name="Output 3 2 6 2 7" xfId="43170" xr:uid="{00000000-0005-0000-0000-0000A0A80000}"/>
    <cellStyle name="Output 3 2 6 3" xfId="43171" xr:uid="{00000000-0005-0000-0000-0000A1A80000}"/>
    <cellStyle name="Output 3 2 6 3 2" xfId="43172" xr:uid="{00000000-0005-0000-0000-0000A2A80000}"/>
    <cellStyle name="Output 3 2 6 3 2 2" xfId="43173" xr:uid="{00000000-0005-0000-0000-0000A3A80000}"/>
    <cellStyle name="Output 3 2 6 3 2 3" xfId="43174" xr:uid="{00000000-0005-0000-0000-0000A4A80000}"/>
    <cellStyle name="Output 3 2 6 3 2 4" xfId="43175" xr:uid="{00000000-0005-0000-0000-0000A5A80000}"/>
    <cellStyle name="Output 3 2 6 3 2 5" xfId="43176" xr:uid="{00000000-0005-0000-0000-0000A6A80000}"/>
    <cellStyle name="Output 3 2 6 3 2 6" xfId="43177" xr:uid="{00000000-0005-0000-0000-0000A7A80000}"/>
    <cellStyle name="Output 3 2 6 3 3" xfId="43178" xr:uid="{00000000-0005-0000-0000-0000A8A80000}"/>
    <cellStyle name="Output 3 2 6 3 4" xfId="43179" xr:uid="{00000000-0005-0000-0000-0000A9A80000}"/>
    <cellStyle name="Output 3 2 6 3 5" xfId="43180" xr:uid="{00000000-0005-0000-0000-0000AAA80000}"/>
    <cellStyle name="Output 3 2 6 3 6" xfId="43181" xr:uid="{00000000-0005-0000-0000-0000ABA80000}"/>
    <cellStyle name="Output 3 2 6 4" xfId="43182" xr:uid="{00000000-0005-0000-0000-0000ACA80000}"/>
    <cellStyle name="Output 3 2 6 4 2" xfId="43183" xr:uid="{00000000-0005-0000-0000-0000ADA80000}"/>
    <cellStyle name="Output 3 2 6 4 3" xfId="43184" xr:uid="{00000000-0005-0000-0000-0000AEA80000}"/>
    <cellStyle name="Output 3 2 6 4 4" xfId="43185" xr:uid="{00000000-0005-0000-0000-0000AFA80000}"/>
    <cellStyle name="Output 3 2 6 4 5" xfId="43186" xr:uid="{00000000-0005-0000-0000-0000B0A80000}"/>
    <cellStyle name="Output 3 2 6 4 6" xfId="43187" xr:uid="{00000000-0005-0000-0000-0000B1A80000}"/>
    <cellStyle name="Output 3 2 6 5" xfId="43188" xr:uid="{00000000-0005-0000-0000-0000B2A80000}"/>
    <cellStyle name="Output 3 2 6 5 2" xfId="43189" xr:uid="{00000000-0005-0000-0000-0000B3A80000}"/>
    <cellStyle name="Output 3 2 6 5 3" xfId="43190" xr:uid="{00000000-0005-0000-0000-0000B4A80000}"/>
    <cellStyle name="Output 3 2 6 5 4" xfId="43191" xr:uid="{00000000-0005-0000-0000-0000B5A80000}"/>
    <cellStyle name="Output 3 2 6 5 5" xfId="43192" xr:uid="{00000000-0005-0000-0000-0000B6A80000}"/>
    <cellStyle name="Output 3 2 6 6" xfId="43193" xr:uid="{00000000-0005-0000-0000-0000B7A80000}"/>
    <cellStyle name="Output 3 2 6 7" xfId="43194" xr:uid="{00000000-0005-0000-0000-0000B8A80000}"/>
    <cellStyle name="Output 3 2 6 8" xfId="43195" xr:uid="{00000000-0005-0000-0000-0000B9A80000}"/>
    <cellStyle name="Output 3 2 6 9" xfId="43196" xr:uid="{00000000-0005-0000-0000-0000BAA80000}"/>
    <cellStyle name="Output 3 2 7" xfId="43197" xr:uid="{00000000-0005-0000-0000-0000BBA80000}"/>
    <cellStyle name="Output 3 2 7 2" xfId="43198" xr:uid="{00000000-0005-0000-0000-0000BCA80000}"/>
    <cellStyle name="Output 3 2 7 2 2" xfId="43199" xr:uid="{00000000-0005-0000-0000-0000BDA80000}"/>
    <cellStyle name="Output 3 2 7 2 2 2" xfId="43200" xr:uid="{00000000-0005-0000-0000-0000BEA80000}"/>
    <cellStyle name="Output 3 2 7 2 2 3" xfId="43201" xr:uid="{00000000-0005-0000-0000-0000BFA80000}"/>
    <cellStyle name="Output 3 2 7 2 2 4" xfId="43202" xr:uid="{00000000-0005-0000-0000-0000C0A80000}"/>
    <cellStyle name="Output 3 2 7 2 2 5" xfId="43203" xr:uid="{00000000-0005-0000-0000-0000C1A80000}"/>
    <cellStyle name="Output 3 2 7 2 2 6" xfId="43204" xr:uid="{00000000-0005-0000-0000-0000C2A80000}"/>
    <cellStyle name="Output 3 2 7 2 3" xfId="43205" xr:uid="{00000000-0005-0000-0000-0000C3A80000}"/>
    <cellStyle name="Output 3 2 7 2 3 2" xfId="43206" xr:uid="{00000000-0005-0000-0000-0000C4A80000}"/>
    <cellStyle name="Output 3 2 7 2 3 3" xfId="43207" xr:uid="{00000000-0005-0000-0000-0000C5A80000}"/>
    <cellStyle name="Output 3 2 7 2 3 4" xfId="43208" xr:uid="{00000000-0005-0000-0000-0000C6A80000}"/>
    <cellStyle name="Output 3 2 7 2 3 5" xfId="43209" xr:uid="{00000000-0005-0000-0000-0000C7A80000}"/>
    <cellStyle name="Output 3 2 7 2 4" xfId="43210" xr:uid="{00000000-0005-0000-0000-0000C8A80000}"/>
    <cellStyle name="Output 3 2 7 2 5" xfId="43211" xr:uid="{00000000-0005-0000-0000-0000C9A80000}"/>
    <cellStyle name="Output 3 2 7 2 6" xfId="43212" xr:uid="{00000000-0005-0000-0000-0000CAA80000}"/>
    <cellStyle name="Output 3 2 7 2 7" xfId="43213" xr:uid="{00000000-0005-0000-0000-0000CBA80000}"/>
    <cellStyle name="Output 3 2 7 3" xfId="43214" xr:uid="{00000000-0005-0000-0000-0000CCA80000}"/>
    <cellStyle name="Output 3 2 7 3 2" xfId="43215" xr:uid="{00000000-0005-0000-0000-0000CDA80000}"/>
    <cellStyle name="Output 3 2 7 3 2 2" xfId="43216" xr:uid="{00000000-0005-0000-0000-0000CEA80000}"/>
    <cellStyle name="Output 3 2 7 3 2 3" xfId="43217" xr:uid="{00000000-0005-0000-0000-0000CFA80000}"/>
    <cellStyle name="Output 3 2 7 3 2 4" xfId="43218" xr:uid="{00000000-0005-0000-0000-0000D0A80000}"/>
    <cellStyle name="Output 3 2 7 3 2 5" xfId="43219" xr:uid="{00000000-0005-0000-0000-0000D1A80000}"/>
    <cellStyle name="Output 3 2 7 3 2 6" xfId="43220" xr:uid="{00000000-0005-0000-0000-0000D2A80000}"/>
    <cellStyle name="Output 3 2 7 3 3" xfId="43221" xr:uid="{00000000-0005-0000-0000-0000D3A80000}"/>
    <cellStyle name="Output 3 2 7 3 4" xfId="43222" xr:uid="{00000000-0005-0000-0000-0000D4A80000}"/>
    <cellStyle name="Output 3 2 7 3 5" xfId="43223" xr:uid="{00000000-0005-0000-0000-0000D5A80000}"/>
    <cellStyle name="Output 3 2 7 3 6" xfId="43224" xr:uid="{00000000-0005-0000-0000-0000D6A80000}"/>
    <cellStyle name="Output 3 2 7 4" xfId="43225" xr:uid="{00000000-0005-0000-0000-0000D7A80000}"/>
    <cellStyle name="Output 3 2 7 4 2" xfId="43226" xr:uid="{00000000-0005-0000-0000-0000D8A80000}"/>
    <cellStyle name="Output 3 2 7 4 3" xfId="43227" xr:uid="{00000000-0005-0000-0000-0000D9A80000}"/>
    <cellStyle name="Output 3 2 7 4 4" xfId="43228" xr:uid="{00000000-0005-0000-0000-0000DAA80000}"/>
    <cellStyle name="Output 3 2 7 4 5" xfId="43229" xr:uid="{00000000-0005-0000-0000-0000DBA80000}"/>
    <cellStyle name="Output 3 2 7 4 6" xfId="43230" xr:uid="{00000000-0005-0000-0000-0000DCA80000}"/>
    <cellStyle name="Output 3 2 7 5" xfId="43231" xr:uid="{00000000-0005-0000-0000-0000DDA80000}"/>
    <cellStyle name="Output 3 2 7 5 2" xfId="43232" xr:uid="{00000000-0005-0000-0000-0000DEA80000}"/>
    <cellStyle name="Output 3 2 7 5 3" xfId="43233" xr:uid="{00000000-0005-0000-0000-0000DFA80000}"/>
    <cellStyle name="Output 3 2 7 5 4" xfId="43234" xr:uid="{00000000-0005-0000-0000-0000E0A80000}"/>
    <cellStyle name="Output 3 2 7 5 5" xfId="43235" xr:uid="{00000000-0005-0000-0000-0000E1A80000}"/>
    <cellStyle name="Output 3 2 7 6" xfId="43236" xr:uid="{00000000-0005-0000-0000-0000E2A80000}"/>
    <cellStyle name="Output 3 2 7 7" xfId="43237" xr:uid="{00000000-0005-0000-0000-0000E3A80000}"/>
    <cellStyle name="Output 3 2 7 8" xfId="43238" xr:uid="{00000000-0005-0000-0000-0000E4A80000}"/>
    <cellStyle name="Output 3 2 7 9" xfId="43239" xr:uid="{00000000-0005-0000-0000-0000E5A80000}"/>
    <cellStyle name="Output 3 2 8" xfId="43240" xr:uid="{00000000-0005-0000-0000-0000E6A80000}"/>
    <cellStyle name="Output 3 2 8 2" xfId="43241" xr:uid="{00000000-0005-0000-0000-0000E7A80000}"/>
    <cellStyle name="Output 3 2 8 2 2" xfId="43242" xr:uid="{00000000-0005-0000-0000-0000E8A80000}"/>
    <cellStyle name="Output 3 2 8 2 2 2" xfId="43243" xr:uid="{00000000-0005-0000-0000-0000E9A80000}"/>
    <cellStyle name="Output 3 2 8 2 2 3" xfId="43244" xr:uid="{00000000-0005-0000-0000-0000EAA80000}"/>
    <cellStyle name="Output 3 2 8 2 2 4" xfId="43245" xr:uid="{00000000-0005-0000-0000-0000EBA80000}"/>
    <cellStyle name="Output 3 2 8 2 2 5" xfId="43246" xr:uid="{00000000-0005-0000-0000-0000ECA80000}"/>
    <cellStyle name="Output 3 2 8 2 3" xfId="43247" xr:uid="{00000000-0005-0000-0000-0000EDA80000}"/>
    <cellStyle name="Output 3 2 8 2 4" xfId="43248" xr:uid="{00000000-0005-0000-0000-0000EEA80000}"/>
    <cellStyle name="Output 3 2 8 2 5" xfId="43249" xr:uid="{00000000-0005-0000-0000-0000EFA80000}"/>
    <cellStyle name="Output 3 2 8 2 6" xfId="43250" xr:uid="{00000000-0005-0000-0000-0000F0A80000}"/>
    <cellStyle name="Output 3 2 8 2 7" xfId="43251" xr:uid="{00000000-0005-0000-0000-0000F1A80000}"/>
    <cellStyle name="Output 3 2 8 3" xfId="43252" xr:uid="{00000000-0005-0000-0000-0000F2A80000}"/>
    <cellStyle name="Output 3 2 8 3 2" xfId="43253" xr:uid="{00000000-0005-0000-0000-0000F3A80000}"/>
    <cellStyle name="Output 3 2 8 3 3" xfId="43254" xr:uid="{00000000-0005-0000-0000-0000F4A80000}"/>
    <cellStyle name="Output 3 2 8 3 4" xfId="43255" xr:uid="{00000000-0005-0000-0000-0000F5A80000}"/>
    <cellStyle name="Output 3 2 8 3 5" xfId="43256" xr:uid="{00000000-0005-0000-0000-0000F6A80000}"/>
    <cellStyle name="Output 3 2 8 4" xfId="43257" xr:uid="{00000000-0005-0000-0000-0000F7A80000}"/>
    <cellStyle name="Output 3 2 8 5" xfId="43258" xr:uid="{00000000-0005-0000-0000-0000F8A80000}"/>
    <cellStyle name="Output 3 2 8 6" xfId="43259" xr:uid="{00000000-0005-0000-0000-0000F9A80000}"/>
    <cellStyle name="Output 3 2 8 7" xfId="43260" xr:uid="{00000000-0005-0000-0000-0000FAA80000}"/>
    <cellStyle name="Output 3 2 9" xfId="43261" xr:uid="{00000000-0005-0000-0000-0000FBA80000}"/>
    <cellStyle name="Output 3 2 9 2" xfId="43262" xr:uid="{00000000-0005-0000-0000-0000FCA80000}"/>
    <cellStyle name="Output 3 2 9 2 2" xfId="43263" xr:uid="{00000000-0005-0000-0000-0000FDA80000}"/>
    <cellStyle name="Output 3 2 9 2 2 2" xfId="43264" xr:uid="{00000000-0005-0000-0000-0000FEA80000}"/>
    <cellStyle name="Output 3 2 9 2 2 3" xfId="43265" xr:uid="{00000000-0005-0000-0000-0000FFA80000}"/>
    <cellStyle name="Output 3 2 9 2 2 4" xfId="43266" xr:uid="{00000000-0005-0000-0000-000000A90000}"/>
    <cellStyle name="Output 3 2 9 2 2 5" xfId="43267" xr:uid="{00000000-0005-0000-0000-000001A90000}"/>
    <cellStyle name="Output 3 2 9 2 3" xfId="43268" xr:uid="{00000000-0005-0000-0000-000002A90000}"/>
    <cellStyle name="Output 3 2 9 2 4" xfId="43269" xr:uid="{00000000-0005-0000-0000-000003A90000}"/>
    <cellStyle name="Output 3 2 9 2 5" xfId="43270" xr:uid="{00000000-0005-0000-0000-000004A90000}"/>
    <cellStyle name="Output 3 2 9 2 6" xfId="43271" xr:uid="{00000000-0005-0000-0000-000005A90000}"/>
    <cellStyle name="Output 3 2 9 2 7" xfId="43272" xr:uid="{00000000-0005-0000-0000-000006A90000}"/>
    <cellStyle name="Output 3 2 9 3" xfId="43273" xr:uid="{00000000-0005-0000-0000-000007A90000}"/>
    <cellStyle name="Output 3 2 9 3 2" xfId="43274" xr:uid="{00000000-0005-0000-0000-000008A90000}"/>
    <cellStyle name="Output 3 2 9 3 3" xfId="43275" xr:uid="{00000000-0005-0000-0000-000009A90000}"/>
    <cellStyle name="Output 3 2 9 3 4" xfId="43276" xr:uid="{00000000-0005-0000-0000-00000AA90000}"/>
    <cellStyle name="Output 3 2 9 3 5" xfId="43277" xr:uid="{00000000-0005-0000-0000-00000BA90000}"/>
    <cellStyle name="Output 3 2 9 4" xfId="43278" xr:uid="{00000000-0005-0000-0000-00000CA90000}"/>
    <cellStyle name="Output 3 2 9 5" xfId="43279" xr:uid="{00000000-0005-0000-0000-00000DA90000}"/>
    <cellStyle name="Output 3 2 9 6" xfId="43280" xr:uid="{00000000-0005-0000-0000-00000EA90000}"/>
    <cellStyle name="Output 3 2 9 7" xfId="43281" xr:uid="{00000000-0005-0000-0000-00000FA90000}"/>
    <cellStyle name="Output 3 20" xfId="43282" xr:uid="{00000000-0005-0000-0000-000010A90000}"/>
    <cellStyle name="Output 3 20 2" xfId="43283" xr:uid="{00000000-0005-0000-0000-000011A90000}"/>
    <cellStyle name="Output 3 20 2 2" xfId="43284" xr:uid="{00000000-0005-0000-0000-000012A90000}"/>
    <cellStyle name="Output 3 20 2 3" xfId="43285" xr:uid="{00000000-0005-0000-0000-000013A90000}"/>
    <cellStyle name="Output 3 20 2 4" xfId="43286" xr:uid="{00000000-0005-0000-0000-000014A90000}"/>
    <cellStyle name="Output 3 20 2 5" xfId="43287" xr:uid="{00000000-0005-0000-0000-000015A90000}"/>
    <cellStyle name="Output 3 20 3" xfId="43288" xr:uid="{00000000-0005-0000-0000-000016A90000}"/>
    <cellStyle name="Output 3 20 4" xfId="43289" xr:uid="{00000000-0005-0000-0000-000017A90000}"/>
    <cellStyle name="Output 3 20 5" xfId="43290" xr:uid="{00000000-0005-0000-0000-000018A90000}"/>
    <cellStyle name="Output 3 20 6" xfId="43291" xr:uid="{00000000-0005-0000-0000-000019A90000}"/>
    <cellStyle name="Output 3 21" xfId="43292" xr:uid="{00000000-0005-0000-0000-00001AA90000}"/>
    <cellStyle name="Output 3 21 2" xfId="43293" xr:uid="{00000000-0005-0000-0000-00001BA90000}"/>
    <cellStyle name="Output 3 21 2 2" xfId="43294" xr:uid="{00000000-0005-0000-0000-00001CA90000}"/>
    <cellStyle name="Output 3 21 2 3" xfId="43295" xr:uid="{00000000-0005-0000-0000-00001DA90000}"/>
    <cellStyle name="Output 3 21 2 4" xfId="43296" xr:uid="{00000000-0005-0000-0000-00001EA90000}"/>
    <cellStyle name="Output 3 21 2 5" xfId="43297" xr:uid="{00000000-0005-0000-0000-00001FA90000}"/>
    <cellStyle name="Output 3 21 3" xfId="43298" xr:uid="{00000000-0005-0000-0000-000020A90000}"/>
    <cellStyle name="Output 3 21 4" xfId="43299" xr:uid="{00000000-0005-0000-0000-000021A90000}"/>
    <cellStyle name="Output 3 21 5" xfId="43300" xr:uid="{00000000-0005-0000-0000-000022A90000}"/>
    <cellStyle name="Output 3 21 6" xfId="43301" xr:uid="{00000000-0005-0000-0000-000023A90000}"/>
    <cellStyle name="Output 3 22" xfId="43302" xr:uid="{00000000-0005-0000-0000-000024A90000}"/>
    <cellStyle name="Output 3 22 2" xfId="43303" xr:uid="{00000000-0005-0000-0000-000025A90000}"/>
    <cellStyle name="Output 3 22 2 2" xfId="43304" xr:uid="{00000000-0005-0000-0000-000026A90000}"/>
    <cellStyle name="Output 3 22 2 3" xfId="43305" xr:uid="{00000000-0005-0000-0000-000027A90000}"/>
    <cellStyle name="Output 3 22 2 4" xfId="43306" xr:uid="{00000000-0005-0000-0000-000028A90000}"/>
    <cellStyle name="Output 3 22 2 5" xfId="43307" xr:uid="{00000000-0005-0000-0000-000029A90000}"/>
    <cellStyle name="Output 3 22 3" xfId="43308" xr:uid="{00000000-0005-0000-0000-00002AA90000}"/>
    <cellStyle name="Output 3 22 4" xfId="43309" xr:uid="{00000000-0005-0000-0000-00002BA90000}"/>
    <cellStyle name="Output 3 22 5" xfId="43310" xr:uid="{00000000-0005-0000-0000-00002CA90000}"/>
    <cellStyle name="Output 3 22 6" xfId="43311" xr:uid="{00000000-0005-0000-0000-00002DA90000}"/>
    <cellStyle name="Output 3 23" xfId="43312" xr:uid="{00000000-0005-0000-0000-00002EA90000}"/>
    <cellStyle name="Output 3 23 2" xfId="43313" xr:uid="{00000000-0005-0000-0000-00002FA90000}"/>
    <cellStyle name="Output 3 23 2 2" xfId="43314" xr:uid="{00000000-0005-0000-0000-000030A90000}"/>
    <cellStyle name="Output 3 23 2 3" xfId="43315" xr:uid="{00000000-0005-0000-0000-000031A90000}"/>
    <cellStyle name="Output 3 23 2 4" xfId="43316" xr:uid="{00000000-0005-0000-0000-000032A90000}"/>
    <cellStyle name="Output 3 23 2 5" xfId="43317" xr:uid="{00000000-0005-0000-0000-000033A90000}"/>
    <cellStyle name="Output 3 23 3" xfId="43318" xr:uid="{00000000-0005-0000-0000-000034A90000}"/>
    <cellStyle name="Output 3 23 4" xfId="43319" xr:uid="{00000000-0005-0000-0000-000035A90000}"/>
    <cellStyle name="Output 3 23 5" xfId="43320" xr:uid="{00000000-0005-0000-0000-000036A90000}"/>
    <cellStyle name="Output 3 23 6" xfId="43321" xr:uid="{00000000-0005-0000-0000-000037A90000}"/>
    <cellStyle name="Output 3 24" xfId="43322" xr:uid="{00000000-0005-0000-0000-000038A90000}"/>
    <cellStyle name="Output 3 24 2" xfId="43323" xr:uid="{00000000-0005-0000-0000-000039A90000}"/>
    <cellStyle name="Output 3 24 2 2" xfId="43324" xr:uid="{00000000-0005-0000-0000-00003AA90000}"/>
    <cellStyle name="Output 3 24 2 3" xfId="43325" xr:uid="{00000000-0005-0000-0000-00003BA90000}"/>
    <cellStyle name="Output 3 24 2 4" xfId="43326" xr:uid="{00000000-0005-0000-0000-00003CA90000}"/>
    <cellStyle name="Output 3 24 2 5" xfId="43327" xr:uid="{00000000-0005-0000-0000-00003DA90000}"/>
    <cellStyle name="Output 3 24 3" xfId="43328" xr:uid="{00000000-0005-0000-0000-00003EA90000}"/>
    <cellStyle name="Output 3 24 4" xfId="43329" xr:uid="{00000000-0005-0000-0000-00003FA90000}"/>
    <cellStyle name="Output 3 24 5" xfId="43330" xr:uid="{00000000-0005-0000-0000-000040A90000}"/>
    <cellStyle name="Output 3 24 6" xfId="43331" xr:uid="{00000000-0005-0000-0000-000041A90000}"/>
    <cellStyle name="Output 3 25" xfId="43332" xr:uid="{00000000-0005-0000-0000-000042A90000}"/>
    <cellStyle name="Output 3 25 2" xfId="43333" xr:uid="{00000000-0005-0000-0000-000043A90000}"/>
    <cellStyle name="Output 3 25 2 2" xfId="43334" xr:uid="{00000000-0005-0000-0000-000044A90000}"/>
    <cellStyle name="Output 3 25 2 3" xfId="43335" xr:uid="{00000000-0005-0000-0000-000045A90000}"/>
    <cellStyle name="Output 3 25 2 4" xfId="43336" xr:uid="{00000000-0005-0000-0000-000046A90000}"/>
    <cellStyle name="Output 3 25 2 5" xfId="43337" xr:uid="{00000000-0005-0000-0000-000047A90000}"/>
    <cellStyle name="Output 3 25 3" xfId="43338" xr:uid="{00000000-0005-0000-0000-000048A90000}"/>
    <cellStyle name="Output 3 25 4" xfId="43339" xr:uid="{00000000-0005-0000-0000-000049A90000}"/>
    <cellStyle name="Output 3 25 5" xfId="43340" xr:uid="{00000000-0005-0000-0000-00004AA90000}"/>
    <cellStyle name="Output 3 25 6" xfId="43341" xr:uid="{00000000-0005-0000-0000-00004BA90000}"/>
    <cellStyle name="Output 3 26" xfId="43342" xr:uid="{00000000-0005-0000-0000-00004CA90000}"/>
    <cellStyle name="Output 3 26 2" xfId="43343" xr:uid="{00000000-0005-0000-0000-00004DA90000}"/>
    <cellStyle name="Output 3 26 2 2" xfId="43344" xr:uid="{00000000-0005-0000-0000-00004EA90000}"/>
    <cellStyle name="Output 3 26 2 3" xfId="43345" xr:uid="{00000000-0005-0000-0000-00004FA90000}"/>
    <cellStyle name="Output 3 26 2 4" xfId="43346" xr:uid="{00000000-0005-0000-0000-000050A90000}"/>
    <cellStyle name="Output 3 26 2 5" xfId="43347" xr:uid="{00000000-0005-0000-0000-000051A90000}"/>
    <cellStyle name="Output 3 26 3" xfId="43348" xr:uid="{00000000-0005-0000-0000-000052A90000}"/>
    <cellStyle name="Output 3 26 4" xfId="43349" xr:uid="{00000000-0005-0000-0000-000053A90000}"/>
    <cellStyle name="Output 3 26 5" xfId="43350" xr:uid="{00000000-0005-0000-0000-000054A90000}"/>
    <cellStyle name="Output 3 26 6" xfId="43351" xr:uid="{00000000-0005-0000-0000-000055A90000}"/>
    <cellStyle name="Output 3 27" xfId="43352" xr:uid="{00000000-0005-0000-0000-000056A90000}"/>
    <cellStyle name="Output 3 27 2" xfId="43353" xr:uid="{00000000-0005-0000-0000-000057A90000}"/>
    <cellStyle name="Output 3 27 2 2" xfId="43354" xr:uid="{00000000-0005-0000-0000-000058A90000}"/>
    <cellStyle name="Output 3 27 2 3" xfId="43355" xr:uid="{00000000-0005-0000-0000-000059A90000}"/>
    <cellStyle name="Output 3 27 2 4" xfId="43356" xr:uid="{00000000-0005-0000-0000-00005AA90000}"/>
    <cellStyle name="Output 3 27 2 5" xfId="43357" xr:uid="{00000000-0005-0000-0000-00005BA90000}"/>
    <cellStyle name="Output 3 27 3" xfId="43358" xr:uid="{00000000-0005-0000-0000-00005CA90000}"/>
    <cellStyle name="Output 3 27 4" xfId="43359" xr:uid="{00000000-0005-0000-0000-00005DA90000}"/>
    <cellStyle name="Output 3 27 5" xfId="43360" xr:uid="{00000000-0005-0000-0000-00005EA90000}"/>
    <cellStyle name="Output 3 27 6" xfId="43361" xr:uid="{00000000-0005-0000-0000-00005FA90000}"/>
    <cellStyle name="Output 3 28" xfId="43362" xr:uid="{00000000-0005-0000-0000-000060A90000}"/>
    <cellStyle name="Output 3 28 2" xfId="43363" xr:uid="{00000000-0005-0000-0000-000061A90000}"/>
    <cellStyle name="Output 3 28 2 2" xfId="43364" xr:uid="{00000000-0005-0000-0000-000062A90000}"/>
    <cellStyle name="Output 3 28 2 3" xfId="43365" xr:uid="{00000000-0005-0000-0000-000063A90000}"/>
    <cellStyle name="Output 3 28 2 4" xfId="43366" xr:uid="{00000000-0005-0000-0000-000064A90000}"/>
    <cellStyle name="Output 3 28 2 5" xfId="43367" xr:uid="{00000000-0005-0000-0000-000065A90000}"/>
    <cellStyle name="Output 3 28 3" xfId="43368" xr:uid="{00000000-0005-0000-0000-000066A90000}"/>
    <cellStyle name="Output 3 28 4" xfId="43369" xr:uid="{00000000-0005-0000-0000-000067A90000}"/>
    <cellStyle name="Output 3 28 5" xfId="43370" xr:uid="{00000000-0005-0000-0000-000068A90000}"/>
    <cellStyle name="Output 3 28 6" xfId="43371" xr:uid="{00000000-0005-0000-0000-000069A90000}"/>
    <cellStyle name="Output 3 29" xfId="43372" xr:uid="{00000000-0005-0000-0000-00006AA90000}"/>
    <cellStyle name="Output 3 29 2" xfId="43373" xr:uid="{00000000-0005-0000-0000-00006BA90000}"/>
    <cellStyle name="Output 3 29 2 2" xfId="43374" xr:uid="{00000000-0005-0000-0000-00006CA90000}"/>
    <cellStyle name="Output 3 29 2 3" xfId="43375" xr:uid="{00000000-0005-0000-0000-00006DA90000}"/>
    <cellStyle name="Output 3 29 2 4" xfId="43376" xr:uid="{00000000-0005-0000-0000-00006EA90000}"/>
    <cellStyle name="Output 3 29 2 5" xfId="43377" xr:uid="{00000000-0005-0000-0000-00006FA90000}"/>
    <cellStyle name="Output 3 29 3" xfId="43378" xr:uid="{00000000-0005-0000-0000-000070A90000}"/>
    <cellStyle name="Output 3 29 4" xfId="43379" xr:uid="{00000000-0005-0000-0000-000071A90000}"/>
    <cellStyle name="Output 3 29 5" xfId="43380" xr:uid="{00000000-0005-0000-0000-000072A90000}"/>
    <cellStyle name="Output 3 29 6" xfId="43381" xr:uid="{00000000-0005-0000-0000-000073A90000}"/>
    <cellStyle name="Output 3 3" xfId="43382" xr:uid="{00000000-0005-0000-0000-000074A90000}"/>
    <cellStyle name="Output 3 3 10" xfId="43383" xr:uid="{00000000-0005-0000-0000-000075A90000}"/>
    <cellStyle name="Output 3 3 10 2" xfId="43384" xr:uid="{00000000-0005-0000-0000-000076A90000}"/>
    <cellStyle name="Output 3 3 10 2 2" xfId="43385" xr:uid="{00000000-0005-0000-0000-000077A90000}"/>
    <cellStyle name="Output 3 3 10 2 3" xfId="43386" xr:uid="{00000000-0005-0000-0000-000078A90000}"/>
    <cellStyle name="Output 3 3 10 2 4" xfId="43387" xr:uid="{00000000-0005-0000-0000-000079A90000}"/>
    <cellStyle name="Output 3 3 10 2 5" xfId="43388" xr:uid="{00000000-0005-0000-0000-00007AA90000}"/>
    <cellStyle name="Output 3 3 10 3" xfId="43389" xr:uid="{00000000-0005-0000-0000-00007BA90000}"/>
    <cellStyle name="Output 3 3 10 4" xfId="43390" xr:uid="{00000000-0005-0000-0000-00007CA90000}"/>
    <cellStyle name="Output 3 3 10 5" xfId="43391" xr:uid="{00000000-0005-0000-0000-00007DA90000}"/>
    <cellStyle name="Output 3 3 10 6" xfId="43392" xr:uid="{00000000-0005-0000-0000-00007EA90000}"/>
    <cellStyle name="Output 3 3 11" xfId="43393" xr:uid="{00000000-0005-0000-0000-00007FA90000}"/>
    <cellStyle name="Output 3 3 11 2" xfId="43394" xr:uid="{00000000-0005-0000-0000-000080A90000}"/>
    <cellStyle name="Output 3 3 11 2 2" xfId="43395" xr:uid="{00000000-0005-0000-0000-000081A90000}"/>
    <cellStyle name="Output 3 3 11 2 3" xfId="43396" xr:uid="{00000000-0005-0000-0000-000082A90000}"/>
    <cellStyle name="Output 3 3 11 2 4" xfId="43397" xr:uid="{00000000-0005-0000-0000-000083A90000}"/>
    <cellStyle name="Output 3 3 11 2 5" xfId="43398" xr:uid="{00000000-0005-0000-0000-000084A90000}"/>
    <cellStyle name="Output 3 3 11 3" xfId="43399" xr:uid="{00000000-0005-0000-0000-000085A90000}"/>
    <cellStyle name="Output 3 3 11 4" xfId="43400" xr:uid="{00000000-0005-0000-0000-000086A90000}"/>
    <cellStyle name="Output 3 3 11 5" xfId="43401" xr:uid="{00000000-0005-0000-0000-000087A90000}"/>
    <cellStyle name="Output 3 3 11 6" xfId="43402" xr:uid="{00000000-0005-0000-0000-000088A90000}"/>
    <cellStyle name="Output 3 3 12" xfId="43403" xr:uid="{00000000-0005-0000-0000-000089A90000}"/>
    <cellStyle name="Output 3 3 12 2" xfId="43404" xr:uid="{00000000-0005-0000-0000-00008AA90000}"/>
    <cellStyle name="Output 3 3 12 2 2" xfId="43405" xr:uid="{00000000-0005-0000-0000-00008BA90000}"/>
    <cellStyle name="Output 3 3 12 2 3" xfId="43406" xr:uid="{00000000-0005-0000-0000-00008CA90000}"/>
    <cellStyle name="Output 3 3 12 2 4" xfId="43407" xr:uid="{00000000-0005-0000-0000-00008DA90000}"/>
    <cellStyle name="Output 3 3 12 2 5" xfId="43408" xr:uid="{00000000-0005-0000-0000-00008EA90000}"/>
    <cellStyle name="Output 3 3 12 3" xfId="43409" xr:uid="{00000000-0005-0000-0000-00008FA90000}"/>
    <cellStyle name="Output 3 3 12 4" xfId="43410" xr:uid="{00000000-0005-0000-0000-000090A90000}"/>
    <cellStyle name="Output 3 3 12 5" xfId="43411" xr:uid="{00000000-0005-0000-0000-000091A90000}"/>
    <cellStyle name="Output 3 3 12 6" xfId="43412" xr:uid="{00000000-0005-0000-0000-000092A90000}"/>
    <cellStyle name="Output 3 3 13" xfId="43413" xr:uid="{00000000-0005-0000-0000-000093A90000}"/>
    <cellStyle name="Output 3 3 13 2" xfId="43414" xr:uid="{00000000-0005-0000-0000-000094A90000}"/>
    <cellStyle name="Output 3 3 13 2 2" xfId="43415" xr:uid="{00000000-0005-0000-0000-000095A90000}"/>
    <cellStyle name="Output 3 3 13 2 3" xfId="43416" xr:uid="{00000000-0005-0000-0000-000096A90000}"/>
    <cellStyle name="Output 3 3 13 2 4" xfId="43417" xr:uid="{00000000-0005-0000-0000-000097A90000}"/>
    <cellStyle name="Output 3 3 13 2 5" xfId="43418" xr:uid="{00000000-0005-0000-0000-000098A90000}"/>
    <cellStyle name="Output 3 3 13 3" xfId="43419" xr:uid="{00000000-0005-0000-0000-000099A90000}"/>
    <cellStyle name="Output 3 3 13 4" xfId="43420" xr:uid="{00000000-0005-0000-0000-00009AA90000}"/>
    <cellStyle name="Output 3 3 13 5" xfId="43421" xr:uid="{00000000-0005-0000-0000-00009BA90000}"/>
    <cellStyle name="Output 3 3 13 6" xfId="43422" xr:uid="{00000000-0005-0000-0000-00009CA90000}"/>
    <cellStyle name="Output 3 3 14" xfId="43423" xr:uid="{00000000-0005-0000-0000-00009DA90000}"/>
    <cellStyle name="Output 3 3 14 2" xfId="43424" xr:uid="{00000000-0005-0000-0000-00009EA90000}"/>
    <cellStyle name="Output 3 3 14 2 2" xfId="43425" xr:uid="{00000000-0005-0000-0000-00009FA90000}"/>
    <cellStyle name="Output 3 3 14 2 3" xfId="43426" xr:uid="{00000000-0005-0000-0000-0000A0A90000}"/>
    <cellStyle name="Output 3 3 14 2 4" xfId="43427" xr:uid="{00000000-0005-0000-0000-0000A1A90000}"/>
    <cellStyle name="Output 3 3 14 2 5" xfId="43428" xr:uid="{00000000-0005-0000-0000-0000A2A90000}"/>
    <cellStyle name="Output 3 3 14 3" xfId="43429" xr:uid="{00000000-0005-0000-0000-0000A3A90000}"/>
    <cellStyle name="Output 3 3 14 4" xfId="43430" xr:uid="{00000000-0005-0000-0000-0000A4A90000}"/>
    <cellStyle name="Output 3 3 14 5" xfId="43431" xr:uid="{00000000-0005-0000-0000-0000A5A90000}"/>
    <cellStyle name="Output 3 3 14 6" xfId="43432" xr:uid="{00000000-0005-0000-0000-0000A6A90000}"/>
    <cellStyle name="Output 3 3 15" xfId="43433" xr:uid="{00000000-0005-0000-0000-0000A7A90000}"/>
    <cellStyle name="Output 3 3 15 2" xfId="43434" xr:uid="{00000000-0005-0000-0000-0000A8A90000}"/>
    <cellStyle name="Output 3 3 15 2 2" xfId="43435" xr:uid="{00000000-0005-0000-0000-0000A9A90000}"/>
    <cellStyle name="Output 3 3 15 2 3" xfId="43436" xr:uid="{00000000-0005-0000-0000-0000AAA90000}"/>
    <cellStyle name="Output 3 3 15 2 4" xfId="43437" xr:uid="{00000000-0005-0000-0000-0000ABA90000}"/>
    <cellStyle name="Output 3 3 15 2 5" xfId="43438" xr:uid="{00000000-0005-0000-0000-0000ACA90000}"/>
    <cellStyle name="Output 3 3 15 3" xfId="43439" xr:uid="{00000000-0005-0000-0000-0000ADA90000}"/>
    <cellStyle name="Output 3 3 15 4" xfId="43440" xr:uid="{00000000-0005-0000-0000-0000AEA90000}"/>
    <cellStyle name="Output 3 3 15 5" xfId="43441" xr:uid="{00000000-0005-0000-0000-0000AFA90000}"/>
    <cellStyle name="Output 3 3 15 6" xfId="43442" xr:uid="{00000000-0005-0000-0000-0000B0A90000}"/>
    <cellStyle name="Output 3 3 16" xfId="43443" xr:uid="{00000000-0005-0000-0000-0000B1A90000}"/>
    <cellStyle name="Output 3 3 16 2" xfId="43444" xr:uid="{00000000-0005-0000-0000-0000B2A90000}"/>
    <cellStyle name="Output 3 3 16 2 2" xfId="43445" xr:uid="{00000000-0005-0000-0000-0000B3A90000}"/>
    <cellStyle name="Output 3 3 16 2 3" xfId="43446" xr:uid="{00000000-0005-0000-0000-0000B4A90000}"/>
    <cellStyle name="Output 3 3 16 2 4" xfId="43447" xr:uid="{00000000-0005-0000-0000-0000B5A90000}"/>
    <cellStyle name="Output 3 3 16 2 5" xfId="43448" xr:uid="{00000000-0005-0000-0000-0000B6A90000}"/>
    <cellStyle name="Output 3 3 16 3" xfId="43449" xr:uid="{00000000-0005-0000-0000-0000B7A90000}"/>
    <cellStyle name="Output 3 3 16 4" xfId="43450" xr:uid="{00000000-0005-0000-0000-0000B8A90000}"/>
    <cellStyle name="Output 3 3 16 5" xfId="43451" xr:uid="{00000000-0005-0000-0000-0000B9A90000}"/>
    <cellStyle name="Output 3 3 16 6" xfId="43452" xr:uid="{00000000-0005-0000-0000-0000BAA90000}"/>
    <cellStyle name="Output 3 3 17" xfId="43453" xr:uid="{00000000-0005-0000-0000-0000BBA90000}"/>
    <cellStyle name="Output 3 3 17 2" xfId="43454" xr:uid="{00000000-0005-0000-0000-0000BCA90000}"/>
    <cellStyle name="Output 3 3 17 2 2" xfId="43455" xr:uid="{00000000-0005-0000-0000-0000BDA90000}"/>
    <cellStyle name="Output 3 3 17 2 3" xfId="43456" xr:uid="{00000000-0005-0000-0000-0000BEA90000}"/>
    <cellStyle name="Output 3 3 17 2 4" xfId="43457" xr:uid="{00000000-0005-0000-0000-0000BFA90000}"/>
    <cellStyle name="Output 3 3 17 2 5" xfId="43458" xr:uid="{00000000-0005-0000-0000-0000C0A90000}"/>
    <cellStyle name="Output 3 3 17 3" xfId="43459" xr:uid="{00000000-0005-0000-0000-0000C1A90000}"/>
    <cellStyle name="Output 3 3 17 4" xfId="43460" xr:uid="{00000000-0005-0000-0000-0000C2A90000}"/>
    <cellStyle name="Output 3 3 17 5" xfId="43461" xr:uid="{00000000-0005-0000-0000-0000C3A90000}"/>
    <cellStyle name="Output 3 3 17 6" xfId="43462" xr:uid="{00000000-0005-0000-0000-0000C4A90000}"/>
    <cellStyle name="Output 3 3 18" xfId="43463" xr:uid="{00000000-0005-0000-0000-0000C5A90000}"/>
    <cellStyle name="Output 3 3 18 2" xfId="43464" xr:uid="{00000000-0005-0000-0000-0000C6A90000}"/>
    <cellStyle name="Output 3 3 18 2 2" xfId="43465" xr:uid="{00000000-0005-0000-0000-0000C7A90000}"/>
    <cellStyle name="Output 3 3 18 2 3" xfId="43466" xr:uid="{00000000-0005-0000-0000-0000C8A90000}"/>
    <cellStyle name="Output 3 3 18 2 4" xfId="43467" xr:uid="{00000000-0005-0000-0000-0000C9A90000}"/>
    <cellStyle name="Output 3 3 18 2 5" xfId="43468" xr:uid="{00000000-0005-0000-0000-0000CAA90000}"/>
    <cellStyle name="Output 3 3 18 3" xfId="43469" xr:uid="{00000000-0005-0000-0000-0000CBA90000}"/>
    <cellStyle name="Output 3 3 18 4" xfId="43470" xr:uid="{00000000-0005-0000-0000-0000CCA90000}"/>
    <cellStyle name="Output 3 3 18 5" xfId="43471" xr:uid="{00000000-0005-0000-0000-0000CDA90000}"/>
    <cellStyle name="Output 3 3 18 6" xfId="43472" xr:uid="{00000000-0005-0000-0000-0000CEA90000}"/>
    <cellStyle name="Output 3 3 19" xfId="43473" xr:uid="{00000000-0005-0000-0000-0000CFA90000}"/>
    <cellStyle name="Output 3 3 19 2" xfId="43474" xr:uid="{00000000-0005-0000-0000-0000D0A90000}"/>
    <cellStyle name="Output 3 3 19 2 2" xfId="43475" xr:uid="{00000000-0005-0000-0000-0000D1A90000}"/>
    <cellStyle name="Output 3 3 19 2 3" xfId="43476" xr:uid="{00000000-0005-0000-0000-0000D2A90000}"/>
    <cellStyle name="Output 3 3 19 2 4" xfId="43477" xr:uid="{00000000-0005-0000-0000-0000D3A90000}"/>
    <cellStyle name="Output 3 3 19 2 5" xfId="43478" xr:uid="{00000000-0005-0000-0000-0000D4A90000}"/>
    <cellStyle name="Output 3 3 19 3" xfId="43479" xr:uid="{00000000-0005-0000-0000-0000D5A90000}"/>
    <cellStyle name="Output 3 3 19 4" xfId="43480" xr:uid="{00000000-0005-0000-0000-0000D6A90000}"/>
    <cellStyle name="Output 3 3 19 5" xfId="43481" xr:uid="{00000000-0005-0000-0000-0000D7A90000}"/>
    <cellStyle name="Output 3 3 19 6" xfId="43482" xr:uid="{00000000-0005-0000-0000-0000D8A90000}"/>
    <cellStyle name="Output 3 3 2" xfId="43483" xr:uid="{00000000-0005-0000-0000-0000D9A90000}"/>
    <cellStyle name="Output 3 3 2 2" xfId="43484" xr:uid="{00000000-0005-0000-0000-0000DAA90000}"/>
    <cellStyle name="Output 3 3 2 2 2" xfId="43485" xr:uid="{00000000-0005-0000-0000-0000DBA90000}"/>
    <cellStyle name="Output 3 3 2 2 3" xfId="43486" xr:uid="{00000000-0005-0000-0000-0000DCA90000}"/>
    <cellStyle name="Output 3 3 2 2 4" xfId="43487" xr:uid="{00000000-0005-0000-0000-0000DDA90000}"/>
    <cellStyle name="Output 3 3 2 2 5" xfId="43488" xr:uid="{00000000-0005-0000-0000-0000DEA90000}"/>
    <cellStyle name="Output 3 3 2 3" xfId="43489" xr:uid="{00000000-0005-0000-0000-0000DFA90000}"/>
    <cellStyle name="Output 3 3 2 4" xfId="43490" xr:uid="{00000000-0005-0000-0000-0000E0A90000}"/>
    <cellStyle name="Output 3 3 2 5" xfId="43491" xr:uid="{00000000-0005-0000-0000-0000E1A90000}"/>
    <cellStyle name="Output 3 3 2 6" xfId="43492" xr:uid="{00000000-0005-0000-0000-0000E2A90000}"/>
    <cellStyle name="Output 3 3 20" xfId="43493" xr:uid="{00000000-0005-0000-0000-0000E3A90000}"/>
    <cellStyle name="Output 3 3 20 2" xfId="43494" xr:uid="{00000000-0005-0000-0000-0000E4A90000}"/>
    <cellStyle name="Output 3 3 20 2 2" xfId="43495" xr:uid="{00000000-0005-0000-0000-0000E5A90000}"/>
    <cellStyle name="Output 3 3 20 2 3" xfId="43496" xr:uid="{00000000-0005-0000-0000-0000E6A90000}"/>
    <cellStyle name="Output 3 3 20 2 4" xfId="43497" xr:uid="{00000000-0005-0000-0000-0000E7A90000}"/>
    <cellStyle name="Output 3 3 20 2 5" xfId="43498" xr:uid="{00000000-0005-0000-0000-0000E8A90000}"/>
    <cellStyle name="Output 3 3 20 3" xfId="43499" xr:uid="{00000000-0005-0000-0000-0000E9A90000}"/>
    <cellStyle name="Output 3 3 20 4" xfId="43500" xr:uid="{00000000-0005-0000-0000-0000EAA90000}"/>
    <cellStyle name="Output 3 3 20 5" xfId="43501" xr:uid="{00000000-0005-0000-0000-0000EBA90000}"/>
    <cellStyle name="Output 3 3 20 6" xfId="43502" xr:uid="{00000000-0005-0000-0000-0000ECA90000}"/>
    <cellStyle name="Output 3 3 21" xfId="43503" xr:uid="{00000000-0005-0000-0000-0000EDA90000}"/>
    <cellStyle name="Output 3 3 21 2" xfId="43504" xr:uid="{00000000-0005-0000-0000-0000EEA90000}"/>
    <cellStyle name="Output 3 3 21 2 2" xfId="43505" xr:uid="{00000000-0005-0000-0000-0000EFA90000}"/>
    <cellStyle name="Output 3 3 21 2 3" xfId="43506" xr:uid="{00000000-0005-0000-0000-0000F0A90000}"/>
    <cellStyle name="Output 3 3 21 2 4" xfId="43507" xr:uid="{00000000-0005-0000-0000-0000F1A90000}"/>
    <cellStyle name="Output 3 3 21 2 5" xfId="43508" xr:uid="{00000000-0005-0000-0000-0000F2A90000}"/>
    <cellStyle name="Output 3 3 21 3" xfId="43509" xr:uid="{00000000-0005-0000-0000-0000F3A90000}"/>
    <cellStyle name="Output 3 3 21 4" xfId="43510" xr:uid="{00000000-0005-0000-0000-0000F4A90000}"/>
    <cellStyle name="Output 3 3 21 5" xfId="43511" xr:uid="{00000000-0005-0000-0000-0000F5A90000}"/>
    <cellStyle name="Output 3 3 21 6" xfId="43512" xr:uid="{00000000-0005-0000-0000-0000F6A90000}"/>
    <cellStyle name="Output 3 3 22" xfId="43513" xr:uid="{00000000-0005-0000-0000-0000F7A90000}"/>
    <cellStyle name="Output 3 3 22 2" xfId="43514" xr:uid="{00000000-0005-0000-0000-0000F8A90000}"/>
    <cellStyle name="Output 3 3 22 2 2" xfId="43515" xr:uid="{00000000-0005-0000-0000-0000F9A90000}"/>
    <cellStyle name="Output 3 3 22 2 3" xfId="43516" xr:uid="{00000000-0005-0000-0000-0000FAA90000}"/>
    <cellStyle name="Output 3 3 22 2 4" xfId="43517" xr:uid="{00000000-0005-0000-0000-0000FBA90000}"/>
    <cellStyle name="Output 3 3 22 2 5" xfId="43518" xr:uid="{00000000-0005-0000-0000-0000FCA90000}"/>
    <cellStyle name="Output 3 3 22 3" xfId="43519" xr:uid="{00000000-0005-0000-0000-0000FDA90000}"/>
    <cellStyle name="Output 3 3 22 4" xfId="43520" xr:uid="{00000000-0005-0000-0000-0000FEA90000}"/>
    <cellStyle name="Output 3 3 22 5" xfId="43521" xr:uid="{00000000-0005-0000-0000-0000FFA90000}"/>
    <cellStyle name="Output 3 3 22 6" xfId="43522" xr:uid="{00000000-0005-0000-0000-000000AA0000}"/>
    <cellStyle name="Output 3 3 23" xfId="43523" xr:uid="{00000000-0005-0000-0000-000001AA0000}"/>
    <cellStyle name="Output 3 3 23 2" xfId="43524" xr:uid="{00000000-0005-0000-0000-000002AA0000}"/>
    <cellStyle name="Output 3 3 23 2 2" xfId="43525" xr:uid="{00000000-0005-0000-0000-000003AA0000}"/>
    <cellStyle name="Output 3 3 23 2 3" xfId="43526" xr:uid="{00000000-0005-0000-0000-000004AA0000}"/>
    <cellStyle name="Output 3 3 23 2 4" xfId="43527" xr:uid="{00000000-0005-0000-0000-000005AA0000}"/>
    <cellStyle name="Output 3 3 23 2 5" xfId="43528" xr:uid="{00000000-0005-0000-0000-000006AA0000}"/>
    <cellStyle name="Output 3 3 23 3" xfId="43529" xr:uid="{00000000-0005-0000-0000-000007AA0000}"/>
    <cellStyle name="Output 3 3 23 4" xfId="43530" xr:uid="{00000000-0005-0000-0000-000008AA0000}"/>
    <cellStyle name="Output 3 3 23 5" xfId="43531" xr:uid="{00000000-0005-0000-0000-000009AA0000}"/>
    <cellStyle name="Output 3 3 23 6" xfId="43532" xr:uid="{00000000-0005-0000-0000-00000AAA0000}"/>
    <cellStyle name="Output 3 3 24" xfId="43533" xr:uid="{00000000-0005-0000-0000-00000BAA0000}"/>
    <cellStyle name="Output 3 3 24 2" xfId="43534" xr:uid="{00000000-0005-0000-0000-00000CAA0000}"/>
    <cellStyle name="Output 3 3 24 2 2" xfId="43535" xr:uid="{00000000-0005-0000-0000-00000DAA0000}"/>
    <cellStyle name="Output 3 3 24 2 3" xfId="43536" xr:uid="{00000000-0005-0000-0000-00000EAA0000}"/>
    <cellStyle name="Output 3 3 24 2 4" xfId="43537" xr:uid="{00000000-0005-0000-0000-00000FAA0000}"/>
    <cellStyle name="Output 3 3 24 2 5" xfId="43538" xr:uid="{00000000-0005-0000-0000-000010AA0000}"/>
    <cellStyle name="Output 3 3 24 3" xfId="43539" xr:uid="{00000000-0005-0000-0000-000011AA0000}"/>
    <cellStyle name="Output 3 3 24 4" xfId="43540" xr:uid="{00000000-0005-0000-0000-000012AA0000}"/>
    <cellStyle name="Output 3 3 24 5" xfId="43541" xr:uid="{00000000-0005-0000-0000-000013AA0000}"/>
    <cellStyle name="Output 3 3 24 6" xfId="43542" xr:uid="{00000000-0005-0000-0000-000014AA0000}"/>
    <cellStyle name="Output 3 3 25" xfId="43543" xr:uid="{00000000-0005-0000-0000-000015AA0000}"/>
    <cellStyle name="Output 3 3 25 2" xfId="43544" xr:uid="{00000000-0005-0000-0000-000016AA0000}"/>
    <cellStyle name="Output 3 3 25 2 2" xfId="43545" xr:uid="{00000000-0005-0000-0000-000017AA0000}"/>
    <cellStyle name="Output 3 3 25 2 3" xfId="43546" xr:uid="{00000000-0005-0000-0000-000018AA0000}"/>
    <cellStyle name="Output 3 3 25 2 4" xfId="43547" xr:uid="{00000000-0005-0000-0000-000019AA0000}"/>
    <cellStyle name="Output 3 3 25 2 5" xfId="43548" xr:uid="{00000000-0005-0000-0000-00001AAA0000}"/>
    <cellStyle name="Output 3 3 25 3" xfId="43549" xr:uid="{00000000-0005-0000-0000-00001BAA0000}"/>
    <cellStyle name="Output 3 3 25 4" xfId="43550" xr:uid="{00000000-0005-0000-0000-00001CAA0000}"/>
    <cellStyle name="Output 3 3 25 5" xfId="43551" xr:uid="{00000000-0005-0000-0000-00001DAA0000}"/>
    <cellStyle name="Output 3 3 25 6" xfId="43552" xr:uid="{00000000-0005-0000-0000-00001EAA0000}"/>
    <cellStyle name="Output 3 3 26" xfId="43553" xr:uid="{00000000-0005-0000-0000-00001FAA0000}"/>
    <cellStyle name="Output 3 3 26 2" xfId="43554" xr:uid="{00000000-0005-0000-0000-000020AA0000}"/>
    <cellStyle name="Output 3 3 26 2 2" xfId="43555" xr:uid="{00000000-0005-0000-0000-000021AA0000}"/>
    <cellStyle name="Output 3 3 26 2 3" xfId="43556" xr:uid="{00000000-0005-0000-0000-000022AA0000}"/>
    <cellStyle name="Output 3 3 26 2 4" xfId="43557" xr:uid="{00000000-0005-0000-0000-000023AA0000}"/>
    <cellStyle name="Output 3 3 26 2 5" xfId="43558" xr:uid="{00000000-0005-0000-0000-000024AA0000}"/>
    <cellStyle name="Output 3 3 26 3" xfId="43559" xr:uid="{00000000-0005-0000-0000-000025AA0000}"/>
    <cellStyle name="Output 3 3 26 4" xfId="43560" xr:uid="{00000000-0005-0000-0000-000026AA0000}"/>
    <cellStyle name="Output 3 3 26 5" xfId="43561" xr:uid="{00000000-0005-0000-0000-000027AA0000}"/>
    <cellStyle name="Output 3 3 26 6" xfId="43562" xr:uid="{00000000-0005-0000-0000-000028AA0000}"/>
    <cellStyle name="Output 3 3 27" xfId="43563" xr:uid="{00000000-0005-0000-0000-000029AA0000}"/>
    <cellStyle name="Output 3 3 27 2" xfId="43564" xr:uid="{00000000-0005-0000-0000-00002AAA0000}"/>
    <cellStyle name="Output 3 3 27 2 2" xfId="43565" xr:uid="{00000000-0005-0000-0000-00002BAA0000}"/>
    <cellStyle name="Output 3 3 27 2 3" xfId="43566" xr:uid="{00000000-0005-0000-0000-00002CAA0000}"/>
    <cellStyle name="Output 3 3 27 2 4" xfId="43567" xr:uid="{00000000-0005-0000-0000-00002DAA0000}"/>
    <cellStyle name="Output 3 3 27 2 5" xfId="43568" xr:uid="{00000000-0005-0000-0000-00002EAA0000}"/>
    <cellStyle name="Output 3 3 27 3" xfId="43569" xr:uid="{00000000-0005-0000-0000-00002FAA0000}"/>
    <cellStyle name="Output 3 3 27 4" xfId="43570" xr:uid="{00000000-0005-0000-0000-000030AA0000}"/>
    <cellStyle name="Output 3 3 27 5" xfId="43571" xr:uid="{00000000-0005-0000-0000-000031AA0000}"/>
    <cellStyle name="Output 3 3 27 6" xfId="43572" xr:uid="{00000000-0005-0000-0000-000032AA0000}"/>
    <cellStyle name="Output 3 3 28" xfId="43573" xr:uid="{00000000-0005-0000-0000-000033AA0000}"/>
    <cellStyle name="Output 3 3 28 2" xfId="43574" xr:uid="{00000000-0005-0000-0000-000034AA0000}"/>
    <cellStyle name="Output 3 3 28 2 2" xfId="43575" xr:uid="{00000000-0005-0000-0000-000035AA0000}"/>
    <cellStyle name="Output 3 3 28 2 3" xfId="43576" xr:uid="{00000000-0005-0000-0000-000036AA0000}"/>
    <cellStyle name="Output 3 3 28 2 4" xfId="43577" xr:uid="{00000000-0005-0000-0000-000037AA0000}"/>
    <cellStyle name="Output 3 3 28 2 5" xfId="43578" xr:uid="{00000000-0005-0000-0000-000038AA0000}"/>
    <cellStyle name="Output 3 3 28 3" xfId="43579" xr:uid="{00000000-0005-0000-0000-000039AA0000}"/>
    <cellStyle name="Output 3 3 28 4" xfId="43580" xr:uid="{00000000-0005-0000-0000-00003AAA0000}"/>
    <cellStyle name="Output 3 3 28 5" xfId="43581" xr:uid="{00000000-0005-0000-0000-00003BAA0000}"/>
    <cellStyle name="Output 3 3 28 6" xfId="43582" xr:uid="{00000000-0005-0000-0000-00003CAA0000}"/>
    <cellStyle name="Output 3 3 29" xfId="43583" xr:uid="{00000000-0005-0000-0000-00003DAA0000}"/>
    <cellStyle name="Output 3 3 29 2" xfId="43584" xr:uid="{00000000-0005-0000-0000-00003EAA0000}"/>
    <cellStyle name="Output 3 3 29 2 2" xfId="43585" xr:uid="{00000000-0005-0000-0000-00003FAA0000}"/>
    <cellStyle name="Output 3 3 29 2 3" xfId="43586" xr:uid="{00000000-0005-0000-0000-000040AA0000}"/>
    <cellStyle name="Output 3 3 29 2 4" xfId="43587" xr:uid="{00000000-0005-0000-0000-000041AA0000}"/>
    <cellStyle name="Output 3 3 29 2 5" xfId="43588" xr:uid="{00000000-0005-0000-0000-000042AA0000}"/>
    <cellStyle name="Output 3 3 29 3" xfId="43589" xr:uid="{00000000-0005-0000-0000-000043AA0000}"/>
    <cellStyle name="Output 3 3 29 4" xfId="43590" xr:uid="{00000000-0005-0000-0000-000044AA0000}"/>
    <cellStyle name="Output 3 3 29 5" xfId="43591" xr:uid="{00000000-0005-0000-0000-000045AA0000}"/>
    <cellStyle name="Output 3 3 29 6" xfId="43592" xr:uid="{00000000-0005-0000-0000-000046AA0000}"/>
    <cellStyle name="Output 3 3 3" xfId="43593" xr:uid="{00000000-0005-0000-0000-000047AA0000}"/>
    <cellStyle name="Output 3 3 3 2" xfId="43594" xr:uid="{00000000-0005-0000-0000-000048AA0000}"/>
    <cellStyle name="Output 3 3 3 2 2" xfId="43595" xr:uid="{00000000-0005-0000-0000-000049AA0000}"/>
    <cellStyle name="Output 3 3 3 2 3" xfId="43596" xr:uid="{00000000-0005-0000-0000-00004AAA0000}"/>
    <cellStyle name="Output 3 3 3 2 4" xfId="43597" xr:uid="{00000000-0005-0000-0000-00004BAA0000}"/>
    <cellStyle name="Output 3 3 3 2 5" xfId="43598" xr:uid="{00000000-0005-0000-0000-00004CAA0000}"/>
    <cellStyle name="Output 3 3 3 3" xfId="43599" xr:uid="{00000000-0005-0000-0000-00004DAA0000}"/>
    <cellStyle name="Output 3 3 3 4" xfId="43600" xr:uid="{00000000-0005-0000-0000-00004EAA0000}"/>
    <cellStyle name="Output 3 3 3 5" xfId="43601" xr:uid="{00000000-0005-0000-0000-00004FAA0000}"/>
    <cellStyle name="Output 3 3 3 6" xfId="43602" xr:uid="{00000000-0005-0000-0000-000050AA0000}"/>
    <cellStyle name="Output 3 3 30" xfId="43603" xr:uid="{00000000-0005-0000-0000-000051AA0000}"/>
    <cellStyle name="Output 3 3 30 2" xfId="43604" xr:uid="{00000000-0005-0000-0000-000052AA0000}"/>
    <cellStyle name="Output 3 3 30 2 2" xfId="43605" xr:uid="{00000000-0005-0000-0000-000053AA0000}"/>
    <cellStyle name="Output 3 3 30 2 3" xfId="43606" xr:uid="{00000000-0005-0000-0000-000054AA0000}"/>
    <cellStyle name="Output 3 3 30 2 4" xfId="43607" xr:uid="{00000000-0005-0000-0000-000055AA0000}"/>
    <cellStyle name="Output 3 3 30 2 5" xfId="43608" xr:uid="{00000000-0005-0000-0000-000056AA0000}"/>
    <cellStyle name="Output 3 3 30 3" xfId="43609" xr:uid="{00000000-0005-0000-0000-000057AA0000}"/>
    <cellStyle name="Output 3 3 30 4" xfId="43610" xr:uid="{00000000-0005-0000-0000-000058AA0000}"/>
    <cellStyle name="Output 3 3 30 5" xfId="43611" xr:uid="{00000000-0005-0000-0000-000059AA0000}"/>
    <cellStyle name="Output 3 3 30 6" xfId="43612" xr:uid="{00000000-0005-0000-0000-00005AAA0000}"/>
    <cellStyle name="Output 3 3 31" xfId="43613" xr:uid="{00000000-0005-0000-0000-00005BAA0000}"/>
    <cellStyle name="Output 3 3 31 2" xfId="43614" xr:uid="{00000000-0005-0000-0000-00005CAA0000}"/>
    <cellStyle name="Output 3 3 31 2 2" xfId="43615" xr:uid="{00000000-0005-0000-0000-00005DAA0000}"/>
    <cellStyle name="Output 3 3 31 2 3" xfId="43616" xr:uid="{00000000-0005-0000-0000-00005EAA0000}"/>
    <cellStyle name="Output 3 3 31 2 4" xfId="43617" xr:uid="{00000000-0005-0000-0000-00005FAA0000}"/>
    <cellStyle name="Output 3 3 31 2 5" xfId="43618" xr:uid="{00000000-0005-0000-0000-000060AA0000}"/>
    <cellStyle name="Output 3 3 31 3" xfId="43619" xr:uid="{00000000-0005-0000-0000-000061AA0000}"/>
    <cellStyle name="Output 3 3 31 4" xfId="43620" xr:uid="{00000000-0005-0000-0000-000062AA0000}"/>
    <cellStyle name="Output 3 3 31 5" xfId="43621" xr:uid="{00000000-0005-0000-0000-000063AA0000}"/>
    <cellStyle name="Output 3 3 31 6" xfId="43622" xr:uid="{00000000-0005-0000-0000-000064AA0000}"/>
    <cellStyle name="Output 3 3 32" xfId="43623" xr:uid="{00000000-0005-0000-0000-000065AA0000}"/>
    <cellStyle name="Output 3 3 32 2" xfId="43624" xr:uid="{00000000-0005-0000-0000-000066AA0000}"/>
    <cellStyle name="Output 3 3 32 2 2" xfId="43625" xr:uid="{00000000-0005-0000-0000-000067AA0000}"/>
    <cellStyle name="Output 3 3 32 2 3" xfId="43626" xr:uid="{00000000-0005-0000-0000-000068AA0000}"/>
    <cellStyle name="Output 3 3 32 2 4" xfId="43627" xr:uid="{00000000-0005-0000-0000-000069AA0000}"/>
    <cellStyle name="Output 3 3 32 2 5" xfId="43628" xr:uid="{00000000-0005-0000-0000-00006AAA0000}"/>
    <cellStyle name="Output 3 3 32 3" xfId="43629" xr:uid="{00000000-0005-0000-0000-00006BAA0000}"/>
    <cellStyle name="Output 3 3 32 4" xfId="43630" xr:uid="{00000000-0005-0000-0000-00006CAA0000}"/>
    <cellStyle name="Output 3 3 32 5" xfId="43631" xr:uid="{00000000-0005-0000-0000-00006DAA0000}"/>
    <cellStyle name="Output 3 3 32 6" xfId="43632" xr:uid="{00000000-0005-0000-0000-00006EAA0000}"/>
    <cellStyle name="Output 3 3 33" xfId="43633" xr:uid="{00000000-0005-0000-0000-00006FAA0000}"/>
    <cellStyle name="Output 3 3 33 2" xfId="43634" xr:uid="{00000000-0005-0000-0000-000070AA0000}"/>
    <cellStyle name="Output 3 3 33 2 2" xfId="43635" xr:uid="{00000000-0005-0000-0000-000071AA0000}"/>
    <cellStyle name="Output 3 3 33 2 3" xfId="43636" xr:uid="{00000000-0005-0000-0000-000072AA0000}"/>
    <cellStyle name="Output 3 3 33 2 4" xfId="43637" xr:uid="{00000000-0005-0000-0000-000073AA0000}"/>
    <cellStyle name="Output 3 3 33 2 5" xfId="43638" xr:uid="{00000000-0005-0000-0000-000074AA0000}"/>
    <cellStyle name="Output 3 3 33 3" xfId="43639" xr:uid="{00000000-0005-0000-0000-000075AA0000}"/>
    <cellStyle name="Output 3 3 33 4" xfId="43640" xr:uid="{00000000-0005-0000-0000-000076AA0000}"/>
    <cellStyle name="Output 3 3 33 5" xfId="43641" xr:uid="{00000000-0005-0000-0000-000077AA0000}"/>
    <cellStyle name="Output 3 3 33 6" xfId="43642" xr:uid="{00000000-0005-0000-0000-000078AA0000}"/>
    <cellStyle name="Output 3 3 34" xfId="43643" xr:uid="{00000000-0005-0000-0000-000079AA0000}"/>
    <cellStyle name="Output 3 3 34 2" xfId="43644" xr:uid="{00000000-0005-0000-0000-00007AAA0000}"/>
    <cellStyle name="Output 3 3 34 2 2" xfId="43645" xr:uid="{00000000-0005-0000-0000-00007BAA0000}"/>
    <cellStyle name="Output 3 3 34 2 3" xfId="43646" xr:uid="{00000000-0005-0000-0000-00007CAA0000}"/>
    <cellStyle name="Output 3 3 34 2 4" xfId="43647" xr:uid="{00000000-0005-0000-0000-00007DAA0000}"/>
    <cellStyle name="Output 3 3 34 2 5" xfId="43648" xr:uid="{00000000-0005-0000-0000-00007EAA0000}"/>
    <cellStyle name="Output 3 3 34 3" xfId="43649" xr:uid="{00000000-0005-0000-0000-00007FAA0000}"/>
    <cellStyle name="Output 3 3 34 4" xfId="43650" xr:uid="{00000000-0005-0000-0000-000080AA0000}"/>
    <cellStyle name="Output 3 3 34 5" xfId="43651" xr:uid="{00000000-0005-0000-0000-000081AA0000}"/>
    <cellStyle name="Output 3 3 34 6" xfId="43652" xr:uid="{00000000-0005-0000-0000-000082AA0000}"/>
    <cellStyle name="Output 3 3 35" xfId="43653" xr:uid="{00000000-0005-0000-0000-000083AA0000}"/>
    <cellStyle name="Output 3 3 35 2" xfId="43654" xr:uid="{00000000-0005-0000-0000-000084AA0000}"/>
    <cellStyle name="Output 3 3 35 2 2" xfId="43655" xr:uid="{00000000-0005-0000-0000-000085AA0000}"/>
    <cellStyle name="Output 3 3 35 2 3" xfId="43656" xr:uid="{00000000-0005-0000-0000-000086AA0000}"/>
    <cellStyle name="Output 3 3 35 2 4" xfId="43657" xr:uid="{00000000-0005-0000-0000-000087AA0000}"/>
    <cellStyle name="Output 3 3 35 2 5" xfId="43658" xr:uid="{00000000-0005-0000-0000-000088AA0000}"/>
    <cellStyle name="Output 3 3 35 3" xfId="43659" xr:uid="{00000000-0005-0000-0000-000089AA0000}"/>
    <cellStyle name="Output 3 3 35 4" xfId="43660" xr:uid="{00000000-0005-0000-0000-00008AAA0000}"/>
    <cellStyle name="Output 3 3 35 5" xfId="43661" xr:uid="{00000000-0005-0000-0000-00008BAA0000}"/>
    <cellStyle name="Output 3 3 35 6" xfId="43662" xr:uid="{00000000-0005-0000-0000-00008CAA0000}"/>
    <cellStyle name="Output 3 3 36" xfId="43663" xr:uid="{00000000-0005-0000-0000-00008DAA0000}"/>
    <cellStyle name="Output 3 3 36 2" xfId="43664" xr:uid="{00000000-0005-0000-0000-00008EAA0000}"/>
    <cellStyle name="Output 3 3 36 2 2" xfId="43665" xr:uid="{00000000-0005-0000-0000-00008FAA0000}"/>
    <cellStyle name="Output 3 3 36 2 3" xfId="43666" xr:uid="{00000000-0005-0000-0000-000090AA0000}"/>
    <cellStyle name="Output 3 3 36 2 4" xfId="43667" xr:uid="{00000000-0005-0000-0000-000091AA0000}"/>
    <cellStyle name="Output 3 3 36 2 5" xfId="43668" xr:uid="{00000000-0005-0000-0000-000092AA0000}"/>
    <cellStyle name="Output 3 3 36 3" xfId="43669" xr:uid="{00000000-0005-0000-0000-000093AA0000}"/>
    <cellStyle name="Output 3 3 36 4" xfId="43670" xr:uid="{00000000-0005-0000-0000-000094AA0000}"/>
    <cellStyle name="Output 3 3 36 5" xfId="43671" xr:uid="{00000000-0005-0000-0000-000095AA0000}"/>
    <cellStyle name="Output 3 3 36 6" xfId="43672" xr:uid="{00000000-0005-0000-0000-000096AA0000}"/>
    <cellStyle name="Output 3 3 37" xfId="43673" xr:uid="{00000000-0005-0000-0000-000097AA0000}"/>
    <cellStyle name="Output 3 3 37 2" xfId="43674" xr:uid="{00000000-0005-0000-0000-000098AA0000}"/>
    <cellStyle name="Output 3 3 37 2 2" xfId="43675" xr:uid="{00000000-0005-0000-0000-000099AA0000}"/>
    <cellStyle name="Output 3 3 37 2 3" xfId="43676" xr:uid="{00000000-0005-0000-0000-00009AAA0000}"/>
    <cellStyle name="Output 3 3 37 2 4" xfId="43677" xr:uid="{00000000-0005-0000-0000-00009BAA0000}"/>
    <cellStyle name="Output 3 3 37 2 5" xfId="43678" xr:uid="{00000000-0005-0000-0000-00009CAA0000}"/>
    <cellStyle name="Output 3 3 37 3" xfId="43679" xr:uid="{00000000-0005-0000-0000-00009DAA0000}"/>
    <cellStyle name="Output 3 3 37 4" xfId="43680" xr:uid="{00000000-0005-0000-0000-00009EAA0000}"/>
    <cellStyle name="Output 3 3 37 5" xfId="43681" xr:uid="{00000000-0005-0000-0000-00009FAA0000}"/>
    <cellStyle name="Output 3 3 37 6" xfId="43682" xr:uid="{00000000-0005-0000-0000-0000A0AA0000}"/>
    <cellStyle name="Output 3 3 38" xfId="43683" xr:uid="{00000000-0005-0000-0000-0000A1AA0000}"/>
    <cellStyle name="Output 3 3 38 2" xfId="43684" xr:uid="{00000000-0005-0000-0000-0000A2AA0000}"/>
    <cellStyle name="Output 3 3 38 2 2" xfId="43685" xr:uid="{00000000-0005-0000-0000-0000A3AA0000}"/>
    <cellStyle name="Output 3 3 38 2 3" xfId="43686" xr:uid="{00000000-0005-0000-0000-0000A4AA0000}"/>
    <cellStyle name="Output 3 3 38 2 4" xfId="43687" xr:uid="{00000000-0005-0000-0000-0000A5AA0000}"/>
    <cellStyle name="Output 3 3 38 2 5" xfId="43688" xr:uid="{00000000-0005-0000-0000-0000A6AA0000}"/>
    <cellStyle name="Output 3 3 38 3" xfId="43689" xr:uid="{00000000-0005-0000-0000-0000A7AA0000}"/>
    <cellStyle name="Output 3 3 38 4" xfId="43690" xr:uid="{00000000-0005-0000-0000-0000A8AA0000}"/>
    <cellStyle name="Output 3 3 38 5" xfId="43691" xr:uid="{00000000-0005-0000-0000-0000A9AA0000}"/>
    <cellStyle name="Output 3 3 38 6" xfId="43692" xr:uid="{00000000-0005-0000-0000-0000AAAA0000}"/>
    <cellStyle name="Output 3 3 39" xfId="43693" xr:uid="{00000000-0005-0000-0000-0000ABAA0000}"/>
    <cellStyle name="Output 3 3 39 2" xfId="43694" xr:uid="{00000000-0005-0000-0000-0000ACAA0000}"/>
    <cellStyle name="Output 3 3 39 2 2" xfId="43695" xr:uid="{00000000-0005-0000-0000-0000ADAA0000}"/>
    <cellStyle name="Output 3 3 39 2 3" xfId="43696" xr:uid="{00000000-0005-0000-0000-0000AEAA0000}"/>
    <cellStyle name="Output 3 3 39 2 4" xfId="43697" xr:uid="{00000000-0005-0000-0000-0000AFAA0000}"/>
    <cellStyle name="Output 3 3 39 2 5" xfId="43698" xr:uid="{00000000-0005-0000-0000-0000B0AA0000}"/>
    <cellStyle name="Output 3 3 39 3" xfId="43699" xr:uid="{00000000-0005-0000-0000-0000B1AA0000}"/>
    <cellStyle name="Output 3 3 39 4" xfId="43700" xr:uid="{00000000-0005-0000-0000-0000B2AA0000}"/>
    <cellStyle name="Output 3 3 39 5" xfId="43701" xr:uid="{00000000-0005-0000-0000-0000B3AA0000}"/>
    <cellStyle name="Output 3 3 39 6" xfId="43702" xr:uid="{00000000-0005-0000-0000-0000B4AA0000}"/>
    <cellStyle name="Output 3 3 4" xfId="43703" xr:uid="{00000000-0005-0000-0000-0000B5AA0000}"/>
    <cellStyle name="Output 3 3 4 2" xfId="43704" xr:uid="{00000000-0005-0000-0000-0000B6AA0000}"/>
    <cellStyle name="Output 3 3 4 2 2" xfId="43705" xr:uid="{00000000-0005-0000-0000-0000B7AA0000}"/>
    <cellStyle name="Output 3 3 4 2 3" xfId="43706" xr:uid="{00000000-0005-0000-0000-0000B8AA0000}"/>
    <cellStyle name="Output 3 3 4 2 4" xfId="43707" xr:uid="{00000000-0005-0000-0000-0000B9AA0000}"/>
    <cellStyle name="Output 3 3 4 2 5" xfId="43708" xr:uid="{00000000-0005-0000-0000-0000BAAA0000}"/>
    <cellStyle name="Output 3 3 4 3" xfId="43709" xr:uid="{00000000-0005-0000-0000-0000BBAA0000}"/>
    <cellStyle name="Output 3 3 4 4" xfId="43710" xr:uid="{00000000-0005-0000-0000-0000BCAA0000}"/>
    <cellStyle name="Output 3 3 4 5" xfId="43711" xr:uid="{00000000-0005-0000-0000-0000BDAA0000}"/>
    <cellStyle name="Output 3 3 4 6" xfId="43712" xr:uid="{00000000-0005-0000-0000-0000BEAA0000}"/>
    <cellStyle name="Output 3 3 40" xfId="43713" xr:uid="{00000000-0005-0000-0000-0000BFAA0000}"/>
    <cellStyle name="Output 3 3 40 2" xfId="43714" xr:uid="{00000000-0005-0000-0000-0000C0AA0000}"/>
    <cellStyle name="Output 3 3 40 2 2" xfId="43715" xr:uid="{00000000-0005-0000-0000-0000C1AA0000}"/>
    <cellStyle name="Output 3 3 40 2 3" xfId="43716" xr:uid="{00000000-0005-0000-0000-0000C2AA0000}"/>
    <cellStyle name="Output 3 3 40 2 4" xfId="43717" xr:uid="{00000000-0005-0000-0000-0000C3AA0000}"/>
    <cellStyle name="Output 3 3 40 2 5" xfId="43718" xr:uid="{00000000-0005-0000-0000-0000C4AA0000}"/>
    <cellStyle name="Output 3 3 40 3" xfId="43719" xr:uid="{00000000-0005-0000-0000-0000C5AA0000}"/>
    <cellStyle name="Output 3 3 40 4" xfId="43720" xr:uid="{00000000-0005-0000-0000-0000C6AA0000}"/>
    <cellStyle name="Output 3 3 40 5" xfId="43721" xr:uid="{00000000-0005-0000-0000-0000C7AA0000}"/>
    <cellStyle name="Output 3 3 40 6" xfId="43722" xr:uid="{00000000-0005-0000-0000-0000C8AA0000}"/>
    <cellStyle name="Output 3 3 41" xfId="43723" xr:uid="{00000000-0005-0000-0000-0000C9AA0000}"/>
    <cellStyle name="Output 3 3 41 2" xfId="43724" xr:uid="{00000000-0005-0000-0000-0000CAAA0000}"/>
    <cellStyle name="Output 3 3 41 2 2" xfId="43725" xr:uid="{00000000-0005-0000-0000-0000CBAA0000}"/>
    <cellStyle name="Output 3 3 41 2 3" xfId="43726" xr:uid="{00000000-0005-0000-0000-0000CCAA0000}"/>
    <cellStyle name="Output 3 3 41 2 4" xfId="43727" xr:uid="{00000000-0005-0000-0000-0000CDAA0000}"/>
    <cellStyle name="Output 3 3 41 2 5" xfId="43728" xr:uid="{00000000-0005-0000-0000-0000CEAA0000}"/>
    <cellStyle name="Output 3 3 41 3" xfId="43729" xr:uid="{00000000-0005-0000-0000-0000CFAA0000}"/>
    <cellStyle name="Output 3 3 41 4" xfId="43730" xr:uid="{00000000-0005-0000-0000-0000D0AA0000}"/>
    <cellStyle name="Output 3 3 41 5" xfId="43731" xr:uid="{00000000-0005-0000-0000-0000D1AA0000}"/>
    <cellStyle name="Output 3 3 41 6" xfId="43732" xr:uid="{00000000-0005-0000-0000-0000D2AA0000}"/>
    <cellStyle name="Output 3 3 42" xfId="43733" xr:uid="{00000000-0005-0000-0000-0000D3AA0000}"/>
    <cellStyle name="Output 3 3 42 2" xfId="43734" xr:uid="{00000000-0005-0000-0000-0000D4AA0000}"/>
    <cellStyle name="Output 3 3 42 3" xfId="43735" xr:uid="{00000000-0005-0000-0000-0000D5AA0000}"/>
    <cellStyle name="Output 3 3 42 4" xfId="43736" xr:uid="{00000000-0005-0000-0000-0000D6AA0000}"/>
    <cellStyle name="Output 3 3 42 5" xfId="43737" xr:uid="{00000000-0005-0000-0000-0000D7AA0000}"/>
    <cellStyle name="Output 3 3 43" xfId="43738" xr:uid="{00000000-0005-0000-0000-0000D8AA0000}"/>
    <cellStyle name="Output 3 3 43 2" xfId="43739" xr:uid="{00000000-0005-0000-0000-0000D9AA0000}"/>
    <cellStyle name="Output 3 3 43 3" xfId="43740" xr:uid="{00000000-0005-0000-0000-0000DAAA0000}"/>
    <cellStyle name="Output 3 3 43 4" xfId="43741" xr:uid="{00000000-0005-0000-0000-0000DBAA0000}"/>
    <cellStyle name="Output 3 3 43 5" xfId="43742" xr:uid="{00000000-0005-0000-0000-0000DCAA0000}"/>
    <cellStyle name="Output 3 3 44" xfId="43743" xr:uid="{00000000-0005-0000-0000-0000DDAA0000}"/>
    <cellStyle name="Output 3 3 45" xfId="43744" xr:uid="{00000000-0005-0000-0000-0000DEAA0000}"/>
    <cellStyle name="Output 3 3 46" xfId="43745" xr:uid="{00000000-0005-0000-0000-0000DFAA0000}"/>
    <cellStyle name="Output 3 3 47" xfId="43746" xr:uid="{00000000-0005-0000-0000-0000E0AA0000}"/>
    <cellStyle name="Output 3 3 48" xfId="43747" xr:uid="{00000000-0005-0000-0000-0000E1AA0000}"/>
    <cellStyle name="Output 3 3 5" xfId="43748" xr:uid="{00000000-0005-0000-0000-0000E2AA0000}"/>
    <cellStyle name="Output 3 3 5 2" xfId="43749" xr:uid="{00000000-0005-0000-0000-0000E3AA0000}"/>
    <cellStyle name="Output 3 3 5 2 2" xfId="43750" xr:uid="{00000000-0005-0000-0000-0000E4AA0000}"/>
    <cellStyle name="Output 3 3 5 2 3" xfId="43751" xr:uid="{00000000-0005-0000-0000-0000E5AA0000}"/>
    <cellStyle name="Output 3 3 5 2 4" xfId="43752" xr:uid="{00000000-0005-0000-0000-0000E6AA0000}"/>
    <cellStyle name="Output 3 3 5 2 5" xfId="43753" xr:uid="{00000000-0005-0000-0000-0000E7AA0000}"/>
    <cellStyle name="Output 3 3 5 3" xfId="43754" xr:uid="{00000000-0005-0000-0000-0000E8AA0000}"/>
    <cellStyle name="Output 3 3 5 4" xfId="43755" xr:uid="{00000000-0005-0000-0000-0000E9AA0000}"/>
    <cellStyle name="Output 3 3 5 5" xfId="43756" xr:uid="{00000000-0005-0000-0000-0000EAAA0000}"/>
    <cellStyle name="Output 3 3 5 6" xfId="43757" xr:uid="{00000000-0005-0000-0000-0000EBAA0000}"/>
    <cellStyle name="Output 3 3 6" xfId="43758" xr:uid="{00000000-0005-0000-0000-0000ECAA0000}"/>
    <cellStyle name="Output 3 3 6 2" xfId="43759" xr:uid="{00000000-0005-0000-0000-0000EDAA0000}"/>
    <cellStyle name="Output 3 3 6 2 2" xfId="43760" xr:uid="{00000000-0005-0000-0000-0000EEAA0000}"/>
    <cellStyle name="Output 3 3 6 2 3" xfId="43761" xr:uid="{00000000-0005-0000-0000-0000EFAA0000}"/>
    <cellStyle name="Output 3 3 6 2 4" xfId="43762" xr:uid="{00000000-0005-0000-0000-0000F0AA0000}"/>
    <cellStyle name="Output 3 3 6 2 5" xfId="43763" xr:uid="{00000000-0005-0000-0000-0000F1AA0000}"/>
    <cellStyle name="Output 3 3 6 3" xfId="43764" xr:uid="{00000000-0005-0000-0000-0000F2AA0000}"/>
    <cellStyle name="Output 3 3 6 4" xfId="43765" xr:uid="{00000000-0005-0000-0000-0000F3AA0000}"/>
    <cellStyle name="Output 3 3 6 5" xfId="43766" xr:uid="{00000000-0005-0000-0000-0000F4AA0000}"/>
    <cellStyle name="Output 3 3 6 6" xfId="43767" xr:uid="{00000000-0005-0000-0000-0000F5AA0000}"/>
    <cellStyle name="Output 3 3 7" xfId="43768" xr:uid="{00000000-0005-0000-0000-0000F6AA0000}"/>
    <cellStyle name="Output 3 3 7 2" xfId="43769" xr:uid="{00000000-0005-0000-0000-0000F7AA0000}"/>
    <cellStyle name="Output 3 3 7 2 2" xfId="43770" xr:uid="{00000000-0005-0000-0000-0000F8AA0000}"/>
    <cellStyle name="Output 3 3 7 2 3" xfId="43771" xr:uid="{00000000-0005-0000-0000-0000F9AA0000}"/>
    <cellStyle name="Output 3 3 7 2 4" xfId="43772" xr:uid="{00000000-0005-0000-0000-0000FAAA0000}"/>
    <cellStyle name="Output 3 3 7 2 5" xfId="43773" xr:uid="{00000000-0005-0000-0000-0000FBAA0000}"/>
    <cellStyle name="Output 3 3 7 3" xfId="43774" xr:uid="{00000000-0005-0000-0000-0000FCAA0000}"/>
    <cellStyle name="Output 3 3 7 4" xfId="43775" xr:uid="{00000000-0005-0000-0000-0000FDAA0000}"/>
    <cellStyle name="Output 3 3 7 5" xfId="43776" xr:uid="{00000000-0005-0000-0000-0000FEAA0000}"/>
    <cellStyle name="Output 3 3 7 6" xfId="43777" xr:uid="{00000000-0005-0000-0000-0000FFAA0000}"/>
    <cellStyle name="Output 3 3 8" xfId="43778" xr:uid="{00000000-0005-0000-0000-000000AB0000}"/>
    <cellStyle name="Output 3 3 8 2" xfId="43779" xr:uid="{00000000-0005-0000-0000-000001AB0000}"/>
    <cellStyle name="Output 3 3 8 2 2" xfId="43780" xr:uid="{00000000-0005-0000-0000-000002AB0000}"/>
    <cellStyle name="Output 3 3 8 2 3" xfId="43781" xr:uid="{00000000-0005-0000-0000-000003AB0000}"/>
    <cellStyle name="Output 3 3 8 2 4" xfId="43782" xr:uid="{00000000-0005-0000-0000-000004AB0000}"/>
    <cellStyle name="Output 3 3 8 2 5" xfId="43783" xr:uid="{00000000-0005-0000-0000-000005AB0000}"/>
    <cellStyle name="Output 3 3 8 3" xfId="43784" xr:uid="{00000000-0005-0000-0000-000006AB0000}"/>
    <cellStyle name="Output 3 3 8 4" xfId="43785" xr:uid="{00000000-0005-0000-0000-000007AB0000}"/>
    <cellStyle name="Output 3 3 8 5" xfId="43786" xr:uid="{00000000-0005-0000-0000-000008AB0000}"/>
    <cellStyle name="Output 3 3 8 6" xfId="43787" xr:uid="{00000000-0005-0000-0000-000009AB0000}"/>
    <cellStyle name="Output 3 3 9" xfId="43788" xr:uid="{00000000-0005-0000-0000-00000AAB0000}"/>
    <cellStyle name="Output 3 3 9 2" xfId="43789" xr:uid="{00000000-0005-0000-0000-00000BAB0000}"/>
    <cellStyle name="Output 3 3 9 2 2" xfId="43790" xr:uid="{00000000-0005-0000-0000-00000CAB0000}"/>
    <cellStyle name="Output 3 3 9 2 3" xfId="43791" xr:uid="{00000000-0005-0000-0000-00000DAB0000}"/>
    <cellStyle name="Output 3 3 9 2 4" xfId="43792" xr:uid="{00000000-0005-0000-0000-00000EAB0000}"/>
    <cellStyle name="Output 3 3 9 2 5" xfId="43793" xr:uid="{00000000-0005-0000-0000-00000FAB0000}"/>
    <cellStyle name="Output 3 3 9 3" xfId="43794" xr:uid="{00000000-0005-0000-0000-000010AB0000}"/>
    <cellStyle name="Output 3 3 9 4" xfId="43795" xr:uid="{00000000-0005-0000-0000-000011AB0000}"/>
    <cellStyle name="Output 3 3 9 5" xfId="43796" xr:uid="{00000000-0005-0000-0000-000012AB0000}"/>
    <cellStyle name="Output 3 3 9 6" xfId="43797" xr:uid="{00000000-0005-0000-0000-000013AB0000}"/>
    <cellStyle name="Output 3 30" xfId="43798" xr:uid="{00000000-0005-0000-0000-000014AB0000}"/>
    <cellStyle name="Output 3 30 2" xfId="43799" xr:uid="{00000000-0005-0000-0000-000015AB0000}"/>
    <cellStyle name="Output 3 30 2 2" xfId="43800" xr:uid="{00000000-0005-0000-0000-000016AB0000}"/>
    <cellStyle name="Output 3 30 2 3" xfId="43801" xr:uid="{00000000-0005-0000-0000-000017AB0000}"/>
    <cellStyle name="Output 3 30 2 4" xfId="43802" xr:uid="{00000000-0005-0000-0000-000018AB0000}"/>
    <cellStyle name="Output 3 30 2 5" xfId="43803" xr:uid="{00000000-0005-0000-0000-000019AB0000}"/>
    <cellStyle name="Output 3 30 3" xfId="43804" xr:uid="{00000000-0005-0000-0000-00001AAB0000}"/>
    <cellStyle name="Output 3 30 4" xfId="43805" xr:uid="{00000000-0005-0000-0000-00001BAB0000}"/>
    <cellStyle name="Output 3 30 5" xfId="43806" xr:uid="{00000000-0005-0000-0000-00001CAB0000}"/>
    <cellStyle name="Output 3 30 6" xfId="43807" xr:uid="{00000000-0005-0000-0000-00001DAB0000}"/>
    <cellStyle name="Output 3 31" xfId="43808" xr:uid="{00000000-0005-0000-0000-00001EAB0000}"/>
    <cellStyle name="Output 3 31 2" xfId="43809" xr:uid="{00000000-0005-0000-0000-00001FAB0000}"/>
    <cellStyle name="Output 3 31 2 2" xfId="43810" xr:uid="{00000000-0005-0000-0000-000020AB0000}"/>
    <cellStyle name="Output 3 31 2 3" xfId="43811" xr:uid="{00000000-0005-0000-0000-000021AB0000}"/>
    <cellStyle name="Output 3 31 2 4" xfId="43812" xr:uid="{00000000-0005-0000-0000-000022AB0000}"/>
    <cellStyle name="Output 3 31 2 5" xfId="43813" xr:uid="{00000000-0005-0000-0000-000023AB0000}"/>
    <cellStyle name="Output 3 31 3" xfId="43814" xr:uid="{00000000-0005-0000-0000-000024AB0000}"/>
    <cellStyle name="Output 3 31 4" xfId="43815" xr:uid="{00000000-0005-0000-0000-000025AB0000}"/>
    <cellStyle name="Output 3 31 5" xfId="43816" xr:uid="{00000000-0005-0000-0000-000026AB0000}"/>
    <cellStyle name="Output 3 31 6" xfId="43817" xr:uid="{00000000-0005-0000-0000-000027AB0000}"/>
    <cellStyle name="Output 3 32" xfId="43818" xr:uid="{00000000-0005-0000-0000-000028AB0000}"/>
    <cellStyle name="Output 3 32 2" xfId="43819" xr:uid="{00000000-0005-0000-0000-000029AB0000}"/>
    <cellStyle name="Output 3 32 2 2" xfId="43820" xr:uid="{00000000-0005-0000-0000-00002AAB0000}"/>
    <cellStyle name="Output 3 32 2 3" xfId="43821" xr:uid="{00000000-0005-0000-0000-00002BAB0000}"/>
    <cellStyle name="Output 3 32 2 4" xfId="43822" xr:uid="{00000000-0005-0000-0000-00002CAB0000}"/>
    <cellStyle name="Output 3 32 2 5" xfId="43823" xr:uid="{00000000-0005-0000-0000-00002DAB0000}"/>
    <cellStyle name="Output 3 32 3" xfId="43824" xr:uid="{00000000-0005-0000-0000-00002EAB0000}"/>
    <cellStyle name="Output 3 32 4" xfId="43825" xr:uid="{00000000-0005-0000-0000-00002FAB0000}"/>
    <cellStyle name="Output 3 32 5" xfId="43826" xr:uid="{00000000-0005-0000-0000-000030AB0000}"/>
    <cellStyle name="Output 3 32 6" xfId="43827" xr:uid="{00000000-0005-0000-0000-000031AB0000}"/>
    <cellStyle name="Output 3 33" xfId="43828" xr:uid="{00000000-0005-0000-0000-000032AB0000}"/>
    <cellStyle name="Output 3 33 2" xfId="43829" xr:uid="{00000000-0005-0000-0000-000033AB0000}"/>
    <cellStyle name="Output 3 33 2 2" xfId="43830" xr:uid="{00000000-0005-0000-0000-000034AB0000}"/>
    <cellStyle name="Output 3 33 2 3" xfId="43831" xr:uid="{00000000-0005-0000-0000-000035AB0000}"/>
    <cellStyle name="Output 3 33 2 4" xfId="43832" xr:uid="{00000000-0005-0000-0000-000036AB0000}"/>
    <cellStyle name="Output 3 33 2 5" xfId="43833" xr:uid="{00000000-0005-0000-0000-000037AB0000}"/>
    <cellStyle name="Output 3 33 3" xfId="43834" xr:uid="{00000000-0005-0000-0000-000038AB0000}"/>
    <cellStyle name="Output 3 33 4" xfId="43835" xr:uid="{00000000-0005-0000-0000-000039AB0000}"/>
    <cellStyle name="Output 3 33 5" xfId="43836" xr:uid="{00000000-0005-0000-0000-00003AAB0000}"/>
    <cellStyle name="Output 3 33 6" xfId="43837" xr:uid="{00000000-0005-0000-0000-00003BAB0000}"/>
    <cellStyle name="Output 3 34" xfId="43838" xr:uid="{00000000-0005-0000-0000-00003CAB0000}"/>
    <cellStyle name="Output 3 34 2" xfId="43839" xr:uid="{00000000-0005-0000-0000-00003DAB0000}"/>
    <cellStyle name="Output 3 34 2 2" xfId="43840" xr:uid="{00000000-0005-0000-0000-00003EAB0000}"/>
    <cellStyle name="Output 3 34 2 3" xfId="43841" xr:uid="{00000000-0005-0000-0000-00003FAB0000}"/>
    <cellStyle name="Output 3 34 2 4" xfId="43842" xr:uid="{00000000-0005-0000-0000-000040AB0000}"/>
    <cellStyle name="Output 3 34 2 5" xfId="43843" xr:uid="{00000000-0005-0000-0000-000041AB0000}"/>
    <cellStyle name="Output 3 34 3" xfId="43844" xr:uid="{00000000-0005-0000-0000-000042AB0000}"/>
    <cellStyle name="Output 3 34 4" xfId="43845" xr:uid="{00000000-0005-0000-0000-000043AB0000}"/>
    <cellStyle name="Output 3 34 5" xfId="43846" xr:uid="{00000000-0005-0000-0000-000044AB0000}"/>
    <cellStyle name="Output 3 34 6" xfId="43847" xr:uid="{00000000-0005-0000-0000-000045AB0000}"/>
    <cellStyle name="Output 3 35" xfId="43848" xr:uid="{00000000-0005-0000-0000-000046AB0000}"/>
    <cellStyle name="Output 3 35 2" xfId="43849" xr:uid="{00000000-0005-0000-0000-000047AB0000}"/>
    <cellStyle name="Output 3 35 2 2" xfId="43850" xr:uid="{00000000-0005-0000-0000-000048AB0000}"/>
    <cellStyle name="Output 3 35 2 3" xfId="43851" xr:uid="{00000000-0005-0000-0000-000049AB0000}"/>
    <cellStyle name="Output 3 35 2 4" xfId="43852" xr:uid="{00000000-0005-0000-0000-00004AAB0000}"/>
    <cellStyle name="Output 3 35 2 5" xfId="43853" xr:uid="{00000000-0005-0000-0000-00004BAB0000}"/>
    <cellStyle name="Output 3 35 3" xfId="43854" xr:uid="{00000000-0005-0000-0000-00004CAB0000}"/>
    <cellStyle name="Output 3 35 4" xfId="43855" xr:uid="{00000000-0005-0000-0000-00004DAB0000}"/>
    <cellStyle name="Output 3 35 5" xfId="43856" xr:uid="{00000000-0005-0000-0000-00004EAB0000}"/>
    <cellStyle name="Output 3 35 6" xfId="43857" xr:uid="{00000000-0005-0000-0000-00004FAB0000}"/>
    <cellStyle name="Output 3 36" xfId="43858" xr:uid="{00000000-0005-0000-0000-000050AB0000}"/>
    <cellStyle name="Output 3 36 2" xfId="43859" xr:uid="{00000000-0005-0000-0000-000051AB0000}"/>
    <cellStyle name="Output 3 36 2 2" xfId="43860" xr:uid="{00000000-0005-0000-0000-000052AB0000}"/>
    <cellStyle name="Output 3 36 2 3" xfId="43861" xr:uid="{00000000-0005-0000-0000-000053AB0000}"/>
    <cellStyle name="Output 3 36 2 4" xfId="43862" xr:uid="{00000000-0005-0000-0000-000054AB0000}"/>
    <cellStyle name="Output 3 36 2 5" xfId="43863" xr:uid="{00000000-0005-0000-0000-000055AB0000}"/>
    <cellStyle name="Output 3 36 3" xfId="43864" xr:uid="{00000000-0005-0000-0000-000056AB0000}"/>
    <cellStyle name="Output 3 36 4" xfId="43865" xr:uid="{00000000-0005-0000-0000-000057AB0000}"/>
    <cellStyle name="Output 3 36 5" xfId="43866" xr:uid="{00000000-0005-0000-0000-000058AB0000}"/>
    <cellStyle name="Output 3 36 6" xfId="43867" xr:uid="{00000000-0005-0000-0000-000059AB0000}"/>
    <cellStyle name="Output 3 37" xfId="43868" xr:uid="{00000000-0005-0000-0000-00005AAB0000}"/>
    <cellStyle name="Output 3 37 2" xfId="43869" xr:uid="{00000000-0005-0000-0000-00005BAB0000}"/>
    <cellStyle name="Output 3 37 2 2" xfId="43870" xr:uid="{00000000-0005-0000-0000-00005CAB0000}"/>
    <cellStyle name="Output 3 37 2 3" xfId="43871" xr:uid="{00000000-0005-0000-0000-00005DAB0000}"/>
    <cellStyle name="Output 3 37 2 4" xfId="43872" xr:uid="{00000000-0005-0000-0000-00005EAB0000}"/>
    <cellStyle name="Output 3 37 2 5" xfId="43873" xr:uid="{00000000-0005-0000-0000-00005FAB0000}"/>
    <cellStyle name="Output 3 37 3" xfId="43874" xr:uid="{00000000-0005-0000-0000-000060AB0000}"/>
    <cellStyle name="Output 3 37 4" xfId="43875" xr:uid="{00000000-0005-0000-0000-000061AB0000}"/>
    <cellStyle name="Output 3 37 5" xfId="43876" xr:uid="{00000000-0005-0000-0000-000062AB0000}"/>
    <cellStyle name="Output 3 37 6" xfId="43877" xr:uid="{00000000-0005-0000-0000-000063AB0000}"/>
    <cellStyle name="Output 3 38" xfId="43878" xr:uid="{00000000-0005-0000-0000-000064AB0000}"/>
    <cellStyle name="Output 3 38 2" xfId="43879" xr:uid="{00000000-0005-0000-0000-000065AB0000}"/>
    <cellStyle name="Output 3 38 2 2" xfId="43880" xr:uid="{00000000-0005-0000-0000-000066AB0000}"/>
    <cellStyle name="Output 3 38 2 3" xfId="43881" xr:uid="{00000000-0005-0000-0000-000067AB0000}"/>
    <cellStyle name="Output 3 38 2 4" xfId="43882" xr:uid="{00000000-0005-0000-0000-000068AB0000}"/>
    <cellStyle name="Output 3 38 2 5" xfId="43883" xr:uid="{00000000-0005-0000-0000-000069AB0000}"/>
    <cellStyle name="Output 3 38 3" xfId="43884" xr:uid="{00000000-0005-0000-0000-00006AAB0000}"/>
    <cellStyle name="Output 3 38 4" xfId="43885" xr:uid="{00000000-0005-0000-0000-00006BAB0000}"/>
    <cellStyle name="Output 3 38 5" xfId="43886" xr:uid="{00000000-0005-0000-0000-00006CAB0000}"/>
    <cellStyle name="Output 3 38 6" xfId="43887" xr:uid="{00000000-0005-0000-0000-00006DAB0000}"/>
    <cellStyle name="Output 3 39" xfId="43888" xr:uid="{00000000-0005-0000-0000-00006EAB0000}"/>
    <cellStyle name="Output 3 39 2" xfId="43889" xr:uid="{00000000-0005-0000-0000-00006FAB0000}"/>
    <cellStyle name="Output 3 39 2 2" xfId="43890" xr:uid="{00000000-0005-0000-0000-000070AB0000}"/>
    <cellStyle name="Output 3 39 2 3" xfId="43891" xr:uid="{00000000-0005-0000-0000-000071AB0000}"/>
    <cellStyle name="Output 3 39 2 4" xfId="43892" xr:uid="{00000000-0005-0000-0000-000072AB0000}"/>
    <cellStyle name="Output 3 39 2 5" xfId="43893" xr:uid="{00000000-0005-0000-0000-000073AB0000}"/>
    <cellStyle name="Output 3 39 3" xfId="43894" xr:uid="{00000000-0005-0000-0000-000074AB0000}"/>
    <cellStyle name="Output 3 39 4" xfId="43895" xr:uid="{00000000-0005-0000-0000-000075AB0000}"/>
    <cellStyle name="Output 3 39 5" xfId="43896" xr:uid="{00000000-0005-0000-0000-000076AB0000}"/>
    <cellStyle name="Output 3 39 6" xfId="43897" xr:uid="{00000000-0005-0000-0000-000077AB0000}"/>
    <cellStyle name="Output 3 4" xfId="43898" xr:uid="{00000000-0005-0000-0000-000078AB0000}"/>
    <cellStyle name="Output 3 4 2" xfId="43899" xr:uid="{00000000-0005-0000-0000-000079AB0000}"/>
    <cellStyle name="Output 3 4 2 2" xfId="43900" xr:uid="{00000000-0005-0000-0000-00007AAB0000}"/>
    <cellStyle name="Output 3 4 2 3" xfId="43901" xr:uid="{00000000-0005-0000-0000-00007BAB0000}"/>
    <cellStyle name="Output 3 4 2 4" xfId="43902" xr:uid="{00000000-0005-0000-0000-00007CAB0000}"/>
    <cellStyle name="Output 3 4 2 5" xfId="43903" xr:uid="{00000000-0005-0000-0000-00007DAB0000}"/>
    <cellStyle name="Output 3 4 3" xfId="43904" xr:uid="{00000000-0005-0000-0000-00007EAB0000}"/>
    <cellStyle name="Output 3 4 4" xfId="43905" xr:uid="{00000000-0005-0000-0000-00007FAB0000}"/>
    <cellStyle name="Output 3 4 5" xfId="43906" xr:uid="{00000000-0005-0000-0000-000080AB0000}"/>
    <cellStyle name="Output 3 4 6" xfId="43907" xr:uid="{00000000-0005-0000-0000-000081AB0000}"/>
    <cellStyle name="Output 3 40" xfId="43908" xr:uid="{00000000-0005-0000-0000-000082AB0000}"/>
    <cellStyle name="Output 3 40 2" xfId="43909" xr:uid="{00000000-0005-0000-0000-000083AB0000}"/>
    <cellStyle name="Output 3 40 2 2" xfId="43910" xr:uid="{00000000-0005-0000-0000-000084AB0000}"/>
    <cellStyle name="Output 3 40 2 3" xfId="43911" xr:uid="{00000000-0005-0000-0000-000085AB0000}"/>
    <cellStyle name="Output 3 40 2 4" xfId="43912" xr:uid="{00000000-0005-0000-0000-000086AB0000}"/>
    <cellStyle name="Output 3 40 2 5" xfId="43913" xr:uid="{00000000-0005-0000-0000-000087AB0000}"/>
    <cellStyle name="Output 3 40 3" xfId="43914" xr:uid="{00000000-0005-0000-0000-000088AB0000}"/>
    <cellStyle name="Output 3 40 4" xfId="43915" xr:uid="{00000000-0005-0000-0000-000089AB0000}"/>
    <cellStyle name="Output 3 40 5" xfId="43916" xr:uid="{00000000-0005-0000-0000-00008AAB0000}"/>
    <cellStyle name="Output 3 40 6" xfId="43917" xr:uid="{00000000-0005-0000-0000-00008BAB0000}"/>
    <cellStyle name="Output 3 41" xfId="43918" xr:uid="{00000000-0005-0000-0000-00008CAB0000}"/>
    <cellStyle name="Output 3 41 2" xfId="43919" xr:uid="{00000000-0005-0000-0000-00008DAB0000}"/>
    <cellStyle name="Output 3 41 2 2" xfId="43920" xr:uid="{00000000-0005-0000-0000-00008EAB0000}"/>
    <cellStyle name="Output 3 41 2 3" xfId="43921" xr:uid="{00000000-0005-0000-0000-00008FAB0000}"/>
    <cellStyle name="Output 3 41 2 4" xfId="43922" xr:uid="{00000000-0005-0000-0000-000090AB0000}"/>
    <cellStyle name="Output 3 41 2 5" xfId="43923" xr:uid="{00000000-0005-0000-0000-000091AB0000}"/>
    <cellStyle name="Output 3 41 3" xfId="43924" xr:uid="{00000000-0005-0000-0000-000092AB0000}"/>
    <cellStyle name="Output 3 41 4" xfId="43925" xr:uid="{00000000-0005-0000-0000-000093AB0000}"/>
    <cellStyle name="Output 3 41 5" xfId="43926" xr:uid="{00000000-0005-0000-0000-000094AB0000}"/>
    <cellStyle name="Output 3 41 6" xfId="43927" xr:uid="{00000000-0005-0000-0000-000095AB0000}"/>
    <cellStyle name="Output 3 42" xfId="43928" xr:uid="{00000000-0005-0000-0000-000096AB0000}"/>
    <cellStyle name="Output 3 42 2" xfId="43929" xr:uid="{00000000-0005-0000-0000-000097AB0000}"/>
    <cellStyle name="Output 3 42 2 2" xfId="43930" xr:uid="{00000000-0005-0000-0000-000098AB0000}"/>
    <cellStyle name="Output 3 42 2 3" xfId="43931" xr:uid="{00000000-0005-0000-0000-000099AB0000}"/>
    <cellStyle name="Output 3 42 2 4" xfId="43932" xr:uid="{00000000-0005-0000-0000-00009AAB0000}"/>
    <cellStyle name="Output 3 42 2 5" xfId="43933" xr:uid="{00000000-0005-0000-0000-00009BAB0000}"/>
    <cellStyle name="Output 3 42 3" xfId="43934" xr:uid="{00000000-0005-0000-0000-00009CAB0000}"/>
    <cellStyle name="Output 3 42 4" xfId="43935" xr:uid="{00000000-0005-0000-0000-00009DAB0000}"/>
    <cellStyle name="Output 3 42 5" xfId="43936" xr:uid="{00000000-0005-0000-0000-00009EAB0000}"/>
    <cellStyle name="Output 3 42 6" xfId="43937" xr:uid="{00000000-0005-0000-0000-00009FAB0000}"/>
    <cellStyle name="Output 3 43" xfId="43938" xr:uid="{00000000-0005-0000-0000-0000A0AB0000}"/>
    <cellStyle name="Output 3 43 2" xfId="43939" xr:uid="{00000000-0005-0000-0000-0000A1AB0000}"/>
    <cellStyle name="Output 3 43 2 2" xfId="43940" xr:uid="{00000000-0005-0000-0000-0000A2AB0000}"/>
    <cellStyle name="Output 3 43 2 3" xfId="43941" xr:uid="{00000000-0005-0000-0000-0000A3AB0000}"/>
    <cellStyle name="Output 3 43 2 4" xfId="43942" xr:uid="{00000000-0005-0000-0000-0000A4AB0000}"/>
    <cellStyle name="Output 3 43 2 5" xfId="43943" xr:uid="{00000000-0005-0000-0000-0000A5AB0000}"/>
    <cellStyle name="Output 3 43 3" xfId="43944" xr:uid="{00000000-0005-0000-0000-0000A6AB0000}"/>
    <cellStyle name="Output 3 43 4" xfId="43945" xr:uid="{00000000-0005-0000-0000-0000A7AB0000}"/>
    <cellStyle name="Output 3 43 5" xfId="43946" xr:uid="{00000000-0005-0000-0000-0000A8AB0000}"/>
    <cellStyle name="Output 3 43 6" xfId="43947" xr:uid="{00000000-0005-0000-0000-0000A9AB0000}"/>
    <cellStyle name="Output 3 44" xfId="43948" xr:uid="{00000000-0005-0000-0000-0000AAAB0000}"/>
    <cellStyle name="Output 3 44 2" xfId="43949" xr:uid="{00000000-0005-0000-0000-0000ABAB0000}"/>
    <cellStyle name="Output 3 44 3" xfId="43950" xr:uid="{00000000-0005-0000-0000-0000ACAB0000}"/>
    <cellStyle name="Output 3 44 4" xfId="43951" xr:uid="{00000000-0005-0000-0000-0000ADAB0000}"/>
    <cellStyle name="Output 3 44 5" xfId="43952" xr:uid="{00000000-0005-0000-0000-0000AEAB0000}"/>
    <cellStyle name="Output 3 45" xfId="43953" xr:uid="{00000000-0005-0000-0000-0000AFAB0000}"/>
    <cellStyle name="Output 3 45 2" xfId="43954" xr:uid="{00000000-0005-0000-0000-0000B0AB0000}"/>
    <cellStyle name="Output 3 45 3" xfId="43955" xr:uid="{00000000-0005-0000-0000-0000B1AB0000}"/>
    <cellStyle name="Output 3 45 4" xfId="43956" xr:uid="{00000000-0005-0000-0000-0000B2AB0000}"/>
    <cellStyle name="Output 3 45 5" xfId="43957" xr:uid="{00000000-0005-0000-0000-0000B3AB0000}"/>
    <cellStyle name="Output 3 46" xfId="43958" xr:uid="{00000000-0005-0000-0000-0000B4AB0000}"/>
    <cellStyle name="Output 3 47" xfId="43959" xr:uid="{00000000-0005-0000-0000-0000B5AB0000}"/>
    <cellStyle name="Output 3 48" xfId="43960" xr:uid="{00000000-0005-0000-0000-0000B6AB0000}"/>
    <cellStyle name="Output 3 49" xfId="43961" xr:uid="{00000000-0005-0000-0000-0000B7AB0000}"/>
    <cellStyle name="Output 3 5" xfId="43962" xr:uid="{00000000-0005-0000-0000-0000B8AB0000}"/>
    <cellStyle name="Output 3 5 2" xfId="43963" xr:uid="{00000000-0005-0000-0000-0000B9AB0000}"/>
    <cellStyle name="Output 3 5 2 2" xfId="43964" xr:uid="{00000000-0005-0000-0000-0000BAAB0000}"/>
    <cellStyle name="Output 3 5 2 3" xfId="43965" xr:uid="{00000000-0005-0000-0000-0000BBAB0000}"/>
    <cellStyle name="Output 3 5 2 4" xfId="43966" xr:uid="{00000000-0005-0000-0000-0000BCAB0000}"/>
    <cellStyle name="Output 3 5 2 5" xfId="43967" xr:uid="{00000000-0005-0000-0000-0000BDAB0000}"/>
    <cellStyle name="Output 3 5 3" xfId="43968" xr:uid="{00000000-0005-0000-0000-0000BEAB0000}"/>
    <cellStyle name="Output 3 5 4" xfId="43969" xr:uid="{00000000-0005-0000-0000-0000BFAB0000}"/>
    <cellStyle name="Output 3 5 5" xfId="43970" xr:uid="{00000000-0005-0000-0000-0000C0AB0000}"/>
    <cellStyle name="Output 3 5 6" xfId="43971" xr:uid="{00000000-0005-0000-0000-0000C1AB0000}"/>
    <cellStyle name="Output 3 6" xfId="43972" xr:uid="{00000000-0005-0000-0000-0000C2AB0000}"/>
    <cellStyle name="Output 3 6 2" xfId="43973" xr:uid="{00000000-0005-0000-0000-0000C3AB0000}"/>
    <cellStyle name="Output 3 6 2 2" xfId="43974" xr:uid="{00000000-0005-0000-0000-0000C4AB0000}"/>
    <cellStyle name="Output 3 6 2 3" xfId="43975" xr:uid="{00000000-0005-0000-0000-0000C5AB0000}"/>
    <cellStyle name="Output 3 6 2 4" xfId="43976" xr:uid="{00000000-0005-0000-0000-0000C6AB0000}"/>
    <cellStyle name="Output 3 6 2 5" xfId="43977" xr:uid="{00000000-0005-0000-0000-0000C7AB0000}"/>
    <cellStyle name="Output 3 6 3" xfId="43978" xr:uid="{00000000-0005-0000-0000-0000C8AB0000}"/>
    <cellStyle name="Output 3 6 4" xfId="43979" xr:uid="{00000000-0005-0000-0000-0000C9AB0000}"/>
    <cellStyle name="Output 3 6 5" xfId="43980" xr:uid="{00000000-0005-0000-0000-0000CAAB0000}"/>
    <cellStyle name="Output 3 6 6" xfId="43981" xr:uid="{00000000-0005-0000-0000-0000CBAB0000}"/>
    <cellStyle name="Output 3 7" xfId="43982" xr:uid="{00000000-0005-0000-0000-0000CCAB0000}"/>
    <cellStyle name="Output 3 7 2" xfId="43983" xr:uid="{00000000-0005-0000-0000-0000CDAB0000}"/>
    <cellStyle name="Output 3 7 2 2" xfId="43984" xr:uid="{00000000-0005-0000-0000-0000CEAB0000}"/>
    <cellStyle name="Output 3 7 2 3" xfId="43985" xr:uid="{00000000-0005-0000-0000-0000CFAB0000}"/>
    <cellStyle name="Output 3 7 2 4" xfId="43986" xr:uid="{00000000-0005-0000-0000-0000D0AB0000}"/>
    <cellStyle name="Output 3 7 2 5" xfId="43987" xr:uid="{00000000-0005-0000-0000-0000D1AB0000}"/>
    <cellStyle name="Output 3 7 3" xfId="43988" xr:uid="{00000000-0005-0000-0000-0000D2AB0000}"/>
    <cellStyle name="Output 3 7 4" xfId="43989" xr:uid="{00000000-0005-0000-0000-0000D3AB0000}"/>
    <cellStyle name="Output 3 7 5" xfId="43990" xr:uid="{00000000-0005-0000-0000-0000D4AB0000}"/>
    <cellStyle name="Output 3 7 6" xfId="43991" xr:uid="{00000000-0005-0000-0000-0000D5AB0000}"/>
    <cellStyle name="Output 3 8" xfId="43992" xr:uid="{00000000-0005-0000-0000-0000D6AB0000}"/>
    <cellStyle name="Output 3 8 2" xfId="43993" xr:uid="{00000000-0005-0000-0000-0000D7AB0000}"/>
    <cellStyle name="Output 3 8 2 2" xfId="43994" xr:uid="{00000000-0005-0000-0000-0000D8AB0000}"/>
    <cellStyle name="Output 3 8 2 3" xfId="43995" xr:uid="{00000000-0005-0000-0000-0000D9AB0000}"/>
    <cellStyle name="Output 3 8 2 4" xfId="43996" xr:uid="{00000000-0005-0000-0000-0000DAAB0000}"/>
    <cellStyle name="Output 3 8 2 5" xfId="43997" xr:uid="{00000000-0005-0000-0000-0000DBAB0000}"/>
    <cellStyle name="Output 3 8 3" xfId="43998" xr:uid="{00000000-0005-0000-0000-0000DCAB0000}"/>
    <cellStyle name="Output 3 8 4" xfId="43999" xr:uid="{00000000-0005-0000-0000-0000DDAB0000}"/>
    <cellStyle name="Output 3 8 5" xfId="44000" xr:uid="{00000000-0005-0000-0000-0000DEAB0000}"/>
    <cellStyle name="Output 3 8 6" xfId="44001" xr:uid="{00000000-0005-0000-0000-0000DFAB0000}"/>
    <cellStyle name="Output 3 9" xfId="44002" xr:uid="{00000000-0005-0000-0000-0000E0AB0000}"/>
    <cellStyle name="Output 3 9 2" xfId="44003" xr:uid="{00000000-0005-0000-0000-0000E1AB0000}"/>
    <cellStyle name="Output 3 9 2 2" xfId="44004" xr:uid="{00000000-0005-0000-0000-0000E2AB0000}"/>
    <cellStyle name="Output 3 9 2 3" xfId="44005" xr:uid="{00000000-0005-0000-0000-0000E3AB0000}"/>
    <cellStyle name="Output 3 9 2 4" xfId="44006" xr:uid="{00000000-0005-0000-0000-0000E4AB0000}"/>
    <cellStyle name="Output 3 9 2 5" xfId="44007" xr:uid="{00000000-0005-0000-0000-0000E5AB0000}"/>
    <cellStyle name="Output 3 9 3" xfId="44008" xr:uid="{00000000-0005-0000-0000-0000E6AB0000}"/>
    <cellStyle name="Output 3 9 4" xfId="44009" xr:uid="{00000000-0005-0000-0000-0000E7AB0000}"/>
    <cellStyle name="Output 3 9 5" xfId="44010" xr:uid="{00000000-0005-0000-0000-0000E8AB0000}"/>
    <cellStyle name="Output 3 9 6" xfId="44011" xr:uid="{00000000-0005-0000-0000-0000E9AB0000}"/>
    <cellStyle name="Output 4" xfId="44012" xr:uid="{00000000-0005-0000-0000-0000EAAB0000}"/>
    <cellStyle name="Output 4 2" xfId="44013" xr:uid="{00000000-0005-0000-0000-0000EBAB0000}"/>
    <cellStyle name="Output 4 2 10" xfId="44014" xr:uid="{00000000-0005-0000-0000-0000ECAB0000}"/>
    <cellStyle name="Output 4 2 10 2" xfId="44015" xr:uid="{00000000-0005-0000-0000-0000EDAB0000}"/>
    <cellStyle name="Output 4 2 10 3" xfId="44016" xr:uid="{00000000-0005-0000-0000-0000EEAB0000}"/>
    <cellStyle name="Output 4 2 10 4" xfId="44017" xr:uid="{00000000-0005-0000-0000-0000EFAB0000}"/>
    <cellStyle name="Output 4 2 10 5" xfId="44018" xr:uid="{00000000-0005-0000-0000-0000F0AB0000}"/>
    <cellStyle name="Output 4 2 10 6" xfId="44019" xr:uid="{00000000-0005-0000-0000-0000F1AB0000}"/>
    <cellStyle name="Output 4 2 11" xfId="44020" xr:uid="{00000000-0005-0000-0000-0000F2AB0000}"/>
    <cellStyle name="Output 4 2 12" xfId="44021" xr:uid="{00000000-0005-0000-0000-0000F3AB0000}"/>
    <cellStyle name="Output 4 2 13" xfId="44022" xr:uid="{00000000-0005-0000-0000-0000F4AB0000}"/>
    <cellStyle name="Output 4 2 14" xfId="44023" xr:uid="{00000000-0005-0000-0000-0000F5AB0000}"/>
    <cellStyle name="Output 4 2 2" xfId="44024" xr:uid="{00000000-0005-0000-0000-0000F6AB0000}"/>
    <cellStyle name="Output 4 2 2 2" xfId="44025" xr:uid="{00000000-0005-0000-0000-0000F7AB0000}"/>
    <cellStyle name="Output 4 2 2 2 2" xfId="44026" xr:uid="{00000000-0005-0000-0000-0000F8AB0000}"/>
    <cellStyle name="Output 4 2 2 2 2 2" xfId="44027" xr:uid="{00000000-0005-0000-0000-0000F9AB0000}"/>
    <cellStyle name="Output 4 2 2 2 2 2 2" xfId="44028" xr:uid="{00000000-0005-0000-0000-0000FAAB0000}"/>
    <cellStyle name="Output 4 2 2 2 2 2 3" xfId="44029" xr:uid="{00000000-0005-0000-0000-0000FBAB0000}"/>
    <cellStyle name="Output 4 2 2 2 2 2 4" xfId="44030" xr:uid="{00000000-0005-0000-0000-0000FCAB0000}"/>
    <cellStyle name="Output 4 2 2 2 2 2 5" xfId="44031" xr:uid="{00000000-0005-0000-0000-0000FDAB0000}"/>
    <cellStyle name="Output 4 2 2 2 2 2 6" xfId="44032" xr:uid="{00000000-0005-0000-0000-0000FEAB0000}"/>
    <cellStyle name="Output 4 2 2 2 2 3" xfId="44033" xr:uid="{00000000-0005-0000-0000-0000FFAB0000}"/>
    <cellStyle name="Output 4 2 2 2 2 4" xfId="44034" xr:uid="{00000000-0005-0000-0000-000000AC0000}"/>
    <cellStyle name="Output 4 2 2 2 2 5" xfId="44035" xr:uid="{00000000-0005-0000-0000-000001AC0000}"/>
    <cellStyle name="Output 4 2 2 2 2 6" xfId="44036" xr:uid="{00000000-0005-0000-0000-000002AC0000}"/>
    <cellStyle name="Output 4 2 2 2 3" xfId="44037" xr:uid="{00000000-0005-0000-0000-000003AC0000}"/>
    <cellStyle name="Output 4 2 2 2 3 2" xfId="44038" xr:uid="{00000000-0005-0000-0000-000004AC0000}"/>
    <cellStyle name="Output 4 2 2 2 3 2 2" xfId="44039" xr:uid="{00000000-0005-0000-0000-000005AC0000}"/>
    <cellStyle name="Output 4 2 2 2 3 2 3" xfId="44040" xr:uid="{00000000-0005-0000-0000-000006AC0000}"/>
    <cellStyle name="Output 4 2 2 2 3 2 4" xfId="44041" xr:uid="{00000000-0005-0000-0000-000007AC0000}"/>
    <cellStyle name="Output 4 2 2 2 3 2 5" xfId="44042" xr:uid="{00000000-0005-0000-0000-000008AC0000}"/>
    <cellStyle name="Output 4 2 2 2 3 2 6" xfId="44043" xr:uid="{00000000-0005-0000-0000-000009AC0000}"/>
    <cellStyle name="Output 4 2 2 2 3 3" xfId="44044" xr:uid="{00000000-0005-0000-0000-00000AAC0000}"/>
    <cellStyle name="Output 4 2 2 2 3 4" xfId="44045" xr:uid="{00000000-0005-0000-0000-00000BAC0000}"/>
    <cellStyle name="Output 4 2 2 2 3 5" xfId="44046" xr:uid="{00000000-0005-0000-0000-00000CAC0000}"/>
    <cellStyle name="Output 4 2 2 2 3 6" xfId="44047" xr:uid="{00000000-0005-0000-0000-00000DAC0000}"/>
    <cellStyle name="Output 4 2 2 2 4" xfId="44048" xr:uid="{00000000-0005-0000-0000-00000EAC0000}"/>
    <cellStyle name="Output 4 2 2 2 4 2" xfId="44049" xr:uid="{00000000-0005-0000-0000-00000FAC0000}"/>
    <cellStyle name="Output 4 2 2 2 4 3" xfId="44050" xr:uid="{00000000-0005-0000-0000-000010AC0000}"/>
    <cellStyle name="Output 4 2 2 2 4 4" xfId="44051" xr:uid="{00000000-0005-0000-0000-000011AC0000}"/>
    <cellStyle name="Output 4 2 2 2 4 5" xfId="44052" xr:uid="{00000000-0005-0000-0000-000012AC0000}"/>
    <cellStyle name="Output 4 2 2 2 4 6" xfId="44053" xr:uid="{00000000-0005-0000-0000-000013AC0000}"/>
    <cellStyle name="Output 4 2 2 2 5" xfId="44054" xr:uid="{00000000-0005-0000-0000-000014AC0000}"/>
    <cellStyle name="Output 4 2 2 2 6" xfId="44055" xr:uid="{00000000-0005-0000-0000-000015AC0000}"/>
    <cellStyle name="Output 4 2 2 2 7" xfId="44056" xr:uid="{00000000-0005-0000-0000-000016AC0000}"/>
    <cellStyle name="Output 4 2 2 2 8" xfId="44057" xr:uid="{00000000-0005-0000-0000-000017AC0000}"/>
    <cellStyle name="Output 4 2 2 3" xfId="44058" xr:uid="{00000000-0005-0000-0000-000018AC0000}"/>
    <cellStyle name="Output 4 2 2 3 2" xfId="44059" xr:uid="{00000000-0005-0000-0000-000019AC0000}"/>
    <cellStyle name="Output 4 2 2 3 2 2" xfId="44060" xr:uid="{00000000-0005-0000-0000-00001AAC0000}"/>
    <cellStyle name="Output 4 2 2 3 2 3" xfId="44061" xr:uid="{00000000-0005-0000-0000-00001BAC0000}"/>
    <cellStyle name="Output 4 2 2 3 2 4" xfId="44062" xr:uid="{00000000-0005-0000-0000-00001CAC0000}"/>
    <cellStyle name="Output 4 2 2 3 2 5" xfId="44063" xr:uid="{00000000-0005-0000-0000-00001DAC0000}"/>
    <cellStyle name="Output 4 2 2 3 2 6" xfId="44064" xr:uid="{00000000-0005-0000-0000-00001EAC0000}"/>
    <cellStyle name="Output 4 2 2 3 3" xfId="44065" xr:uid="{00000000-0005-0000-0000-00001FAC0000}"/>
    <cellStyle name="Output 4 2 2 3 4" xfId="44066" xr:uid="{00000000-0005-0000-0000-000020AC0000}"/>
    <cellStyle name="Output 4 2 2 3 5" xfId="44067" xr:uid="{00000000-0005-0000-0000-000021AC0000}"/>
    <cellStyle name="Output 4 2 2 3 6" xfId="44068" xr:uid="{00000000-0005-0000-0000-000022AC0000}"/>
    <cellStyle name="Output 4 2 2 4" xfId="44069" xr:uid="{00000000-0005-0000-0000-000023AC0000}"/>
    <cellStyle name="Output 4 2 2 4 2" xfId="44070" xr:uid="{00000000-0005-0000-0000-000024AC0000}"/>
    <cellStyle name="Output 4 2 2 4 2 2" xfId="44071" xr:uid="{00000000-0005-0000-0000-000025AC0000}"/>
    <cellStyle name="Output 4 2 2 4 2 3" xfId="44072" xr:uid="{00000000-0005-0000-0000-000026AC0000}"/>
    <cellStyle name="Output 4 2 2 4 2 4" xfId="44073" xr:uid="{00000000-0005-0000-0000-000027AC0000}"/>
    <cellStyle name="Output 4 2 2 4 2 5" xfId="44074" xr:uid="{00000000-0005-0000-0000-000028AC0000}"/>
    <cellStyle name="Output 4 2 2 4 2 6" xfId="44075" xr:uid="{00000000-0005-0000-0000-000029AC0000}"/>
    <cellStyle name="Output 4 2 2 4 3" xfId="44076" xr:uid="{00000000-0005-0000-0000-00002AAC0000}"/>
    <cellStyle name="Output 4 2 2 4 4" xfId="44077" xr:uid="{00000000-0005-0000-0000-00002BAC0000}"/>
    <cellStyle name="Output 4 2 2 4 5" xfId="44078" xr:uid="{00000000-0005-0000-0000-00002CAC0000}"/>
    <cellStyle name="Output 4 2 2 4 6" xfId="44079" xr:uid="{00000000-0005-0000-0000-00002DAC0000}"/>
    <cellStyle name="Output 4 2 2 5" xfId="44080" xr:uid="{00000000-0005-0000-0000-00002EAC0000}"/>
    <cellStyle name="Output 4 2 2 5 2" xfId="44081" xr:uid="{00000000-0005-0000-0000-00002FAC0000}"/>
    <cellStyle name="Output 4 2 2 5 3" xfId="44082" xr:uid="{00000000-0005-0000-0000-000030AC0000}"/>
    <cellStyle name="Output 4 2 2 5 4" xfId="44083" xr:uid="{00000000-0005-0000-0000-000031AC0000}"/>
    <cellStyle name="Output 4 2 2 5 5" xfId="44084" xr:uid="{00000000-0005-0000-0000-000032AC0000}"/>
    <cellStyle name="Output 4 2 2 5 6" xfId="44085" xr:uid="{00000000-0005-0000-0000-000033AC0000}"/>
    <cellStyle name="Output 4 2 2 6" xfId="44086" xr:uid="{00000000-0005-0000-0000-000034AC0000}"/>
    <cellStyle name="Output 4 2 2 7" xfId="44087" xr:uid="{00000000-0005-0000-0000-000035AC0000}"/>
    <cellStyle name="Output 4 2 2 8" xfId="44088" xr:uid="{00000000-0005-0000-0000-000036AC0000}"/>
    <cellStyle name="Output 4 2 2 9" xfId="44089" xr:uid="{00000000-0005-0000-0000-000037AC0000}"/>
    <cellStyle name="Output 4 2 3" xfId="44090" xr:uid="{00000000-0005-0000-0000-000038AC0000}"/>
    <cellStyle name="Output 4 2 3 2" xfId="44091" xr:uid="{00000000-0005-0000-0000-000039AC0000}"/>
    <cellStyle name="Output 4 2 3 2 2" xfId="44092" xr:uid="{00000000-0005-0000-0000-00003AAC0000}"/>
    <cellStyle name="Output 4 2 3 2 2 2" xfId="44093" xr:uid="{00000000-0005-0000-0000-00003BAC0000}"/>
    <cellStyle name="Output 4 2 3 2 2 3" xfId="44094" xr:uid="{00000000-0005-0000-0000-00003CAC0000}"/>
    <cellStyle name="Output 4 2 3 2 2 4" xfId="44095" xr:uid="{00000000-0005-0000-0000-00003DAC0000}"/>
    <cellStyle name="Output 4 2 3 2 2 5" xfId="44096" xr:uid="{00000000-0005-0000-0000-00003EAC0000}"/>
    <cellStyle name="Output 4 2 3 2 2 6" xfId="44097" xr:uid="{00000000-0005-0000-0000-00003FAC0000}"/>
    <cellStyle name="Output 4 2 3 2 3" xfId="44098" xr:uid="{00000000-0005-0000-0000-000040AC0000}"/>
    <cellStyle name="Output 4 2 3 2 4" xfId="44099" xr:uid="{00000000-0005-0000-0000-000041AC0000}"/>
    <cellStyle name="Output 4 2 3 2 5" xfId="44100" xr:uid="{00000000-0005-0000-0000-000042AC0000}"/>
    <cellStyle name="Output 4 2 3 2 6" xfId="44101" xr:uid="{00000000-0005-0000-0000-000043AC0000}"/>
    <cellStyle name="Output 4 2 3 3" xfId="44102" xr:uid="{00000000-0005-0000-0000-000044AC0000}"/>
    <cellStyle name="Output 4 2 3 3 2" xfId="44103" xr:uid="{00000000-0005-0000-0000-000045AC0000}"/>
    <cellStyle name="Output 4 2 3 3 2 2" xfId="44104" xr:uid="{00000000-0005-0000-0000-000046AC0000}"/>
    <cellStyle name="Output 4 2 3 3 2 3" xfId="44105" xr:uid="{00000000-0005-0000-0000-000047AC0000}"/>
    <cellStyle name="Output 4 2 3 3 2 4" xfId="44106" xr:uid="{00000000-0005-0000-0000-000048AC0000}"/>
    <cellStyle name="Output 4 2 3 3 2 5" xfId="44107" xr:uid="{00000000-0005-0000-0000-000049AC0000}"/>
    <cellStyle name="Output 4 2 3 3 2 6" xfId="44108" xr:uid="{00000000-0005-0000-0000-00004AAC0000}"/>
    <cellStyle name="Output 4 2 3 3 3" xfId="44109" xr:uid="{00000000-0005-0000-0000-00004BAC0000}"/>
    <cellStyle name="Output 4 2 3 3 4" xfId="44110" xr:uid="{00000000-0005-0000-0000-00004CAC0000}"/>
    <cellStyle name="Output 4 2 3 3 5" xfId="44111" xr:uid="{00000000-0005-0000-0000-00004DAC0000}"/>
    <cellStyle name="Output 4 2 3 3 6" xfId="44112" xr:uid="{00000000-0005-0000-0000-00004EAC0000}"/>
    <cellStyle name="Output 4 2 3 4" xfId="44113" xr:uid="{00000000-0005-0000-0000-00004FAC0000}"/>
    <cellStyle name="Output 4 2 3 4 2" xfId="44114" xr:uid="{00000000-0005-0000-0000-000050AC0000}"/>
    <cellStyle name="Output 4 2 3 4 3" xfId="44115" xr:uid="{00000000-0005-0000-0000-000051AC0000}"/>
    <cellStyle name="Output 4 2 3 4 4" xfId="44116" xr:uid="{00000000-0005-0000-0000-000052AC0000}"/>
    <cellStyle name="Output 4 2 3 4 5" xfId="44117" xr:uid="{00000000-0005-0000-0000-000053AC0000}"/>
    <cellStyle name="Output 4 2 3 4 6" xfId="44118" xr:uid="{00000000-0005-0000-0000-000054AC0000}"/>
    <cellStyle name="Output 4 2 3 5" xfId="44119" xr:uid="{00000000-0005-0000-0000-000055AC0000}"/>
    <cellStyle name="Output 4 2 3 6" xfId="44120" xr:uid="{00000000-0005-0000-0000-000056AC0000}"/>
    <cellStyle name="Output 4 2 3 7" xfId="44121" xr:uid="{00000000-0005-0000-0000-000057AC0000}"/>
    <cellStyle name="Output 4 2 3 8" xfId="44122" xr:uid="{00000000-0005-0000-0000-000058AC0000}"/>
    <cellStyle name="Output 4 2 4" xfId="44123" xr:uid="{00000000-0005-0000-0000-000059AC0000}"/>
    <cellStyle name="Output 4 2 4 2" xfId="44124" xr:uid="{00000000-0005-0000-0000-00005AAC0000}"/>
    <cellStyle name="Output 4 2 4 2 2" xfId="44125" xr:uid="{00000000-0005-0000-0000-00005BAC0000}"/>
    <cellStyle name="Output 4 2 4 2 2 2" xfId="44126" xr:uid="{00000000-0005-0000-0000-00005CAC0000}"/>
    <cellStyle name="Output 4 2 4 2 2 3" xfId="44127" xr:uid="{00000000-0005-0000-0000-00005DAC0000}"/>
    <cellStyle name="Output 4 2 4 2 2 4" xfId="44128" xr:uid="{00000000-0005-0000-0000-00005EAC0000}"/>
    <cellStyle name="Output 4 2 4 2 2 5" xfId="44129" xr:uid="{00000000-0005-0000-0000-00005FAC0000}"/>
    <cellStyle name="Output 4 2 4 2 2 6" xfId="44130" xr:uid="{00000000-0005-0000-0000-000060AC0000}"/>
    <cellStyle name="Output 4 2 4 2 3" xfId="44131" xr:uid="{00000000-0005-0000-0000-000061AC0000}"/>
    <cellStyle name="Output 4 2 4 2 4" xfId="44132" xr:uid="{00000000-0005-0000-0000-000062AC0000}"/>
    <cellStyle name="Output 4 2 4 2 5" xfId="44133" xr:uid="{00000000-0005-0000-0000-000063AC0000}"/>
    <cellStyle name="Output 4 2 4 2 6" xfId="44134" xr:uid="{00000000-0005-0000-0000-000064AC0000}"/>
    <cellStyle name="Output 4 2 4 3" xfId="44135" xr:uid="{00000000-0005-0000-0000-000065AC0000}"/>
    <cellStyle name="Output 4 2 4 3 2" xfId="44136" xr:uid="{00000000-0005-0000-0000-000066AC0000}"/>
    <cellStyle name="Output 4 2 4 3 2 2" xfId="44137" xr:uid="{00000000-0005-0000-0000-000067AC0000}"/>
    <cellStyle name="Output 4 2 4 3 2 3" xfId="44138" xr:uid="{00000000-0005-0000-0000-000068AC0000}"/>
    <cellStyle name="Output 4 2 4 3 2 4" xfId="44139" xr:uid="{00000000-0005-0000-0000-000069AC0000}"/>
    <cellStyle name="Output 4 2 4 3 2 5" xfId="44140" xr:uid="{00000000-0005-0000-0000-00006AAC0000}"/>
    <cellStyle name="Output 4 2 4 3 2 6" xfId="44141" xr:uid="{00000000-0005-0000-0000-00006BAC0000}"/>
    <cellStyle name="Output 4 2 4 3 3" xfId="44142" xr:uid="{00000000-0005-0000-0000-00006CAC0000}"/>
    <cellStyle name="Output 4 2 4 3 4" xfId="44143" xr:uid="{00000000-0005-0000-0000-00006DAC0000}"/>
    <cellStyle name="Output 4 2 4 3 5" xfId="44144" xr:uid="{00000000-0005-0000-0000-00006EAC0000}"/>
    <cellStyle name="Output 4 2 4 3 6" xfId="44145" xr:uid="{00000000-0005-0000-0000-00006FAC0000}"/>
    <cellStyle name="Output 4 2 4 4" xfId="44146" xr:uid="{00000000-0005-0000-0000-000070AC0000}"/>
    <cellStyle name="Output 4 2 4 4 2" xfId="44147" xr:uid="{00000000-0005-0000-0000-000071AC0000}"/>
    <cellStyle name="Output 4 2 4 4 3" xfId="44148" xr:uid="{00000000-0005-0000-0000-000072AC0000}"/>
    <cellStyle name="Output 4 2 4 4 4" xfId="44149" xr:uid="{00000000-0005-0000-0000-000073AC0000}"/>
    <cellStyle name="Output 4 2 4 4 5" xfId="44150" xr:uid="{00000000-0005-0000-0000-000074AC0000}"/>
    <cellStyle name="Output 4 2 4 4 6" xfId="44151" xr:uid="{00000000-0005-0000-0000-000075AC0000}"/>
    <cellStyle name="Output 4 2 4 5" xfId="44152" xr:uid="{00000000-0005-0000-0000-000076AC0000}"/>
    <cellStyle name="Output 4 2 4 6" xfId="44153" xr:uid="{00000000-0005-0000-0000-000077AC0000}"/>
    <cellStyle name="Output 4 2 4 7" xfId="44154" xr:uid="{00000000-0005-0000-0000-000078AC0000}"/>
    <cellStyle name="Output 4 2 4 8" xfId="44155" xr:uid="{00000000-0005-0000-0000-000079AC0000}"/>
    <cellStyle name="Output 4 2 5" xfId="44156" xr:uid="{00000000-0005-0000-0000-00007AAC0000}"/>
    <cellStyle name="Output 4 2 5 2" xfId="44157" xr:uid="{00000000-0005-0000-0000-00007BAC0000}"/>
    <cellStyle name="Output 4 2 5 2 2" xfId="44158" xr:uid="{00000000-0005-0000-0000-00007CAC0000}"/>
    <cellStyle name="Output 4 2 5 2 2 2" xfId="44159" xr:uid="{00000000-0005-0000-0000-00007DAC0000}"/>
    <cellStyle name="Output 4 2 5 2 2 3" xfId="44160" xr:uid="{00000000-0005-0000-0000-00007EAC0000}"/>
    <cellStyle name="Output 4 2 5 2 2 4" xfId="44161" xr:uid="{00000000-0005-0000-0000-00007FAC0000}"/>
    <cellStyle name="Output 4 2 5 2 2 5" xfId="44162" xr:uid="{00000000-0005-0000-0000-000080AC0000}"/>
    <cellStyle name="Output 4 2 5 2 2 6" xfId="44163" xr:uid="{00000000-0005-0000-0000-000081AC0000}"/>
    <cellStyle name="Output 4 2 5 2 3" xfId="44164" xr:uid="{00000000-0005-0000-0000-000082AC0000}"/>
    <cellStyle name="Output 4 2 5 2 4" xfId="44165" xr:uid="{00000000-0005-0000-0000-000083AC0000}"/>
    <cellStyle name="Output 4 2 5 2 5" xfId="44166" xr:uid="{00000000-0005-0000-0000-000084AC0000}"/>
    <cellStyle name="Output 4 2 5 2 6" xfId="44167" xr:uid="{00000000-0005-0000-0000-000085AC0000}"/>
    <cellStyle name="Output 4 2 5 3" xfId="44168" xr:uid="{00000000-0005-0000-0000-000086AC0000}"/>
    <cellStyle name="Output 4 2 5 3 2" xfId="44169" xr:uid="{00000000-0005-0000-0000-000087AC0000}"/>
    <cellStyle name="Output 4 2 5 3 2 2" xfId="44170" xr:uid="{00000000-0005-0000-0000-000088AC0000}"/>
    <cellStyle name="Output 4 2 5 3 2 3" xfId="44171" xr:uid="{00000000-0005-0000-0000-000089AC0000}"/>
    <cellStyle name="Output 4 2 5 3 2 4" xfId="44172" xr:uid="{00000000-0005-0000-0000-00008AAC0000}"/>
    <cellStyle name="Output 4 2 5 3 2 5" xfId="44173" xr:uid="{00000000-0005-0000-0000-00008BAC0000}"/>
    <cellStyle name="Output 4 2 5 3 2 6" xfId="44174" xr:uid="{00000000-0005-0000-0000-00008CAC0000}"/>
    <cellStyle name="Output 4 2 5 3 3" xfId="44175" xr:uid="{00000000-0005-0000-0000-00008DAC0000}"/>
    <cellStyle name="Output 4 2 5 3 4" xfId="44176" xr:uid="{00000000-0005-0000-0000-00008EAC0000}"/>
    <cellStyle name="Output 4 2 5 3 5" xfId="44177" xr:uid="{00000000-0005-0000-0000-00008FAC0000}"/>
    <cellStyle name="Output 4 2 5 3 6" xfId="44178" xr:uid="{00000000-0005-0000-0000-000090AC0000}"/>
    <cellStyle name="Output 4 2 5 4" xfId="44179" xr:uid="{00000000-0005-0000-0000-000091AC0000}"/>
    <cellStyle name="Output 4 2 5 4 2" xfId="44180" xr:uid="{00000000-0005-0000-0000-000092AC0000}"/>
    <cellStyle name="Output 4 2 5 4 3" xfId="44181" xr:uid="{00000000-0005-0000-0000-000093AC0000}"/>
    <cellStyle name="Output 4 2 5 4 4" xfId="44182" xr:uid="{00000000-0005-0000-0000-000094AC0000}"/>
    <cellStyle name="Output 4 2 5 4 5" xfId="44183" xr:uid="{00000000-0005-0000-0000-000095AC0000}"/>
    <cellStyle name="Output 4 2 5 4 6" xfId="44184" xr:uid="{00000000-0005-0000-0000-000096AC0000}"/>
    <cellStyle name="Output 4 2 5 5" xfId="44185" xr:uid="{00000000-0005-0000-0000-000097AC0000}"/>
    <cellStyle name="Output 4 2 5 6" xfId="44186" xr:uid="{00000000-0005-0000-0000-000098AC0000}"/>
    <cellStyle name="Output 4 2 5 7" xfId="44187" xr:uid="{00000000-0005-0000-0000-000099AC0000}"/>
    <cellStyle name="Output 4 2 5 8" xfId="44188" xr:uid="{00000000-0005-0000-0000-00009AAC0000}"/>
    <cellStyle name="Output 4 2 6" xfId="44189" xr:uid="{00000000-0005-0000-0000-00009BAC0000}"/>
    <cellStyle name="Output 4 2 6 2" xfId="44190" xr:uid="{00000000-0005-0000-0000-00009CAC0000}"/>
    <cellStyle name="Output 4 2 6 2 2" xfId="44191" xr:uid="{00000000-0005-0000-0000-00009DAC0000}"/>
    <cellStyle name="Output 4 2 6 2 2 2" xfId="44192" xr:uid="{00000000-0005-0000-0000-00009EAC0000}"/>
    <cellStyle name="Output 4 2 6 2 2 3" xfId="44193" xr:uid="{00000000-0005-0000-0000-00009FAC0000}"/>
    <cellStyle name="Output 4 2 6 2 2 4" xfId="44194" xr:uid="{00000000-0005-0000-0000-0000A0AC0000}"/>
    <cellStyle name="Output 4 2 6 2 2 5" xfId="44195" xr:uid="{00000000-0005-0000-0000-0000A1AC0000}"/>
    <cellStyle name="Output 4 2 6 2 2 6" xfId="44196" xr:uid="{00000000-0005-0000-0000-0000A2AC0000}"/>
    <cellStyle name="Output 4 2 6 2 3" xfId="44197" xr:uid="{00000000-0005-0000-0000-0000A3AC0000}"/>
    <cellStyle name="Output 4 2 6 2 4" xfId="44198" xr:uid="{00000000-0005-0000-0000-0000A4AC0000}"/>
    <cellStyle name="Output 4 2 6 2 5" xfId="44199" xr:uid="{00000000-0005-0000-0000-0000A5AC0000}"/>
    <cellStyle name="Output 4 2 6 2 6" xfId="44200" xr:uid="{00000000-0005-0000-0000-0000A6AC0000}"/>
    <cellStyle name="Output 4 2 6 3" xfId="44201" xr:uid="{00000000-0005-0000-0000-0000A7AC0000}"/>
    <cellStyle name="Output 4 2 6 3 2" xfId="44202" xr:uid="{00000000-0005-0000-0000-0000A8AC0000}"/>
    <cellStyle name="Output 4 2 6 3 2 2" xfId="44203" xr:uid="{00000000-0005-0000-0000-0000A9AC0000}"/>
    <cellStyle name="Output 4 2 6 3 2 3" xfId="44204" xr:uid="{00000000-0005-0000-0000-0000AAAC0000}"/>
    <cellStyle name="Output 4 2 6 3 2 4" xfId="44205" xr:uid="{00000000-0005-0000-0000-0000ABAC0000}"/>
    <cellStyle name="Output 4 2 6 3 2 5" xfId="44206" xr:uid="{00000000-0005-0000-0000-0000ACAC0000}"/>
    <cellStyle name="Output 4 2 6 3 2 6" xfId="44207" xr:uid="{00000000-0005-0000-0000-0000ADAC0000}"/>
    <cellStyle name="Output 4 2 6 3 3" xfId="44208" xr:uid="{00000000-0005-0000-0000-0000AEAC0000}"/>
    <cellStyle name="Output 4 2 6 3 4" xfId="44209" xr:uid="{00000000-0005-0000-0000-0000AFAC0000}"/>
    <cellStyle name="Output 4 2 6 3 5" xfId="44210" xr:uid="{00000000-0005-0000-0000-0000B0AC0000}"/>
    <cellStyle name="Output 4 2 6 3 6" xfId="44211" xr:uid="{00000000-0005-0000-0000-0000B1AC0000}"/>
    <cellStyle name="Output 4 2 6 4" xfId="44212" xr:uid="{00000000-0005-0000-0000-0000B2AC0000}"/>
    <cellStyle name="Output 4 2 6 4 2" xfId="44213" xr:uid="{00000000-0005-0000-0000-0000B3AC0000}"/>
    <cellStyle name="Output 4 2 6 4 3" xfId="44214" xr:uid="{00000000-0005-0000-0000-0000B4AC0000}"/>
    <cellStyle name="Output 4 2 6 4 4" xfId="44215" xr:uid="{00000000-0005-0000-0000-0000B5AC0000}"/>
    <cellStyle name="Output 4 2 6 4 5" xfId="44216" xr:uid="{00000000-0005-0000-0000-0000B6AC0000}"/>
    <cellStyle name="Output 4 2 6 4 6" xfId="44217" xr:uid="{00000000-0005-0000-0000-0000B7AC0000}"/>
    <cellStyle name="Output 4 2 6 5" xfId="44218" xr:uid="{00000000-0005-0000-0000-0000B8AC0000}"/>
    <cellStyle name="Output 4 2 6 6" xfId="44219" xr:uid="{00000000-0005-0000-0000-0000B9AC0000}"/>
    <cellStyle name="Output 4 2 6 7" xfId="44220" xr:uid="{00000000-0005-0000-0000-0000BAAC0000}"/>
    <cellStyle name="Output 4 2 6 8" xfId="44221" xr:uid="{00000000-0005-0000-0000-0000BBAC0000}"/>
    <cellStyle name="Output 4 2 7" xfId="44222" xr:uid="{00000000-0005-0000-0000-0000BCAC0000}"/>
    <cellStyle name="Output 4 2 7 2" xfId="44223" xr:uid="{00000000-0005-0000-0000-0000BDAC0000}"/>
    <cellStyle name="Output 4 2 7 2 2" xfId="44224" xr:uid="{00000000-0005-0000-0000-0000BEAC0000}"/>
    <cellStyle name="Output 4 2 7 2 2 2" xfId="44225" xr:uid="{00000000-0005-0000-0000-0000BFAC0000}"/>
    <cellStyle name="Output 4 2 7 2 2 3" xfId="44226" xr:uid="{00000000-0005-0000-0000-0000C0AC0000}"/>
    <cellStyle name="Output 4 2 7 2 2 4" xfId="44227" xr:uid="{00000000-0005-0000-0000-0000C1AC0000}"/>
    <cellStyle name="Output 4 2 7 2 2 5" xfId="44228" xr:uid="{00000000-0005-0000-0000-0000C2AC0000}"/>
    <cellStyle name="Output 4 2 7 2 2 6" xfId="44229" xr:uid="{00000000-0005-0000-0000-0000C3AC0000}"/>
    <cellStyle name="Output 4 2 7 2 3" xfId="44230" xr:uid="{00000000-0005-0000-0000-0000C4AC0000}"/>
    <cellStyle name="Output 4 2 7 2 4" xfId="44231" xr:uid="{00000000-0005-0000-0000-0000C5AC0000}"/>
    <cellStyle name="Output 4 2 7 2 5" xfId="44232" xr:uid="{00000000-0005-0000-0000-0000C6AC0000}"/>
    <cellStyle name="Output 4 2 7 2 6" xfId="44233" xr:uid="{00000000-0005-0000-0000-0000C7AC0000}"/>
    <cellStyle name="Output 4 2 7 3" xfId="44234" xr:uid="{00000000-0005-0000-0000-0000C8AC0000}"/>
    <cellStyle name="Output 4 2 7 3 2" xfId="44235" xr:uid="{00000000-0005-0000-0000-0000C9AC0000}"/>
    <cellStyle name="Output 4 2 7 3 2 2" xfId="44236" xr:uid="{00000000-0005-0000-0000-0000CAAC0000}"/>
    <cellStyle name="Output 4 2 7 3 2 3" xfId="44237" xr:uid="{00000000-0005-0000-0000-0000CBAC0000}"/>
    <cellStyle name="Output 4 2 7 3 2 4" xfId="44238" xr:uid="{00000000-0005-0000-0000-0000CCAC0000}"/>
    <cellStyle name="Output 4 2 7 3 2 5" xfId="44239" xr:uid="{00000000-0005-0000-0000-0000CDAC0000}"/>
    <cellStyle name="Output 4 2 7 3 2 6" xfId="44240" xr:uid="{00000000-0005-0000-0000-0000CEAC0000}"/>
    <cellStyle name="Output 4 2 7 3 3" xfId="44241" xr:uid="{00000000-0005-0000-0000-0000CFAC0000}"/>
    <cellStyle name="Output 4 2 7 3 4" xfId="44242" xr:uid="{00000000-0005-0000-0000-0000D0AC0000}"/>
    <cellStyle name="Output 4 2 7 3 5" xfId="44243" xr:uid="{00000000-0005-0000-0000-0000D1AC0000}"/>
    <cellStyle name="Output 4 2 7 3 6" xfId="44244" xr:uid="{00000000-0005-0000-0000-0000D2AC0000}"/>
    <cellStyle name="Output 4 2 7 4" xfId="44245" xr:uid="{00000000-0005-0000-0000-0000D3AC0000}"/>
    <cellStyle name="Output 4 2 7 4 2" xfId="44246" xr:uid="{00000000-0005-0000-0000-0000D4AC0000}"/>
    <cellStyle name="Output 4 2 7 4 3" xfId="44247" xr:uid="{00000000-0005-0000-0000-0000D5AC0000}"/>
    <cellStyle name="Output 4 2 7 4 4" xfId="44248" xr:uid="{00000000-0005-0000-0000-0000D6AC0000}"/>
    <cellStyle name="Output 4 2 7 4 5" xfId="44249" xr:uid="{00000000-0005-0000-0000-0000D7AC0000}"/>
    <cellStyle name="Output 4 2 7 4 6" xfId="44250" xr:uid="{00000000-0005-0000-0000-0000D8AC0000}"/>
    <cellStyle name="Output 4 2 7 5" xfId="44251" xr:uid="{00000000-0005-0000-0000-0000D9AC0000}"/>
    <cellStyle name="Output 4 2 7 6" xfId="44252" xr:uid="{00000000-0005-0000-0000-0000DAAC0000}"/>
    <cellStyle name="Output 4 2 7 7" xfId="44253" xr:uid="{00000000-0005-0000-0000-0000DBAC0000}"/>
    <cellStyle name="Output 4 2 7 8" xfId="44254" xr:uid="{00000000-0005-0000-0000-0000DCAC0000}"/>
    <cellStyle name="Output 4 2 8" xfId="44255" xr:uid="{00000000-0005-0000-0000-0000DDAC0000}"/>
    <cellStyle name="Output 4 2 8 2" xfId="44256" xr:uid="{00000000-0005-0000-0000-0000DEAC0000}"/>
    <cellStyle name="Output 4 2 8 2 2" xfId="44257" xr:uid="{00000000-0005-0000-0000-0000DFAC0000}"/>
    <cellStyle name="Output 4 2 8 2 3" xfId="44258" xr:uid="{00000000-0005-0000-0000-0000E0AC0000}"/>
    <cellStyle name="Output 4 2 8 2 4" xfId="44259" xr:uid="{00000000-0005-0000-0000-0000E1AC0000}"/>
    <cellStyle name="Output 4 2 8 2 5" xfId="44260" xr:uid="{00000000-0005-0000-0000-0000E2AC0000}"/>
    <cellStyle name="Output 4 2 8 2 6" xfId="44261" xr:uid="{00000000-0005-0000-0000-0000E3AC0000}"/>
    <cellStyle name="Output 4 2 8 3" xfId="44262" xr:uid="{00000000-0005-0000-0000-0000E4AC0000}"/>
    <cellStyle name="Output 4 2 8 4" xfId="44263" xr:uid="{00000000-0005-0000-0000-0000E5AC0000}"/>
    <cellStyle name="Output 4 2 8 5" xfId="44264" xr:uid="{00000000-0005-0000-0000-0000E6AC0000}"/>
    <cellStyle name="Output 4 2 8 6" xfId="44265" xr:uid="{00000000-0005-0000-0000-0000E7AC0000}"/>
    <cellStyle name="Output 4 2 9" xfId="44266" xr:uid="{00000000-0005-0000-0000-0000E8AC0000}"/>
    <cellStyle name="Output 4 2 9 2" xfId="44267" xr:uid="{00000000-0005-0000-0000-0000E9AC0000}"/>
    <cellStyle name="Output 4 2 9 2 2" xfId="44268" xr:uid="{00000000-0005-0000-0000-0000EAAC0000}"/>
    <cellStyle name="Output 4 2 9 2 3" xfId="44269" xr:uid="{00000000-0005-0000-0000-0000EBAC0000}"/>
    <cellStyle name="Output 4 2 9 2 4" xfId="44270" xr:uid="{00000000-0005-0000-0000-0000ECAC0000}"/>
    <cellStyle name="Output 4 2 9 2 5" xfId="44271" xr:uid="{00000000-0005-0000-0000-0000EDAC0000}"/>
    <cellStyle name="Output 4 2 9 2 6" xfId="44272" xr:uid="{00000000-0005-0000-0000-0000EEAC0000}"/>
    <cellStyle name="Output 4 2 9 3" xfId="44273" xr:uid="{00000000-0005-0000-0000-0000EFAC0000}"/>
    <cellStyle name="Output 4 2 9 4" xfId="44274" xr:uid="{00000000-0005-0000-0000-0000F0AC0000}"/>
    <cellStyle name="Output 4 2 9 5" xfId="44275" xr:uid="{00000000-0005-0000-0000-0000F1AC0000}"/>
    <cellStyle name="Output 4 2 9 6" xfId="44276" xr:uid="{00000000-0005-0000-0000-0000F2AC0000}"/>
    <cellStyle name="Output 4 3" xfId="44277" xr:uid="{00000000-0005-0000-0000-0000F3AC0000}"/>
    <cellStyle name="Output 4 3 2" xfId="44278" xr:uid="{00000000-0005-0000-0000-0000F4AC0000}"/>
    <cellStyle name="Output 4 3 3" xfId="44279" xr:uid="{00000000-0005-0000-0000-0000F5AC0000}"/>
    <cellStyle name="Output 4 3 4" xfId="44280" xr:uid="{00000000-0005-0000-0000-0000F6AC0000}"/>
    <cellStyle name="Output 4 3 5" xfId="44281" xr:uid="{00000000-0005-0000-0000-0000F7AC0000}"/>
    <cellStyle name="Output 4 3 6" xfId="44282" xr:uid="{00000000-0005-0000-0000-0000F8AC0000}"/>
    <cellStyle name="Output 4 4" xfId="44283" xr:uid="{00000000-0005-0000-0000-0000F9AC0000}"/>
    <cellStyle name="Output 4 5" xfId="44284" xr:uid="{00000000-0005-0000-0000-0000FAAC0000}"/>
    <cellStyle name="Output 4 6" xfId="44285" xr:uid="{00000000-0005-0000-0000-0000FBAC0000}"/>
    <cellStyle name="Output 4 7" xfId="44286" xr:uid="{00000000-0005-0000-0000-0000FCAC0000}"/>
    <cellStyle name="OUTPUT AMOUNTS" xfId="44287" xr:uid="{00000000-0005-0000-0000-0000FDAC0000}"/>
    <cellStyle name="OUTPUT AMOUNTS 10" xfId="44288" xr:uid="{00000000-0005-0000-0000-0000FEAC0000}"/>
    <cellStyle name="OUTPUT AMOUNTS 11" xfId="44289" xr:uid="{00000000-0005-0000-0000-0000FFAC0000}"/>
    <cellStyle name="OUTPUT AMOUNTS 12" xfId="44290" xr:uid="{00000000-0005-0000-0000-000000AD0000}"/>
    <cellStyle name="OUTPUT AMOUNTS 13" xfId="44291" xr:uid="{00000000-0005-0000-0000-000001AD0000}"/>
    <cellStyle name="OUTPUT AMOUNTS 14" xfId="44292" xr:uid="{00000000-0005-0000-0000-000002AD0000}"/>
    <cellStyle name="OUTPUT AMOUNTS 15" xfId="44293" xr:uid="{00000000-0005-0000-0000-000003AD0000}"/>
    <cellStyle name="OUTPUT AMOUNTS 16" xfId="44294" xr:uid="{00000000-0005-0000-0000-000004AD0000}"/>
    <cellStyle name="OUTPUT AMOUNTS 17" xfId="44295" xr:uid="{00000000-0005-0000-0000-000005AD0000}"/>
    <cellStyle name="OUTPUT AMOUNTS 18" xfId="44296" xr:uid="{00000000-0005-0000-0000-000006AD0000}"/>
    <cellStyle name="OUTPUT AMOUNTS 19" xfId="44297" xr:uid="{00000000-0005-0000-0000-000007AD0000}"/>
    <cellStyle name="Output Amounts 2" xfId="44298" xr:uid="{00000000-0005-0000-0000-000008AD0000}"/>
    <cellStyle name="OUTPUT AMOUNTS 20" xfId="44299" xr:uid="{00000000-0005-0000-0000-000009AD0000}"/>
    <cellStyle name="OUTPUT AMOUNTS 21" xfId="44300" xr:uid="{00000000-0005-0000-0000-00000AAD0000}"/>
    <cellStyle name="OUTPUT AMOUNTS 22" xfId="44301" xr:uid="{00000000-0005-0000-0000-00000BAD0000}"/>
    <cellStyle name="OUTPUT AMOUNTS 23" xfId="44302" xr:uid="{00000000-0005-0000-0000-00000CAD0000}"/>
    <cellStyle name="OUTPUT AMOUNTS 24" xfId="44303" xr:uid="{00000000-0005-0000-0000-00000DAD0000}"/>
    <cellStyle name="OUTPUT AMOUNTS 25" xfId="44304" xr:uid="{00000000-0005-0000-0000-00000EAD0000}"/>
    <cellStyle name="OUTPUT AMOUNTS 26" xfId="44305" xr:uid="{00000000-0005-0000-0000-00000FAD0000}"/>
    <cellStyle name="OUTPUT AMOUNTS 27" xfId="44306" xr:uid="{00000000-0005-0000-0000-000010AD0000}"/>
    <cellStyle name="OUTPUT AMOUNTS 28" xfId="44307" xr:uid="{00000000-0005-0000-0000-000011AD0000}"/>
    <cellStyle name="OUTPUT AMOUNTS 29" xfId="44308" xr:uid="{00000000-0005-0000-0000-000012AD0000}"/>
    <cellStyle name="Output Amounts 3" xfId="44309" xr:uid="{00000000-0005-0000-0000-000013AD0000}"/>
    <cellStyle name="OUTPUT AMOUNTS 30" xfId="44310" xr:uid="{00000000-0005-0000-0000-000014AD0000}"/>
    <cellStyle name="OUTPUT AMOUNTS 31" xfId="44311" xr:uid="{00000000-0005-0000-0000-000015AD0000}"/>
    <cellStyle name="OUTPUT AMOUNTS 32" xfId="44312" xr:uid="{00000000-0005-0000-0000-000016AD0000}"/>
    <cellStyle name="OUTPUT AMOUNTS 33" xfId="44313" xr:uid="{00000000-0005-0000-0000-000017AD0000}"/>
    <cellStyle name="OUTPUT AMOUNTS 34" xfId="44314" xr:uid="{00000000-0005-0000-0000-000018AD0000}"/>
    <cellStyle name="OUTPUT AMOUNTS 35" xfId="44315" xr:uid="{00000000-0005-0000-0000-000019AD0000}"/>
    <cellStyle name="OUTPUT AMOUNTS 36" xfId="44316" xr:uid="{00000000-0005-0000-0000-00001AAD0000}"/>
    <cellStyle name="OUTPUT AMOUNTS 37" xfId="44317" xr:uid="{00000000-0005-0000-0000-00001BAD0000}"/>
    <cellStyle name="OUTPUT AMOUNTS 38" xfId="44318" xr:uid="{00000000-0005-0000-0000-00001CAD0000}"/>
    <cellStyle name="OUTPUT AMOUNTS 39" xfId="44319" xr:uid="{00000000-0005-0000-0000-00001DAD0000}"/>
    <cellStyle name="OUTPUT AMOUNTS 4" xfId="44320" xr:uid="{00000000-0005-0000-0000-00001EAD0000}"/>
    <cellStyle name="OUTPUT AMOUNTS 40" xfId="44321" xr:uid="{00000000-0005-0000-0000-00001FAD0000}"/>
    <cellStyle name="OUTPUT AMOUNTS 41" xfId="44322" xr:uid="{00000000-0005-0000-0000-000020AD0000}"/>
    <cellStyle name="OUTPUT AMOUNTS 42" xfId="44323" xr:uid="{00000000-0005-0000-0000-000021AD0000}"/>
    <cellStyle name="OUTPUT AMOUNTS 43" xfId="44324" xr:uid="{00000000-0005-0000-0000-000022AD0000}"/>
    <cellStyle name="OUTPUT AMOUNTS 44" xfId="44325" xr:uid="{00000000-0005-0000-0000-000023AD0000}"/>
    <cellStyle name="OUTPUT AMOUNTS 45" xfId="44326" xr:uid="{00000000-0005-0000-0000-000024AD0000}"/>
    <cellStyle name="OUTPUT AMOUNTS 46" xfId="44327" xr:uid="{00000000-0005-0000-0000-000025AD0000}"/>
    <cellStyle name="OUTPUT AMOUNTS 47" xfId="44328" xr:uid="{00000000-0005-0000-0000-000026AD0000}"/>
    <cellStyle name="OUTPUT AMOUNTS 48" xfId="44329" xr:uid="{00000000-0005-0000-0000-000027AD0000}"/>
    <cellStyle name="OUTPUT AMOUNTS 49" xfId="44330" xr:uid="{00000000-0005-0000-0000-000028AD0000}"/>
    <cellStyle name="OUTPUT AMOUNTS 5" xfId="44331" xr:uid="{00000000-0005-0000-0000-000029AD0000}"/>
    <cellStyle name="OUTPUT AMOUNTS 50" xfId="44332" xr:uid="{00000000-0005-0000-0000-00002AAD0000}"/>
    <cellStyle name="OUTPUT AMOUNTS 51" xfId="44333" xr:uid="{00000000-0005-0000-0000-00002BAD0000}"/>
    <cellStyle name="OUTPUT AMOUNTS 52" xfId="44334" xr:uid="{00000000-0005-0000-0000-00002CAD0000}"/>
    <cellStyle name="OUTPUT AMOUNTS 53" xfId="44335" xr:uid="{00000000-0005-0000-0000-00002DAD0000}"/>
    <cellStyle name="OUTPUT AMOUNTS 54" xfId="44336" xr:uid="{00000000-0005-0000-0000-00002EAD0000}"/>
    <cellStyle name="OUTPUT AMOUNTS 55" xfId="44337" xr:uid="{00000000-0005-0000-0000-00002FAD0000}"/>
    <cellStyle name="OUTPUT AMOUNTS 56" xfId="44338" xr:uid="{00000000-0005-0000-0000-000030AD0000}"/>
    <cellStyle name="OUTPUT AMOUNTS 57" xfId="44339" xr:uid="{00000000-0005-0000-0000-000031AD0000}"/>
    <cellStyle name="OUTPUT AMOUNTS 58" xfId="44340" xr:uid="{00000000-0005-0000-0000-000032AD0000}"/>
    <cellStyle name="OUTPUT AMOUNTS 59" xfId="44341" xr:uid="{00000000-0005-0000-0000-000033AD0000}"/>
    <cellStyle name="OUTPUT AMOUNTS 6" xfId="44342" xr:uid="{00000000-0005-0000-0000-000034AD0000}"/>
    <cellStyle name="OUTPUT AMOUNTS 60" xfId="44343" xr:uid="{00000000-0005-0000-0000-000035AD0000}"/>
    <cellStyle name="OUTPUT AMOUNTS 61" xfId="44344" xr:uid="{00000000-0005-0000-0000-000036AD0000}"/>
    <cellStyle name="OUTPUT AMOUNTS 62" xfId="44345" xr:uid="{00000000-0005-0000-0000-000037AD0000}"/>
    <cellStyle name="OUTPUT AMOUNTS 63" xfId="44346" xr:uid="{00000000-0005-0000-0000-000038AD0000}"/>
    <cellStyle name="OUTPUT AMOUNTS 64" xfId="44347" xr:uid="{00000000-0005-0000-0000-000039AD0000}"/>
    <cellStyle name="OUTPUT AMOUNTS 65" xfId="44348" xr:uid="{00000000-0005-0000-0000-00003AAD0000}"/>
    <cellStyle name="OUTPUT AMOUNTS 66" xfId="44349" xr:uid="{00000000-0005-0000-0000-00003BAD0000}"/>
    <cellStyle name="OUTPUT AMOUNTS 67" xfId="44350" xr:uid="{00000000-0005-0000-0000-00003CAD0000}"/>
    <cellStyle name="OUTPUT AMOUNTS 68" xfId="44351" xr:uid="{00000000-0005-0000-0000-00003DAD0000}"/>
    <cellStyle name="OUTPUT AMOUNTS 69" xfId="44352" xr:uid="{00000000-0005-0000-0000-00003EAD0000}"/>
    <cellStyle name="OUTPUT AMOUNTS 7" xfId="44353" xr:uid="{00000000-0005-0000-0000-00003FAD0000}"/>
    <cellStyle name="OUTPUT AMOUNTS 70" xfId="44354" xr:uid="{00000000-0005-0000-0000-000040AD0000}"/>
    <cellStyle name="OUTPUT AMOUNTS 71" xfId="44355" xr:uid="{00000000-0005-0000-0000-000041AD0000}"/>
    <cellStyle name="OUTPUT AMOUNTS 72" xfId="44356" xr:uid="{00000000-0005-0000-0000-000042AD0000}"/>
    <cellStyle name="OUTPUT AMOUNTS 73" xfId="44357" xr:uid="{00000000-0005-0000-0000-000043AD0000}"/>
    <cellStyle name="OUTPUT AMOUNTS 74" xfId="44358" xr:uid="{00000000-0005-0000-0000-000044AD0000}"/>
    <cellStyle name="OUTPUT AMOUNTS 75" xfId="44359" xr:uid="{00000000-0005-0000-0000-000045AD0000}"/>
    <cellStyle name="OUTPUT AMOUNTS 76" xfId="44360" xr:uid="{00000000-0005-0000-0000-000046AD0000}"/>
    <cellStyle name="OUTPUT AMOUNTS 77" xfId="44361" xr:uid="{00000000-0005-0000-0000-000047AD0000}"/>
    <cellStyle name="OUTPUT AMOUNTS 78" xfId="44362" xr:uid="{00000000-0005-0000-0000-000048AD0000}"/>
    <cellStyle name="OUTPUT AMOUNTS 79" xfId="44363" xr:uid="{00000000-0005-0000-0000-000049AD0000}"/>
    <cellStyle name="OUTPUT AMOUNTS 8" xfId="44364" xr:uid="{00000000-0005-0000-0000-00004AAD0000}"/>
    <cellStyle name="OUTPUT AMOUNTS 80" xfId="44365" xr:uid="{00000000-0005-0000-0000-00004BAD0000}"/>
    <cellStyle name="OUTPUT AMOUNTS 81" xfId="44366" xr:uid="{00000000-0005-0000-0000-00004CAD0000}"/>
    <cellStyle name="OUTPUT AMOUNTS 82" xfId="44367" xr:uid="{00000000-0005-0000-0000-00004DAD0000}"/>
    <cellStyle name="OUTPUT AMOUNTS 9" xfId="44368" xr:uid="{00000000-0005-0000-0000-00004EAD0000}"/>
    <cellStyle name="OUTPUT COLUMN HEADINGS" xfId="44369" xr:uid="{00000000-0005-0000-0000-00004FAD0000}"/>
    <cellStyle name="Output Column Headings 2" xfId="44370" xr:uid="{00000000-0005-0000-0000-000050AD0000}"/>
    <cellStyle name="Output Column Headings 3" xfId="44371" xr:uid="{00000000-0005-0000-0000-000051AD0000}"/>
    <cellStyle name="OUTPUT LINE ITEMS" xfId="44372" xr:uid="{00000000-0005-0000-0000-000052AD0000}"/>
    <cellStyle name="Output Line Items 2" xfId="44373" xr:uid="{00000000-0005-0000-0000-000053AD0000}"/>
    <cellStyle name="Output Line Items 3" xfId="44374" xr:uid="{00000000-0005-0000-0000-000054AD0000}"/>
    <cellStyle name="OUTPUT REPORT TITLE" xfId="44375" xr:uid="{00000000-0005-0000-0000-000055AD0000}"/>
    <cellStyle name="Page Heading Large" xfId="44376" xr:uid="{00000000-0005-0000-0000-000056AD0000}"/>
    <cellStyle name="Page Heading Small" xfId="44377" xr:uid="{00000000-0005-0000-0000-000057AD0000}"/>
    <cellStyle name="per.style" xfId="44378" xr:uid="{00000000-0005-0000-0000-000058AD0000}"/>
    <cellStyle name="Percent" xfId="3" builtinId="5"/>
    <cellStyle name="Percent (0.0)" xfId="44379" xr:uid="{00000000-0005-0000-0000-00005AAD0000}"/>
    <cellStyle name="Percent (0.0) 2" xfId="44380" xr:uid="{00000000-0005-0000-0000-00005BAD0000}"/>
    <cellStyle name="Percent [0]" xfId="44381" xr:uid="{00000000-0005-0000-0000-00005CAD0000}"/>
    <cellStyle name="Percent [00]" xfId="44382" xr:uid="{00000000-0005-0000-0000-00005DAD0000}"/>
    <cellStyle name="Percent [00] 2" xfId="44383" xr:uid="{00000000-0005-0000-0000-00005EAD0000}"/>
    <cellStyle name="Percent [2]" xfId="44384" xr:uid="{00000000-0005-0000-0000-00005FAD0000}"/>
    <cellStyle name="Percent [2] 10" xfId="44385" xr:uid="{00000000-0005-0000-0000-000060AD0000}"/>
    <cellStyle name="Percent [2] 10 2" xfId="44386" xr:uid="{00000000-0005-0000-0000-000061AD0000}"/>
    <cellStyle name="Percent [2] 2" xfId="44387" xr:uid="{00000000-0005-0000-0000-000062AD0000}"/>
    <cellStyle name="Percent [2] 2 2" xfId="44388" xr:uid="{00000000-0005-0000-0000-000063AD0000}"/>
    <cellStyle name="Percent [2] 3" xfId="44389" xr:uid="{00000000-0005-0000-0000-000064AD0000}"/>
    <cellStyle name="Percent [2] 3 2" xfId="44390" xr:uid="{00000000-0005-0000-0000-000065AD0000}"/>
    <cellStyle name="Percent [2] 4" xfId="44391" xr:uid="{00000000-0005-0000-0000-000066AD0000}"/>
    <cellStyle name="Percent [2] 4 2" xfId="44392" xr:uid="{00000000-0005-0000-0000-000067AD0000}"/>
    <cellStyle name="Percent [2] 5" xfId="44393" xr:uid="{00000000-0005-0000-0000-000068AD0000}"/>
    <cellStyle name="Percent [2] 5 2" xfId="44394" xr:uid="{00000000-0005-0000-0000-000069AD0000}"/>
    <cellStyle name="Percent [2] 6" xfId="44395" xr:uid="{00000000-0005-0000-0000-00006AAD0000}"/>
    <cellStyle name="Percent [2] 6 2" xfId="44396" xr:uid="{00000000-0005-0000-0000-00006BAD0000}"/>
    <cellStyle name="Percent [2] 7" xfId="44397" xr:uid="{00000000-0005-0000-0000-00006CAD0000}"/>
    <cellStyle name="Percent [2] 7 2" xfId="44398" xr:uid="{00000000-0005-0000-0000-00006DAD0000}"/>
    <cellStyle name="Percent [2] 8" xfId="44399" xr:uid="{00000000-0005-0000-0000-00006EAD0000}"/>
    <cellStyle name="Percent [2] 8 2" xfId="44400" xr:uid="{00000000-0005-0000-0000-00006FAD0000}"/>
    <cellStyle name="Percent [2] 9" xfId="44401" xr:uid="{00000000-0005-0000-0000-000070AD0000}"/>
    <cellStyle name="Percent [2] 9 2" xfId="44402" xr:uid="{00000000-0005-0000-0000-000071AD0000}"/>
    <cellStyle name="Percent 10" xfId="44403" xr:uid="{00000000-0005-0000-0000-000072AD0000}"/>
    <cellStyle name="Percent 10 2" xfId="44404" xr:uid="{00000000-0005-0000-0000-000073AD0000}"/>
    <cellStyle name="Percent 10 2 2" xfId="44405" xr:uid="{00000000-0005-0000-0000-000074AD0000}"/>
    <cellStyle name="Percent 10 3" xfId="44406" xr:uid="{00000000-0005-0000-0000-000075AD0000}"/>
    <cellStyle name="Percent 10 4" xfId="44407" xr:uid="{00000000-0005-0000-0000-000076AD0000}"/>
    <cellStyle name="Percent 11" xfId="44408" xr:uid="{00000000-0005-0000-0000-000077AD0000}"/>
    <cellStyle name="Percent 11 2" xfId="44409" xr:uid="{00000000-0005-0000-0000-000078AD0000}"/>
    <cellStyle name="Percent 11 3" xfId="44410" xr:uid="{00000000-0005-0000-0000-000079AD0000}"/>
    <cellStyle name="Percent 12" xfId="44411" xr:uid="{00000000-0005-0000-0000-00007AAD0000}"/>
    <cellStyle name="Percent 12 2" xfId="44412" xr:uid="{00000000-0005-0000-0000-00007BAD0000}"/>
    <cellStyle name="Percent 12 3" xfId="44413" xr:uid="{00000000-0005-0000-0000-00007CAD0000}"/>
    <cellStyle name="Percent 13" xfId="44414" xr:uid="{00000000-0005-0000-0000-00007DAD0000}"/>
    <cellStyle name="Percent 13 2" xfId="44415" xr:uid="{00000000-0005-0000-0000-00007EAD0000}"/>
    <cellStyle name="Percent 13 3" xfId="44416" xr:uid="{00000000-0005-0000-0000-00007FAD0000}"/>
    <cellStyle name="Percent 14" xfId="44417" xr:uid="{00000000-0005-0000-0000-000080AD0000}"/>
    <cellStyle name="Percent 14 2" xfId="44418" xr:uid="{00000000-0005-0000-0000-000081AD0000}"/>
    <cellStyle name="Percent 14 3" xfId="44419" xr:uid="{00000000-0005-0000-0000-000082AD0000}"/>
    <cellStyle name="Percent 14 3 2" xfId="44420" xr:uid="{00000000-0005-0000-0000-000083AD0000}"/>
    <cellStyle name="Percent 14 3 2 2" xfId="44421" xr:uid="{00000000-0005-0000-0000-000084AD0000}"/>
    <cellStyle name="Percent 14 3 2 2 2" xfId="44422" xr:uid="{00000000-0005-0000-0000-000085AD0000}"/>
    <cellStyle name="Percent 14 3 2 3" xfId="44423" xr:uid="{00000000-0005-0000-0000-000086AD0000}"/>
    <cellStyle name="Percent 14 3 3" xfId="44424" xr:uid="{00000000-0005-0000-0000-000087AD0000}"/>
    <cellStyle name="Percent 14 3 3 2" xfId="44425" xr:uid="{00000000-0005-0000-0000-000088AD0000}"/>
    <cellStyle name="Percent 14 3 4" xfId="44426" xr:uid="{00000000-0005-0000-0000-000089AD0000}"/>
    <cellStyle name="Percent 14 4" xfId="44427" xr:uid="{00000000-0005-0000-0000-00008AAD0000}"/>
    <cellStyle name="Percent 14 4 2" xfId="44428" xr:uid="{00000000-0005-0000-0000-00008BAD0000}"/>
    <cellStyle name="Percent 14 4 2 2" xfId="44429" xr:uid="{00000000-0005-0000-0000-00008CAD0000}"/>
    <cellStyle name="Percent 14 4 3" xfId="44430" xr:uid="{00000000-0005-0000-0000-00008DAD0000}"/>
    <cellStyle name="Percent 14 5" xfId="44431" xr:uid="{00000000-0005-0000-0000-00008EAD0000}"/>
    <cellStyle name="Percent 14 5 2" xfId="44432" xr:uid="{00000000-0005-0000-0000-00008FAD0000}"/>
    <cellStyle name="Percent 14 6" xfId="44433" xr:uid="{00000000-0005-0000-0000-000090AD0000}"/>
    <cellStyle name="Percent 15" xfId="44434" xr:uid="{00000000-0005-0000-0000-000091AD0000}"/>
    <cellStyle name="Percent 15 2" xfId="44435" xr:uid="{00000000-0005-0000-0000-000092AD0000}"/>
    <cellStyle name="Percent 15 2 2" xfId="44436" xr:uid="{00000000-0005-0000-0000-000093AD0000}"/>
    <cellStyle name="Percent 15 3" xfId="44437" xr:uid="{00000000-0005-0000-0000-000094AD0000}"/>
    <cellStyle name="Percent 15 4" xfId="44438" xr:uid="{00000000-0005-0000-0000-000095AD0000}"/>
    <cellStyle name="Percent 16" xfId="44439" xr:uid="{00000000-0005-0000-0000-000096AD0000}"/>
    <cellStyle name="Percent 16 2" xfId="44440" xr:uid="{00000000-0005-0000-0000-000097AD0000}"/>
    <cellStyle name="Percent 16 3" xfId="44441" xr:uid="{00000000-0005-0000-0000-000098AD0000}"/>
    <cellStyle name="Percent 17" xfId="44442" xr:uid="{00000000-0005-0000-0000-000099AD0000}"/>
    <cellStyle name="Percent 17 2" xfId="44443" xr:uid="{00000000-0005-0000-0000-00009AAD0000}"/>
    <cellStyle name="Percent 18" xfId="44444" xr:uid="{00000000-0005-0000-0000-00009BAD0000}"/>
    <cellStyle name="Percent 18 2" xfId="44445" xr:uid="{00000000-0005-0000-0000-00009CAD0000}"/>
    <cellStyle name="Percent 19" xfId="44446" xr:uid="{00000000-0005-0000-0000-00009DAD0000}"/>
    <cellStyle name="Percent 19 2" xfId="44447" xr:uid="{00000000-0005-0000-0000-00009EAD0000}"/>
    <cellStyle name="Percent 2" xfId="44448" xr:uid="{00000000-0005-0000-0000-00009FAD0000}"/>
    <cellStyle name="Percent 2 10" xfId="44449" xr:uid="{00000000-0005-0000-0000-0000A0AD0000}"/>
    <cellStyle name="Percent 2 11" xfId="44450" xr:uid="{00000000-0005-0000-0000-0000A1AD0000}"/>
    <cellStyle name="Percent 2 12" xfId="44451" xr:uid="{00000000-0005-0000-0000-0000A2AD0000}"/>
    <cellStyle name="Percent 2 13" xfId="44452" xr:uid="{00000000-0005-0000-0000-0000A3AD0000}"/>
    <cellStyle name="Percent 2 14" xfId="44453" xr:uid="{00000000-0005-0000-0000-0000A4AD0000}"/>
    <cellStyle name="Percent 2 15" xfId="44454" xr:uid="{00000000-0005-0000-0000-0000A5AD0000}"/>
    <cellStyle name="Percent 2 16" xfId="44455" xr:uid="{00000000-0005-0000-0000-0000A6AD0000}"/>
    <cellStyle name="Percent 2 17" xfId="44456" xr:uid="{00000000-0005-0000-0000-0000A7AD0000}"/>
    <cellStyle name="Percent 2 18" xfId="44457" xr:uid="{00000000-0005-0000-0000-0000A8AD0000}"/>
    <cellStyle name="Percent 2 19" xfId="44458" xr:uid="{00000000-0005-0000-0000-0000A9AD0000}"/>
    <cellStyle name="Percent 2 2" xfId="44459" xr:uid="{00000000-0005-0000-0000-0000AAAD0000}"/>
    <cellStyle name="Percent 2 2 2" xfId="44460" xr:uid="{00000000-0005-0000-0000-0000ABAD0000}"/>
    <cellStyle name="Percent 2 2 3" xfId="44461" xr:uid="{00000000-0005-0000-0000-0000ACAD0000}"/>
    <cellStyle name="Percent 2 20" xfId="44462" xr:uid="{00000000-0005-0000-0000-0000ADAD0000}"/>
    <cellStyle name="Percent 2 21" xfId="44463" xr:uid="{00000000-0005-0000-0000-0000AEAD0000}"/>
    <cellStyle name="Percent 2 22" xfId="44464" xr:uid="{00000000-0005-0000-0000-0000AFAD0000}"/>
    <cellStyle name="Percent 2 23" xfId="44465" xr:uid="{00000000-0005-0000-0000-0000B0AD0000}"/>
    <cellStyle name="Percent 2 3" xfId="44466" xr:uid="{00000000-0005-0000-0000-0000B1AD0000}"/>
    <cellStyle name="Percent 2 4" xfId="44467" xr:uid="{00000000-0005-0000-0000-0000B2AD0000}"/>
    <cellStyle name="Percent 2 4 10" xfId="44468" xr:uid="{00000000-0005-0000-0000-0000B3AD0000}"/>
    <cellStyle name="Percent 2 4 11" xfId="44469" xr:uid="{00000000-0005-0000-0000-0000B4AD0000}"/>
    <cellStyle name="Percent 2 4 12" xfId="44470" xr:uid="{00000000-0005-0000-0000-0000B5AD0000}"/>
    <cellStyle name="Percent 2 4 13" xfId="44471" xr:uid="{00000000-0005-0000-0000-0000B6AD0000}"/>
    <cellStyle name="Percent 2 4 14" xfId="44472" xr:uid="{00000000-0005-0000-0000-0000B7AD0000}"/>
    <cellStyle name="Percent 2 4 15" xfId="44473" xr:uid="{00000000-0005-0000-0000-0000B8AD0000}"/>
    <cellStyle name="Percent 2 4 16" xfId="44474" xr:uid="{00000000-0005-0000-0000-0000B9AD0000}"/>
    <cellStyle name="Percent 2 4 17" xfId="44475" xr:uid="{00000000-0005-0000-0000-0000BAAD0000}"/>
    <cellStyle name="Percent 2 4 18" xfId="44476" xr:uid="{00000000-0005-0000-0000-0000BBAD0000}"/>
    <cellStyle name="Percent 2 4 19" xfId="44477" xr:uid="{00000000-0005-0000-0000-0000BCAD0000}"/>
    <cellStyle name="Percent 2 4 19 2" xfId="44478" xr:uid="{00000000-0005-0000-0000-0000BDAD0000}"/>
    <cellStyle name="Percent 2 4 19 3" xfId="44479" xr:uid="{00000000-0005-0000-0000-0000BEAD0000}"/>
    <cellStyle name="Percent 2 4 2" xfId="44480" xr:uid="{00000000-0005-0000-0000-0000BFAD0000}"/>
    <cellStyle name="Percent 2 4 2 2" xfId="44481" xr:uid="{00000000-0005-0000-0000-0000C0AD0000}"/>
    <cellStyle name="Percent 2 4 20" xfId="44482" xr:uid="{00000000-0005-0000-0000-0000C1AD0000}"/>
    <cellStyle name="Percent 2 4 21" xfId="44483" xr:uid="{00000000-0005-0000-0000-0000C2AD0000}"/>
    <cellStyle name="Percent 2 4 22" xfId="44484" xr:uid="{00000000-0005-0000-0000-0000C3AD0000}"/>
    <cellStyle name="Percent 2 4 3" xfId="44485" xr:uid="{00000000-0005-0000-0000-0000C4AD0000}"/>
    <cellStyle name="Percent 2 4 4" xfId="44486" xr:uid="{00000000-0005-0000-0000-0000C5AD0000}"/>
    <cellStyle name="Percent 2 4 5" xfId="44487" xr:uid="{00000000-0005-0000-0000-0000C6AD0000}"/>
    <cellStyle name="Percent 2 4 6" xfId="44488" xr:uid="{00000000-0005-0000-0000-0000C7AD0000}"/>
    <cellStyle name="Percent 2 4 7" xfId="44489" xr:uid="{00000000-0005-0000-0000-0000C8AD0000}"/>
    <cellStyle name="Percent 2 4 8" xfId="44490" xr:uid="{00000000-0005-0000-0000-0000C9AD0000}"/>
    <cellStyle name="Percent 2 4 9" xfId="44491" xr:uid="{00000000-0005-0000-0000-0000CAAD0000}"/>
    <cellStyle name="Percent 2 5" xfId="44492" xr:uid="{00000000-0005-0000-0000-0000CBAD0000}"/>
    <cellStyle name="Percent 2 5 10" xfId="44493" xr:uid="{00000000-0005-0000-0000-0000CCAD0000}"/>
    <cellStyle name="Percent 2 5 11" xfId="44494" xr:uid="{00000000-0005-0000-0000-0000CDAD0000}"/>
    <cellStyle name="Percent 2 5 12" xfId="44495" xr:uid="{00000000-0005-0000-0000-0000CEAD0000}"/>
    <cellStyle name="Percent 2 5 13" xfId="44496" xr:uid="{00000000-0005-0000-0000-0000CFAD0000}"/>
    <cellStyle name="Percent 2 5 14" xfId="44497" xr:uid="{00000000-0005-0000-0000-0000D0AD0000}"/>
    <cellStyle name="Percent 2 5 15" xfId="44498" xr:uid="{00000000-0005-0000-0000-0000D1AD0000}"/>
    <cellStyle name="Percent 2 5 16" xfId="44499" xr:uid="{00000000-0005-0000-0000-0000D2AD0000}"/>
    <cellStyle name="Percent 2 5 17" xfId="44500" xr:uid="{00000000-0005-0000-0000-0000D3AD0000}"/>
    <cellStyle name="Percent 2 5 18" xfId="44501" xr:uid="{00000000-0005-0000-0000-0000D4AD0000}"/>
    <cellStyle name="Percent 2 5 19" xfId="44502" xr:uid="{00000000-0005-0000-0000-0000D5AD0000}"/>
    <cellStyle name="Percent 2 5 19 2" xfId="44503" xr:uid="{00000000-0005-0000-0000-0000D6AD0000}"/>
    <cellStyle name="Percent 2 5 19 3" xfId="44504" xr:uid="{00000000-0005-0000-0000-0000D7AD0000}"/>
    <cellStyle name="Percent 2 5 2" xfId="44505" xr:uid="{00000000-0005-0000-0000-0000D8AD0000}"/>
    <cellStyle name="Percent 2 5 20" xfId="44506" xr:uid="{00000000-0005-0000-0000-0000D9AD0000}"/>
    <cellStyle name="Percent 2 5 21" xfId="44507" xr:uid="{00000000-0005-0000-0000-0000DAAD0000}"/>
    <cellStyle name="Percent 2 5 3" xfId="44508" xr:uid="{00000000-0005-0000-0000-0000DBAD0000}"/>
    <cellStyle name="Percent 2 5 4" xfId="44509" xr:uid="{00000000-0005-0000-0000-0000DCAD0000}"/>
    <cellStyle name="Percent 2 5 5" xfId="44510" xr:uid="{00000000-0005-0000-0000-0000DDAD0000}"/>
    <cellStyle name="Percent 2 5 6" xfId="44511" xr:uid="{00000000-0005-0000-0000-0000DEAD0000}"/>
    <cellStyle name="Percent 2 5 7" xfId="44512" xr:uid="{00000000-0005-0000-0000-0000DFAD0000}"/>
    <cellStyle name="Percent 2 5 8" xfId="44513" xr:uid="{00000000-0005-0000-0000-0000E0AD0000}"/>
    <cellStyle name="Percent 2 5 9" xfId="44514" xr:uid="{00000000-0005-0000-0000-0000E1AD0000}"/>
    <cellStyle name="Percent 2 6" xfId="44515" xr:uid="{00000000-0005-0000-0000-0000E2AD0000}"/>
    <cellStyle name="Percent 2 6 2" xfId="44516" xr:uid="{00000000-0005-0000-0000-0000E3AD0000}"/>
    <cellStyle name="Percent 2 6 2 2" xfId="44517" xr:uid="{00000000-0005-0000-0000-0000E4AD0000}"/>
    <cellStyle name="Percent 2 6 2 2 2" xfId="44518" xr:uid="{00000000-0005-0000-0000-0000E5AD0000}"/>
    <cellStyle name="Percent 2 6 2 3" xfId="44519" xr:uid="{00000000-0005-0000-0000-0000E6AD0000}"/>
    <cellStyle name="Percent 2 6 3" xfId="44520" xr:uid="{00000000-0005-0000-0000-0000E7AD0000}"/>
    <cellStyle name="Percent 2 6 3 2" xfId="44521" xr:uid="{00000000-0005-0000-0000-0000E8AD0000}"/>
    <cellStyle name="Percent 2 6 4" xfId="44522" xr:uid="{00000000-0005-0000-0000-0000E9AD0000}"/>
    <cellStyle name="Percent 2 6 5" xfId="44523" xr:uid="{00000000-0005-0000-0000-0000EAAD0000}"/>
    <cellStyle name="Percent 2 7" xfId="44524" xr:uid="{00000000-0005-0000-0000-0000EBAD0000}"/>
    <cellStyle name="Percent 2 7 2" xfId="44525" xr:uid="{00000000-0005-0000-0000-0000ECAD0000}"/>
    <cellStyle name="Percent 2 7 2 2" xfId="44526" xr:uid="{00000000-0005-0000-0000-0000EDAD0000}"/>
    <cellStyle name="Percent 2 7 3" xfId="44527" xr:uid="{00000000-0005-0000-0000-0000EEAD0000}"/>
    <cellStyle name="Percent 2 7 4" xfId="44528" xr:uid="{00000000-0005-0000-0000-0000EFAD0000}"/>
    <cellStyle name="Percent 2 8" xfId="44529" xr:uid="{00000000-0005-0000-0000-0000F0AD0000}"/>
    <cellStyle name="Percent 2 8 2" xfId="44530" xr:uid="{00000000-0005-0000-0000-0000F1AD0000}"/>
    <cellStyle name="Percent 2 8 3" xfId="44531" xr:uid="{00000000-0005-0000-0000-0000F2AD0000}"/>
    <cellStyle name="Percent 2 9" xfId="44532" xr:uid="{00000000-0005-0000-0000-0000F3AD0000}"/>
    <cellStyle name="Percent 2 9 2" xfId="44533" xr:uid="{00000000-0005-0000-0000-0000F4AD0000}"/>
    <cellStyle name="Percent 20" xfId="44534" xr:uid="{00000000-0005-0000-0000-0000F5AD0000}"/>
    <cellStyle name="Percent 20 2" xfId="44535" xr:uid="{00000000-0005-0000-0000-0000F6AD0000}"/>
    <cellStyle name="Percent 21" xfId="44536" xr:uid="{00000000-0005-0000-0000-0000F7AD0000}"/>
    <cellStyle name="Percent 21 2" xfId="44537" xr:uid="{00000000-0005-0000-0000-0000F8AD0000}"/>
    <cellStyle name="Percent 21 2 2" xfId="44538" xr:uid="{00000000-0005-0000-0000-0000F9AD0000}"/>
    <cellStyle name="Percent 21 2 2 2" xfId="44539" xr:uid="{00000000-0005-0000-0000-0000FAAD0000}"/>
    <cellStyle name="Percent 21 2 2 2 2" xfId="44540" xr:uid="{00000000-0005-0000-0000-0000FBAD0000}"/>
    <cellStyle name="Percent 21 2 2 3" xfId="44541" xr:uid="{00000000-0005-0000-0000-0000FCAD0000}"/>
    <cellStyle name="Percent 21 2 3" xfId="44542" xr:uid="{00000000-0005-0000-0000-0000FDAD0000}"/>
    <cellStyle name="Percent 21 2 3 2" xfId="44543" xr:uid="{00000000-0005-0000-0000-0000FEAD0000}"/>
    <cellStyle name="Percent 21 2 4" xfId="44544" xr:uid="{00000000-0005-0000-0000-0000FFAD0000}"/>
    <cellStyle name="Percent 21 3" xfId="44545" xr:uid="{00000000-0005-0000-0000-000000AE0000}"/>
    <cellStyle name="Percent 21 3 2" xfId="44546" xr:uid="{00000000-0005-0000-0000-000001AE0000}"/>
    <cellStyle name="Percent 21 3 2 2" xfId="44547" xr:uid="{00000000-0005-0000-0000-000002AE0000}"/>
    <cellStyle name="Percent 21 3 3" xfId="44548" xr:uid="{00000000-0005-0000-0000-000003AE0000}"/>
    <cellStyle name="Percent 21 4" xfId="44549" xr:uid="{00000000-0005-0000-0000-000004AE0000}"/>
    <cellStyle name="Percent 21 4 2" xfId="44550" xr:uid="{00000000-0005-0000-0000-000005AE0000}"/>
    <cellStyle name="Percent 21 5" xfId="44551" xr:uid="{00000000-0005-0000-0000-000006AE0000}"/>
    <cellStyle name="Percent 22" xfId="44552" xr:uid="{00000000-0005-0000-0000-000007AE0000}"/>
    <cellStyle name="Percent 23" xfId="44553" xr:uid="{00000000-0005-0000-0000-000008AE0000}"/>
    <cellStyle name="Percent 24" xfId="44554" xr:uid="{00000000-0005-0000-0000-000009AE0000}"/>
    <cellStyle name="Percent 25" xfId="44555" xr:uid="{00000000-0005-0000-0000-00000AAE0000}"/>
    <cellStyle name="Percent 26" xfId="44556" xr:uid="{00000000-0005-0000-0000-00000BAE0000}"/>
    <cellStyle name="Percent 27" xfId="44557" xr:uid="{00000000-0005-0000-0000-00000CAE0000}"/>
    <cellStyle name="Percent 28" xfId="44558" xr:uid="{00000000-0005-0000-0000-00000DAE0000}"/>
    <cellStyle name="Percent 29" xfId="44559" xr:uid="{00000000-0005-0000-0000-00000EAE0000}"/>
    <cellStyle name="Percent 3" xfId="5" xr:uid="{00000000-0005-0000-0000-00000FAE0000}"/>
    <cellStyle name="Percent 3 10" xfId="44560" xr:uid="{00000000-0005-0000-0000-000010AE0000}"/>
    <cellStyle name="Percent 3 11" xfId="44561" xr:uid="{00000000-0005-0000-0000-000011AE0000}"/>
    <cellStyle name="Percent 3 12" xfId="44562" xr:uid="{00000000-0005-0000-0000-000012AE0000}"/>
    <cellStyle name="Percent 3 13" xfId="44563" xr:uid="{00000000-0005-0000-0000-000013AE0000}"/>
    <cellStyle name="Percent 3 14" xfId="44564" xr:uid="{00000000-0005-0000-0000-000014AE0000}"/>
    <cellStyle name="Percent 3 15" xfId="44565" xr:uid="{00000000-0005-0000-0000-000015AE0000}"/>
    <cellStyle name="Percent 3 16" xfId="44566" xr:uid="{00000000-0005-0000-0000-000016AE0000}"/>
    <cellStyle name="Percent 3 17" xfId="44567" xr:uid="{00000000-0005-0000-0000-000017AE0000}"/>
    <cellStyle name="Percent 3 18" xfId="44568" xr:uid="{00000000-0005-0000-0000-000018AE0000}"/>
    <cellStyle name="Percent 3 19" xfId="44569" xr:uid="{00000000-0005-0000-0000-000019AE0000}"/>
    <cellStyle name="Percent 3 2" xfId="44570" xr:uid="{00000000-0005-0000-0000-00001AAE0000}"/>
    <cellStyle name="Percent 3 2 2" xfId="44571" xr:uid="{00000000-0005-0000-0000-00001BAE0000}"/>
    <cellStyle name="Percent 3 2 3" xfId="44572" xr:uid="{00000000-0005-0000-0000-00001CAE0000}"/>
    <cellStyle name="Percent 3 2 4" xfId="44573" xr:uid="{00000000-0005-0000-0000-00001DAE0000}"/>
    <cellStyle name="Percent 3 2 5" xfId="44574" xr:uid="{00000000-0005-0000-0000-00001EAE0000}"/>
    <cellStyle name="Percent 3 20" xfId="44575" xr:uid="{00000000-0005-0000-0000-00001FAE0000}"/>
    <cellStyle name="Percent 3 21" xfId="44576" xr:uid="{00000000-0005-0000-0000-000020AE0000}"/>
    <cellStyle name="Percent 3 21 2" xfId="44577" xr:uid="{00000000-0005-0000-0000-000021AE0000}"/>
    <cellStyle name="Percent 3 21 3" xfId="44578" xr:uid="{00000000-0005-0000-0000-000022AE0000}"/>
    <cellStyle name="Percent 3 22" xfId="44579" xr:uid="{00000000-0005-0000-0000-000023AE0000}"/>
    <cellStyle name="Percent 3 22 2" xfId="44580" xr:uid="{00000000-0005-0000-0000-000024AE0000}"/>
    <cellStyle name="Percent 3 22 3" xfId="44581" xr:uid="{00000000-0005-0000-0000-000025AE0000}"/>
    <cellStyle name="Percent 3 23" xfId="44582" xr:uid="{00000000-0005-0000-0000-000026AE0000}"/>
    <cellStyle name="Percent 3 23 2" xfId="44583" xr:uid="{00000000-0005-0000-0000-000027AE0000}"/>
    <cellStyle name="Percent 3 23 3" xfId="44584" xr:uid="{00000000-0005-0000-0000-000028AE0000}"/>
    <cellStyle name="Percent 3 24" xfId="44585" xr:uid="{00000000-0005-0000-0000-000029AE0000}"/>
    <cellStyle name="Percent 3 25" xfId="44586" xr:uid="{00000000-0005-0000-0000-00002AAE0000}"/>
    <cellStyle name="Percent 3 3" xfId="44587" xr:uid="{00000000-0005-0000-0000-00002BAE0000}"/>
    <cellStyle name="Percent 3 3 2" xfId="44588" xr:uid="{00000000-0005-0000-0000-00002CAE0000}"/>
    <cellStyle name="Percent 3 3 3" xfId="44589" xr:uid="{00000000-0005-0000-0000-00002DAE0000}"/>
    <cellStyle name="Percent 3 4" xfId="44590" xr:uid="{00000000-0005-0000-0000-00002EAE0000}"/>
    <cellStyle name="Percent 3 4 2" xfId="44591" xr:uid="{00000000-0005-0000-0000-00002FAE0000}"/>
    <cellStyle name="Percent 3 4 3" xfId="44592" xr:uid="{00000000-0005-0000-0000-000030AE0000}"/>
    <cellStyle name="Percent 3 5" xfId="44593" xr:uid="{00000000-0005-0000-0000-000031AE0000}"/>
    <cellStyle name="Percent 3 5 2" xfId="44594" xr:uid="{00000000-0005-0000-0000-000032AE0000}"/>
    <cellStyle name="Percent 3 6" xfId="44595" xr:uid="{00000000-0005-0000-0000-000033AE0000}"/>
    <cellStyle name="Percent 3 6 2" xfId="44596" xr:uid="{00000000-0005-0000-0000-000034AE0000}"/>
    <cellStyle name="Percent 3 7" xfId="44597" xr:uid="{00000000-0005-0000-0000-000035AE0000}"/>
    <cellStyle name="Percent 3 8" xfId="44598" xr:uid="{00000000-0005-0000-0000-000036AE0000}"/>
    <cellStyle name="Percent 3 9" xfId="44599" xr:uid="{00000000-0005-0000-0000-000037AE0000}"/>
    <cellStyle name="Percent 30" xfId="44600" xr:uid="{00000000-0005-0000-0000-000038AE0000}"/>
    <cellStyle name="Percent 31" xfId="44601" xr:uid="{00000000-0005-0000-0000-000039AE0000}"/>
    <cellStyle name="Percent 32" xfId="44602" xr:uid="{00000000-0005-0000-0000-00003AAE0000}"/>
    <cellStyle name="Percent 33" xfId="44603" xr:uid="{00000000-0005-0000-0000-00003BAE0000}"/>
    <cellStyle name="Percent 34" xfId="44604" xr:uid="{00000000-0005-0000-0000-00003CAE0000}"/>
    <cellStyle name="Percent 35" xfId="44605" xr:uid="{00000000-0005-0000-0000-00003DAE0000}"/>
    <cellStyle name="Percent 36" xfId="44606" xr:uid="{00000000-0005-0000-0000-00003EAE0000}"/>
    <cellStyle name="Percent 37" xfId="44607" xr:uid="{00000000-0005-0000-0000-00003FAE0000}"/>
    <cellStyle name="Percent 4" xfId="44608" xr:uid="{00000000-0005-0000-0000-000040AE0000}"/>
    <cellStyle name="Percent 4 2" xfId="44609" xr:uid="{00000000-0005-0000-0000-000041AE0000}"/>
    <cellStyle name="Percent 4 2 2" xfId="44610" xr:uid="{00000000-0005-0000-0000-000042AE0000}"/>
    <cellStyle name="Percent 4 2 2 2" xfId="44611" xr:uid="{00000000-0005-0000-0000-000043AE0000}"/>
    <cellStyle name="Percent 4 2 2 2 2" xfId="44612" xr:uid="{00000000-0005-0000-0000-000044AE0000}"/>
    <cellStyle name="Percent 4 2 2 2 3" xfId="44613" xr:uid="{00000000-0005-0000-0000-000045AE0000}"/>
    <cellStyle name="Percent 4 2 2 3" xfId="44614" xr:uid="{00000000-0005-0000-0000-000046AE0000}"/>
    <cellStyle name="Percent 4 2 2 4" xfId="44615" xr:uid="{00000000-0005-0000-0000-000047AE0000}"/>
    <cellStyle name="Percent 4 2 3" xfId="44616" xr:uid="{00000000-0005-0000-0000-000048AE0000}"/>
    <cellStyle name="Percent 4 3" xfId="44617" xr:uid="{00000000-0005-0000-0000-000049AE0000}"/>
    <cellStyle name="Percent 4 4" xfId="44618" xr:uid="{00000000-0005-0000-0000-00004AAE0000}"/>
    <cellStyle name="Percent 4 4 2" xfId="44619" xr:uid="{00000000-0005-0000-0000-00004BAE0000}"/>
    <cellStyle name="Percent 4 4 2 2" xfId="44620" xr:uid="{00000000-0005-0000-0000-00004CAE0000}"/>
    <cellStyle name="Percent 4 4 2 2 2" xfId="44621" xr:uid="{00000000-0005-0000-0000-00004DAE0000}"/>
    <cellStyle name="Percent 4 4 2 2 3" xfId="44622" xr:uid="{00000000-0005-0000-0000-00004EAE0000}"/>
    <cellStyle name="Percent 4 4 2 3" xfId="44623" xr:uid="{00000000-0005-0000-0000-00004FAE0000}"/>
    <cellStyle name="Percent 4 4 2 4" xfId="44624" xr:uid="{00000000-0005-0000-0000-000050AE0000}"/>
    <cellStyle name="Percent 4 5" xfId="44625" xr:uid="{00000000-0005-0000-0000-000051AE0000}"/>
    <cellStyle name="Percent 4 5 2" xfId="44626" xr:uid="{00000000-0005-0000-0000-000052AE0000}"/>
    <cellStyle name="Percent 4 5 2 2" xfId="44627" xr:uid="{00000000-0005-0000-0000-000053AE0000}"/>
    <cellStyle name="Percent 4 5 2 2 2" xfId="44628" xr:uid="{00000000-0005-0000-0000-000054AE0000}"/>
    <cellStyle name="Percent 4 5 2 2 3" xfId="44629" xr:uid="{00000000-0005-0000-0000-000055AE0000}"/>
    <cellStyle name="Percent 4 5 2 3" xfId="44630" xr:uid="{00000000-0005-0000-0000-000056AE0000}"/>
    <cellStyle name="Percent 4 5 2 4" xfId="44631" xr:uid="{00000000-0005-0000-0000-000057AE0000}"/>
    <cellStyle name="Percent 4 6" xfId="44632" xr:uid="{00000000-0005-0000-0000-000058AE0000}"/>
    <cellStyle name="Percent 4 6 2" xfId="44633" xr:uid="{00000000-0005-0000-0000-000059AE0000}"/>
    <cellStyle name="Percent 4 6 2 2" xfId="44634" xr:uid="{00000000-0005-0000-0000-00005AAE0000}"/>
    <cellStyle name="Percent 4 6 2 3" xfId="44635" xr:uid="{00000000-0005-0000-0000-00005BAE0000}"/>
    <cellStyle name="Percent 4 6 3" xfId="44636" xr:uid="{00000000-0005-0000-0000-00005CAE0000}"/>
    <cellStyle name="Percent 4 6 4" xfId="44637" xr:uid="{00000000-0005-0000-0000-00005DAE0000}"/>
    <cellStyle name="Percent 4 7" xfId="44638" xr:uid="{00000000-0005-0000-0000-00005EAE0000}"/>
    <cellStyle name="Percent 4 8" xfId="44639" xr:uid="{00000000-0005-0000-0000-00005FAE0000}"/>
    <cellStyle name="Percent 4 8 2" xfId="44640" xr:uid="{00000000-0005-0000-0000-000060AE0000}"/>
    <cellStyle name="Percent 4 8 3" xfId="44641" xr:uid="{00000000-0005-0000-0000-000061AE0000}"/>
    <cellStyle name="Percent 5" xfId="44642" xr:uid="{00000000-0005-0000-0000-000062AE0000}"/>
    <cellStyle name="Percent 5 2" xfId="44643" xr:uid="{00000000-0005-0000-0000-000063AE0000}"/>
    <cellStyle name="Percent 5 2 2" xfId="44644" xr:uid="{00000000-0005-0000-0000-000064AE0000}"/>
    <cellStyle name="Percent 5 3" xfId="44645" xr:uid="{00000000-0005-0000-0000-000065AE0000}"/>
    <cellStyle name="Percent 5 3 2" xfId="44646" xr:uid="{00000000-0005-0000-0000-000066AE0000}"/>
    <cellStyle name="Percent 5 3 2 2" xfId="44647" xr:uid="{00000000-0005-0000-0000-000067AE0000}"/>
    <cellStyle name="Percent 5 3 2 3" xfId="44648" xr:uid="{00000000-0005-0000-0000-000068AE0000}"/>
    <cellStyle name="Percent 5 3 3" xfId="44649" xr:uid="{00000000-0005-0000-0000-000069AE0000}"/>
    <cellStyle name="Percent 5 3 4" xfId="44650" xr:uid="{00000000-0005-0000-0000-00006AAE0000}"/>
    <cellStyle name="Percent 5 4" xfId="44651" xr:uid="{00000000-0005-0000-0000-00006BAE0000}"/>
    <cellStyle name="Percent 5 5" xfId="44652" xr:uid="{00000000-0005-0000-0000-00006CAE0000}"/>
    <cellStyle name="Percent 6" xfId="44653" xr:uid="{00000000-0005-0000-0000-00006DAE0000}"/>
    <cellStyle name="Percent 6 2" xfId="44654" xr:uid="{00000000-0005-0000-0000-00006EAE0000}"/>
    <cellStyle name="Percent 6 2 2" xfId="44655" xr:uid="{00000000-0005-0000-0000-00006FAE0000}"/>
    <cellStyle name="Percent 6 3" xfId="44656" xr:uid="{00000000-0005-0000-0000-000070AE0000}"/>
    <cellStyle name="Percent 6 3 2" xfId="44657" xr:uid="{00000000-0005-0000-0000-000071AE0000}"/>
    <cellStyle name="Percent 6 3 3" xfId="44658" xr:uid="{00000000-0005-0000-0000-000072AE0000}"/>
    <cellStyle name="Percent 6 4" xfId="44659" xr:uid="{00000000-0005-0000-0000-000073AE0000}"/>
    <cellStyle name="Percent 6 4 2" xfId="44660" xr:uid="{00000000-0005-0000-0000-000074AE0000}"/>
    <cellStyle name="Percent 6 4 3" xfId="44661" xr:uid="{00000000-0005-0000-0000-000075AE0000}"/>
    <cellStyle name="Percent 6 5" xfId="44662" xr:uid="{00000000-0005-0000-0000-000076AE0000}"/>
    <cellStyle name="Percent 6 6" xfId="44663" xr:uid="{00000000-0005-0000-0000-000077AE0000}"/>
    <cellStyle name="Percent 6 7" xfId="44664" xr:uid="{00000000-0005-0000-0000-000078AE0000}"/>
    <cellStyle name="Percent 7" xfId="44665" xr:uid="{00000000-0005-0000-0000-000079AE0000}"/>
    <cellStyle name="Percent 7 2" xfId="44666" xr:uid="{00000000-0005-0000-0000-00007AAE0000}"/>
    <cellStyle name="Percent 7 2 2" xfId="44667" xr:uid="{00000000-0005-0000-0000-00007BAE0000}"/>
    <cellStyle name="Percent 7 2 3" xfId="44668" xr:uid="{00000000-0005-0000-0000-00007CAE0000}"/>
    <cellStyle name="Percent 7 3" xfId="44669" xr:uid="{00000000-0005-0000-0000-00007DAE0000}"/>
    <cellStyle name="Percent 7 4" xfId="44670" xr:uid="{00000000-0005-0000-0000-00007EAE0000}"/>
    <cellStyle name="Percent 7 5" xfId="44671" xr:uid="{00000000-0005-0000-0000-00007FAE0000}"/>
    <cellStyle name="Percent 8" xfId="44672" xr:uid="{00000000-0005-0000-0000-000080AE0000}"/>
    <cellStyle name="Percent 8 2" xfId="44673" xr:uid="{00000000-0005-0000-0000-000081AE0000}"/>
    <cellStyle name="Percent 8 3" xfId="44674" xr:uid="{00000000-0005-0000-0000-000082AE0000}"/>
    <cellStyle name="Percent 8 4" xfId="44675" xr:uid="{00000000-0005-0000-0000-000083AE0000}"/>
    <cellStyle name="Percent 9" xfId="44676" xr:uid="{00000000-0005-0000-0000-000084AE0000}"/>
    <cellStyle name="Percent 9 2" xfId="44677" xr:uid="{00000000-0005-0000-0000-000085AE0000}"/>
    <cellStyle name="Percent 9 3" xfId="44678" xr:uid="{00000000-0005-0000-0000-000086AE0000}"/>
    <cellStyle name="Percent Hard" xfId="44679" xr:uid="{00000000-0005-0000-0000-000087AE0000}"/>
    <cellStyle name="Period" xfId="44680" xr:uid="{00000000-0005-0000-0000-000088AE0000}"/>
    <cellStyle name="PrePop Currency (0)" xfId="44681" xr:uid="{00000000-0005-0000-0000-000089AE0000}"/>
    <cellStyle name="PrePop Currency (2)" xfId="44682" xr:uid="{00000000-0005-0000-0000-00008AAE0000}"/>
    <cellStyle name="PrePop Units (0)" xfId="44683" xr:uid="{00000000-0005-0000-0000-00008BAE0000}"/>
    <cellStyle name="PrePop Units (1)" xfId="44684" xr:uid="{00000000-0005-0000-0000-00008CAE0000}"/>
    <cellStyle name="PrePop Units (2)" xfId="44685" xr:uid="{00000000-0005-0000-0000-00008DAE0000}"/>
    <cellStyle name="Price" xfId="44686" xr:uid="{00000000-0005-0000-0000-00008EAE0000}"/>
    <cellStyle name="Price  .00" xfId="44687" xr:uid="{00000000-0005-0000-0000-00008FAE0000}"/>
    <cellStyle name="Price 10" xfId="44688" xr:uid="{00000000-0005-0000-0000-000090AE0000}"/>
    <cellStyle name="Price 11" xfId="44689" xr:uid="{00000000-0005-0000-0000-000091AE0000}"/>
    <cellStyle name="Price 12" xfId="44690" xr:uid="{00000000-0005-0000-0000-000092AE0000}"/>
    <cellStyle name="Price 13" xfId="44691" xr:uid="{00000000-0005-0000-0000-000093AE0000}"/>
    <cellStyle name="Price 14" xfId="44692" xr:uid="{00000000-0005-0000-0000-000094AE0000}"/>
    <cellStyle name="Price 15" xfId="44693" xr:uid="{00000000-0005-0000-0000-000095AE0000}"/>
    <cellStyle name="Price 16" xfId="44694" xr:uid="{00000000-0005-0000-0000-000096AE0000}"/>
    <cellStyle name="Price 17" xfId="44695" xr:uid="{00000000-0005-0000-0000-000097AE0000}"/>
    <cellStyle name="Price 18" xfId="44696" xr:uid="{00000000-0005-0000-0000-000098AE0000}"/>
    <cellStyle name="Price 2" xfId="44697" xr:uid="{00000000-0005-0000-0000-000099AE0000}"/>
    <cellStyle name="Price 3" xfId="44698" xr:uid="{00000000-0005-0000-0000-00009AAE0000}"/>
    <cellStyle name="Price 4" xfId="44699" xr:uid="{00000000-0005-0000-0000-00009BAE0000}"/>
    <cellStyle name="Price 5" xfId="44700" xr:uid="{00000000-0005-0000-0000-00009CAE0000}"/>
    <cellStyle name="Price 6" xfId="44701" xr:uid="{00000000-0005-0000-0000-00009DAE0000}"/>
    <cellStyle name="Price 7" xfId="44702" xr:uid="{00000000-0005-0000-0000-00009EAE0000}"/>
    <cellStyle name="Price 8" xfId="44703" xr:uid="{00000000-0005-0000-0000-00009FAE0000}"/>
    <cellStyle name="Price 9" xfId="44704" xr:uid="{00000000-0005-0000-0000-0000A0AE0000}"/>
    <cellStyle name="PROJ_NUM" xfId="44705" xr:uid="{00000000-0005-0000-0000-0000A1AE0000}"/>
    <cellStyle name="PSChar" xfId="44706" xr:uid="{00000000-0005-0000-0000-0000A2AE0000}"/>
    <cellStyle name="PSChar 10" xfId="44707" xr:uid="{00000000-0005-0000-0000-0000A3AE0000}"/>
    <cellStyle name="PSChar 10 2" xfId="44708" xr:uid="{00000000-0005-0000-0000-0000A4AE0000}"/>
    <cellStyle name="PSChar 2" xfId="44709" xr:uid="{00000000-0005-0000-0000-0000A5AE0000}"/>
    <cellStyle name="PSChar 2 2" xfId="44710" xr:uid="{00000000-0005-0000-0000-0000A6AE0000}"/>
    <cellStyle name="PSChar 3" xfId="44711" xr:uid="{00000000-0005-0000-0000-0000A7AE0000}"/>
    <cellStyle name="PSChar 3 2" xfId="44712" xr:uid="{00000000-0005-0000-0000-0000A8AE0000}"/>
    <cellStyle name="PSChar 4" xfId="44713" xr:uid="{00000000-0005-0000-0000-0000A9AE0000}"/>
    <cellStyle name="PSChar 4 2" xfId="44714" xr:uid="{00000000-0005-0000-0000-0000AAAE0000}"/>
    <cellStyle name="PSChar 5" xfId="44715" xr:uid="{00000000-0005-0000-0000-0000ABAE0000}"/>
    <cellStyle name="PSChar 5 2" xfId="44716" xr:uid="{00000000-0005-0000-0000-0000ACAE0000}"/>
    <cellStyle name="PSChar 6" xfId="44717" xr:uid="{00000000-0005-0000-0000-0000ADAE0000}"/>
    <cellStyle name="PSChar 6 2" xfId="44718" xr:uid="{00000000-0005-0000-0000-0000AEAE0000}"/>
    <cellStyle name="PSChar 7" xfId="44719" xr:uid="{00000000-0005-0000-0000-0000AFAE0000}"/>
    <cellStyle name="PSChar 7 2" xfId="44720" xr:uid="{00000000-0005-0000-0000-0000B0AE0000}"/>
    <cellStyle name="PSChar 8" xfId="44721" xr:uid="{00000000-0005-0000-0000-0000B1AE0000}"/>
    <cellStyle name="PSChar 8 2" xfId="44722" xr:uid="{00000000-0005-0000-0000-0000B2AE0000}"/>
    <cellStyle name="PSChar 9" xfId="44723" xr:uid="{00000000-0005-0000-0000-0000B3AE0000}"/>
    <cellStyle name="PSChar 9 2" xfId="44724" xr:uid="{00000000-0005-0000-0000-0000B4AE0000}"/>
    <cellStyle name="PSDate" xfId="44725" xr:uid="{00000000-0005-0000-0000-0000B5AE0000}"/>
    <cellStyle name="PSDate 10" xfId="44726" xr:uid="{00000000-0005-0000-0000-0000B6AE0000}"/>
    <cellStyle name="PSDate 10 2" xfId="44727" xr:uid="{00000000-0005-0000-0000-0000B7AE0000}"/>
    <cellStyle name="PSDate 2" xfId="44728" xr:uid="{00000000-0005-0000-0000-0000B8AE0000}"/>
    <cellStyle name="PSDate 2 2" xfId="44729" xr:uid="{00000000-0005-0000-0000-0000B9AE0000}"/>
    <cellStyle name="PSDate 3" xfId="44730" xr:uid="{00000000-0005-0000-0000-0000BAAE0000}"/>
    <cellStyle name="PSDate 3 2" xfId="44731" xr:uid="{00000000-0005-0000-0000-0000BBAE0000}"/>
    <cellStyle name="PSDate 4" xfId="44732" xr:uid="{00000000-0005-0000-0000-0000BCAE0000}"/>
    <cellStyle name="PSDate 4 2" xfId="44733" xr:uid="{00000000-0005-0000-0000-0000BDAE0000}"/>
    <cellStyle name="PSDate 5" xfId="44734" xr:uid="{00000000-0005-0000-0000-0000BEAE0000}"/>
    <cellStyle name="PSDate 5 2" xfId="44735" xr:uid="{00000000-0005-0000-0000-0000BFAE0000}"/>
    <cellStyle name="PSDate 6" xfId="44736" xr:uid="{00000000-0005-0000-0000-0000C0AE0000}"/>
    <cellStyle name="PSDate 6 2" xfId="44737" xr:uid="{00000000-0005-0000-0000-0000C1AE0000}"/>
    <cellStyle name="PSDate 7" xfId="44738" xr:uid="{00000000-0005-0000-0000-0000C2AE0000}"/>
    <cellStyle name="PSDate 7 2" xfId="44739" xr:uid="{00000000-0005-0000-0000-0000C3AE0000}"/>
    <cellStyle name="PSDate 8" xfId="44740" xr:uid="{00000000-0005-0000-0000-0000C4AE0000}"/>
    <cellStyle name="PSDate 8 2" xfId="44741" xr:uid="{00000000-0005-0000-0000-0000C5AE0000}"/>
    <cellStyle name="PSDate 9" xfId="44742" xr:uid="{00000000-0005-0000-0000-0000C6AE0000}"/>
    <cellStyle name="PSDate 9 2" xfId="44743" xr:uid="{00000000-0005-0000-0000-0000C7AE0000}"/>
    <cellStyle name="PSDec" xfId="44744" xr:uid="{00000000-0005-0000-0000-0000C8AE0000}"/>
    <cellStyle name="PSDec 10" xfId="44745" xr:uid="{00000000-0005-0000-0000-0000C9AE0000}"/>
    <cellStyle name="PSDec 10 2" xfId="44746" xr:uid="{00000000-0005-0000-0000-0000CAAE0000}"/>
    <cellStyle name="PSDec 2" xfId="44747" xr:uid="{00000000-0005-0000-0000-0000CBAE0000}"/>
    <cellStyle name="PSDec 2 2" xfId="44748" xr:uid="{00000000-0005-0000-0000-0000CCAE0000}"/>
    <cellStyle name="PSDec 3" xfId="44749" xr:uid="{00000000-0005-0000-0000-0000CDAE0000}"/>
    <cellStyle name="PSDec 3 2" xfId="44750" xr:uid="{00000000-0005-0000-0000-0000CEAE0000}"/>
    <cellStyle name="PSDec 4" xfId="44751" xr:uid="{00000000-0005-0000-0000-0000CFAE0000}"/>
    <cellStyle name="PSDec 4 2" xfId="44752" xr:uid="{00000000-0005-0000-0000-0000D0AE0000}"/>
    <cellStyle name="PSDec 5" xfId="44753" xr:uid="{00000000-0005-0000-0000-0000D1AE0000}"/>
    <cellStyle name="PSDec 5 2" xfId="44754" xr:uid="{00000000-0005-0000-0000-0000D2AE0000}"/>
    <cellStyle name="PSDec 6" xfId="44755" xr:uid="{00000000-0005-0000-0000-0000D3AE0000}"/>
    <cellStyle name="PSDec 6 2" xfId="44756" xr:uid="{00000000-0005-0000-0000-0000D4AE0000}"/>
    <cellStyle name="PSDec 7" xfId="44757" xr:uid="{00000000-0005-0000-0000-0000D5AE0000}"/>
    <cellStyle name="PSDec 7 2" xfId="44758" xr:uid="{00000000-0005-0000-0000-0000D6AE0000}"/>
    <cellStyle name="PSDec 8" xfId="44759" xr:uid="{00000000-0005-0000-0000-0000D7AE0000}"/>
    <cellStyle name="PSDec 8 2" xfId="44760" xr:uid="{00000000-0005-0000-0000-0000D8AE0000}"/>
    <cellStyle name="PSDec 9" xfId="44761" xr:uid="{00000000-0005-0000-0000-0000D9AE0000}"/>
    <cellStyle name="PSDec 9 2" xfId="44762" xr:uid="{00000000-0005-0000-0000-0000DAAE0000}"/>
    <cellStyle name="PSHeading" xfId="44763" xr:uid="{00000000-0005-0000-0000-0000DBAE0000}"/>
    <cellStyle name="PSHeading 10" xfId="44764" xr:uid="{00000000-0005-0000-0000-0000DCAE0000}"/>
    <cellStyle name="PSHeading 10 2" xfId="44765" xr:uid="{00000000-0005-0000-0000-0000DDAE0000}"/>
    <cellStyle name="PSHeading 2" xfId="44766" xr:uid="{00000000-0005-0000-0000-0000DEAE0000}"/>
    <cellStyle name="PSHeading 2 2" xfId="44767" xr:uid="{00000000-0005-0000-0000-0000DFAE0000}"/>
    <cellStyle name="PSHeading 3" xfId="44768" xr:uid="{00000000-0005-0000-0000-0000E0AE0000}"/>
    <cellStyle name="PSHeading 3 2" xfId="44769" xr:uid="{00000000-0005-0000-0000-0000E1AE0000}"/>
    <cellStyle name="PSHeading 4" xfId="44770" xr:uid="{00000000-0005-0000-0000-0000E2AE0000}"/>
    <cellStyle name="PSHeading 4 2" xfId="44771" xr:uid="{00000000-0005-0000-0000-0000E3AE0000}"/>
    <cellStyle name="PSHeading 5" xfId="44772" xr:uid="{00000000-0005-0000-0000-0000E4AE0000}"/>
    <cellStyle name="PSHeading 5 2" xfId="44773" xr:uid="{00000000-0005-0000-0000-0000E5AE0000}"/>
    <cellStyle name="PSHeading 6" xfId="44774" xr:uid="{00000000-0005-0000-0000-0000E6AE0000}"/>
    <cellStyle name="PSHeading 6 2" xfId="44775" xr:uid="{00000000-0005-0000-0000-0000E7AE0000}"/>
    <cellStyle name="PSHeading 7" xfId="44776" xr:uid="{00000000-0005-0000-0000-0000E8AE0000}"/>
    <cellStyle name="PSHeading 7 2" xfId="44777" xr:uid="{00000000-0005-0000-0000-0000E9AE0000}"/>
    <cellStyle name="PSHeading 8" xfId="44778" xr:uid="{00000000-0005-0000-0000-0000EAAE0000}"/>
    <cellStyle name="PSHeading 8 2" xfId="44779" xr:uid="{00000000-0005-0000-0000-0000EBAE0000}"/>
    <cellStyle name="PSHeading 9" xfId="44780" xr:uid="{00000000-0005-0000-0000-0000ECAE0000}"/>
    <cellStyle name="PSHeading 9 2" xfId="44781" xr:uid="{00000000-0005-0000-0000-0000EDAE0000}"/>
    <cellStyle name="PSInt" xfId="44782" xr:uid="{00000000-0005-0000-0000-0000EEAE0000}"/>
    <cellStyle name="PSInt 10" xfId="44783" xr:uid="{00000000-0005-0000-0000-0000EFAE0000}"/>
    <cellStyle name="PSInt 10 2" xfId="44784" xr:uid="{00000000-0005-0000-0000-0000F0AE0000}"/>
    <cellStyle name="PSInt 2" xfId="44785" xr:uid="{00000000-0005-0000-0000-0000F1AE0000}"/>
    <cellStyle name="PSInt 2 2" xfId="44786" xr:uid="{00000000-0005-0000-0000-0000F2AE0000}"/>
    <cellStyle name="PSInt 3" xfId="44787" xr:uid="{00000000-0005-0000-0000-0000F3AE0000}"/>
    <cellStyle name="PSInt 3 2" xfId="44788" xr:uid="{00000000-0005-0000-0000-0000F4AE0000}"/>
    <cellStyle name="PSInt 4" xfId="44789" xr:uid="{00000000-0005-0000-0000-0000F5AE0000}"/>
    <cellStyle name="PSInt 4 2" xfId="44790" xr:uid="{00000000-0005-0000-0000-0000F6AE0000}"/>
    <cellStyle name="PSInt 5" xfId="44791" xr:uid="{00000000-0005-0000-0000-0000F7AE0000}"/>
    <cellStyle name="PSInt 5 2" xfId="44792" xr:uid="{00000000-0005-0000-0000-0000F8AE0000}"/>
    <cellStyle name="PSInt 6" xfId="44793" xr:uid="{00000000-0005-0000-0000-0000F9AE0000}"/>
    <cellStyle name="PSInt 6 2" xfId="44794" xr:uid="{00000000-0005-0000-0000-0000FAAE0000}"/>
    <cellStyle name="PSInt 7" xfId="44795" xr:uid="{00000000-0005-0000-0000-0000FBAE0000}"/>
    <cellStyle name="PSInt 7 2" xfId="44796" xr:uid="{00000000-0005-0000-0000-0000FCAE0000}"/>
    <cellStyle name="PSInt 8" xfId="44797" xr:uid="{00000000-0005-0000-0000-0000FDAE0000}"/>
    <cellStyle name="PSInt 8 2" xfId="44798" xr:uid="{00000000-0005-0000-0000-0000FEAE0000}"/>
    <cellStyle name="PSInt 9" xfId="44799" xr:uid="{00000000-0005-0000-0000-0000FFAE0000}"/>
    <cellStyle name="PSInt 9 2" xfId="44800" xr:uid="{00000000-0005-0000-0000-000000AF0000}"/>
    <cellStyle name="PSSpacer" xfId="44801" xr:uid="{00000000-0005-0000-0000-000001AF0000}"/>
    <cellStyle name="PSSpacer 10" xfId="44802" xr:uid="{00000000-0005-0000-0000-000002AF0000}"/>
    <cellStyle name="PSSpacer 10 2" xfId="44803" xr:uid="{00000000-0005-0000-0000-000003AF0000}"/>
    <cellStyle name="PSSpacer 2" xfId="44804" xr:uid="{00000000-0005-0000-0000-000004AF0000}"/>
    <cellStyle name="PSSpacer 2 2" xfId="44805" xr:uid="{00000000-0005-0000-0000-000005AF0000}"/>
    <cellStyle name="PSSpacer 3" xfId="44806" xr:uid="{00000000-0005-0000-0000-000006AF0000}"/>
    <cellStyle name="PSSpacer 3 2" xfId="44807" xr:uid="{00000000-0005-0000-0000-000007AF0000}"/>
    <cellStyle name="PSSpacer 4" xfId="44808" xr:uid="{00000000-0005-0000-0000-000008AF0000}"/>
    <cellStyle name="PSSpacer 4 2" xfId="44809" xr:uid="{00000000-0005-0000-0000-000009AF0000}"/>
    <cellStyle name="PSSpacer 5" xfId="44810" xr:uid="{00000000-0005-0000-0000-00000AAF0000}"/>
    <cellStyle name="PSSpacer 5 2" xfId="44811" xr:uid="{00000000-0005-0000-0000-00000BAF0000}"/>
    <cellStyle name="PSSpacer 6" xfId="44812" xr:uid="{00000000-0005-0000-0000-00000CAF0000}"/>
    <cellStyle name="PSSpacer 6 2" xfId="44813" xr:uid="{00000000-0005-0000-0000-00000DAF0000}"/>
    <cellStyle name="PSSpacer 7" xfId="44814" xr:uid="{00000000-0005-0000-0000-00000EAF0000}"/>
    <cellStyle name="PSSpacer 7 2" xfId="44815" xr:uid="{00000000-0005-0000-0000-00000FAF0000}"/>
    <cellStyle name="PSSpacer 8" xfId="44816" xr:uid="{00000000-0005-0000-0000-000010AF0000}"/>
    <cellStyle name="PSSpacer 8 2" xfId="44817" xr:uid="{00000000-0005-0000-0000-000011AF0000}"/>
    <cellStyle name="PSSpacer 9" xfId="44818" xr:uid="{00000000-0005-0000-0000-000012AF0000}"/>
    <cellStyle name="PSSpacer 9 2" xfId="44819" xr:uid="{00000000-0005-0000-0000-000013AF0000}"/>
    <cellStyle name="Qty" xfId="44820" xr:uid="{00000000-0005-0000-0000-000014AF0000}"/>
    <cellStyle name="Qty 2" xfId="44821" xr:uid="{00000000-0005-0000-0000-000015AF0000}"/>
    <cellStyle name="R" xfId="44822" xr:uid="{00000000-0005-0000-0000-000016AF0000}"/>
    <cellStyle name="regstoresfromspecstores" xfId="44823" xr:uid="{00000000-0005-0000-0000-000017AF0000}"/>
    <cellStyle name="RevList" xfId="44824" xr:uid="{00000000-0005-0000-0000-000018AF0000}"/>
    <cellStyle name="RM" xfId="44825" xr:uid="{00000000-0005-0000-0000-000019AF0000}"/>
    <cellStyle name="RowLabel" xfId="44826" xr:uid="{00000000-0005-0000-0000-00001AAF0000}"/>
    <cellStyle name="RowLabels" xfId="44827" xr:uid="{00000000-0005-0000-0000-00001BAF0000}"/>
    <cellStyle name="Shaded" xfId="44828" xr:uid="{00000000-0005-0000-0000-00001CAF0000}"/>
    <cellStyle name="SHADEDSTORES" xfId="44829" xr:uid="{00000000-0005-0000-0000-00001DAF0000}"/>
    <cellStyle name="SHADEDSTORES 10" xfId="44830" xr:uid="{00000000-0005-0000-0000-00001EAF0000}"/>
    <cellStyle name="SHADEDSTORES 10 2" xfId="44831" xr:uid="{00000000-0005-0000-0000-00001FAF0000}"/>
    <cellStyle name="SHADEDSTORES 10 3" xfId="44832" xr:uid="{00000000-0005-0000-0000-000020AF0000}"/>
    <cellStyle name="SHADEDSTORES 10 4" xfId="44833" xr:uid="{00000000-0005-0000-0000-000021AF0000}"/>
    <cellStyle name="SHADEDSTORES 10 5" xfId="44834" xr:uid="{00000000-0005-0000-0000-000022AF0000}"/>
    <cellStyle name="SHADEDSTORES 10 6" xfId="44835" xr:uid="{00000000-0005-0000-0000-000023AF0000}"/>
    <cellStyle name="SHADEDSTORES 11" xfId="44836" xr:uid="{00000000-0005-0000-0000-000024AF0000}"/>
    <cellStyle name="SHADEDSTORES 12" xfId="44837" xr:uid="{00000000-0005-0000-0000-000025AF0000}"/>
    <cellStyle name="SHADEDSTORES 13" xfId="44838" xr:uid="{00000000-0005-0000-0000-000026AF0000}"/>
    <cellStyle name="SHADEDSTORES 14" xfId="44839" xr:uid="{00000000-0005-0000-0000-000027AF0000}"/>
    <cellStyle name="SHADEDSTORES 2" xfId="44840" xr:uid="{00000000-0005-0000-0000-000028AF0000}"/>
    <cellStyle name="SHADEDSTORES 2 10" xfId="44841" xr:uid="{00000000-0005-0000-0000-000029AF0000}"/>
    <cellStyle name="SHADEDSTORES 2 10 2" xfId="44842" xr:uid="{00000000-0005-0000-0000-00002AAF0000}"/>
    <cellStyle name="SHADEDSTORES 2 10 3" xfId="44843" xr:uid="{00000000-0005-0000-0000-00002BAF0000}"/>
    <cellStyle name="SHADEDSTORES 2 10 4" xfId="44844" xr:uid="{00000000-0005-0000-0000-00002CAF0000}"/>
    <cellStyle name="SHADEDSTORES 2 10 5" xfId="44845" xr:uid="{00000000-0005-0000-0000-00002DAF0000}"/>
    <cellStyle name="SHADEDSTORES 2 10 6" xfId="44846" xr:uid="{00000000-0005-0000-0000-00002EAF0000}"/>
    <cellStyle name="SHADEDSTORES 2 11" xfId="44847" xr:uid="{00000000-0005-0000-0000-00002FAF0000}"/>
    <cellStyle name="SHADEDSTORES 2 12" xfId="44848" xr:uid="{00000000-0005-0000-0000-000030AF0000}"/>
    <cellStyle name="SHADEDSTORES 2 13" xfId="44849" xr:uid="{00000000-0005-0000-0000-000031AF0000}"/>
    <cellStyle name="SHADEDSTORES 2 14" xfId="44850" xr:uid="{00000000-0005-0000-0000-000032AF0000}"/>
    <cellStyle name="SHADEDSTORES 2 2" xfId="44851" xr:uid="{00000000-0005-0000-0000-000033AF0000}"/>
    <cellStyle name="SHADEDSTORES 2 2 10" xfId="44852" xr:uid="{00000000-0005-0000-0000-000034AF0000}"/>
    <cellStyle name="SHADEDSTORES 2 2 11" xfId="44853" xr:uid="{00000000-0005-0000-0000-000035AF0000}"/>
    <cellStyle name="SHADEDSTORES 2 2 12" xfId="44854" xr:uid="{00000000-0005-0000-0000-000036AF0000}"/>
    <cellStyle name="SHADEDSTORES 2 2 13" xfId="44855" xr:uid="{00000000-0005-0000-0000-000037AF0000}"/>
    <cellStyle name="SHADEDSTORES 2 2 2" xfId="44856" xr:uid="{00000000-0005-0000-0000-000038AF0000}"/>
    <cellStyle name="SHADEDSTORES 2 2 2 2" xfId="44857" xr:uid="{00000000-0005-0000-0000-000039AF0000}"/>
    <cellStyle name="SHADEDSTORES 2 2 2 2 2" xfId="44858" xr:uid="{00000000-0005-0000-0000-00003AAF0000}"/>
    <cellStyle name="SHADEDSTORES 2 2 2 2 2 2" xfId="44859" xr:uid="{00000000-0005-0000-0000-00003BAF0000}"/>
    <cellStyle name="SHADEDSTORES 2 2 2 2 2 3" xfId="44860" xr:uid="{00000000-0005-0000-0000-00003CAF0000}"/>
    <cellStyle name="SHADEDSTORES 2 2 2 2 2 4" xfId="44861" xr:uid="{00000000-0005-0000-0000-00003DAF0000}"/>
    <cellStyle name="SHADEDSTORES 2 2 2 2 2 5" xfId="44862" xr:uid="{00000000-0005-0000-0000-00003EAF0000}"/>
    <cellStyle name="SHADEDSTORES 2 2 2 2 2 6" xfId="44863" xr:uid="{00000000-0005-0000-0000-00003FAF0000}"/>
    <cellStyle name="SHADEDSTORES 2 2 2 2 3" xfId="44864" xr:uid="{00000000-0005-0000-0000-000040AF0000}"/>
    <cellStyle name="SHADEDSTORES 2 2 2 2 4" xfId="44865" xr:uid="{00000000-0005-0000-0000-000041AF0000}"/>
    <cellStyle name="SHADEDSTORES 2 2 2 2 5" xfId="44866" xr:uid="{00000000-0005-0000-0000-000042AF0000}"/>
    <cellStyle name="SHADEDSTORES 2 2 2 2 6" xfId="44867" xr:uid="{00000000-0005-0000-0000-000043AF0000}"/>
    <cellStyle name="SHADEDSTORES 2 2 2 3" xfId="44868" xr:uid="{00000000-0005-0000-0000-000044AF0000}"/>
    <cellStyle name="SHADEDSTORES 2 2 2 3 2" xfId="44869" xr:uid="{00000000-0005-0000-0000-000045AF0000}"/>
    <cellStyle name="SHADEDSTORES 2 2 2 3 2 2" xfId="44870" xr:uid="{00000000-0005-0000-0000-000046AF0000}"/>
    <cellStyle name="SHADEDSTORES 2 2 2 3 2 3" xfId="44871" xr:uid="{00000000-0005-0000-0000-000047AF0000}"/>
    <cellStyle name="SHADEDSTORES 2 2 2 3 2 4" xfId="44872" xr:uid="{00000000-0005-0000-0000-000048AF0000}"/>
    <cellStyle name="SHADEDSTORES 2 2 2 3 2 5" xfId="44873" xr:uid="{00000000-0005-0000-0000-000049AF0000}"/>
    <cellStyle name="SHADEDSTORES 2 2 2 3 2 6" xfId="44874" xr:uid="{00000000-0005-0000-0000-00004AAF0000}"/>
    <cellStyle name="SHADEDSTORES 2 2 2 3 3" xfId="44875" xr:uid="{00000000-0005-0000-0000-00004BAF0000}"/>
    <cellStyle name="SHADEDSTORES 2 2 2 3 4" xfId="44876" xr:uid="{00000000-0005-0000-0000-00004CAF0000}"/>
    <cellStyle name="SHADEDSTORES 2 2 2 3 5" xfId="44877" xr:uid="{00000000-0005-0000-0000-00004DAF0000}"/>
    <cellStyle name="SHADEDSTORES 2 2 2 3 6" xfId="44878" xr:uid="{00000000-0005-0000-0000-00004EAF0000}"/>
    <cellStyle name="SHADEDSTORES 2 2 2 4" xfId="44879" xr:uid="{00000000-0005-0000-0000-00004FAF0000}"/>
    <cellStyle name="SHADEDSTORES 2 2 2 4 2" xfId="44880" xr:uid="{00000000-0005-0000-0000-000050AF0000}"/>
    <cellStyle name="SHADEDSTORES 2 2 2 4 3" xfId="44881" xr:uid="{00000000-0005-0000-0000-000051AF0000}"/>
    <cellStyle name="SHADEDSTORES 2 2 2 4 4" xfId="44882" xr:uid="{00000000-0005-0000-0000-000052AF0000}"/>
    <cellStyle name="SHADEDSTORES 2 2 2 4 5" xfId="44883" xr:uid="{00000000-0005-0000-0000-000053AF0000}"/>
    <cellStyle name="SHADEDSTORES 2 2 2 4 6" xfId="44884" xr:uid="{00000000-0005-0000-0000-000054AF0000}"/>
    <cellStyle name="SHADEDSTORES 2 2 2 5" xfId="44885" xr:uid="{00000000-0005-0000-0000-000055AF0000}"/>
    <cellStyle name="SHADEDSTORES 2 2 2 6" xfId="44886" xr:uid="{00000000-0005-0000-0000-000056AF0000}"/>
    <cellStyle name="SHADEDSTORES 2 2 2 7" xfId="44887" xr:uid="{00000000-0005-0000-0000-000057AF0000}"/>
    <cellStyle name="SHADEDSTORES 2 2 2 8" xfId="44888" xr:uid="{00000000-0005-0000-0000-000058AF0000}"/>
    <cellStyle name="SHADEDSTORES 2 2 3" xfId="44889" xr:uid="{00000000-0005-0000-0000-000059AF0000}"/>
    <cellStyle name="SHADEDSTORES 2 2 3 2" xfId="44890" xr:uid="{00000000-0005-0000-0000-00005AAF0000}"/>
    <cellStyle name="SHADEDSTORES 2 2 3 2 2" xfId="44891" xr:uid="{00000000-0005-0000-0000-00005BAF0000}"/>
    <cellStyle name="SHADEDSTORES 2 2 3 2 2 2" xfId="44892" xr:uid="{00000000-0005-0000-0000-00005CAF0000}"/>
    <cellStyle name="SHADEDSTORES 2 2 3 2 2 3" xfId="44893" xr:uid="{00000000-0005-0000-0000-00005DAF0000}"/>
    <cellStyle name="SHADEDSTORES 2 2 3 2 2 4" xfId="44894" xr:uid="{00000000-0005-0000-0000-00005EAF0000}"/>
    <cellStyle name="SHADEDSTORES 2 2 3 2 2 5" xfId="44895" xr:uid="{00000000-0005-0000-0000-00005FAF0000}"/>
    <cellStyle name="SHADEDSTORES 2 2 3 2 2 6" xfId="44896" xr:uid="{00000000-0005-0000-0000-000060AF0000}"/>
    <cellStyle name="SHADEDSTORES 2 2 3 2 3" xfId="44897" xr:uid="{00000000-0005-0000-0000-000061AF0000}"/>
    <cellStyle name="SHADEDSTORES 2 2 3 2 4" xfId="44898" xr:uid="{00000000-0005-0000-0000-000062AF0000}"/>
    <cellStyle name="SHADEDSTORES 2 2 3 2 5" xfId="44899" xr:uid="{00000000-0005-0000-0000-000063AF0000}"/>
    <cellStyle name="SHADEDSTORES 2 2 3 2 6" xfId="44900" xr:uid="{00000000-0005-0000-0000-000064AF0000}"/>
    <cellStyle name="SHADEDSTORES 2 2 3 3" xfId="44901" xr:uid="{00000000-0005-0000-0000-000065AF0000}"/>
    <cellStyle name="SHADEDSTORES 2 2 3 3 2" xfId="44902" xr:uid="{00000000-0005-0000-0000-000066AF0000}"/>
    <cellStyle name="SHADEDSTORES 2 2 3 3 2 2" xfId="44903" xr:uid="{00000000-0005-0000-0000-000067AF0000}"/>
    <cellStyle name="SHADEDSTORES 2 2 3 3 2 3" xfId="44904" xr:uid="{00000000-0005-0000-0000-000068AF0000}"/>
    <cellStyle name="SHADEDSTORES 2 2 3 3 2 4" xfId="44905" xr:uid="{00000000-0005-0000-0000-000069AF0000}"/>
    <cellStyle name="SHADEDSTORES 2 2 3 3 2 5" xfId="44906" xr:uid="{00000000-0005-0000-0000-00006AAF0000}"/>
    <cellStyle name="SHADEDSTORES 2 2 3 3 2 6" xfId="44907" xr:uid="{00000000-0005-0000-0000-00006BAF0000}"/>
    <cellStyle name="SHADEDSTORES 2 2 3 3 3" xfId="44908" xr:uid="{00000000-0005-0000-0000-00006CAF0000}"/>
    <cellStyle name="SHADEDSTORES 2 2 3 3 4" xfId="44909" xr:uid="{00000000-0005-0000-0000-00006DAF0000}"/>
    <cellStyle name="SHADEDSTORES 2 2 3 3 5" xfId="44910" xr:uid="{00000000-0005-0000-0000-00006EAF0000}"/>
    <cellStyle name="SHADEDSTORES 2 2 3 3 6" xfId="44911" xr:uid="{00000000-0005-0000-0000-00006FAF0000}"/>
    <cellStyle name="SHADEDSTORES 2 2 3 4" xfId="44912" xr:uid="{00000000-0005-0000-0000-000070AF0000}"/>
    <cellStyle name="SHADEDSTORES 2 2 3 4 2" xfId="44913" xr:uid="{00000000-0005-0000-0000-000071AF0000}"/>
    <cellStyle name="SHADEDSTORES 2 2 3 4 3" xfId="44914" xr:uid="{00000000-0005-0000-0000-000072AF0000}"/>
    <cellStyle name="SHADEDSTORES 2 2 3 4 4" xfId="44915" xr:uid="{00000000-0005-0000-0000-000073AF0000}"/>
    <cellStyle name="SHADEDSTORES 2 2 3 4 5" xfId="44916" xr:uid="{00000000-0005-0000-0000-000074AF0000}"/>
    <cellStyle name="SHADEDSTORES 2 2 3 4 6" xfId="44917" xr:uid="{00000000-0005-0000-0000-000075AF0000}"/>
    <cellStyle name="SHADEDSTORES 2 2 3 5" xfId="44918" xr:uid="{00000000-0005-0000-0000-000076AF0000}"/>
    <cellStyle name="SHADEDSTORES 2 2 3 6" xfId="44919" xr:uid="{00000000-0005-0000-0000-000077AF0000}"/>
    <cellStyle name="SHADEDSTORES 2 2 3 7" xfId="44920" xr:uid="{00000000-0005-0000-0000-000078AF0000}"/>
    <cellStyle name="SHADEDSTORES 2 2 3 8" xfId="44921" xr:uid="{00000000-0005-0000-0000-000079AF0000}"/>
    <cellStyle name="SHADEDSTORES 2 2 4" xfId="44922" xr:uid="{00000000-0005-0000-0000-00007AAF0000}"/>
    <cellStyle name="SHADEDSTORES 2 2 4 2" xfId="44923" xr:uid="{00000000-0005-0000-0000-00007BAF0000}"/>
    <cellStyle name="SHADEDSTORES 2 2 4 2 2" xfId="44924" xr:uid="{00000000-0005-0000-0000-00007CAF0000}"/>
    <cellStyle name="SHADEDSTORES 2 2 4 2 2 2" xfId="44925" xr:uid="{00000000-0005-0000-0000-00007DAF0000}"/>
    <cellStyle name="SHADEDSTORES 2 2 4 2 2 3" xfId="44926" xr:uid="{00000000-0005-0000-0000-00007EAF0000}"/>
    <cellStyle name="SHADEDSTORES 2 2 4 2 2 4" xfId="44927" xr:uid="{00000000-0005-0000-0000-00007FAF0000}"/>
    <cellStyle name="SHADEDSTORES 2 2 4 2 2 5" xfId="44928" xr:uid="{00000000-0005-0000-0000-000080AF0000}"/>
    <cellStyle name="SHADEDSTORES 2 2 4 2 2 6" xfId="44929" xr:uid="{00000000-0005-0000-0000-000081AF0000}"/>
    <cellStyle name="SHADEDSTORES 2 2 4 2 3" xfId="44930" xr:uid="{00000000-0005-0000-0000-000082AF0000}"/>
    <cellStyle name="SHADEDSTORES 2 2 4 2 4" xfId="44931" xr:uid="{00000000-0005-0000-0000-000083AF0000}"/>
    <cellStyle name="SHADEDSTORES 2 2 4 2 5" xfId="44932" xr:uid="{00000000-0005-0000-0000-000084AF0000}"/>
    <cellStyle name="SHADEDSTORES 2 2 4 2 6" xfId="44933" xr:uid="{00000000-0005-0000-0000-000085AF0000}"/>
    <cellStyle name="SHADEDSTORES 2 2 4 3" xfId="44934" xr:uid="{00000000-0005-0000-0000-000086AF0000}"/>
    <cellStyle name="SHADEDSTORES 2 2 4 3 2" xfId="44935" xr:uid="{00000000-0005-0000-0000-000087AF0000}"/>
    <cellStyle name="SHADEDSTORES 2 2 4 3 2 2" xfId="44936" xr:uid="{00000000-0005-0000-0000-000088AF0000}"/>
    <cellStyle name="SHADEDSTORES 2 2 4 3 2 3" xfId="44937" xr:uid="{00000000-0005-0000-0000-000089AF0000}"/>
    <cellStyle name="SHADEDSTORES 2 2 4 3 2 4" xfId="44938" xr:uid="{00000000-0005-0000-0000-00008AAF0000}"/>
    <cellStyle name="SHADEDSTORES 2 2 4 3 2 5" xfId="44939" xr:uid="{00000000-0005-0000-0000-00008BAF0000}"/>
    <cellStyle name="SHADEDSTORES 2 2 4 3 2 6" xfId="44940" xr:uid="{00000000-0005-0000-0000-00008CAF0000}"/>
    <cellStyle name="SHADEDSTORES 2 2 4 3 3" xfId="44941" xr:uid="{00000000-0005-0000-0000-00008DAF0000}"/>
    <cellStyle name="SHADEDSTORES 2 2 4 3 4" xfId="44942" xr:uid="{00000000-0005-0000-0000-00008EAF0000}"/>
    <cellStyle name="SHADEDSTORES 2 2 4 3 5" xfId="44943" xr:uid="{00000000-0005-0000-0000-00008FAF0000}"/>
    <cellStyle name="SHADEDSTORES 2 2 4 3 6" xfId="44944" xr:uid="{00000000-0005-0000-0000-000090AF0000}"/>
    <cellStyle name="SHADEDSTORES 2 2 4 4" xfId="44945" xr:uid="{00000000-0005-0000-0000-000091AF0000}"/>
    <cellStyle name="SHADEDSTORES 2 2 4 4 2" xfId="44946" xr:uid="{00000000-0005-0000-0000-000092AF0000}"/>
    <cellStyle name="SHADEDSTORES 2 2 4 4 3" xfId="44947" xr:uid="{00000000-0005-0000-0000-000093AF0000}"/>
    <cellStyle name="SHADEDSTORES 2 2 4 4 4" xfId="44948" xr:uid="{00000000-0005-0000-0000-000094AF0000}"/>
    <cellStyle name="SHADEDSTORES 2 2 4 4 5" xfId="44949" xr:uid="{00000000-0005-0000-0000-000095AF0000}"/>
    <cellStyle name="SHADEDSTORES 2 2 4 4 6" xfId="44950" xr:uid="{00000000-0005-0000-0000-000096AF0000}"/>
    <cellStyle name="SHADEDSTORES 2 2 4 5" xfId="44951" xr:uid="{00000000-0005-0000-0000-000097AF0000}"/>
    <cellStyle name="SHADEDSTORES 2 2 4 6" xfId="44952" xr:uid="{00000000-0005-0000-0000-000098AF0000}"/>
    <cellStyle name="SHADEDSTORES 2 2 4 7" xfId="44953" xr:uid="{00000000-0005-0000-0000-000099AF0000}"/>
    <cellStyle name="SHADEDSTORES 2 2 4 8" xfId="44954" xr:uid="{00000000-0005-0000-0000-00009AAF0000}"/>
    <cellStyle name="SHADEDSTORES 2 2 5" xfId="44955" xr:uid="{00000000-0005-0000-0000-00009BAF0000}"/>
    <cellStyle name="SHADEDSTORES 2 2 5 2" xfId="44956" xr:uid="{00000000-0005-0000-0000-00009CAF0000}"/>
    <cellStyle name="SHADEDSTORES 2 2 5 2 2" xfId="44957" xr:uid="{00000000-0005-0000-0000-00009DAF0000}"/>
    <cellStyle name="SHADEDSTORES 2 2 5 2 2 2" xfId="44958" xr:uid="{00000000-0005-0000-0000-00009EAF0000}"/>
    <cellStyle name="SHADEDSTORES 2 2 5 2 2 3" xfId="44959" xr:uid="{00000000-0005-0000-0000-00009FAF0000}"/>
    <cellStyle name="SHADEDSTORES 2 2 5 2 2 4" xfId="44960" xr:uid="{00000000-0005-0000-0000-0000A0AF0000}"/>
    <cellStyle name="SHADEDSTORES 2 2 5 2 2 5" xfId="44961" xr:uid="{00000000-0005-0000-0000-0000A1AF0000}"/>
    <cellStyle name="SHADEDSTORES 2 2 5 2 2 6" xfId="44962" xr:uid="{00000000-0005-0000-0000-0000A2AF0000}"/>
    <cellStyle name="SHADEDSTORES 2 2 5 2 3" xfId="44963" xr:uid="{00000000-0005-0000-0000-0000A3AF0000}"/>
    <cellStyle name="SHADEDSTORES 2 2 5 2 4" xfId="44964" xr:uid="{00000000-0005-0000-0000-0000A4AF0000}"/>
    <cellStyle name="SHADEDSTORES 2 2 5 2 5" xfId="44965" xr:uid="{00000000-0005-0000-0000-0000A5AF0000}"/>
    <cellStyle name="SHADEDSTORES 2 2 5 2 6" xfId="44966" xr:uid="{00000000-0005-0000-0000-0000A6AF0000}"/>
    <cellStyle name="SHADEDSTORES 2 2 5 3" xfId="44967" xr:uid="{00000000-0005-0000-0000-0000A7AF0000}"/>
    <cellStyle name="SHADEDSTORES 2 2 5 3 2" xfId="44968" xr:uid="{00000000-0005-0000-0000-0000A8AF0000}"/>
    <cellStyle name="SHADEDSTORES 2 2 5 3 2 2" xfId="44969" xr:uid="{00000000-0005-0000-0000-0000A9AF0000}"/>
    <cellStyle name="SHADEDSTORES 2 2 5 3 2 3" xfId="44970" xr:uid="{00000000-0005-0000-0000-0000AAAF0000}"/>
    <cellStyle name="SHADEDSTORES 2 2 5 3 2 4" xfId="44971" xr:uid="{00000000-0005-0000-0000-0000ABAF0000}"/>
    <cellStyle name="SHADEDSTORES 2 2 5 3 2 5" xfId="44972" xr:uid="{00000000-0005-0000-0000-0000ACAF0000}"/>
    <cellStyle name="SHADEDSTORES 2 2 5 3 2 6" xfId="44973" xr:uid="{00000000-0005-0000-0000-0000ADAF0000}"/>
    <cellStyle name="SHADEDSTORES 2 2 5 3 3" xfId="44974" xr:uid="{00000000-0005-0000-0000-0000AEAF0000}"/>
    <cellStyle name="SHADEDSTORES 2 2 5 3 4" xfId="44975" xr:uid="{00000000-0005-0000-0000-0000AFAF0000}"/>
    <cellStyle name="SHADEDSTORES 2 2 5 3 5" xfId="44976" xr:uid="{00000000-0005-0000-0000-0000B0AF0000}"/>
    <cellStyle name="SHADEDSTORES 2 2 5 3 6" xfId="44977" xr:uid="{00000000-0005-0000-0000-0000B1AF0000}"/>
    <cellStyle name="SHADEDSTORES 2 2 5 4" xfId="44978" xr:uid="{00000000-0005-0000-0000-0000B2AF0000}"/>
    <cellStyle name="SHADEDSTORES 2 2 5 4 2" xfId="44979" xr:uid="{00000000-0005-0000-0000-0000B3AF0000}"/>
    <cellStyle name="SHADEDSTORES 2 2 5 4 3" xfId="44980" xr:uid="{00000000-0005-0000-0000-0000B4AF0000}"/>
    <cellStyle name="SHADEDSTORES 2 2 5 4 4" xfId="44981" xr:uid="{00000000-0005-0000-0000-0000B5AF0000}"/>
    <cellStyle name="SHADEDSTORES 2 2 5 4 5" xfId="44982" xr:uid="{00000000-0005-0000-0000-0000B6AF0000}"/>
    <cellStyle name="SHADEDSTORES 2 2 5 4 6" xfId="44983" xr:uid="{00000000-0005-0000-0000-0000B7AF0000}"/>
    <cellStyle name="SHADEDSTORES 2 2 5 5" xfId="44984" xr:uid="{00000000-0005-0000-0000-0000B8AF0000}"/>
    <cellStyle name="SHADEDSTORES 2 2 5 6" xfId="44985" xr:uid="{00000000-0005-0000-0000-0000B9AF0000}"/>
    <cellStyle name="SHADEDSTORES 2 2 5 7" xfId="44986" xr:uid="{00000000-0005-0000-0000-0000BAAF0000}"/>
    <cellStyle name="SHADEDSTORES 2 2 5 8" xfId="44987" xr:uid="{00000000-0005-0000-0000-0000BBAF0000}"/>
    <cellStyle name="SHADEDSTORES 2 2 6" xfId="44988" xr:uid="{00000000-0005-0000-0000-0000BCAF0000}"/>
    <cellStyle name="SHADEDSTORES 2 2 6 2" xfId="44989" xr:uid="{00000000-0005-0000-0000-0000BDAF0000}"/>
    <cellStyle name="SHADEDSTORES 2 2 6 2 2" xfId="44990" xr:uid="{00000000-0005-0000-0000-0000BEAF0000}"/>
    <cellStyle name="SHADEDSTORES 2 2 6 2 2 2" xfId="44991" xr:uid="{00000000-0005-0000-0000-0000BFAF0000}"/>
    <cellStyle name="SHADEDSTORES 2 2 6 2 2 3" xfId="44992" xr:uid="{00000000-0005-0000-0000-0000C0AF0000}"/>
    <cellStyle name="SHADEDSTORES 2 2 6 2 2 4" xfId="44993" xr:uid="{00000000-0005-0000-0000-0000C1AF0000}"/>
    <cellStyle name="SHADEDSTORES 2 2 6 2 2 5" xfId="44994" xr:uid="{00000000-0005-0000-0000-0000C2AF0000}"/>
    <cellStyle name="SHADEDSTORES 2 2 6 2 2 6" xfId="44995" xr:uid="{00000000-0005-0000-0000-0000C3AF0000}"/>
    <cellStyle name="SHADEDSTORES 2 2 6 2 3" xfId="44996" xr:uid="{00000000-0005-0000-0000-0000C4AF0000}"/>
    <cellStyle name="SHADEDSTORES 2 2 6 2 4" xfId="44997" xr:uid="{00000000-0005-0000-0000-0000C5AF0000}"/>
    <cellStyle name="SHADEDSTORES 2 2 6 2 5" xfId="44998" xr:uid="{00000000-0005-0000-0000-0000C6AF0000}"/>
    <cellStyle name="SHADEDSTORES 2 2 6 2 6" xfId="44999" xr:uid="{00000000-0005-0000-0000-0000C7AF0000}"/>
    <cellStyle name="SHADEDSTORES 2 2 6 3" xfId="45000" xr:uid="{00000000-0005-0000-0000-0000C8AF0000}"/>
    <cellStyle name="SHADEDSTORES 2 2 6 3 2" xfId="45001" xr:uid="{00000000-0005-0000-0000-0000C9AF0000}"/>
    <cellStyle name="SHADEDSTORES 2 2 6 3 2 2" xfId="45002" xr:uid="{00000000-0005-0000-0000-0000CAAF0000}"/>
    <cellStyle name="SHADEDSTORES 2 2 6 3 2 3" xfId="45003" xr:uid="{00000000-0005-0000-0000-0000CBAF0000}"/>
    <cellStyle name="SHADEDSTORES 2 2 6 3 2 4" xfId="45004" xr:uid="{00000000-0005-0000-0000-0000CCAF0000}"/>
    <cellStyle name="SHADEDSTORES 2 2 6 3 2 5" xfId="45005" xr:uid="{00000000-0005-0000-0000-0000CDAF0000}"/>
    <cellStyle name="SHADEDSTORES 2 2 6 3 2 6" xfId="45006" xr:uid="{00000000-0005-0000-0000-0000CEAF0000}"/>
    <cellStyle name="SHADEDSTORES 2 2 6 3 3" xfId="45007" xr:uid="{00000000-0005-0000-0000-0000CFAF0000}"/>
    <cellStyle name="SHADEDSTORES 2 2 6 3 4" xfId="45008" xr:uid="{00000000-0005-0000-0000-0000D0AF0000}"/>
    <cellStyle name="SHADEDSTORES 2 2 6 3 5" xfId="45009" xr:uid="{00000000-0005-0000-0000-0000D1AF0000}"/>
    <cellStyle name="SHADEDSTORES 2 2 6 3 6" xfId="45010" xr:uid="{00000000-0005-0000-0000-0000D2AF0000}"/>
    <cellStyle name="SHADEDSTORES 2 2 6 4" xfId="45011" xr:uid="{00000000-0005-0000-0000-0000D3AF0000}"/>
    <cellStyle name="SHADEDSTORES 2 2 6 4 2" xfId="45012" xr:uid="{00000000-0005-0000-0000-0000D4AF0000}"/>
    <cellStyle name="SHADEDSTORES 2 2 6 4 3" xfId="45013" xr:uid="{00000000-0005-0000-0000-0000D5AF0000}"/>
    <cellStyle name="SHADEDSTORES 2 2 6 4 4" xfId="45014" xr:uid="{00000000-0005-0000-0000-0000D6AF0000}"/>
    <cellStyle name="SHADEDSTORES 2 2 6 4 5" xfId="45015" xr:uid="{00000000-0005-0000-0000-0000D7AF0000}"/>
    <cellStyle name="SHADEDSTORES 2 2 6 4 6" xfId="45016" xr:uid="{00000000-0005-0000-0000-0000D8AF0000}"/>
    <cellStyle name="SHADEDSTORES 2 2 6 5" xfId="45017" xr:uid="{00000000-0005-0000-0000-0000D9AF0000}"/>
    <cellStyle name="SHADEDSTORES 2 2 6 6" xfId="45018" xr:uid="{00000000-0005-0000-0000-0000DAAF0000}"/>
    <cellStyle name="SHADEDSTORES 2 2 6 7" xfId="45019" xr:uid="{00000000-0005-0000-0000-0000DBAF0000}"/>
    <cellStyle name="SHADEDSTORES 2 2 6 8" xfId="45020" xr:uid="{00000000-0005-0000-0000-0000DCAF0000}"/>
    <cellStyle name="SHADEDSTORES 2 2 7" xfId="45021" xr:uid="{00000000-0005-0000-0000-0000DDAF0000}"/>
    <cellStyle name="SHADEDSTORES 2 2 7 2" xfId="45022" xr:uid="{00000000-0005-0000-0000-0000DEAF0000}"/>
    <cellStyle name="SHADEDSTORES 2 2 7 2 2" xfId="45023" xr:uid="{00000000-0005-0000-0000-0000DFAF0000}"/>
    <cellStyle name="SHADEDSTORES 2 2 7 2 3" xfId="45024" xr:uid="{00000000-0005-0000-0000-0000E0AF0000}"/>
    <cellStyle name="SHADEDSTORES 2 2 7 2 4" xfId="45025" xr:uid="{00000000-0005-0000-0000-0000E1AF0000}"/>
    <cellStyle name="SHADEDSTORES 2 2 7 2 5" xfId="45026" xr:uid="{00000000-0005-0000-0000-0000E2AF0000}"/>
    <cellStyle name="SHADEDSTORES 2 2 7 2 6" xfId="45027" xr:uid="{00000000-0005-0000-0000-0000E3AF0000}"/>
    <cellStyle name="SHADEDSTORES 2 2 7 3" xfId="45028" xr:uid="{00000000-0005-0000-0000-0000E4AF0000}"/>
    <cellStyle name="SHADEDSTORES 2 2 7 4" xfId="45029" xr:uid="{00000000-0005-0000-0000-0000E5AF0000}"/>
    <cellStyle name="SHADEDSTORES 2 2 7 5" xfId="45030" xr:uid="{00000000-0005-0000-0000-0000E6AF0000}"/>
    <cellStyle name="SHADEDSTORES 2 2 7 6" xfId="45031" xr:uid="{00000000-0005-0000-0000-0000E7AF0000}"/>
    <cellStyle name="SHADEDSTORES 2 2 8" xfId="45032" xr:uid="{00000000-0005-0000-0000-0000E8AF0000}"/>
    <cellStyle name="SHADEDSTORES 2 2 8 2" xfId="45033" xr:uid="{00000000-0005-0000-0000-0000E9AF0000}"/>
    <cellStyle name="SHADEDSTORES 2 2 8 2 2" xfId="45034" xr:uid="{00000000-0005-0000-0000-0000EAAF0000}"/>
    <cellStyle name="SHADEDSTORES 2 2 8 2 3" xfId="45035" xr:uid="{00000000-0005-0000-0000-0000EBAF0000}"/>
    <cellStyle name="SHADEDSTORES 2 2 8 2 4" xfId="45036" xr:uid="{00000000-0005-0000-0000-0000ECAF0000}"/>
    <cellStyle name="SHADEDSTORES 2 2 8 2 5" xfId="45037" xr:uid="{00000000-0005-0000-0000-0000EDAF0000}"/>
    <cellStyle name="SHADEDSTORES 2 2 8 2 6" xfId="45038" xr:uid="{00000000-0005-0000-0000-0000EEAF0000}"/>
    <cellStyle name="SHADEDSTORES 2 2 8 3" xfId="45039" xr:uid="{00000000-0005-0000-0000-0000EFAF0000}"/>
    <cellStyle name="SHADEDSTORES 2 2 8 4" xfId="45040" xr:uid="{00000000-0005-0000-0000-0000F0AF0000}"/>
    <cellStyle name="SHADEDSTORES 2 2 8 5" xfId="45041" xr:uid="{00000000-0005-0000-0000-0000F1AF0000}"/>
    <cellStyle name="SHADEDSTORES 2 2 8 6" xfId="45042" xr:uid="{00000000-0005-0000-0000-0000F2AF0000}"/>
    <cellStyle name="SHADEDSTORES 2 2 9" xfId="45043" xr:uid="{00000000-0005-0000-0000-0000F3AF0000}"/>
    <cellStyle name="SHADEDSTORES 2 2 9 2" xfId="45044" xr:uid="{00000000-0005-0000-0000-0000F4AF0000}"/>
    <cellStyle name="SHADEDSTORES 2 2 9 3" xfId="45045" xr:uid="{00000000-0005-0000-0000-0000F5AF0000}"/>
    <cellStyle name="SHADEDSTORES 2 2 9 4" xfId="45046" xr:uid="{00000000-0005-0000-0000-0000F6AF0000}"/>
    <cellStyle name="SHADEDSTORES 2 2 9 5" xfId="45047" xr:uid="{00000000-0005-0000-0000-0000F7AF0000}"/>
    <cellStyle name="SHADEDSTORES 2 2 9 6" xfId="45048" xr:uid="{00000000-0005-0000-0000-0000F8AF0000}"/>
    <cellStyle name="SHADEDSTORES 2 3" xfId="45049" xr:uid="{00000000-0005-0000-0000-0000F9AF0000}"/>
    <cellStyle name="SHADEDSTORES 2 3 2" xfId="45050" xr:uid="{00000000-0005-0000-0000-0000FAAF0000}"/>
    <cellStyle name="SHADEDSTORES 2 3 2 2" xfId="45051" xr:uid="{00000000-0005-0000-0000-0000FBAF0000}"/>
    <cellStyle name="SHADEDSTORES 2 3 2 2 2" xfId="45052" xr:uid="{00000000-0005-0000-0000-0000FCAF0000}"/>
    <cellStyle name="SHADEDSTORES 2 3 2 2 3" xfId="45053" xr:uid="{00000000-0005-0000-0000-0000FDAF0000}"/>
    <cellStyle name="SHADEDSTORES 2 3 2 2 4" xfId="45054" xr:uid="{00000000-0005-0000-0000-0000FEAF0000}"/>
    <cellStyle name="SHADEDSTORES 2 3 2 2 5" xfId="45055" xr:uid="{00000000-0005-0000-0000-0000FFAF0000}"/>
    <cellStyle name="SHADEDSTORES 2 3 2 2 6" xfId="45056" xr:uid="{00000000-0005-0000-0000-000000B00000}"/>
    <cellStyle name="SHADEDSTORES 2 3 2 3" xfId="45057" xr:uid="{00000000-0005-0000-0000-000001B00000}"/>
    <cellStyle name="SHADEDSTORES 2 3 2 4" xfId="45058" xr:uid="{00000000-0005-0000-0000-000002B00000}"/>
    <cellStyle name="SHADEDSTORES 2 3 2 5" xfId="45059" xr:uid="{00000000-0005-0000-0000-000003B00000}"/>
    <cellStyle name="SHADEDSTORES 2 3 2 6" xfId="45060" xr:uid="{00000000-0005-0000-0000-000004B00000}"/>
    <cellStyle name="SHADEDSTORES 2 3 3" xfId="45061" xr:uid="{00000000-0005-0000-0000-000005B00000}"/>
    <cellStyle name="SHADEDSTORES 2 3 3 2" xfId="45062" xr:uid="{00000000-0005-0000-0000-000006B00000}"/>
    <cellStyle name="SHADEDSTORES 2 3 3 2 2" xfId="45063" xr:uid="{00000000-0005-0000-0000-000007B00000}"/>
    <cellStyle name="SHADEDSTORES 2 3 3 2 3" xfId="45064" xr:uid="{00000000-0005-0000-0000-000008B00000}"/>
    <cellStyle name="SHADEDSTORES 2 3 3 2 4" xfId="45065" xr:uid="{00000000-0005-0000-0000-000009B00000}"/>
    <cellStyle name="SHADEDSTORES 2 3 3 2 5" xfId="45066" xr:uid="{00000000-0005-0000-0000-00000AB00000}"/>
    <cellStyle name="SHADEDSTORES 2 3 3 2 6" xfId="45067" xr:uid="{00000000-0005-0000-0000-00000BB00000}"/>
    <cellStyle name="SHADEDSTORES 2 3 3 3" xfId="45068" xr:uid="{00000000-0005-0000-0000-00000CB00000}"/>
    <cellStyle name="SHADEDSTORES 2 3 3 4" xfId="45069" xr:uid="{00000000-0005-0000-0000-00000DB00000}"/>
    <cellStyle name="SHADEDSTORES 2 3 3 5" xfId="45070" xr:uid="{00000000-0005-0000-0000-00000EB00000}"/>
    <cellStyle name="SHADEDSTORES 2 3 3 6" xfId="45071" xr:uid="{00000000-0005-0000-0000-00000FB00000}"/>
    <cellStyle name="SHADEDSTORES 2 3 4" xfId="45072" xr:uid="{00000000-0005-0000-0000-000010B00000}"/>
    <cellStyle name="SHADEDSTORES 2 3 4 2" xfId="45073" xr:uid="{00000000-0005-0000-0000-000011B00000}"/>
    <cellStyle name="SHADEDSTORES 2 3 4 3" xfId="45074" xr:uid="{00000000-0005-0000-0000-000012B00000}"/>
    <cellStyle name="SHADEDSTORES 2 3 4 4" xfId="45075" xr:uid="{00000000-0005-0000-0000-000013B00000}"/>
    <cellStyle name="SHADEDSTORES 2 3 4 5" xfId="45076" xr:uid="{00000000-0005-0000-0000-000014B00000}"/>
    <cellStyle name="SHADEDSTORES 2 3 4 6" xfId="45077" xr:uid="{00000000-0005-0000-0000-000015B00000}"/>
    <cellStyle name="SHADEDSTORES 2 3 5" xfId="45078" xr:uid="{00000000-0005-0000-0000-000016B00000}"/>
    <cellStyle name="SHADEDSTORES 2 3 6" xfId="45079" xr:uid="{00000000-0005-0000-0000-000017B00000}"/>
    <cellStyle name="SHADEDSTORES 2 3 7" xfId="45080" xr:uid="{00000000-0005-0000-0000-000018B00000}"/>
    <cellStyle name="SHADEDSTORES 2 3 8" xfId="45081" xr:uid="{00000000-0005-0000-0000-000019B00000}"/>
    <cellStyle name="SHADEDSTORES 2 4" xfId="45082" xr:uid="{00000000-0005-0000-0000-00001AB00000}"/>
    <cellStyle name="SHADEDSTORES 2 4 2" xfId="45083" xr:uid="{00000000-0005-0000-0000-00001BB00000}"/>
    <cellStyle name="SHADEDSTORES 2 4 2 2" xfId="45084" xr:uid="{00000000-0005-0000-0000-00001CB00000}"/>
    <cellStyle name="SHADEDSTORES 2 4 2 2 2" xfId="45085" xr:uid="{00000000-0005-0000-0000-00001DB00000}"/>
    <cellStyle name="SHADEDSTORES 2 4 2 2 3" xfId="45086" xr:uid="{00000000-0005-0000-0000-00001EB00000}"/>
    <cellStyle name="SHADEDSTORES 2 4 2 2 4" xfId="45087" xr:uid="{00000000-0005-0000-0000-00001FB00000}"/>
    <cellStyle name="SHADEDSTORES 2 4 2 2 5" xfId="45088" xr:uid="{00000000-0005-0000-0000-000020B00000}"/>
    <cellStyle name="SHADEDSTORES 2 4 2 2 6" xfId="45089" xr:uid="{00000000-0005-0000-0000-000021B00000}"/>
    <cellStyle name="SHADEDSTORES 2 4 2 3" xfId="45090" xr:uid="{00000000-0005-0000-0000-000022B00000}"/>
    <cellStyle name="SHADEDSTORES 2 4 2 4" xfId="45091" xr:uid="{00000000-0005-0000-0000-000023B00000}"/>
    <cellStyle name="SHADEDSTORES 2 4 2 5" xfId="45092" xr:uid="{00000000-0005-0000-0000-000024B00000}"/>
    <cellStyle name="SHADEDSTORES 2 4 2 6" xfId="45093" xr:uid="{00000000-0005-0000-0000-000025B00000}"/>
    <cellStyle name="SHADEDSTORES 2 4 3" xfId="45094" xr:uid="{00000000-0005-0000-0000-000026B00000}"/>
    <cellStyle name="SHADEDSTORES 2 4 3 2" xfId="45095" xr:uid="{00000000-0005-0000-0000-000027B00000}"/>
    <cellStyle name="SHADEDSTORES 2 4 3 2 2" xfId="45096" xr:uid="{00000000-0005-0000-0000-000028B00000}"/>
    <cellStyle name="SHADEDSTORES 2 4 3 2 3" xfId="45097" xr:uid="{00000000-0005-0000-0000-000029B00000}"/>
    <cellStyle name="SHADEDSTORES 2 4 3 2 4" xfId="45098" xr:uid="{00000000-0005-0000-0000-00002AB00000}"/>
    <cellStyle name="SHADEDSTORES 2 4 3 2 5" xfId="45099" xr:uid="{00000000-0005-0000-0000-00002BB00000}"/>
    <cellStyle name="SHADEDSTORES 2 4 3 2 6" xfId="45100" xr:uid="{00000000-0005-0000-0000-00002CB00000}"/>
    <cellStyle name="SHADEDSTORES 2 4 3 3" xfId="45101" xr:uid="{00000000-0005-0000-0000-00002DB00000}"/>
    <cellStyle name="SHADEDSTORES 2 4 3 4" xfId="45102" xr:uid="{00000000-0005-0000-0000-00002EB00000}"/>
    <cellStyle name="SHADEDSTORES 2 4 3 5" xfId="45103" xr:uid="{00000000-0005-0000-0000-00002FB00000}"/>
    <cellStyle name="SHADEDSTORES 2 4 3 6" xfId="45104" xr:uid="{00000000-0005-0000-0000-000030B00000}"/>
    <cellStyle name="SHADEDSTORES 2 4 4" xfId="45105" xr:uid="{00000000-0005-0000-0000-000031B00000}"/>
    <cellStyle name="SHADEDSTORES 2 4 4 2" xfId="45106" xr:uid="{00000000-0005-0000-0000-000032B00000}"/>
    <cellStyle name="SHADEDSTORES 2 4 4 3" xfId="45107" xr:uid="{00000000-0005-0000-0000-000033B00000}"/>
    <cellStyle name="SHADEDSTORES 2 4 4 4" xfId="45108" xr:uid="{00000000-0005-0000-0000-000034B00000}"/>
    <cellStyle name="SHADEDSTORES 2 4 4 5" xfId="45109" xr:uid="{00000000-0005-0000-0000-000035B00000}"/>
    <cellStyle name="SHADEDSTORES 2 4 4 6" xfId="45110" xr:uid="{00000000-0005-0000-0000-000036B00000}"/>
    <cellStyle name="SHADEDSTORES 2 4 5" xfId="45111" xr:uid="{00000000-0005-0000-0000-000037B00000}"/>
    <cellStyle name="SHADEDSTORES 2 4 6" xfId="45112" xr:uid="{00000000-0005-0000-0000-000038B00000}"/>
    <cellStyle name="SHADEDSTORES 2 4 7" xfId="45113" xr:uid="{00000000-0005-0000-0000-000039B00000}"/>
    <cellStyle name="SHADEDSTORES 2 4 8" xfId="45114" xr:uid="{00000000-0005-0000-0000-00003AB00000}"/>
    <cellStyle name="SHADEDSTORES 2 5" xfId="45115" xr:uid="{00000000-0005-0000-0000-00003BB00000}"/>
    <cellStyle name="SHADEDSTORES 2 5 2" xfId="45116" xr:uid="{00000000-0005-0000-0000-00003CB00000}"/>
    <cellStyle name="SHADEDSTORES 2 5 2 2" xfId="45117" xr:uid="{00000000-0005-0000-0000-00003DB00000}"/>
    <cellStyle name="SHADEDSTORES 2 5 2 2 2" xfId="45118" xr:uid="{00000000-0005-0000-0000-00003EB00000}"/>
    <cellStyle name="SHADEDSTORES 2 5 2 2 3" xfId="45119" xr:uid="{00000000-0005-0000-0000-00003FB00000}"/>
    <cellStyle name="SHADEDSTORES 2 5 2 2 4" xfId="45120" xr:uid="{00000000-0005-0000-0000-000040B00000}"/>
    <cellStyle name="SHADEDSTORES 2 5 2 2 5" xfId="45121" xr:uid="{00000000-0005-0000-0000-000041B00000}"/>
    <cellStyle name="SHADEDSTORES 2 5 2 2 6" xfId="45122" xr:uid="{00000000-0005-0000-0000-000042B00000}"/>
    <cellStyle name="SHADEDSTORES 2 5 2 3" xfId="45123" xr:uid="{00000000-0005-0000-0000-000043B00000}"/>
    <cellStyle name="SHADEDSTORES 2 5 2 4" xfId="45124" xr:uid="{00000000-0005-0000-0000-000044B00000}"/>
    <cellStyle name="SHADEDSTORES 2 5 2 5" xfId="45125" xr:uid="{00000000-0005-0000-0000-000045B00000}"/>
    <cellStyle name="SHADEDSTORES 2 5 2 6" xfId="45126" xr:uid="{00000000-0005-0000-0000-000046B00000}"/>
    <cellStyle name="SHADEDSTORES 2 5 3" xfId="45127" xr:uid="{00000000-0005-0000-0000-000047B00000}"/>
    <cellStyle name="SHADEDSTORES 2 5 3 2" xfId="45128" xr:uid="{00000000-0005-0000-0000-000048B00000}"/>
    <cellStyle name="SHADEDSTORES 2 5 3 2 2" xfId="45129" xr:uid="{00000000-0005-0000-0000-000049B00000}"/>
    <cellStyle name="SHADEDSTORES 2 5 3 2 3" xfId="45130" xr:uid="{00000000-0005-0000-0000-00004AB00000}"/>
    <cellStyle name="SHADEDSTORES 2 5 3 2 4" xfId="45131" xr:uid="{00000000-0005-0000-0000-00004BB00000}"/>
    <cellStyle name="SHADEDSTORES 2 5 3 2 5" xfId="45132" xr:uid="{00000000-0005-0000-0000-00004CB00000}"/>
    <cellStyle name="SHADEDSTORES 2 5 3 2 6" xfId="45133" xr:uid="{00000000-0005-0000-0000-00004DB00000}"/>
    <cellStyle name="SHADEDSTORES 2 5 3 3" xfId="45134" xr:uid="{00000000-0005-0000-0000-00004EB00000}"/>
    <cellStyle name="SHADEDSTORES 2 5 3 4" xfId="45135" xr:uid="{00000000-0005-0000-0000-00004FB00000}"/>
    <cellStyle name="SHADEDSTORES 2 5 3 5" xfId="45136" xr:uid="{00000000-0005-0000-0000-000050B00000}"/>
    <cellStyle name="SHADEDSTORES 2 5 3 6" xfId="45137" xr:uid="{00000000-0005-0000-0000-000051B00000}"/>
    <cellStyle name="SHADEDSTORES 2 5 4" xfId="45138" xr:uid="{00000000-0005-0000-0000-000052B00000}"/>
    <cellStyle name="SHADEDSTORES 2 5 4 2" xfId="45139" xr:uid="{00000000-0005-0000-0000-000053B00000}"/>
    <cellStyle name="SHADEDSTORES 2 5 4 3" xfId="45140" xr:uid="{00000000-0005-0000-0000-000054B00000}"/>
    <cellStyle name="SHADEDSTORES 2 5 4 4" xfId="45141" xr:uid="{00000000-0005-0000-0000-000055B00000}"/>
    <cellStyle name="SHADEDSTORES 2 5 4 5" xfId="45142" xr:uid="{00000000-0005-0000-0000-000056B00000}"/>
    <cellStyle name="SHADEDSTORES 2 5 4 6" xfId="45143" xr:uid="{00000000-0005-0000-0000-000057B00000}"/>
    <cellStyle name="SHADEDSTORES 2 5 5" xfId="45144" xr:uid="{00000000-0005-0000-0000-000058B00000}"/>
    <cellStyle name="SHADEDSTORES 2 5 6" xfId="45145" xr:uid="{00000000-0005-0000-0000-000059B00000}"/>
    <cellStyle name="SHADEDSTORES 2 5 7" xfId="45146" xr:uid="{00000000-0005-0000-0000-00005AB00000}"/>
    <cellStyle name="SHADEDSTORES 2 5 8" xfId="45147" xr:uid="{00000000-0005-0000-0000-00005BB00000}"/>
    <cellStyle name="SHADEDSTORES 2 6" xfId="45148" xr:uid="{00000000-0005-0000-0000-00005CB00000}"/>
    <cellStyle name="SHADEDSTORES 2 6 2" xfId="45149" xr:uid="{00000000-0005-0000-0000-00005DB00000}"/>
    <cellStyle name="SHADEDSTORES 2 6 2 2" xfId="45150" xr:uid="{00000000-0005-0000-0000-00005EB00000}"/>
    <cellStyle name="SHADEDSTORES 2 6 2 2 2" xfId="45151" xr:uid="{00000000-0005-0000-0000-00005FB00000}"/>
    <cellStyle name="SHADEDSTORES 2 6 2 2 3" xfId="45152" xr:uid="{00000000-0005-0000-0000-000060B00000}"/>
    <cellStyle name="SHADEDSTORES 2 6 2 2 4" xfId="45153" xr:uid="{00000000-0005-0000-0000-000061B00000}"/>
    <cellStyle name="SHADEDSTORES 2 6 2 2 5" xfId="45154" xr:uid="{00000000-0005-0000-0000-000062B00000}"/>
    <cellStyle name="SHADEDSTORES 2 6 2 2 6" xfId="45155" xr:uid="{00000000-0005-0000-0000-000063B00000}"/>
    <cellStyle name="SHADEDSTORES 2 6 2 3" xfId="45156" xr:uid="{00000000-0005-0000-0000-000064B00000}"/>
    <cellStyle name="SHADEDSTORES 2 6 2 4" xfId="45157" xr:uid="{00000000-0005-0000-0000-000065B00000}"/>
    <cellStyle name="SHADEDSTORES 2 6 2 5" xfId="45158" xr:uid="{00000000-0005-0000-0000-000066B00000}"/>
    <cellStyle name="SHADEDSTORES 2 6 2 6" xfId="45159" xr:uid="{00000000-0005-0000-0000-000067B00000}"/>
    <cellStyle name="SHADEDSTORES 2 6 3" xfId="45160" xr:uid="{00000000-0005-0000-0000-000068B00000}"/>
    <cellStyle name="SHADEDSTORES 2 6 3 2" xfId="45161" xr:uid="{00000000-0005-0000-0000-000069B00000}"/>
    <cellStyle name="SHADEDSTORES 2 6 3 2 2" xfId="45162" xr:uid="{00000000-0005-0000-0000-00006AB00000}"/>
    <cellStyle name="SHADEDSTORES 2 6 3 2 3" xfId="45163" xr:uid="{00000000-0005-0000-0000-00006BB00000}"/>
    <cellStyle name="SHADEDSTORES 2 6 3 2 4" xfId="45164" xr:uid="{00000000-0005-0000-0000-00006CB00000}"/>
    <cellStyle name="SHADEDSTORES 2 6 3 2 5" xfId="45165" xr:uid="{00000000-0005-0000-0000-00006DB00000}"/>
    <cellStyle name="SHADEDSTORES 2 6 3 2 6" xfId="45166" xr:uid="{00000000-0005-0000-0000-00006EB00000}"/>
    <cellStyle name="SHADEDSTORES 2 6 3 3" xfId="45167" xr:uid="{00000000-0005-0000-0000-00006FB00000}"/>
    <cellStyle name="SHADEDSTORES 2 6 3 4" xfId="45168" xr:uid="{00000000-0005-0000-0000-000070B00000}"/>
    <cellStyle name="SHADEDSTORES 2 6 3 5" xfId="45169" xr:uid="{00000000-0005-0000-0000-000071B00000}"/>
    <cellStyle name="SHADEDSTORES 2 6 3 6" xfId="45170" xr:uid="{00000000-0005-0000-0000-000072B00000}"/>
    <cellStyle name="SHADEDSTORES 2 6 4" xfId="45171" xr:uid="{00000000-0005-0000-0000-000073B00000}"/>
    <cellStyle name="SHADEDSTORES 2 6 4 2" xfId="45172" xr:uid="{00000000-0005-0000-0000-000074B00000}"/>
    <cellStyle name="SHADEDSTORES 2 6 4 3" xfId="45173" xr:uid="{00000000-0005-0000-0000-000075B00000}"/>
    <cellStyle name="SHADEDSTORES 2 6 4 4" xfId="45174" xr:uid="{00000000-0005-0000-0000-000076B00000}"/>
    <cellStyle name="SHADEDSTORES 2 6 4 5" xfId="45175" xr:uid="{00000000-0005-0000-0000-000077B00000}"/>
    <cellStyle name="SHADEDSTORES 2 6 4 6" xfId="45176" xr:uid="{00000000-0005-0000-0000-000078B00000}"/>
    <cellStyle name="SHADEDSTORES 2 6 5" xfId="45177" xr:uid="{00000000-0005-0000-0000-000079B00000}"/>
    <cellStyle name="SHADEDSTORES 2 6 6" xfId="45178" xr:uid="{00000000-0005-0000-0000-00007AB00000}"/>
    <cellStyle name="SHADEDSTORES 2 6 7" xfId="45179" xr:uid="{00000000-0005-0000-0000-00007BB00000}"/>
    <cellStyle name="SHADEDSTORES 2 6 8" xfId="45180" xr:uid="{00000000-0005-0000-0000-00007CB00000}"/>
    <cellStyle name="SHADEDSTORES 2 7" xfId="45181" xr:uid="{00000000-0005-0000-0000-00007DB00000}"/>
    <cellStyle name="SHADEDSTORES 2 7 2" xfId="45182" xr:uid="{00000000-0005-0000-0000-00007EB00000}"/>
    <cellStyle name="SHADEDSTORES 2 7 2 2" xfId="45183" xr:uid="{00000000-0005-0000-0000-00007FB00000}"/>
    <cellStyle name="SHADEDSTORES 2 7 2 2 2" xfId="45184" xr:uid="{00000000-0005-0000-0000-000080B00000}"/>
    <cellStyle name="SHADEDSTORES 2 7 2 2 3" xfId="45185" xr:uid="{00000000-0005-0000-0000-000081B00000}"/>
    <cellStyle name="SHADEDSTORES 2 7 2 2 4" xfId="45186" xr:uid="{00000000-0005-0000-0000-000082B00000}"/>
    <cellStyle name="SHADEDSTORES 2 7 2 2 5" xfId="45187" xr:uid="{00000000-0005-0000-0000-000083B00000}"/>
    <cellStyle name="SHADEDSTORES 2 7 2 2 6" xfId="45188" xr:uid="{00000000-0005-0000-0000-000084B00000}"/>
    <cellStyle name="SHADEDSTORES 2 7 2 3" xfId="45189" xr:uid="{00000000-0005-0000-0000-000085B00000}"/>
    <cellStyle name="SHADEDSTORES 2 7 2 4" xfId="45190" xr:uid="{00000000-0005-0000-0000-000086B00000}"/>
    <cellStyle name="SHADEDSTORES 2 7 2 5" xfId="45191" xr:uid="{00000000-0005-0000-0000-000087B00000}"/>
    <cellStyle name="SHADEDSTORES 2 7 2 6" xfId="45192" xr:uid="{00000000-0005-0000-0000-000088B00000}"/>
    <cellStyle name="SHADEDSTORES 2 7 3" xfId="45193" xr:uid="{00000000-0005-0000-0000-000089B00000}"/>
    <cellStyle name="SHADEDSTORES 2 7 3 2" xfId="45194" xr:uid="{00000000-0005-0000-0000-00008AB00000}"/>
    <cellStyle name="SHADEDSTORES 2 7 3 2 2" xfId="45195" xr:uid="{00000000-0005-0000-0000-00008BB00000}"/>
    <cellStyle name="SHADEDSTORES 2 7 3 2 3" xfId="45196" xr:uid="{00000000-0005-0000-0000-00008CB00000}"/>
    <cellStyle name="SHADEDSTORES 2 7 3 2 4" xfId="45197" xr:uid="{00000000-0005-0000-0000-00008DB00000}"/>
    <cellStyle name="SHADEDSTORES 2 7 3 2 5" xfId="45198" xr:uid="{00000000-0005-0000-0000-00008EB00000}"/>
    <cellStyle name="SHADEDSTORES 2 7 3 2 6" xfId="45199" xr:uid="{00000000-0005-0000-0000-00008FB00000}"/>
    <cellStyle name="SHADEDSTORES 2 7 3 3" xfId="45200" xr:uid="{00000000-0005-0000-0000-000090B00000}"/>
    <cellStyle name="SHADEDSTORES 2 7 3 4" xfId="45201" xr:uid="{00000000-0005-0000-0000-000091B00000}"/>
    <cellStyle name="SHADEDSTORES 2 7 3 5" xfId="45202" xr:uid="{00000000-0005-0000-0000-000092B00000}"/>
    <cellStyle name="SHADEDSTORES 2 7 3 6" xfId="45203" xr:uid="{00000000-0005-0000-0000-000093B00000}"/>
    <cellStyle name="SHADEDSTORES 2 7 4" xfId="45204" xr:uid="{00000000-0005-0000-0000-000094B00000}"/>
    <cellStyle name="SHADEDSTORES 2 7 4 2" xfId="45205" xr:uid="{00000000-0005-0000-0000-000095B00000}"/>
    <cellStyle name="SHADEDSTORES 2 7 4 3" xfId="45206" xr:uid="{00000000-0005-0000-0000-000096B00000}"/>
    <cellStyle name="SHADEDSTORES 2 7 4 4" xfId="45207" xr:uid="{00000000-0005-0000-0000-000097B00000}"/>
    <cellStyle name="SHADEDSTORES 2 7 4 5" xfId="45208" xr:uid="{00000000-0005-0000-0000-000098B00000}"/>
    <cellStyle name="SHADEDSTORES 2 7 4 6" xfId="45209" xr:uid="{00000000-0005-0000-0000-000099B00000}"/>
    <cellStyle name="SHADEDSTORES 2 7 5" xfId="45210" xr:uid="{00000000-0005-0000-0000-00009AB00000}"/>
    <cellStyle name="SHADEDSTORES 2 7 6" xfId="45211" xr:uid="{00000000-0005-0000-0000-00009BB00000}"/>
    <cellStyle name="SHADEDSTORES 2 7 7" xfId="45212" xr:uid="{00000000-0005-0000-0000-00009CB00000}"/>
    <cellStyle name="SHADEDSTORES 2 7 8" xfId="45213" xr:uid="{00000000-0005-0000-0000-00009DB00000}"/>
    <cellStyle name="SHADEDSTORES 2 8" xfId="45214" xr:uid="{00000000-0005-0000-0000-00009EB00000}"/>
    <cellStyle name="SHADEDSTORES 2 8 2" xfId="45215" xr:uid="{00000000-0005-0000-0000-00009FB00000}"/>
    <cellStyle name="SHADEDSTORES 2 8 2 2" xfId="45216" xr:uid="{00000000-0005-0000-0000-0000A0B00000}"/>
    <cellStyle name="SHADEDSTORES 2 8 2 3" xfId="45217" xr:uid="{00000000-0005-0000-0000-0000A1B00000}"/>
    <cellStyle name="SHADEDSTORES 2 8 2 4" xfId="45218" xr:uid="{00000000-0005-0000-0000-0000A2B00000}"/>
    <cellStyle name="SHADEDSTORES 2 8 2 5" xfId="45219" xr:uid="{00000000-0005-0000-0000-0000A3B00000}"/>
    <cellStyle name="SHADEDSTORES 2 8 2 6" xfId="45220" xr:uid="{00000000-0005-0000-0000-0000A4B00000}"/>
    <cellStyle name="SHADEDSTORES 2 8 3" xfId="45221" xr:uid="{00000000-0005-0000-0000-0000A5B00000}"/>
    <cellStyle name="SHADEDSTORES 2 8 4" xfId="45222" xr:uid="{00000000-0005-0000-0000-0000A6B00000}"/>
    <cellStyle name="SHADEDSTORES 2 8 5" xfId="45223" xr:uid="{00000000-0005-0000-0000-0000A7B00000}"/>
    <cellStyle name="SHADEDSTORES 2 8 6" xfId="45224" xr:uid="{00000000-0005-0000-0000-0000A8B00000}"/>
    <cellStyle name="SHADEDSTORES 2 9" xfId="45225" xr:uid="{00000000-0005-0000-0000-0000A9B00000}"/>
    <cellStyle name="SHADEDSTORES 2 9 2" xfId="45226" xr:uid="{00000000-0005-0000-0000-0000AAB00000}"/>
    <cellStyle name="SHADEDSTORES 2 9 2 2" xfId="45227" xr:uid="{00000000-0005-0000-0000-0000ABB00000}"/>
    <cellStyle name="SHADEDSTORES 2 9 2 3" xfId="45228" xr:uid="{00000000-0005-0000-0000-0000ACB00000}"/>
    <cellStyle name="SHADEDSTORES 2 9 2 4" xfId="45229" xr:uid="{00000000-0005-0000-0000-0000ADB00000}"/>
    <cellStyle name="SHADEDSTORES 2 9 2 5" xfId="45230" xr:uid="{00000000-0005-0000-0000-0000AEB00000}"/>
    <cellStyle name="SHADEDSTORES 2 9 2 6" xfId="45231" xr:uid="{00000000-0005-0000-0000-0000AFB00000}"/>
    <cellStyle name="SHADEDSTORES 2 9 3" xfId="45232" xr:uid="{00000000-0005-0000-0000-0000B0B00000}"/>
    <cellStyle name="SHADEDSTORES 2 9 4" xfId="45233" xr:uid="{00000000-0005-0000-0000-0000B1B00000}"/>
    <cellStyle name="SHADEDSTORES 2 9 5" xfId="45234" xr:uid="{00000000-0005-0000-0000-0000B2B00000}"/>
    <cellStyle name="SHADEDSTORES 2 9 6" xfId="45235" xr:uid="{00000000-0005-0000-0000-0000B3B00000}"/>
    <cellStyle name="SHADEDSTORES 3" xfId="45236" xr:uid="{00000000-0005-0000-0000-0000B4B00000}"/>
    <cellStyle name="SHADEDSTORES 3 10" xfId="45237" xr:uid="{00000000-0005-0000-0000-0000B5B00000}"/>
    <cellStyle name="SHADEDSTORES 3 11" xfId="45238" xr:uid="{00000000-0005-0000-0000-0000B6B00000}"/>
    <cellStyle name="SHADEDSTORES 3 12" xfId="45239" xr:uid="{00000000-0005-0000-0000-0000B7B00000}"/>
    <cellStyle name="SHADEDSTORES 3 13" xfId="45240" xr:uid="{00000000-0005-0000-0000-0000B8B00000}"/>
    <cellStyle name="SHADEDSTORES 3 2" xfId="45241" xr:uid="{00000000-0005-0000-0000-0000B9B00000}"/>
    <cellStyle name="SHADEDSTORES 3 2 2" xfId="45242" xr:uid="{00000000-0005-0000-0000-0000BAB00000}"/>
    <cellStyle name="SHADEDSTORES 3 2 2 2" xfId="45243" xr:uid="{00000000-0005-0000-0000-0000BBB00000}"/>
    <cellStyle name="SHADEDSTORES 3 2 2 2 2" xfId="45244" xr:uid="{00000000-0005-0000-0000-0000BCB00000}"/>
    <cellStyle name="SHADEDSTORES 3 2 2 2 3" xfId="45245" xr:uid="{00000000-0005-0000-0000-0000BDB00000}"/>
    <cellStyle name="SHADEDSTORES 3 2 2 2 4" xfId="45246" xr:uid="{00000000-0005-0000-0000-0000BEB00000}"/>
    <cellStyle name="SHADEDSTORES 3 2 2 2 5" xfId="45247" xr:uid="{00000000-0005-0000-0000-0000BFB00000}"/>
    <cellStyle name="SHADEDSTORES 3 2 2 2 6" xfId="45248" xr:uid="{00000000-0005-0000-0000-0000C0B00000}"/>
    <cellStyle name="SHADEDSTORES 3 2 2 3" xfId="45249" xr:uid="{00000000-0005-0000-0000-0000C1B00000}"/>
    <cellStyle name="SHADEDSTORES 3 2 2 4" xfId="45250" xr:uid="{00000000-0005-0000-0000-0000C2B00000}"/>
    <cellStyle name="SHADEDSTORES 3 2 2 5" xfId="45251" xr:uid="{00000000-0005-0000-0000-0000C3B00000}"/>
    <cellStyle name="SHADEDSTORES 3 2 2 6" xfId="45252" xr:uid="{00000000-0005-0000-0000-0000C4B00000}"/>
    <cellStyle name="SHADEDSTORES 3 2 3" xfId="45253" xr:uid="{00000000-0005-0000-0000-0000C5B00000}"/>
    <cellStyle name="SHADEDSTORES 3 2 3 2" xfId="45254" xr:uid="{00000000-0005-0000-0000-0000C6B00000}"/>
    <cellStyle name="SHADEDSTORES 3 2 3 2 2" xfId="45255" xr:uid="{00000000-0005-0000-0000-0000C7B00000}"/>
    <cellStyle name="SHADEDSTORES 3 2 3 2 3" xfId="45256" xr:uid="{00000000-0005-0000-0000-0000C8B00000}"/>
    <cellStyle name="SHADEDSTORES 3 2 3 2 4" xfId="45257" xr:uid="{00000000-0005-0000-0000-0000C9B00000}"/>
    <cellStyle name="SHADEDSTORES 3 2 3 2 5" xfId="45258" xr:uid="{00000000-0005-0000-0000-0000CAB00000}"/>
    <cellStyle name="SHADEDSTORES 3 2 3 2 6" xfId="45259" xr:uid="{00000000-0005-0000-0000-0000CBB00000}"/>
    <cellStyle name="SHADEDSTORES 3 2 3 3" xfId="45260" xr:uid="{00000000-0005-0000-0000-0000CCB00000}"/>
    <cellStyle name="SHADEDSTORES 3 2 3 4" xfId="45261" xr:uid="{00000000-0005-0000-0000-0000CDB00000}"/>
    <cellStyle name="SHADEDSTORES 3 2 3 5" xfId="45262" xr:uid="{00000000-0005-0000-0000-0000CEB00000}"/>
    <cellStyle name="SHADEDSTORES 3 2 3 6" xfId="45263" xr:uid="{00000000-0005-0000-0000-0000CFB00000}"/>
    <cellStyle name="SHADEDSTORES 3 2 4" xfId="45264" xr:uid="{00000000-0005-0000-0000-0000D0B00000}"/>
    <cellStyle name="SHADEDSTORES 3 2 4 2" xfId="45265" xr:uid="{00000000-0005-0000-0000-0000D1B00000}"/>
    <cellStyle name="SHADEDSTORES 3 2 4 3" xfId="45266" xr:uid="{00000000-0005-0000-0000-0000D2B00000}"/>
    <cellStyle name="SHADEDSTORES 3 2 4 4" xfId="45267" xr:uid="{00000000-0005-0000-0000-0000D3B00000}"/>
    <cellStyle name="SHADEDSTORES 3 2 4 5" xfId="45268" xr:uid="{00000000-0005-0000-0000-0000D4B00000}"/>
    <cellStyle name="SHADEDSTORES 3 2 4 6" xfId="45269" xr:uid="{00000000-0005-0000-0000-0000D5B00000}"/>
    <cellStyle name="SHADEDSTORES 3 2 5" xfId="45270" xr:uid="{00000000-0005-0000-0000-0000D6B00000}"/>
    <cellStyle name="SHADEDSTORES 3 2 6" xfId="45271" xr:uid="{00000000-0005-0000-0000-0000D7B00000}"/>
    <cellStyle name="SHADEDSTORES 3 2 7" xfId="45272" xr:uid="{00000000-0005-0000-0000-0000D8B00000}"/>
    <cellStyle name="SHADEDSTORES 3 2 8" xfId="45273" xr:uid="{00000000-0005-0000-0000-0000D9B00000}"/>
    <cellStyle name="SHADEDSTORES 3 3" xfId="45274" xr:uid="{00000000-0005-0000-0000-0000DAB00000}"/>
    <cellStyle name="SHADEDSTORES 3 3 2" xfId="45275" xr:uid="{00000000-0005-0000-0000-0000DBB00000}"/>
    <cellStyle name="SHADEDSTORES 3 3 2 2" xfId="45276" xr:uid="{00000000-0005-0000-0000-0000DCB00000}"/>
    <cellStyle name="SHADEDSTORES 3 3 2 2 2" xfId="45277" xr:uid="{00000000-0005-0000-0000-0000DDB00000}"/>
    <cellStyle name="SHADEDSTORES 3 3 2 2 3" xfId="45278" xr:uid="{00000000-0005-0000-0000-0000DEB00000}"/>
    <cellStyle name="SHADEDSTORES 3 3 2 2 4" xfId="45279" xr:uid="{00000000-0005-0000-0000-0000DFB00000}"/>
    <cellStyle name="SHADEDSTORES 3 3 2 2 5" xfId="45280" xr:uid="{00000000-0005-0000-0000-0000E0B00000}"/>
    <cellStyle name="SHADEDSTORES 3 3 2 2 6" xfId="45281" xr:uid="{00000000-0005-0000-0000-0000E1B00000}"/>
    <cellStyle name="SHADEDSTORES 3 3 2 3" xfId="45282" xr:uid="{00000000-0005-0000-0000-0000E2B00000}"/>
    <cellStyle name="SHADEDSTORES 3 3 2 4" xfId="45283" xr:uid="{00000000-0005-0000-0000-0000E3B00000}"/>
    <cellStyle name="SHADEDSTORES 3 3 2 5" xfId="45284" xr:uid="{00000000-0005-0000-0000-0000E4B00000}"/>
    <cellStyle name="SHADEDSTORES 3 3 2 6" xfId="45285" xr:uid="{00000000-0005-0000-0000-0000E5B00000}"/>
    <cellStyle name="SHADEDSTORES 3 3 3" xfId="45286" xr:uid="{00000000-0005-0000-0000-0000E6B00000}"/>
    <cellStyle name="SHADEDSTORES 3 3 3 2" xfId="45287" xr:uid="{00000000-0005-0000-0000-0000E7B00000}"/>
    <cellStyle name="SHADEDSTORES 3 3 3 2 2" xfId="45288" xr:uid="{00000000-0005-0000-0000-0000E8B00000}"/>
    <cellStyle name="SHADEDSTORES 3 3 3 2 3" xfId="45289" xr:uid="{00000000-0005-0000-0000-0000E9B00000}"/>
    <cellStyle name="SHADEDSTORES 3 3 3 2 4" xfId="45290" xr:uid="{00000000-0005-0000-0000-0000EAB00000}"/>
    <cellStyle name="SHADEDSTORES 3 3 3 2 5" xfId="45291" xr:uid="{00000000-0005-0000-0000-0000EBB00000}"/>
    <cellStyle name="SHADEDSTORES 3 3 3 2 6" xfId="45292" xr:uid="{00000000-0005-0000-0000-0000ECB00000}"/>
    <cellStyle name="SHADEDSTORES 3 3 3 3" xfId="45293" xr:uid="{00000000-0005-0000-0000-0000EDB00000}"/>
    <cellStyle name="SHADEDSTORES 3 3 3 4" xfId="45294" xr:uid="{00000000-0005-0000-0000-0000EEB00000}"/>
    <cellStyle name="SHADEDSTORES 3 3 3 5" xfId="45295" xr:uid="{00000000-0005-0000-0000-0000EFB00000}"/>
    <cellStyle name="SHADEDSTORES 3 3 3 6" xfId="45296" xr:uid="{00000000-0005-0000-0000-0000F0B00000}"/>
    <cellStyle name="SHADEDSTORES 3 3 4" xfId="45297" xr:uid="{00000000-0005-0000-0000-0000F1B00000}"/>
    <cellStyle name="SHADEDSTORES 3 3 4 2" xfId="45298" xr:uid="{00000000-0005-0000-0000-0000F2B00000}"/>
    <cellStyle name="SHADEDSTORES 3 3 4 3" xfId="45299" xr:uid="{00000000-0005-0000-0000-0000F3B00000}"/>
    <cellStyle name="SHADEDSTORES 3 3 4 4" xfId="45300" xr:uid="{00000000-0005-0000-0000-0000F4B00000}"/>
    <cellStyle name="SHADEDSTORES 3 3 4 5" xfId="45301" xr:uid="{00000000-0005-0000-0000-0000F5B00000}"/>
    <cellStyle name="SHADEDSTORES 3 3 4 6" xfId="45302" xr:uid="{00000000-0005-0000-0000-0000F6B00000}"/>
    <cellStyle name="SHADEDSTORES 3 3 5" xfId="45303" xr:uid="{00000000-0005-0000-0000-0000F7B00000}"/>
    <cellStyle name="SHADEDSTORES 3 3 6" xfId="45304" xr:uid="{00000000-0005-0000-0000-0000F8B00000}"/>
    <cellStyle name="SHADEDSTORES 3 3 7" xfId="45305" xr:uid="{00000000-0005-0000-0000-0000F9B00000}"/>
    <cellStyle name="SHADEDSTORES 3 3 8" xfId="45306" xr:uid="{00000000-0005-0000-0000-0000FAB00000}"/>
    <cellStyle name="SHADEDSTORES 3 4" xfId="45307" xr:uid="{00000000-0005-0000-0000-0000FBB00000}"/>
    <cellStyle name="SHADEDSTORES 3 4 2" xfId="45308" xr:uid="{00000000-0005-0000-0000-0000FCB00000}"/>
    <cellStyle name="SHADEDSTORES 3 4 2 2" xfId="45309" xr:uid="{00000000-0005-0000-0000-0000FDB00000}"/>
    <cellStyle name="SHADEDSTORES 3 4 2 2 2" xfId="45310" xr:uid="{00000000-0005-0000-0000-0000FEB00000}"/>
    <cellStyle name="SHADEDSTORES 3 4 2 2 3" xfId="45311" xr:uid="{00000000-0005-0000-0000-0000FFB00000}"/>
    <cellStyle name="SHADEDSTORES 3 4 2 2 4" xfId="45312" xr:uid="{00000000-0005-0000-0000-000000B10000}"/>
    <cellStyle name="SHADEDSTORES 3 4 2 2 5" xfId="45313" xr:uid="{00000000-0005-0000-0000-000001B10000}"/>
    <cellStyle name="SHADEDSTORES 3 4 2 2 6" xfId="45314" xr:uid="{00000000-0005-0000-0000-000002B10000}"/>
    <cellStyle name="SHADEDSTORES 3 4 2 3" xfId="45315" xr:uid="{00000000-0005-0000-0000-000003B10000}"/>
    <cellStyle name="SHADEDSTORES 3 4 2 4" xfId="45316" xr:uid="{00000000-0005-0000-0000-000004B10000}"/>
    <cellStyle name="SHADEDSTORES 3 4 2 5" xfId="45317" xr:uid="{00000000-0005-0000-0000-000005B10000}"/>
    <cellStyle name="SHADEDSTORES 3 4 2 6" xfId="45318" xr:uid="{00000000-0005-0000-0000-000006B10000}"/>
    <cellStyle name="SHADEDSTORES 3 4 3" xfId="45319" xr:uid="{00000000-0005-0000-0000-000007B10000}"/>
    <cellStyle name="SHADEDSTORES 3 4 3 2" xfId="45320" xr:uid="{00000000-0005-0000-0000-000008B10000}"/>
    <cellStyle name="SHADEDSTORES 3 4 3 2 2" xfId="45321" xr:uid="{00000000-0005-0000-0000-000009B10000}"/>
    <cellStyle name="SHADEDSTORES 3 4 3 2 3" xfId="45322" xr:uid="{00000000-0005-0000-0000-00000AB10000}"/>
    <cellStyle name="SHADEDSTORES 3 4 3 2 4" xfId="45323" xr:uid="{00000000-0005-0000-0000-00000BB10000}"/>
    <cellStyle name="SHADEDSTORES 3 4 3 2 5" xfId="45324" xr:uid="{00000000-0005-0000-0000-00000CB10000}"/>
    <cellStyle name="SHADEDSTORES 3 4 3 2 6" xfId="45325" xr:uid="{00000000-0005-0000-0000-00000DB10000}"/>
    <cellStyle name="SHADEDSTORES 3 4 3 3" xfId="45326" xr:uid="{00000000-0005-0000-0000-00000EB10000}"/>
    <cellStyle name="SHADEDSTORES 3 4 3 4" xfId="45327" xr:uid="{00000000-0005-0000-0000-00000FB10000}"/>
    <cellStyle name="SHADEDSTORES 3 4 3 5" xfId="45328" xr:uid="{00000000-0005-0000-0000-000010B10000}"/>
    <cellStyle name="SHADEDSTORES 3 4 3 6" xfId="45329" xr:uid="{00000000-0005-0000-0000-000011B10000}"/>
    <cellStyle name="SHADEDSTORES 3 4 4" xfId="45330" xr:uid="{00000000-0005-0000-0000-000012B10000}"/>
    <cellStyle name="SHADEDSTORES 3 4 4 2" xfId="45331" xr:uid="{00000000-0005-0000-0000-000013B10000}"/>
    <cellStyle name="SHADEDSTORES 3 4 4 3" xfId="45332" xr:uid="{00000000-0005-0000-0000-000014B10000}"/>
    <cellStyle name="SHADEDSTORES 3 4 4 4" xfId="45333" xr:uid="{00000000-0005-0000-0000-000015B10000}"/>
    <cellStyle name="SHADEDSTORES 3 4 4 5" xfId="45334" xr:uid="{00000000-0005-0000-0000-000016B10000}"/>
    <cellStyle name="SHADEDSTORES 3 4 4 6" xfId="45335" xr:uid="{00000000-0005-0000-0000-000017B10000}"/>
    <cellStyle name="SHADEDSTORES 3 4 5" xfId="45336" xr:uid="{00000000-0005-0000-0000-000018B10000}"/>
    <cellStyle name="SHADEDSTORES 3 4 6" xfId="45337" xr:uid="{00000000-0005-0000-0000-000019B10000}"/>
    <cellStyle name="SHADEDSTORES 3 4 7" xfId="45338" xr:uid="{00000000-0005-0000-0000-00001AB10000}"/>
    <cellStyle name="SHADEDSTORES 3 4 8" xfId="45339" xr:uid="{00000000-0005-0000-0000-00001BB10000}"/>
    <cellStyle name="SHADEDSTORES 3 5" xfId="45340" xr:uid="{00000000-0005-0000-0000-00001CB10000}"/>
    <cellStyle name="SHADEDSTORES 3 5 2" xfId="45341" xr:uid="{00000000-0005-0000-0000-00001DB10000}"/>
    <cellStyle name="SHADEDSTORES 3 5 2 2" xfId="45342" xr:uid="{00000000-0005-0000-0000-00001EB10000}"/>
    <cellStyle name="SHADEDSTORES 3 5 2 2 2" xfId="45343" xr:uid="{00000000-0005-0000-0000-00001FB10000}"/>
    <cellStyle name="SHADEDSTORES 3 5 2 2 3" xfId="45344" xr:uid="{00000000-0005-0000-0000-000020B10000}"/>
    <cellStyle name="SHADEDSTORES 3 5 2 2 4" xfId="45345" xr:uid="{00000000-0005-0000-0000-000021B10000}"/>
    <cellStyle name="SHADEDSTORES 3 5 2 2 5" xfId="45346" xr:uid="{00000000-0005-0000-0000-000022B10000}"/>
    <cellStyle name="SHADEDSTORES 3 5 2 2 6" xfId="45347" xr:uid="{00000000-0005-0000-0000-000023B10000}"/>
    <cellStyle name="SHADEDSTORES 3 5 2 3" xfId="45348" xr:uid="{00000000-0005-0000-0000-000024B10000}"/>
    <cellStyle name="SHADEDSTORES 3 5 2 4" xfId="45349" xr:uid="{00000000-0005-0000-0000-000025B10000}"/>
    <cellStyle name="SHADEDSTORES 3 5 2 5" xfId="45350" xr:uid="{00000000-0005-0000-0000-000026B10000}"/>
    <cellStyle name="SHADEDSTORES 3 5 2 6" xfId="45351" xr:uid="{00000000-0005-0000-0000-000027B10000}"/>
    <cellStyle name="SHADEDSTORES 3 5 3" xfId="45352" xr:uid="{00000000-0005-0000-0000-000028B10000}"/>
    <cellStyle name="SHADEDSTORES 3 5 3 2" xfId="45353" xr:uid="{00000000-0005-0000-0000-000029B10000}"/>
    <cellStyle name="SHADEDSTORES 3 5 3 2 2" xfId="45354" xr:uid="{00000000-0005-0000-0000-00002AB10000}"/>
    <cellStyle name="SHADEDSTORES 3 5 3 2 3" xfId="45355" xr:uid="{00000000-0005-0000-0000-00002BB10000}"/>
    <cellStyle name="SHADEDSTORES 3 5 3 2 4" xfId="45356" xr:uid="{00000000-0005-0000-0000-00002CB10000}"/>
    <cellStyle name="SHADEDSTORES 3 5 3 2 5" xfId="45357" xr:uid="{00000000-0005-0000-0000-00002DB10000}"/>
    <cellStyle name="SHADEDSTORES 3 5 3 2 6" xfId="45358" xr:uid="{00000000-0005-0000-0000-00002EB10000}"/>
    <cellStyle name="SHADEDSTORES 3 5 3 3" xfId="45359" xr:uid="{00000000-0005-0000-0000-00002FB10000}"/>
    <cellStyle name="SHADEDSTORES 3 5 3 4" xfId="45360" xr:uid="{00000000-0005-0000-0000-000030B10000}"/>
    <cellStyle name="SHADEDSTORES 3 5 3 5" xfId="45361" xr:uid="{00000000-0005-0000-0000-000031B10000}"/>
    <cellStyle name="SHADEDSTORES 3 5 3 6" xfId="45362" xr:uid="{00000000-0005-0000-0000-000032B10000}"/>
    <cellStyle name="SHADEDSTORES 3 5 4" xfId="45363" xr:uid="{00000000-0005-0000-0000-000033B10000}"/>
    <cellStyle name="SHADEDSTORES 3 5 4 2" xfId="45364" xr:uid="{00000000-0005-0000-0000-000034B10000}"/>
    <cellStyle name="SHADEDSTORES 3 5 4 3" xfId="45365" xr:uid="{00000000-0005-0000-0000-000035B10000}"/>
    <cellStyle name="SHADEDSTORES 3 5 4 4" xfId="45366" xr:uid="{00000000-0005-0000-0000-000036B10000}"/>
    <cellStyle name="SHADEDSTORES 3 5 4 5" xfId="45367" xr:uid="{00000000-0005-0000-0000-000037B10000}"/>
    <cellStyle name="SHADEDSTORES 3 5 4 6" xfId="45368" xr:uid="{00000000-0005-0000-0000-000038B10000}"/>
    <cellStyle name="SHADEDSTORES 3 5 5" xfId="45369" xr:uid="{00000000-0005-0000-0000-000039B10000}"/>
    <cellStyle name="SHADEDSTORES 3 5 6" xfId="45370" xr:uid="{00000000-0005-0000-0000-00003AB10000}"/>
    <cellStyle name="SHADEDSTORES 3 5 7" xfId="45371" xr:uid="{00000000-0005-0000-0000-00003BB10000}"/>
    <cellStyle name="SHADEDSTORES 3 5 8" xfId="45372" xr:uid="{00000000-0005-0000-0000-00003CB10000}"/>
    <cellStyle name="SHADEDSTORES 3 6" xfId="45373" xr:uid="{00000000-0005-0000-0000-00003DB10000}"/>
    <cellStyle name="SHADEDSTORES 3 6 2" xfId="45374" xr:uid="{00000000-0005-0000-0000-00003EB10000}"/>
    <cellStyle name="SHADEDSTORES 3 6 2 2" xfId="45375" xr:uid="{00000000-0005-0000-0000-00003FB10000}"/>
    <cellStyle name="SHADEDSTORES 3 6 2 2 2" xfId="45376" xr:uid="{00000000-0005-0000-0000-000040B10000}"/>
    <cellStyle name="SHADEDSTORES 3 6 2 2 3" xfId="45377" xr:uid="{00000000-0005-0000-0000-000041B10000}"/>
    <cellStyle name="SHADEDSTORES 3 6 2 2 4" xfId="45378" xr:uid="{00000000-0005-0000-0000-000042B10000}"/>
    <cellStyle name="SHADEDSTORES 3 6 2 2 5" xfId="45379" xr:uid="{00000000-0005-0000-0000-000043B10000}"/>
    <cellStyle name="SHADEDSTORES 3 6 2 2 6" xfId="45380" xr:uid="{00000000-0005-0000-0000-000044B10000}"/>
    <cellStyle name="SHADEDSTORES 3 6 2 3" xfId="45381" xr:uid="{00000000-0005-0000-0000-000045B10000}"/>
    <cellStyle name="SHADEDSTORES 3 6 2 4" xfId="45382" xr:uid="{00000000-0005-0000-0000-000046B10000}"/>
    <cellStyle name="SHADEDSTORES 3 6 2 5" xfId="45383" xr:uid="{00000000-0005-0000-0000-000047B10000}"/>
    <cellStyle name="SHADEDSTORES 3 6 2 6" xfId="45384" xr:uid="{00000000-0005-0000-0000-000048B10000}"/>
    <cellStyle name="SHADEDSTORES 3 6 3" xfId="45385" xr:uid="{00000000-0005-0000-0000-000049B10000}"/>
    <cellStyle name="SHADEDSTORES 3 6 3 2" xfId="45386" xr:uid="{00000000-0005-0000-0000-00004AB10000}"/>
    <cellStyle name="SHADEDSTORES 3 6 3 2 2" xfId="45387" xr:uid="{00000000-0005-0000-0000-00004BB10000}"/>
    <cellStyle name="SHADEDSTORES 3 6 3 2 3" xfId="45388" xr:uid="{00000000-0005-0000-0000-00004CB10000}"/>
    <cellStyle name="SHADEDSTORES 3 6 3 2 4" xfId="45389" xr:uid="{00000000-0005-0000-0000-00004DB10000}"/>
    <cellStyle name="SHADEDSTORES 3 6 3 2 5" xfId="45390" xr:uid="{00000000-0005-0000-0000-00004EB10000}"/>
    <cellStyle name="SHADEDSTORES 3 6 3 2 6" xfId="45391" xr:uid="{00000000-0005-0000-0000-00004FB10000}"/>
    <cellStyle name="SHADEDSTORES 3 6 3 3" xfId="45392" xr:uid="{00000000-0005-0000-0000-000050B10000}"/>
    <cellStyle name="SHADEDSTORES 3 6 3 4" xfId="45393" xr:uid="{00000000-0005-0000-0000-000051B10000}"/>
    <cellStyle name="SHADEDSTORES 3 6 3 5" xfId="45394" xr:uid="{00000000-0005-0000-0000-000052B10000}"/>
    <cellStyle name="SHADEDSTORES 3 6 3 6" xfId="45395" xr:uid="{00000000-0005-0000-0000-000053B10000}"/>
    <cellStyle name="SHADEDSTORES 3 6 4" xfId="45396" xr:uid="{00000000-0005-0000-0000-000054B10000}"/>
    <cellStyle name="SHADEDSTORES 3 6 4 2" xfId="45397" xr:uid="{00000000-0005-0000-0000-000055B10000}"/>
    <cellStyle name="SHADEDSTORES 3 6 4 3" xfId="45398" xr:uid="{00000000-0005-0000-0000-000056B10000}"/>
    <cellStyle name="SHADEDSTORES 3 6 4 4" xfId="45399" xr:uid="{00000000-0005-0000-0000-000057B10000}"/>
    <cellStyle name="SHADEDSTORES 3 6 4 5" xfId="45400" xr:uid="{00000000-0005-0000-0000-000058B10000}"/>
    <cellStyle name="SHADEDSTORES 3 6 4 6" xfId="45401" xr:uid="{00000000-0005-0000-0000-000059B10000}"/>
    <cellStyle name="SHADEDSTORES 3 6 5" xfId="45402" xr:uid="{00000000-0005-0000-0000-00005AB10000}"/>
    <cellStyle name="SHADEDSTORES 3 6 6" xfId="45403" xr:uid="{00000000-0005-0000-0000-00005BB10000}"/>
    <cellStyle name="SHADEDSTORES 3 6 7" xfId="45404" xr:uid="{00000000-0005-0000-0000-00005CB10000}"/>
    <cellStyle name="SHADEDSTORES 3 6 8" xfId="45405" xr:uid="{00000000-0005-0000-0000-00005DB10000}"/>
    <cellStyle name="SHADEDSTORES 3 7" xfId="45406" xr:uid="{00000000-0005-0000-0000-00005EB10000}"/>
    <cellStyle name="SHADEDSTORES 3 7 2" xfId="45407" xr:uid="{00000000-0005-0000-0000-00005FB10000}"/>
    <cellStyle name="SHADEDSTORES 3 7 2 2" xfId="45408" xr:uid="{00000000-0005-0000-0000-000060B10000}"/>
    <cellStyle name="SHADEDSTORES 3 7 2 3" xfId="45409" xr:uid="{00000000-0005-0000-0000-000061B10000}"/>
    <cellStyle name="SHADEDSTORES 3 7 2 4" xfId="45410" xr:uid="{00000000-0005-0000-0000-000062B10000}"/>
    <cellStyle name="SHADEDSTORES 3 7 2 5" xfId="45411" xr:uid="{00000000-0005-0000-0000-000063B10000}"/>
    <cellStyle name="SHADEDSTORES 3 7 2 6" xfId="45412" xr:uid="{00000000-0005-0000-0000-000064B10000}"/>
    <cellStyle name="SHADEDSTORES 3 7 3" xfId="45413" xr:uid="{00000000-0005-0000-0000-000065B10000}"/>
    <cellStyle name="SHADEDSTORES 3 7 4" xfId="45414" xr:uid="{00000000-0005-0000-0000-000066B10000}"/>
    <cellStyle name="SHADEDSTORES 3 7 5" xfId="45415" xr:uid="{00000000-0005-0000-0000-000067B10000}"/>
    <cellStyle name="SHADEDSTORES 3 7 6" xfId="45416" xr:uid="{00000000-0005-0000-0000-000068B10000}"/>
    <cellStyle name="SHADEDSTORES 3 8" xfId="45417" xr:uid="{00000000-0005-0000-0000-000069B10000}"/>
    <cellStyle name="SHADEDSTORES 3 8 2" xfId="45418" xr:uid="{00000000-0005-0000-0000-00006AB10000}"/>
    <cellStyle name="SHADEDSTORES 3 8 2 2" xfId="45419" xr:uid="{00000000-0005-0000-0000-00006BB10000}"/>
    <cellStyle name="SHADEDSTORES 3 8 2 3" xfId="45420" xr:uid="{00000000-0005-0000-0000-00006CB10000}"/>
    <cellStyle name="SHADEDSTORES 3 8 2 4" xfId="45421" xr:uid="{00000000-0005-0000-0000-00006DB10000}"/>
    <cellStyle name="SHADEDSTORES 3 8 2 5" xfId="45422" xr:uid="{00000000-0005-0000-0000-00006EB10000}"/>
    <cellStyle name="SHADEDSTORES 3 8 2 6" xfId="45423" xr:uid="{00000000-0005-0000-0000-00006FB10000}"/>
    <cellStyle name="SHADEDSTORES 3 8 3" xfId="45424" xr:uid="{00000000-0005-0000-0000-000070B10000}"/>
    <cellStyle name="SHADEDSTORES 3 8 4" xfId="45425" xr:uid="{00000000-0005-0000-0000-000071B10000}"/>
    <cellStyle name="SHADEDSTORES 3 8 5" xfId="45426" xr:uid="{00000000-0005-0000-0000-000072B10000}"/>
    <cellStyle name="SHADEDSTORES 3 8 6" xfId="45427" xr:uid="{00000000-0005-0000-0000-000073B10000}"/>
    <cellStyle name="SHADEDSTORES 3 9" xfId="45428" xr:uid="{00000000-0005-0000-0000-000074B10000}"/>
    <cellStyle name="SHADEDSTORES 3 9 2" xfId="45429" xr:uid="{00000000-0005-0000-0000-000075B10000}"/>
    <cellStyle name="SHADEDSTORES 3 9 3" xfId="45430" xr:uid="{00000000-0005-0000-0000-000076B10000}"/>
    <cellStyle name="SHADEDSTORES 3 9 4" xfId="45431" xr:uid="{00000000-0005-0000-0000-000077B10000}"/>
    <cellStyle name="SHADEDSTORES 3 9 5" xfId="45432" xr:uid="{00000000-0005-0000-0000-000078B10000}"/>
    <cellStyle name="SHADEDSTORES 3 9 6" xfId="45433" xr:uid="{00000000-0005-0000-0000-000079B10000}"/>
    <cellStyle name="SHADEDSTORES 4" xfId="45434" xr:uid="{00000000-0005-0000-0000-00007AB10000}"/>
    <cellStyle name="SHADEDSTORES 4 10" xfId="45435" xr:uid="{00000000-0005-0000-0000-00007BB10000}"/>
    <cellStyle name="SHADEDSTORES 4 11" xfId="45436" xr:uid="{00000000-0005-0000-0000-00007CB10000}"/>
    <cellStyle name="SHADEDSTORES 4 12" xfId="45437" xr:uid="{00000000-0005-0000-0000-00007DB10000}"/>
    <cellStyle name="SHADEDSTORES 4 13" xfId="45438" xr:uid="{00000000-0005-0000-0000-00007EB10000}"/>
    <cellStyle name="SHADEDSTORES 4 2" xfId="45439" xr:uid="{00000000-0005-0000-0000-00007FB10000}"/>
    <cellStyle name="SHADEDSTORES 4 2 2" xfId="45440" xr:uid="{00000000-0005-0000-0000-000080B10000}"/>
    <cellStyle name="SHADEDSTORES 4 2 2 2" xfId="45441" xr:uid="{00000000-0005-0000-0000-000081B10000}"/>
    <cellStyle name="SHADEDSTORES 4 2 2 2 2" xfId="45442" xr:uid="{00000000-0005-0000-0000-000082B10000}"/>
    <cellStyle name="SHADEDSTORES 4 2 2 2 3" xfId="45443" xr:uid="{00000000-0005-0000-0000-000083B10000}"/>
    <cellStyle name="SHADEDSTORES 4 2 2 2 4" xfId="45444" xr:uid="{00000000-0005-0000-0000-000084B10000}"/>
    <cellStyle name="SHADEDSTORES 4 2 2 2 5" xfId="45445" xr:uid="{00000000-0005-0000-0000-000085B10000}"/>
    <cellStyle name="SHADEDSTORES 4 2 2 2 6" xfId="45446" xr:uid="{00000000-0005-0000-0000-000086B10000}"/>
    <cellStyle name="SHADEDSTORES 4 2 2 3" xfId="45447" xr:uid="{00000000-0005-0000-0000-000087B10000}"/>
    <cellStyle name="SHADEDSTORES 4 2 2 4" xfId="45448" xr:uid="{00000000-0005-0000-0000-000088B10000}"/>
    <cellStyle name="SHADEDSTORES 4 2 2 5" xfId="45449" xr:uid="{00000000-0005-0000-0000-000089B10000}"/>
    <cellStyle name="SHADEDSTORES 4 2 2 6" xfId="45450" xr:uid="{00000000-0005-0000-0000-00008AB10000}"/>
    <cellStyle name="SHADEDSTORES 4 2 3" xfId="45451" xr:uid="{00000000-0005-0000-0000-00008BB10000}"/>
    <cellStyle name="SHADEDSTORES 4 2 3 2" xfId="45452" xr:uid="{00000000-0005-0000-0000-00008CB10000}"/>
    <cellStyle name="SHADEDSTORES 4 2 3 2 2" xfId="45453" xr:uid="{00000000-0005-0000-0000-00008DB10000}"/>
    <cellStyle name="SHADEDSTORES 4 2 3 2 3" xfId="45454" xr:uid="{00000000-0005-0000-0000-00008EB10000}"/>
    <cellStyle name="SHADEDSTORES 4 2 3 2 4" xfId="45455" xr:uid="{00000000-0005-0000-0000-00008FB10000}"/>
    <cellStyle name="SHADEDSTORES 4 2 3 2 5" xfId="45456" xr:uid="{00000000-0005-0000-0000-000090B10000}"/>
    <cellStyle name="SHADEDSTORES 4 2 3 2 6" xfId="45457" xr:uid="{00000000-0005-0000-0000-000091B10000}"/>
    <cellStyle name="SHADEDSTORES 4 2 3 3" xfId="45458" xr:uid="{00000000-0005-0000-0000-000092B10000}"/>
    <cellStyle name="SHADEDSTORES 4 2 3 4" xfId="45459" xr:uid="{00000000-0005-0000-0000-000093B10000}"/>
    <cellStyle name="SHADEDSTORES 4 2 3 5" xfId="45460" xr:uid="{00000000-0005-0000-0000-000094B10000}"/>
    <cellStyle name="SHADEDSTORES 4 2 3 6" xfId="45461" xr:uid="{00000000-0005-0000-0000-000095B10000}"/>
    <cellStyle name="SHADEDSTORES 4 2 4" xfId="45462" xr:uid="{00000000-0005-0000-0000-000096B10000}"/>
    <cellStyle name="SHADEDSTORES 4 2 4 2" xfId="45463" xr:uid="{00000000-0005-0000-0000-000097B10000}"/>
    <cellStyle name="SHADEDSTORES 4 2 4 3" xfId="45464" xr:uid="{00000000-0005-0000-0000-000098B10000}"/>
    <cellStyle name="SHADEDSTORES 4 2 4 4" xfId="45465" xr:uid="{00000000-0005-0000-0000-000099B10000}"/>
    <cellStyle name="SHADEDSTORES 4 2 4 5" xfId="45466" xr:uid="{00000000-0005-0000-0000-00009AB10000}"/>
    <cellStyle name="SHADEDSTORES 4 2 4 6" xfId="45467" xr:uid="{00000000-0005-0000-0000-00009BB10000}"/>
    <cellStyle name="SHADEDSTORES 4 2 5" xfId="45468" xr:uid="{00000000-0005-0000-0000-00009CB10000}"/>
    <cellStyle name="SHADEDSTORES 4 2 6" xfId="45469" xr:uid="{00000000-0005-0000-0000-00009DB10000}"/>
    <cellStyle name="SHADEDSTORES 4 2 7" xfId="45470" xr:uid="{00000000-0005-0000-0000-00009EB10000}"/>
    <cellStyle name="SHADEDSTORES 4 2 8" xfId="45471" xr:uid="{00000000-0005-0000-0000-00009FB10000}"/>
    <cellStyle name="SHADEDSTORES 4 3" xfId="45472" xr:uid="{00000000-0005-0000-0000-0000A0B10000}"/>
    <cellStyle name="SHADEDSTORES 4 3 2" xfId="45473" xr:uid="{00000000-0005-0000-0000-0000A1B10000}"/>
    <cellStyle name="SHADEDSTORES 4 3 2 2" xfId="45474" xr:uid="{00000000-0005-0000-0000-0000A2B10000}"/>
    <cellStyle name="SHADEDSTORES 4 3 2 2 2" xfId="45475" xr:uid="{00000000-0005-0000-0000-0000A3B10000}"/>
    <cellStyle name="SHADEDSTORES 4 3 2 2 3" xfId="45476" xr:uid="{00000000-0005-0000-0000-0000A4B10000}"/>
    <cellStyle name="SHADEDSTORES 4 3 2 2 4" xfId="45477" xr:uid="{00000000-0005-0000-0000-0000A5B10000}"/>
    <cellStyle name="SHADEDSTORES 4 3 2 2 5" xfId="45478" xr:uid="{00000000-0005-0000-0000-0000A6B10000}"/>
    <cellStyle name="SHADEDSTORES 4 3 2 2 6" xfId="45479" xr:uid="{00000000-0005-0000-0000-0000A7B10000}"/>
    <cellStyle name="SHADEDSTORES 4 3 2 3" xfId="45480" xr:uid="{00000000-0005-0000-0000-0000A8B10000}"/>
    <cellStyle name="SHADEDSTORES 4 3 2 4" xfId="45481" xr:uid="{00000000-0005-0000-0000-0000A9B10000}"/>
    <cellStyle name="SHADEDSTORES 4 3 2 5" xfId="45482" xr:uid="{00000000-0005-0000-0000-0000AAB10000}"/>
    <cellStyle name="SHADEDSTORES 4 3 2 6" xfId="45483" xr:uid="{00000000-0005-0000-0000-0000ABB10000}"/>
    <cellStyle name="SHADEDSTORES 4 3 3" xfId="45484" xr:uid="{00000000-0005-0000-0000-0000ACB10000}"/>
    <cellStyle name="SHADEDSTORES 4 3 3 2" xfId="45485" xr:uid="{00000000-0005-0000-0000-0000ADB10000}"/>
    <cellStyle name="SHADEDSTORES 4 3 3 2 2" xfId="45486" xr:uid="{00000000-0005-0000-0000-0000AEB10000}"/>
    <cellStyle name="SHADEDSTORES 4 3 3 2 3" xfId="45487" xr:uid="{00000000-0005-0000-0000-0000AFB10000}"/>
    <cellStyle name="SHADEDSTORES 4 3 3 2 4" xfId="45488" xr:uid="{00000000-0005-0000-0000-0000B0B10000}"/>
    <cellStyle name="SHADEDSTORES 4 3 3 2 5" xfId="45489" xr:uid="{00000000-0005-0000-0000-0000B1B10000}"/>
    <cellStyle name="SHADEDSTORES 4 3 3 2 6" xfId="45490" xr:uid="{00000000-0005-0000-0000-0000B2B10000}"/>
    <cellStyle name="SHADEDSTORES 4 3 3 3" xfId="45491" xr:uid="{00000000-0005-0000-0000-0000B3B10000}"/>
    <cellStyle name="SHADEDSTORES 4 3 3 4" xfId="45492" xr:uid="{00000000-0005-0000-0000-0000B4B10000}"/>
    <cellStyle name="SHADEDSTORES 4 3 3 5" xfId="45493" xr:uid="{00000000-0005-0000-0000-0000B5B10000}"/>
    <cellStyle name="SHADEDSTORES 4 3 3 6" xfId="45494" xr:uid="{00000000-0005-0000-0000-0000B6B10000}"/>
    <cellStyle name="SHADEDSTORES 4 3 4" xfId="45495" xr:uid="{00000000-0005-0000-0000-0000B7B10000}"/>
    <cellStyle name="SHADEDSTORES 4 3 4 2" xfId="45496" xr:uid="{00000000-0005-0000-0000-0000B8B10000}"/>
    <cellStyle name="SHADEDSTORES 4 3 4 3" xfId="45497" xr:uid="{00000000-0005-0000-0000-0000B9B10000}"/>
    <cellStyle name="SHADEDSTORES 4 3 4 4" xfId="45498" xr:uid="{00000000-0005-0000-0000-0000BAB10000}"/>
    <cellStyle name="SHADEDSTORES 4 3 4 5" xfId="45499" xr:uid="{00000000-0005-0000-0000-0000BBB10000}"/>
    <cellStyle name="SHADEDSTORES 4 3 4 6" xfId="45500" xr:uid="{00000000-0005-0000-0000-0000BCB10000}"/>
    <cellStyle name="SHADEDSTORES 4 3 5" xfId="45501" xr:uid="{00000000-0005-0000-0000-0000BDB10000}"/>
    <cellStyle name="SHADEDSTORES 4 3 6" xfId="45502" xr:uid="{00000000-0005-0000-0000-0000BEB10000}"/>
    <cellStyle name="SHADEDSTORES 4 3 7" xfId="45503" xr:uid="{00000000-0005-0000-0000-0000BFB10000}"/>
    <cellStyle name="SHADEDSTORES 4 3 8" xfId="45504" xr:uid="{00000000-0005-0000-0000-0000C0B10000}"/>
    <cellStyle name="SHADEDSTORES 4 4" xfId="45505" xr:uid="{00000000-0005-0000-0000-0000C1B10000}"/>
    <cellStyle name="SHADEDSTORES 4 4 2" xfId="45506" xr:uid="{00000000-0005-0000-0000-0000C2B10000}"/>
    <cellStyle name="SHADEDSTORES 4 4 2 2" xfId="45507" xr:uid="{00000000-0005-0000-0000-0000C3B10000}"/>
    <cellStyle name="SHADEDSTORES 4 4 2 2 2" xfId="45508" xr:uid="{00000000-0005-0000-0000-0000C4B10000}"/>
    <cellStyle name="SHADEDSTORES 4 4 2 2 3" xfId="45509" xr:uid="{00000000-0005-0000-0000-0000C5B10000}"/>
    <cellStyle name="SHADEDSTORES 4 4 2 2 4" xfId="45510" xr:uid="{00000000-0005-0000-0000-0000C6B10000}"/>
    <cellStyle name="SHADEDSTORES 4 4 2 2 5" xfId="45511" xr:uid="{00000000-0005-0000-0000-0000C7B10000}"/>
    <cellStyle name="SHADEDSTORES 4 4 2 2 6" xfId="45512" xr:uid="{00000000-0005-0000-0000-0000C8B10000}"/>
    <cellStyle name="SHADEDSTORES 4 4 2 3" xfId="45513" xr:uid="{00000000-0005-0000-0000-0000C9B10000}"/>
    <cellStyle name="SHADEDSTORES 4 4 2 4" xfId="45514" xr:uid="{00000000-0005-0000-0000-0000CAB10000}"/>
    <cellStyle name="SHADEDSTORES 4 4 2 5" xfId="45515" xr:uid="{00000000-0005-0000-0000-0000CBB10000}"/>
    <cellStyle name="SHADEDSTORES 4 4 2 6" xfId="45516" xr:uid="{00000000-0005-0000-0000-0000CCB10000}"/>
    <cellStyle name="SHADEDSTORES 4 4 3" xfId="45517" xr:uid="{00000000-0005-0000-0000-0000CDB10000}"/>
    <cellStyle name="SHADEDSTORES 4 4 3 2" xfId="45518" xr:uid="{00000000-0005-0000-0000-0000CEB10000}"/>
    <cellStyle name="SHADEDSTORES 4 4 3 2 2" xfId="45519" xr:uid="{00000000-0005-0000-0000-0000CFB10000}"/>
    <cellStyle name="SHADEDSTORES 4 4 3 2 3" xfId="45520" xr:uid="{00000000-0005-0000-0000-0000D0B10000}"/>
    <cellStyle name="SHADEDSTORES 4 4 3 2 4" xfId="45521" xr:uid="{00000000-0005-0000-0000-0000D1B10000}"/>
    <cellStyle name="SHADEDSTORES 4 4 3 2 5" xfId="45522" xr:uid="{00000000-0005-0000-0000-0000D2B10000}"/>
    <cellStyle name="SHADEDSTORES 4 4 3 2 6" xfId="45523" xr:uid="{00000000-0005-0000-0000-0000D3B10000}"/>
    <cellStyle name="SHADEDSTORES 4 4 3 3" xfId="45524" xr:uid="{00000000-0005-0000-0000-0000D4B10000}"/>
    <cellStyle name="SHADEDSTORES 4 4 3 4" xfId="45525" xr:uid="{00000000-0005-0000-0000-0000D5B10000}"/>
    <cellStyle name="SHADEDSTORES 4 4 3 5" xfId="45526" xr:uid="{00000000-0005-0000-0000-0000D6B10000}"/>
    <cellStyle name="SHADEDSTORES 4 4 3 6" xfId="45527" xr:uid="{00000000-0005-0000-0000-0000D7B10000}"/>
    <cellStyle name="SHADEDSTORES 4 4 4" xfId="45528" xr:uid="{00000000-0005-0000-0000-0000D8B10000}"/>
    <cellStyle name="SHADEDSTORES 4 4 4 2" xfId="45529" xr:uid="{00000000-0005-0000-0000-0000D9B10000}"/>
    <cellStyle name="SHADEDSTORES 4 4 4 3" xfId="45530" xr:uid="{00000000-0005-0000-0000-0000DAB10000}"/>
    <cellStyle name="SHADEDSTORES 4 4 4 4" xfId="45531" xr:uid="{00000000-0005-0000-0000-0000DBB10000}"/>
    <cellStyle name="SHADEDSTORES 4 4 4 5" xfId="45532" xr:uid="{00000000-0005-0000-0000-0000DCB10000}"/>
    <cellStyle name="SHADEDSTORES 4 4 4 6" xfId="45533" xr:uid="{00000000-0005-0000-0000-0000DDB10000}"/>
    <cellStyle name="SHADEDSTORES 4 4 5" xfId="45534" xr:uid="{00000000-0005-0000-0000-0000DEB10000}"/>
    <cellStyle name="SHADEDSTORES 4 4 6" xfId="45535" xr:uid="{00000000-0005-0000-0000-0000DFB10000}"/>
    <cellStyle name="SHADEDSTORES 4 4 7" xfId="45536" xr:uid="{00000000-0005-0000-0000-0000E0B10000}"/>
    <cellStyle name="SHADEDSTORES 4 4 8" xfId="45537" xr:uid="{00000000-0005-0000-0000-0000E1B10000}"/>
    <cellStyle name="SHADEDSTORES 4 5" xfId="45538" xr:uid="{00000000-0005-0000-0000-0000E2B10000}"/>
    <cellStyle name="SHADEDSTORES 4 5 2" xfId="45539" xr:uid="{00000000-0005-0000-0000-0000E3B10000}"/>
    <cellStyle name="SHADEDSTORES 4 5 2 2" xfId="45540" xr:uid="{00000000-0005-0000-0000-0000E4B10000}"/>
    <cellStyle name="SHADEDSTORES 4 5 2 2 2" xfId="45541" xr:uid="{00000000-0005-0000-0000-0000E5B10000}"/>
    <cellStyle name="SHADEDSTORES 4 5 2 2 3" xfId="45542" xr:uid="{00000000-0005-0000-0000-0000E6B10000}"/>
    <cellStyle name="SHADEDSTORES 4 5 2 2 4" xfId="45543" xr:uid="{00000000-0005-0000-0000-0000E7B10000}"/>
    <cellStyle name="SHADEDSTORES 4 5 2 2 5" xfId="45544" xr:uid="{00000000-0005-0000-0000-0000E8B10000}"/>
    <cellStyle name="SHADEDSTORES 4 5 2 2 6" xfId="45545" xr:uid="{00000000-0005-0000-0000-0000E9B10000}"/>
    <cellStyle name="SHADEDSTORES 4 5 2 3" xfId="45546" xr:uid="{00000000-0005-0000-0000-0000EAB10000}"/>
    <cellStyle name="SHADEDSTORES 4 5 2 4" xfId="45547" xr:uid="{00000000-0005-0000-0000-0000EBB10000}"/>
    <cellStyle name="SHADEDSTORES 4 5 2 5" xfId="45548" xr:uid="{00000000-0005-0000-0000-0000ECB10000}"/>
    <cellStyle name="SHADEDSTORES 4 5 2 6" xfId="45549" xr:uid="{00000000-0005-0000-0000-0000EDB10000}"/>
    <cellStyle name="SHADEDSTORES 4 5 3" xfId="45550" xr:uid="{00000000-0005-0000-0000-0000EEB10000}"/>
    <cellStyle name="SHADEDSTORES 4 5 3 2" xfId="45551" xr:uid="{00000000-0005-0000-0000-0000EFB10000}"/>
    <cellStyle name="SHADEDSTORES 4 5 3 2 2" xfId="45552" xr:uid="{00000000-0005-0000-0000-0000F0B10000}"/>
    <cellStyle name="SHADEDSTORES 4 5 3 2 3" xfId="45553" xr:uid="{00000000-0005-0000-0000-0000F1B10000}"/>
    <cellStyle name="SHADEDSTORES 4 5 3 2 4" xfId="45554" xr:uid="{00000000-0005-0000-0000-0000F2B10000}"/>
    <cellStyle name="SHADEDSTORES 4 5 3 2 5" xfId="45555" xr:uid="{00000000-0005-0000-0000-0000F3B10000}"/>
    <cellStyle name="SHADEDSTORES 4 5 3 2 6" xfId="45556" xr:uid="{00000000-0005-0000-0000-0000F4B10000}"/>
    <cellStyle name="SHADEDSTORES 4 5 3 3" xfId="45557" xr:uid="{00000000-0005-0000-0000-0000F5B10000}"/>
    <cellStyle name="SHADEDSTORES 4 5 3 4" xfId="45558" xr:uid="{00000000-0005-0000-0000-0000F6B10000}"/>
    <cellStyle name="SHADEDSTORES 4 5 3 5" xfId="45559" xr:uid="{00000000-0005-0000-0000-0000F7B10000}"/>
    <cellStyle name="SHADEDSTORES 4 5 3 6" xfId="45560" xr:uid="{00000000-0005-0000-0000-0000F8B10000}"/>
    <cellStyle name="SHADEDSTORES 4 5 4" xfId="45561" xr:uid="{00000000-0005-0000-0000-0000F9B10000}"/>
    <cellStyle name="SHADEDSTORES 4 5 4 2" xfId="45562" xr:uid="{00000000-0005-0000-0000-0000FAB10000}"/>
    <cellStyle name="SHADEDSTORES 4 5 4 3" xfId="45563" xr:uid="{00000000-0005-0000-0000-0000FBB10000}"/>
    <cellStyle name="SHADEDSTORES 4 5 4 4" xfId="45564" xr:uid="{00000000-0005-0000-0000-0000FCB10000}"/>
    <cellStyle name="SHADEDSTORES 4 5 4 5" xfId="45565" xr:uid="{00000000-0005-0000-0000-0000FDB10000}"/>
    <cellStyle name="SHADEDSTORES 4 5 4 6" xfId="45566" xr:uid="{00000000-0005-0000-0000-0000FEB10000}"/>
    <cellStyle name="SHADEDSTORES 4 5 5" xfId="45567" xr:uid="{00000000-0005-0000-0000-0000FFB10000}"/>
    <cellStyle name="SHADEDSTORES 4 5 6" xfId="45568" xr:uid="{00000000-0005-0000-0000-000000B20000}"/>
    <cellStyle name="SHADEDSTORES 4 5 7" xfId="45569" xr:uid="{00000000-0005-0000-0000-000001B20000}"/>
    <cellStyle name="SHADEDSTORES 4 5 8" xfId="45570" xr:uid="{00000000-0005-0000-0000-000002B20000}"/>
    <cellStyle name="SHADEDSTORES 4 6" xfId="45571" xr:uid="{00000000-0005-0000-0000-000003B20000}"/>
    <cellStyle name="SHADEDSTORES 4 6 2" xfId="45572" xr:uid="{00000000-0005-0000-0000-000004B20000}"/>
    <cellStyle name="SHADEDSTORES 4 6 2 2" xfId="45573" xr:uid="{00000000-0005-0000-0000-000005B20000}"/>
    <cellStyle name="SHADEDSTORES 4 6 2 2 2" xfId="45574" xr:uid="{00000000-0005-0000-0000-000006B20000}"/>
    <cellStyle name="SHADEDSTORES 4 6 2 2 3" xfId="45575" xr:uid="{00000000-0005-0000-0000-000007B20000}"/>
    <cellStyle name="SHADEDSTORES 4 6 2 2 4" xfId="45576" xr:uid="{00000000-0005-0000-0000-000008B20000}"/>
    <cellStyle name="SHADEDSTORES 4 6 2 2 5" xfId="45577" xr:uid="{00000000-0005-0000-0000-000009B20000}"/>
    <cellStyle name="SHADEDSTORES 4 6 2 2 6" xfId="45578" xr:uid="{00000000-0005-0000-0000-00000AB20000}"/>
    <cellStyle name="SHADEDSTORES 4 6 2 3" xfId="45579" xr:uid="{00000000-0005-0000-0000-00000BB20000}"/>
    <cellStyle name="SHADEDSTORES 4 6 2 4" xfId="45580" xr:uid="{00000000-0005-0000-0000-00000CB20000}"/>
    <cellStyle name="SHADEDSTORES 4 6 2 5" xfId="45581" xr:uid="{00000000-0005-0000-0000-00000DB20000}"/>
    <cellStyle name="SHADEDSTORES 4 6 2 6" xfId="45582" xr:uid="{00000000-0005-0000-0000-00000EB20000}"/>
    <cellStyle name="SHADEDSTORES 4 6 3" xfId="45583" xr:uid="{00000000-0005-0000-0000-00000FB20000}"/>
    <cellStyle name="SHADEDSTORES 4 6 3 2" xfId="45584" xr:uid="{00000000-0005-0000-0000-000010B20000}"/>
    <cellStyle name="SHADEDSTORES 4 6 3 2 2" xfId="45585" xr:uid="{00000000-0005-0000-0000-000011B20000}"/>
    <cellStyle name="SHADEDSTORES 4 6 3 2 3" xfId="45586" xr:uid="{00000000-0005-0000-0000-000012B20000}"/>
    <cellStyle name="SHADEDSTORES 4 6 3 2 4" xfId="45587" xr:uid="{00000000-0005-0000-0000-000013B20000}"/>
    <cellStyle name="SHADEDSTORES 4 6 3 2 5" xfId="45588" xr:uid="{00000000-0005-0000-0000-000014B20000}"/>
    <cellStyle name="SHADEDSTORES 4 6 3 2 6" xfId="45589" xr:uid="{00000000-0005-0000-0000-000015B20000}"/>
    <cellStyle name="SHADEDSTORES 4 6 3 3" xfId="45590" xr:uid="{00000000-0005-0000-0000-000016B20000}"/>
    <cellStyle name="SHADEDSTORES 4 6 3 4" xfId="45591" xr:uid="{00000000-0005-0000-0000-000017B20000}"/>
    <cellStyle name="SHADEDSTORES 4 6 3 5" xfId="45592" xr:uid="{00000000-0005-0000-0000-000018B20000}"/>
    <cellStyle name="SHADEDSTORES 4 6 3 6" xfId="45593" xr:uid="{00000000-0005-0000-0000-000019B20000}"/>
    <cellStyle name="SHADEDSTORES 4 6 4" xfId="45594" xr:uid="{00000000-0005-0000-0000-00001AB20000}"/>
    <cellStyle name="SHADEDSTORES 4 6 4 2" xfId="45595" xr:uid="{00000000-0005-0000-0000-00001BB20000}"/>
    <cellStyle name="SHADEDSTORES 4 6 4 3" xfId="45596" xr:uid="{00000000-0005-0000-0000-00001CB20000}"/>
    <cellStyle name="SHADEDSTORES 4 6 4 4" xfId="45597" xr:uid="{00000000-0005-0000-0000-00001DB20000}"/>
    <cellStyle name="SHADEDSTORES 4 6 4 5" xfId="45598" xr:uid="{00000000-0005-0000-0000-00001EB20000}"/>
    <cellStyle name="SHADEDSTORES 4 6 4 6" xfId="45599" xr:uid="{00000000-0005-0000-0000-00001FB20000}"/>
    <cellStyle name="SHADEDSTORES 4 6 5" xfId="45600" xr:uid="{00000000-0005-0000-0000-000020B20000}"/>
    <cellStyle name="SHADEDSTORES 4 6 6" xfId="45601" xr:uid="{00000000-0005-0000-0000-000021B20000}"/>
    <cellStyle name="SHADEDSTORES 4 6 7" xfId="45602" xr:uid="{00000000-0005-0000-0000-000022B20000}"/>
    <cellStyle name="SHADEDSTORES 4 6 8" xfId="45603" xr:uid="{00000000-0005-0000-0000-000023B20000}"/>
    <cellStyle name="SHADEDSTORES 4 7" xfId="45604" xr:uid="{00000000-0005-0000-0000-000024B20000}"/>
    <cellStyle name="SHADEDSTORES 4 7 2" xfId="45605" xr:uid="{00000000-0005-0000-0000-000025B20000}"/>
    <cellStyle name="SHADEDSTORES 4 7 2 2" xfId="45606" xr:uid="{00000000-0005-0000-0000-000026B20000}"/>
    <cellStyle name="SHADEDSTORES 4 7 2 3" xfId="45607" xr:uid="{00000000-0005-0000-0000-000027B20000}"/>
    <cellStyle name="SHADEDSTORES 4 7 2 4" xfId="45608" xr:uid="{00000000-0005-0000-0000-000028B20000}"/>
    <cellStyle name="SHADEDSTORES 4 7 2 5" xfId="45609" xr:uid="{00000000-0005-0000-0000-000029B20000}"/>
    <cellStyle name="SHADEDSTORES 4 7 2 6" xfId="45610" xr:uid="{00000000-0005-0000-0000-00002AB20000}"/>
    <cellStyle name="SHADEDSTORES 4 7 3" xfId="45611" xr:uid="{00000000-0005-0000-0000-00002BB20000}"/>
    <cellStyle name="SHADEDSTORES 4 7 4" xfId="45612" xr:uid="{00000000-0005-0000-0000-00002CB20000}"/>
    <cellStyle name="SHADEDSTORES 4 7 5" xfId="45613" xr:uid="{00000000-0005-0000-0000-00002DB20000}"/>
    <cellStyle name="SHADEDSTORES 4 7 6" xfId="45614" xr:uid="{00000000-0005-0000-0000-00002EB20000}"/>
    <cellStyle name="SHADEDSTORES 4 8" xfId="45615" xr:uid="{00000000-0005-0000-0000-00002FB20000}"/>
    <cellStyle name="SHADEDSTORES 4 8 2" xfId="45616" xr:uid="{00000000-0005-0000-0000-000030B20000}"/>
    <cellStyle name="SHADEDSTORES 4 8 2 2" xfId="45617" xr:uid="{00000000-0005-0000-0000-000031B20000}"/>
    <cellStyle name="SHADEDSTORES 4 8 2 3" xfId="45618" xr:uid="{00000000-0005-0000-0000-000032B20000}"/>
    <cellStyle name="SHADEDSTORES 4 8 2 4" xfId="45619" xr:uid="{00000000-0005-0000-0000-000033B20000}"/>
    <cellStyle name="SHADEDSTORES 4 8 2 5" xfId="45620" xr:uid="{00000000-0005-0000-0000-000034B20000}"/>
    <cellStyle name="SHADEDSTORES 4 8 2 6" xfId="45621" xr:uid="{00000000-0005-0000-0000-000035B20000}"/>
    <cellStyle name="SHADEDSTORES 4 8 3" xfId="45622" xr:uid="{00000000-0005-0000-0000-000036B20000}"/>
    <cellStyle name="SHADEDSTORES 4 8 4" xfId="45623" xr:uid="{00000000-0005-0000-0000-000037B20000}"/>
    <cellStyle name="SHADEDSTORES 4 8 5" xfId="45624" xr:uid="{00000000-0005-0000-0000-000038B20000}"/>
    <cellStyle name="SHADEDSTORES 4 8 6" xfId="45625" xr:uid="{00000000-0005-0000-0000-000039B20000}"/>
    <cellStyle name="SHADEDSTORES 4 9" xfId="45626" xr:uid="{00000000-0005-0000-0000-00003AB20000}"/>
    <cellStyle name="SHADEDSTORES 4 9 2" xfId="45627" xr:uid="{00000000-0005-0000-0000-00003BB20000}"/>
    <cellStyle name="SHADEDSTORES 4 9 3" xfId="45628" xr:uid="{00000000-0005-0000-0000-00003CB20000}"/>
    <cellStyle name="SHADEDSTORES 4 9 4" xfId="45629" xr:uid="{00000000-0005-0000-0000-00003DB20000}"/>
    <cellStyle name="SHADEDSTORES 4 9 5" xfId="45630" xr:uid="{00000000-0005-0000-0000-00003EB20000}"/>
    <cellStyle name="SHADEDSTORES 4 9 6" xfId="45631" xr:uid="{00000000-0005-0000-0000-00003FB20000}"/>
    <cellStyle name="SHADEDSTORES 5" xfId="45632" xr:uid="{00000000-0005-0000-0000-000040B20000}"/>
    <cellStyle name="SHADEDSTORES 5 2" xfId="45633" xr:uid="{00000000-0005-0000-0000-000041B20000}"/>
    <cellStyle name="SHADEDSTORES 5 2 2" xfId="45634" xr:uid="{00000000-0005-0000-0000-000042B20000}"/>
    <cellStyle name="SHADEDSTORES 5 2 2 2" xfId="45635" xr:uid="{00000000-0005-0000-0000-000043B20000}"/>
    <cellStyle name="SHADEDSTORES 5 2 2 3" xfId="45636" xr:uid="{00000000-0005-0000-0000-000044B20000}"/>
    <cellStyle name="SHADEDSTORES 5 2 2 4" xfId="45637" xr:uid="{00000000-0005-0000-0000-000045B20000}"/>
    <cellStyle name="SHADEDSTORES 5 2 2 5" xfId="45638" xr:uid="{00000000-0005-0000-0000-000046B20000}"/>
    <cellStyle name="SHADEDSTORES 5 2 2 6" xfId="45639" xr:uid="{00000000-0005-0000-0000-000047B20000}"/>
    <cellStyle name="SHADEDSTORES 5 2 3" xfId="45640" xr:uid="{00000000-0005-0000-0000-000048B20000}"/>
    <cellStyle name="SHADEDSTORES 5 2 4" xfId="45641" xr:uid="{00000000-0005-0000-0000-000049B20000}"/>
    <cellStyle name="SHADEDSTORES 5 2 5" xfId="45642" xr:uid="{00000000-0005-0000-0000-00004AB20000}"/>
    <cellStyle name="SHADEDSTORES 5 2 6" xfId="45643" xr:uid="{00000000-0005-0000-0000-00004BB20000}"/>
    <cellStyle name="SHADEDSTORES 5 3" xfId="45644" xr:uid="{00000000-0005-0000-0000-00004CB20000}"/>
    <cellStyle name="SHADEDSTORES 5 3 2" xfId="45645" xr:uid="{00000000-0005-0000-0000-00004DB20000}"/>
    <cellStyle name="SHADEDSTORES 5 3 2 2" xfId="45646" xr:uid="{00000000-0005-0000-0000-00004EB20000}"/>
    <cellStyle name="SHADEDSTORES 5 3 2 3" xfId="45647" xr:uid="{00000000-0005-0000-0000-00004FB20000}"/>
    <cellStyle name="SHADEDSTORES 5 3 2 4" xfId="45648" xr:uid="{00000000-0005-0000-0000-000050B20000}"/>
    <cellStyle name="SHADEDSTORES 5 3 2 5" xfId="45649" xr:uid="{00000000-0005-0000-0000-000051B20000}"/>
    <cellStyle name="SHADEDSTORES 5 3 2 6" xfId="45650" xr:uid="{00000000-0005-0000-0000-000052B20000}"/>
    <cellStyle name="SHADEDSTORES 5 3 3" xfId="45651" xr:uid="{00000000-0005-0000-0000-000053B20000}"/>
    <cellStyle name="SHADEDSTORES 5 3 4" xfId="45652" xr:uid="{00000000-0005-0000-0000-000054B20000}"/>
    <cellStyle name="SHADEDSTORES 5 3 5" xfId="45653" xr:uid="{00000000-0005-0000-0000-000055B20000}"/>
    <cellStyle name="SHADEDSTORES 5 3 6" xfId="45654" xr:uid="{00000000-0005-0000-0000-000056B20000}"/>
    <cellStyle name="SHADEDSTORES 5 4" xfId="45655" xr:uid="{00000000-0005-0000-0000-000057B20000}"/>
    <cellStyle name="SHADEDSTORES 5 4 2" xfId="45656" xr:uid="{00000000-0005-0000-0000-000058B20000}"/>
    <cellStyle name="SHADEDSTORES 5 4 3" xfId="45657" xr:uid="{00000000-0005-0000-0000-000059B20000}"/>
    <cellStyle name="SHADEDSTORES 5 4 4" xfId="45658" xr:uid="{00000000-0005-0000-0000-00005AB20000}"/>
    <cellStyle name="SHADEDSTORES 5 4 5" xfId="45659" xr:uid="{00000000-0005-0000-0000-00005BB20000}"/>
    <cellStyle name="SHADEDSTORES 5 4 6" xfId="45660" xr:uid="{00000000-0005-0000-0000-00005CB20000}"/>
    <cellStyle name="SHADEDSTORES 5 5" xfId="45661" xr:uid="{00000000-0005-0000-0000-00005DB20000}"/>
    <cellStyle name="SHADEDSTORES 5 6" xfId="45662" xr:uid="{00000000-0005-0000-0000-00005EB20000}"/>
    <cellStyle name="SHADEDSTORES 5 7" xfId="45663" xr:uid="{00000000-0005-0000-0000-00005FB20000}"/>
    <cellStyle name="SHADEDSTORES 5 8" xfId="45664" xr:uid="{00000000-0005-0000-0000-000060B20000}"/>
    <cellStyle name="SHADEDSTORES 6" xfId="45665" xr:uid="{00000000-0005-0000-0000-000061B20000}"/>
    <cellStyle name="SHADEDSTORES 6 2" xfId="45666" xr:uid="{00000000-0005-0000-0000-000062B20000}"/>
    <cellStyle name="SHADEDSTORES 6 2 2" xfId="45667" xr:uid="{00000000-0005-0000-0000-000063B20000}"/>
    <cellStyle name="SHADEDSTORES 6 2 2 2" xfId="45668" xr:uid="{00000000-0005-0000-0000-000064B20000}"/>
    <cellStyle name="SHADEDSTORES 6 2 2 3" xfId="45669" xr:uid="{00000000-0005-0000-0000-000065B20000}"/>
    <cellStyle name="SHADEDSTORES 6 2 2 4" xfId="45670" xr:uid="{00000000-0005-0000-0000-000066B20000}"/>
    <cellStyle name="SHADEDSTORES 6 2 2 5" xfId="45671" xr:uid="{00000000-0005-0000-0000-000067B20000}"/>
    <cellStyle name="SHADEDSTORES 6 2 2 6" xfId="45672" xr:uid="{00000000-0005-0000-0000-000068B20000}"/>
    <cellStyle name="SHADEDSTORES 6 2 3" xfId="45673" xr:uid="{00000000-0005-0000-0000-000069B20000}"/>
    <cellStyle name="SHADEDSTORES 6 2 4" xfId="45674" xr:uid="{00000000-0005-0000-0000-00006AB20000}"/>
    <cellStyle name="SHADEDSTORES 6 2 5" xfId="45675" xr:uid="{00000000-0005-0000-0000-00006BB20000}"/>
    <cellStyle name="SHADEDSTORES 6 2 6" xfId="45676" xr:uid="{00000000-0005-0000-0000-00006CB20000}"/>
    <cellStyle name="SHADEDSTORES 6 3" xfId="45677" xr:uid="{00000000-0005-0000-0000-00006DB20000}"/>
    <cellStyle name="SHADEDSTORES 6 3 2" xfId="45678" xr:uid="{00000000-0005-0000-0000-00006EB20000}"/>
    <cellStyle name="SHADEDSTORES 6 3 2 2" xfId="45679" xr:uid="{00000000-0005-0000-0000-00006FB20000}"/>
    <cellStyle name="SHADEDSTORES 6 3 2 3" xfId="45680" xr:uid="{00000000-0005-0000-0000-000070B20000}"/>
    <cellStyle name="SHADEDSTORES 6 3 2 4" xfId="45681" xr:uid="{00000000-0005-0000-0000-000071B20000}"/>
    <cellStyle name="SHADEDSTORES 6 3 2 5" xfId="45682" xr:uid="{00000000-0005-0000-0000-000072B20000}"/>
    <cellStyle name="SHADEDSTORES 6 3 2 6" xfId="45683" xr:uid="{00000000-0005-0000-0000-000073B20000}"/>
    <cellStyle name="SHADEDSTORES 6 3 3" xfId="45684" xr:uid="{00000000-0005-0000-0000-000074B20000}"/>
    <cellStyle name="SHADEDSTORES 6 3 4" xfId="45685" xr:uid="{00000000-0005-0000-0000-000075B20000}"/>
    <cellStyle name="SHADEDSTORES 6 3 5" xfId="45686" xr:uid="{00000000-0005-0000-0000-000076B20000}"/>
    <cellStyle name="SHADEDSTORES 6 3 6" xfId="45687" xr:uid="{00000000-0005-0000-0000-000077B20000}"/>
    <cellStyle name="SHADEDSTORES 6 4" xfId="45688" xr:uid="{00000000-0005-0000-0000-000078B20000}"/>
    <cellStyle name="SHADEDSTORES 6 4 2" xfId="45689" xr:uid="{00000000-0005-0000-0000-000079B20000}"/>
    <cellStyle name="SHADEDSTORES 6 4 3" xfId="45690" xr:uid="{00000000-0005-0000-0000-00007AB20000}"/>
    <cellStyle name="SHADEDSTORES 6 4 4" xfId="45691" xr:uid="{00000000-0005-0000-0000-00007BB20000}"/>
    <cellStyle name="SHADEDSTORES 6 4 5" xfId="45692" xr:uid="{00000000-0005-0000-0000-00007CB20000}"/>
    <cellStyle name="SHADEDSTORES 6 4 6" xfId="45693" xr:uid="{00000000-0005-0000-0000-00007DB20000}"/>
    <cellStyle name="SHADEDSTORES 6 5" xfId="45694" xr:uid="{00000000-0005-0000-0000-00007EB20000}"/>
    <cellStyle name="SHADEDSTORES 6 6" xfId="45695" xr:uid="{00000000-0005-0000-0000-00007FB20000}"/>
    <cellStyle name="SHADEDSTORES 6 7" xfId="45696" xr:uid="{00000000-0005-0000-0000-000080B20000}"/>
    <cellStyle name="SHADEDSTORES 6 8" xfId="45697" xr:uid="{00000000-0005-0000-0000-000081B20000}"/>
    <cellStyle name="SHADEDSTORES 7" xfId="45698" xr:uid="{00000000-0005-0000-0000-000082B20000}"/>
    <cellStyle name="SHADEDSTORES 7 2" xfId="45699" xr:uid="{00000000-0005-0000-0000-000083B20000}"/>
    <cellStyle name="SHADEDSTORES 7 2 2" xfId="45700" xr:uid="{00000000-0005-0000-0000-000084B20000}"/>
    <cellStyle name="SHADEDSTORES 7 2 2 2" xfId="45701" xr:uid="{00000000-0005-0000-0000-000085B20000}"/>
    <cellStyle name="SHADEDSTORES 7 2 2 3" xfId="45702" xr:uid="{00000000-0005-0000-0000-000086B20000}"/>
    <cellStyle name="SHADEDSTORES 7 2 2 4" xfId="45703" xr:uid="{00000000-0005-0000-0000-000087B20000}"/>
    <cellStyle name="SHADEDSTORES 7 2 2 5" xfId="45704" xr:uid="{00000000-0005-0000-0000-000088B20000}"/>
    <cellStyle name="SHADEDSTORES 7 2 2 6" xfId="45705" xr:uid="{00000000-0005-0000-0000-000089B20000}"/>
    <cellStyle name="SHADEDSTORES 7 2 3" xfId="45706" xr:uid="{00000000-0005-0000-0000-00008AB20000}"/>
    <cellStyle name="SHADEDSTORES 7 2 4" xfId="45707" xr:uid="{00000000-0005-0000-0000-00008BB20000}"/>
    <cellStyle name="SHADEDSTORES 7 2 5" xfId="45708" xr:uid="{00000000-0005-0000-0000-00008CB20000}"/>
    <cellStyle name="SHADEDSTORES 7 2 6" xfId="45709" xr:uid="{00000000-0005-0000-0000-00008DB20000}"/>
    <cellStyle name="SHADEDSTORES 7 3" xfId="45710" xr:uid="{00000000-0005-0000-0000-00008EB20000}"/>
    <cellStyle name="SHADEDSTORES 7 3 2" xfId="45711" xr:uid="{00000000-0005-0000-0000-00008FB20000}"/>
    <cellStyle name="SHADEDSTORES 7 3 2 2" xfId="45712" xr:uid="{00000000-0005-0000-0000-000090B20000}"/>
    <cellStyle name="SHADEDSTORES 7 3 2 3" xfId="45713" xr:uid="{00000000-0005-0000-0000-000091B20000}"/>
    <cellStyle name="SHADEDSTORES 7 3 2 4" xfId="45714" xr:uid="{00000000-0005-0000-0000-000092B20000}"/>
    <cellStyle name="SHADEDSTORES 7 3 2 5" xfId="45715" xr:uid="{00000000-0005-0000-0000-000093B20000}"/>
    <cellStyle name="SHADEDSTORES 7 3 2 6" xfId="45716" xr:uid="{00000000-0005-0000-0000-000094B20000}"/>
    <cellStyle name="SHADEDSTORES 7 3 3" xfId="45717" xr:uid="{00000000-0005-0000-0000-000095B20000}"/>
    <cellStyle name="SHADEDSTORES 7 3 4" xfId="45718" xr:uid="{00000000-0005-0000-0000-000096B20000}"/>
    <cellStyle name="SHADEDSTORES 7 3 5" xfId="45719" xr:uid="{00000000-0005-0000-0000-000097B20000}"/>
    <cellStyle name="SHADEDSTORES 7 3 6" xfId="45720" xr:uid="{00000000-0005-0000-0000-000098B20000}"/>
    <cellStyle name="SHADEDSTORES 7 4" xfId="45721" xr:uid="{00000000-0005-0000-0000-000099B20000}"/>
    <cellStyle name="SHADEDSTORES 7 4 2" xfId="45722" xr:uid="{00000000-0005-0000-0000-00009AB20000}"/>
    <cellStyle name="SHADEDSTORES 7 4 3" xfId="45723" xr:uid="{00000000-0005-0000-0000-00009BB20000}"/>
    <cellStyle name="SHADEDSTORES 7 4 4" xfId="45724" xr:uid="{00000000-0005-0000-0000-00009CB20000}"/>
    <cellStyle name="SHADEDSTORES 7 4 5" xfId="45725" xr:uid="{00000000-0005-0000-0000-00009DB20000}"/>
    <cellStyle name="SHADEDSTORES 7 4 6" xfId="45726" xr:uid="{00000000-0005-0000-0000-00009EB20000}"/>
    <cellStyle name="SHADEDSTORES 7 5" xfId="45727" xr:uid="{00000000-0005-0000-0000-00009FB20000}"/>
    <cellStyle name="SHADEDSTORES 7 6" xfId="45728" xr:uid="{00000000-0005-0000-0000-0000A0B20000}"/>
    <cellStyle name="SHADEDSTORES 7 7" xfId="45729" xr:uid="{00000000-0005-0000-0000-0000A1B20000}"/>
    <cellStyle name="SHADEDSTORES 7 8" xfId="45730" xr:uid="{00000000-0005-0000-0000-0000A2B20000}"/>
    <cellStyle name="SHADEDSTORES 8" xfId="45731" xr:uid="{00000000-0005-0000-0000-0000A3B20000}"/>
    <cellStyle name="SHADEDSTORES 8 2" xfId="45732" xr:uid="{00000000-0005-0000-0000-0000A4B20000}"/>
    <cellStyle name="SHADEDSTORES 8 2 2" xfId="45733" xr:uid="{00000000-0005-0000-0000-0000A5B20000}"/>
    <cellStyle name="SHADEDSTORES 8 2 3" xfId="45734" xr:uid="{00000000-0005-0000-0000-0000A6B20000}"/>
    <cellStyle name="SHADEDSTORES 8 2 4" xfId="45735" xr:uid="{00000000-0005-0000-0000-0000A7B20000}"/>
    <cellStyle name="SHADEDSTORES 8 2 5" xfId="45736" xr:uid="{00000000-0005-0000-0000-0000A8B20000}"/>
    <cellStyle name="SHADEDSTORES 8 2 6" xfId="45737" xr:uid="{00000000-0005-0000-0000-0000A9B20000}"/>
    <cellStyle name="SHADEDSTORES 8 3" xfId="45738" xr:uid="{00000000-0005-0000-0000-0000AAB20000}"/>
    <cellStyle name="SHADEDSTORES 8 4" xfId="45739" xr:uid="{00000000-0005-0000-0000-0000ABB20000}"/>
    <cellStyle name="SHADEDSTORES 8 5" xfId="45740" xr:uid="{00000000-0005-0000-0000-0000ACB20000}"/>
    <cellStyle name="SHADEDSTORES 8 6" xfId="45741" xr:uid="{00000000-0005-0000-0000-0000ADB20000}"/>
    <cellStyle name="SHADEDSTORES 9" xfId="45742" xr:uid="{00000000-0005-0000-0000-0000AEB20000}"/>
    <cellStyle name="SHADEDSTORES 9 2" xfId="45743" xr:uid="{00000000-0005-0000-0000-0000AFB20000}"/>
    <cellStyle name="SHADEDSTORES 9 2 2" xfId="45744" xr:uid="{00000000-0005-0000-0000-0000B0B20000}"/>
    <cellStyle name="SHADEDSTORES 9 2 3" xfId="45745" xr:uid="{00000000-0005-0000-0000-0000B1B20000}"/>
    <cellStyle name="SHADEDSTORES 9 2 4" xfId="45746" xr:uid="{00000000-0005-0000-0000-0000B2B20000}"/>
    <cellStyle name="SHADEDSTORES 9 2 5" xfId="45747" xr:uid="{00000000-0005-0000-0000-0000B3B20000}"/>
    <cellStyle name="SHADEDSTORES 9 2 6" xfId="45748" xr:uid="{00000000-0005-0000-0000-0000B4B20000}"/>
    <cellStyle name="SHADEDSTORES 9 3" xfId="45749" xr:uid="{00000000-0005-0000-0000-0000B5B20000}"/>
    <cellStyle name="SHADEDSTORES 9 4" xfId="45750" xr:uid="{00000000-0005-0000-0000-0000B6B20000}"/>
    <cellStyle name="SHADEDSTORES 9 5" xfId="45751" xr:uid="{00000000-0005-0000-0000-0000B7B20000}"/>
    <cellStyle name="SHADEDSTORES 9 6" xfId="45752" xr:uid="{00000000-0005-0000-0000-0000B8B20000}"/>
    <cellStyle name="Sheet Header" xfId="45753" xr:uid="{00000000-0005-0000-0000-0000B9B20000}"/>
    <cellStyle name="specstores" xfId="45754" xr:uid="{00000000-0005-0000-0000-0000BAB20000}"/>
    <cellStyle name="Standard_Anpassen der Amortisation" xfId="45755" xr:uid="{00000000-0005-0000-0000-0000BBB20000}"/>
    <cellStyle name="Structure" xfId="45756" xr:uid="{00000000-0005-0000-0000-0000BCB20000}"/>
    <cellStyle name="Structure 10" xfId="45757" xr:uid="{00000000-0005-0000-0000-0000BDB20000}"/>
    <cellStyle name="Structure 11" xfId="45758" xr:uid="{00000000-0005-0000-0000-0000BEB20000}"/>
    <cellStyle name="Structure 12" xfId="45759" xr:uid="{00000000-0005-0000-0000-0000BFB20000}"/>
    <cellStyle name="Structure 13" xfId="45760" xr:uid="{00000000-0005-0000-0000-0000C0B20000}"/>
    <cellStyle name="Structure 2" xfId="45761" xr:uid="{00000000-0005-0000-0000-0000C1B20000}"/>
    <cellStyle name="Structure 2 10" xfId="45762" xr:uid="{00000000-0005-0000-0000-0000C2B20000}"/>
    <cellStyle name="Structure 2 10 2" xfId="45763" xr:uid="{00000000-0005-0000-0000-0000C3B20000}"/>
    <cellStyle name="Structure 2 10 3" xfId="45764" xr:uid="{00000000-0005-0000-0000-0000C4B20000}"/>
    <cellStyle name="Structure 2 10 4" xfId="45765" xr:uid="{00000000-0005-0000-0000-0000C5B20000}"/>
    <cellStyle name="Structure 2 10 5" xfId="45766" xr:uid="{00000000-0005-0000-0000-0000C6B20000}"/>
    <cellStyle name="Structure 2 10 6" xfId="45767" xr:uid="{00000000-0005-0000-0000-0000C7B20000}"/>
    <cellStyle name="Structure 2 11" xfId="45768" xr:uid="{00000000-0005-0000-0000-0000C8B20000}"/>
    <cellStyle name="Structure 2 12" xfId="45769" xr:uid="{00000000-0005-0000-0000-0000C9B20000}"/>
    <cellStyle name="Structure 2 13" xfId="45770" xr:uid="{00000000-0005-0000-0000-0000CAB20000}"/>
    <cellStyle name="Structure 2 14" xfId="45771" xr:uid="{00000000-0005-0000-0000-0000CBB20000}"/>
    <cellStyle name="Structure 2 2" xfId="45772" xr:uid="{00000000-0005-0000-0000-0000CCB20000}"/>
    <cellStyle name="Structure 2 2 10" xfId="45773" xr:uid="{00000000-0005-0000-0000-0000CDB20000}"/>
    <cellStyle name="Structure 2 2 11" xfId="45774" xr:uid="{00000000-0005-0000-0000-0000CEB20000}"/>
    <cellStyle name="Structure 2 2 12" xfId="45775" xr:uid="{00000000-0005-0000-0000-0000CFB20000}"/>
    <cellStyle name="Structure 2 2 13" xfId="45776" xr:uid="{00000000-0005-0000-0000-0000D0B20000}"/>
    <cellStyle name="Structure 2 2 2" xfId="45777" xr:uid="{00000000-0005-0000-0000-0000D1B20000}"/>
    <cellStyle name="Structure 2 2 2 2" xfId="45778" xr:uid="{00000000-0005-0000-0000-0000D2B20000}"/>
    <cellStyle name="Structure 2 2 2 2 2" xfId="45779" xr:uid="{00000000-0005-0000-0000-0000D3B20000}"/>
    <cellStyle name="Structure 2 2 2 2 2 2" xfId="45780" xr:uid="{00000000-0005-0000-0000-0000D4B20000}"/>
    <cellStyle name="Structure 2 2 2 2 2 3" xfId="45781" xr:uid="{00000000-0005-0000-0000-0000D5B20000}"/>
    <cellStyle name="Structure 2 2 2 2 2 4" xfId="45782" xr:uid="{00000000-0005-0000-0000-0000D6B20000}"/>
    <cellStyle name="Structure 2 2 2 2 2 5" xfId="45783" xr:uid="{00000000-0005-0000-0000-0000D7B20000}"/>
    <cellStyle name="Structure 2 2 2 2 2 6" xfId="45784" xr:uid="{00000000-0005-0000-0000-0000D8B20000}"/>
    <cellStyle name="Structure 2 2 2 2 3" xfId="45785" xr:uid="{00000000-0005-0000-0000-0000D9B20000}"/>
    <cellStyle name="Structure 2 2 2 2 4" xfId="45786" xr:uid="{00000000-0005-0000-0000-0000DAB20000}"/>
    <cellStyle name="Structure 2 2 2 2 5" xfId="45787" xr:uid="{00000000-0005-0000-0000-0000DBB20000}"/>
    <cellStyle name="Structure 2 2 2 2 6" xfId="45788" xr:uid="{00000000-0005-0000-0000-0000DCB20000}"/>
    <cellStyle name="Structure 2 2 2 3" xfId="45789" xr:uid="{00000000-0005-0000-0000-0000DDB20000}"/>
    <cellStyle name="Structure 2 2 2 3 2" xfId="45790" xr:uid="{00000000-0005-0000-0000-0000DEB20000}"/>
    <cellStyle name="Structure 2 2 2 3 2 2" xfId="45791" xr:uid="{00000000-0005-0000-0000-0000DFB20000}"/>
    <cellStyle name="Structure 2 2 2 3 2 3" xfId="45792" xr:uid="{00000000-0005-0000-0000-0000E0B20000}"/>
    <cellStyle name="Structure 2 2 2 3 2 4" xfId="45793" xr:uid="{00000000-0005-0000-0000-0000E1B20000}"/>
    <cellStyle name="Structure 2 2 2 3 2 5" xfId="45794" xr:uid="{00000000-0005-0000-0000-0000E2B20000}"/>
    <cellStyle name="Structure 2 2 2 3 2 6" xfId="45795" xr:uid="{00000000-0005-0000-0000-0000E3B20000}"/>
    <cellStyle name="Structure 2 2 2 3 3" xfId="45796" xr:uid="{00000000-0005-0000-0000-0000E4B20000}"/>
    <cellStyle name="Structure 2 2 2 3 4" xfId="45797" xr:uid="{00000000-0005-0000-0000-0000E5B20000}"/>
    <cellStyle name="Structure 2 2 2 3 5" xfId="45798" xr:uid="{00000000-0005-0000-0000-0000E6B20000}"/>
    <cellStyle name="Structure 2 2 2 3 6" xfId="45799" xr:uid="{00000000-0005-0000-0000-0000E7B20000}"/>
    <cellStyle name="Structure 2 2 2 4" xfId="45800" xr:uid="{00000000-0005-0000-0000-0000E8B20000}"/>
    <cellStyle name="Structure 2 2 2 4 2" xfId="45801" xr:uid="{00000000-0005-0000-0000-0000E9B20000}"/>
    <cellStyle name="Structure 2 2 2 4 3" xfId="45802" xr:uid="{00000000-0005-0000-0000-0000EAB20000}"/>
    <cellStyle name="Structure 2 2 2 4 4" xfId="45803" xr:uid="{00000000-0005-0000-0000-0000EBB20000}"/>
    <cellStyle name="Structure 2 2 2 4 5" xfId="45804" xr:uid="{00000000-0005-0000-0000-0000ECB20000}"/>
    <cellStyle name="Structure 2 2 2 4 6" xfId="45805" xr:uid="{00000000-0005-0000-0000-0000EDB20000}"/>
    <cellStyle name="Structure 2 2 2 5" xfId="45806" xr:uid="{00000000-0005-0000-0000-0000EEB20000}"/>
    <cellStyle name="Structure 2 2 2 6" xfId="45807" xr:uid="{00000000-0005-0000-0000-0000EFB20000}"/>
    <cellStyle name="Structure 2 2 2 7" xfId="45808" xr:uid="{00000000-0005-0000-0000-0000F0B20000}"/>
    <cellStyle name="Structure 2 2 2 8" xfId="45809" xr:uid="{00000000-0005-0000-0000-0000F1B20000}"/>
    <cellStyle name="Structure 2 2 3" xfId="45810" xr:uid="{00000000-0005-0000-0000-0000F2B20000}"/>
    <cellStyle name="Structure 2 2 3 2" xfId="45811" xr:uid="{00000000-0005-0000-0000-0000F3B20000}"/>
    <cellStyle name="Structure 2 2 3 2 2" xfId="45812" xr:uid="{00000000-0005-0000-0000-0000F4B20000}"/>
    <cellStyle name="Structure 2 2 3 2 2 2" xfId="45813" xr:uid="{00000000-0005-0000-0000-0000F5B20000}"/>
    <cellStyle name="Structure 2 2 3 2 2 3" xfId="45814" xr:uid="{00000000-0005-0000-0000-0000F6B20000}"/>
    <cellStyle name="Structure 2 2 3 2 2 4" xfId="45815" xr:uid="{00000000-0005-0000-0000-0000F7B20000}"/>
    <cellStyle name="Structure 2 2 3 2 2 5" xfId="45816" xr:uid="{00000000-0005-0000-0000-0000F8B20000}"/>
    <cellStyle name="Structure 2 2 3 2 2 6" xfId="45817" xr:uid="{00000000-0005-0000-0000-0000F9B20000}"/>
    <cellStyle name="Structure 2 2 3 2 3" xfId="45818" xr:uid="{00000000-0005-0000-0000-0000FAB20000}"/>
    <cellStyle name="Structure 2 2 3 2 4" xfId="45819" xr:uid="{00000000-0005-0000-0000-0000FBB20000}"/>
    <cellStyle name="Structure 2 2 3 2 5" xfId="45820" xr:uid="{00000000-0005-0000-0000-0000FCB20000}"/>
    <cellStyle name="Structure 2 2 3 2 6" xfId="45821" xr:uid="{00000000-0005-0000-0000-0000FDB20000}"/>
    <cellStyle name="Structure 2 2 3 3" xfId="45822" xr:uid="{00000000-0005-0000-0000-0000FEB20000}"/>
    <cellStyle name="Structure 2 2 3 3 2" xfId="45823" xr:uid="{00000000-0005-0000-0000-0000FFB20000}"/>
    <cellStyle name="Structure 2 2 3 3 2 2" xfId="45824" xr:uid="{00000000-0005-0000-0000-000000B30000}"/>
    <cellStyle name="Structure 2 2 3 3 2 3" xfId="45825" xr:uid="{00000000-0005-0000-0000-000001B30000}"/>
    <cellStyle name="Structure 2 2 3 3 2 4" xfId="45826" xr:uid="{00000000-0005-0000-0000-000002B30000}"/>
    <cellStyle name="Structure 2 2 3 3 2 5" xfId="45827" xr:uid="{00000000-0005-0000-0000-000003B30000}"/>
    <cellStyle name="Structure 2 2 3 3 2 6" xfId="45828" xr:uid="{00000000-0005-0000-0000-000004B30000}"/>
    <cellStyle name="Structure 2 2 3 3 3" xfId="45829" xr:uid="{00000000-0005-0000-0000-000005B30000}"/>
    <cellStyle name="Structure 2 2 3 3 4" xfId="45830" xr:uid="{00000000-0005-0000-0000-000006B30000}"/>
    <cellStyle name="Structure 2 2 3 3 5" xfId="45831" xr:uid="{00000000-0005-0000-0000-000007B30000}"/>
    <cellStyle name="Structure 2 2 3 3 6" xfId="45832" xr:uid="{00000000-0005-0000-0000-000008B30000}"/>
    <cellStyle name="Structure 2 2 3 4" xfId="45833" xr:uid="{00000000-0005-0000-0000-000009B30000}"/>
    <cellStyle name="Structure 2 2 3 4 2" xfId="45834" xr:uid="{00000000-0005-0000-0000-00000AB30000}"/>
    <cellStyle name="Structure 2 2 3 4 3" xfId="45835" xr:uid="{00000000-0005-0000-0000-00000BB30000}"/>
    <cellStyle name="Structure 2 2 3 4 4" xfId="45836" xr:uid="{00000000-0005-0000-0000-00000CB30000}"/>
    <cellStyle name="Structure 2 2 3 4 5" xfId="45837" xr:uid="{00000000-0005-0000-0000-00000DB30000}"/>
    <cellStyle name="Structure 2 2 3 4 6" xfId="45838" xr:uid="{00000000-0005-0000-0000-00000EB30000}"/>
    <cellStyle name="Structure 2 2 3 5" xfId="45839" xr:uid="{00000000-0005-0000-0000-00000FB30000}"/>
    <cellStyle name="Structure 2 2 3 6" xfId="45840" xr:uid="{00000000-0005-0000-0000-000010B30000}"/>
    <cellStyle name="Structure 2 2 3 7" xfId="45841" xr:uid="{00000000-0005-0000-0000-000011B30000}"/>
    <cellStyle name="Structure 2 2 3 8" xfId="45842" xr:uid="{00000000-0005-0000-0000-000012B30000}"/>
    <cellStyle name="Structure 2 2 4" xfId="45843" xr:uid="{00000000-0005-0000-0000-000013B30000}"/>
    <cellStyle name="Structure 2 2 4 2" xfId="45844" xr:uid="{00000000-0005-0000-0000-000014B30000}"/>
    <cellStyle name="Structure 2 2 4 2 2" xfId="45845" xr:uid="{00000000-0005-0000-0000-000015B30000}"/>
    <cellStyle name="Structure 2 2 4 2 2 2" xfId="45846" xr:uid="{00000000-0005-0000-0000-000016B30000}"/>
    <cellStyle name="Structure 2 2 4 2 2 3" xfId="45847" xr:uid="{00000000-0005-0000-0000-000017B30000}"/>
    <cellStyle name="Structure 2 2 4 2 2 4" xfId="45848" xr:uid="{00000000-0005-0000-0000-000018B30000}"/>
    <cellStyle name="Structure 2 2 4 2 2 5" xfId="45849" xr:uid="{00000000-0005-0000-0000-000019B30000}"/>
    <cellStyle name="Structure 2 2 4 2 2 6" xfId="45850" xr:uid="{00000000-0005-0000-0000-00001AB30000}"/>
    <cellStyle name="Structure 2 2 4 2 3" xfId="45851" xr:uid="{00000000-0005-0000-0000-00001BB30000}"/>
    <cellStyle name="Structure 2 2 4 2 4" xfId="45852" xr:uid="{00000000-0005-0000-0000-00001CB30000}"/>
    <cellStyle name="Structure 2 2 4 2 5" xfId="45853" xr:uid="{00000000-0005-0000-0000-00001DB30000}"/>
    <cellStyle name="Structure 2 2 4 2 6" xfId="45854" xr:uid="{00000000-0005-0000-0000-00001EB30000}"/>
    <cellStyle name="Structure 2 2 4 3" xfId="45855" xr:uid="{00000000-0005-0000-0000-00001FB30000}"/>
    <cellStyle name="Structure 2 2 4 3 2" xfId="45856" xr:uid="{00000000-0005-0000-0000-000020B30000}"/>
    <cellStyle name="Structure 2 2 4 3 2 2" xfId="45857" xr:uid="{00000000-0005-0000-0000-000021B30000}"/>
    <cellStyle name="Structure 2 2 4 3 2 3" xfId="45858" xr:uid="{00000000-0005-0000-0000-000022B30000}"/>
    <cellStyle name="Structure 2 2 4 3 2 4" xfId="45859" xr:uid="{00000000-0005-0000-0000-000023B30000}"/>
    <cellStyle name="Structure 2 2 4 3 2 5" xfId="45860" xr:uid="{00000000-0005-0000-0000-000024B30000}"/>
    <cellStyle name="Structure 2 2 4 3 2 6" xfId="45861" xr:uid="{00000000-0005-0000-0000-000025B30000}"/>
    <cellStyle name="Structure 2 2 4 3 3" xfId="45862" xr:uid="{00000000-0005-0000-0000-000026B30000}"/>
    <cellStyle name="Structure 2 2 4 3 4" xfId="45863" xr:uid="{00000000-0005-0000-0000-000027B30000}"/>
    <cellStyle name="Structure 2 2 4 3 5" xfId="45864" xr:uid="{00000000-0005-0000-0000-000028B30000}"/>
    <cellStyle name="Structure 2 2 4 3 6" xfId="45865" xr:uid="{00000000-0005-0000-0000-000029B30000}"/>
    <cellStyle name="Structure 2 2 4 4" xfId="45866" xr:uid="{00000000-0005-0000-0000-00002AB30000}"/>
    <cellStyle name="Structure 2 2 4 4 2" xfId="45867" xr:uid="{00000000-0005-0000-0000-00002BB30000}"/>
    <cellStyle name="Structure 2 2 4 4 3" xfId="45868" xr:uid="{00000000-0005-0000-0000-00002CB30000}"/>
    <cellStyle name="Structure 2 2 4 4 4" xfId="45869" xr:uid="{00000000-0005-0000-0000-00002DB30000}"/>
    <cellStyle name="Structure 2 2 4 4 5" xfId="45870" xr:uid="{00000000-0005-0000-0000-00002EB30000}"/>
    <cellStyle name="Structure 2 2 4 4 6" xfId="45871" xr:uid="{00000000-0005-0000-0000-00002FB30000}"/>
    <cellStyle name="Structure 2 2 4 5" xfId="45872" xr:uid="{00000000-0005-0000-0000-000030B30000}"/>
    <cellStyle name="Structure 2 2 4 6" xfId="45873" xr:uid="{00000000-0005-0000-0000-000031B30000}"/>
    <cellStyle name="Structure 2 2 4 7" xfId="45874" xr:uid="{00000000-0005-0000-0000-000032B30000}"/>
    <cellStyle name="Structure 2 2 4 8" xfId="45875" xr:uid="{00000000-0005-0000-0000-000033B30000}"/>
    <cellStyle name="Structure 2 2 5" xfId="45876" xr:uid="{00000000-0005-0000-0000-000034B30000}"/>
    <cellStyle name="Structure 2 2 5 2" xfId="45877" xr:uid="{00000000-0005-0000-0000-000035B30000}"/>
    <cellStyle name="Structure 2 2 5 2 2" xfId="45878" xr:uid="{00000000-0005-0000-0000-000036B30000}"/>
    <cellStyle name="Structure 2 2 5 2 2 2" xfId="45879" xr:uid="{00000000-0005-0000-0000-000037B30000}"/>
    <cellStyle name="Structure 2 2 5 2 2 3" xfId="45880" xr:uid="{00000000-0005-0000-0000-000038B30000}"/>
    <cellStyle name="Structure 2 2 5 2 2 4" xfId="45881" xr:uid="{00000000-0005-0000-0000-000039B30000}"/>
    <cellStyle name="Structure 2 2 5 2 2 5" xfId="45882" xr:uid="{00000000-0005-0000-0000-00003AB30000}"/>
    <cellStyle name="Structure 2 2 5 2 2 6" xfId="45883" xr:uid="{00000000-0005-0000-0000-00003BB30000}"/>
    <cellStyle name="Structure 2 2 5 2 3" xfId="45884" xr:uid="{00000000-0005-0000-0000-00003CB30000}"/>
    <cellStyle name="Structure 2 2 5 2 4" xfId="45885" xr:uid="{00000000-0005-0000-0000-00003DB30000}"/>
    <cellStyle name="Structure 2 2 5 2 5" xfId="45886" xr:uid="{00000000-0005-0000-0000-00003EB30000}"/>
    <cellStyle name="Structure 2 2 5 2 6" xfId="45887" xr:uid="{00000000-0005-0000-0000-00003FB30000}"/>
    <cellStyle name="Structure 2 2 5 3" xfId="45888" xr:uid="{00000000-0005-0000-0000-000040B30000}"/>
    <cellStyle name="Structure 2 2 5 3 2" xfId="45889" xr:uid="{00000000-0005-0000-0000-000041B30000}"/>
    <cellStyle name="Structure 2 2 5 3 2 2" xfId="45890" xr:uid="{00000000-0005-0000-0000-000042B30000}"/>
    <cellStyle name="Structure 2 2 5 3 2 3" xfId="45891" xr:uid="{00000000-0005-0000-0000-000043B30000}"/>
    <cellStyle name="Structure 2 2 5 3 2 4" xfId="45892" xr:uid="{00000000-0005-0000-0000-000044B30000}"/>
    <cellStyle name="Structure 2 2 5 3 2 5" xfId="45893" xr:uid="{00000000-0005-0000-0000-000045B30000}"/>
    <cellStyle name="Structure 2 2 5 3 2 6" xfId="45894" xr:uid="{00000000-0005-0000-0000-000046B30000}"/>
    <cellStyle name="Structure 2 2 5 3 3" xfId="45895" xr:uid="{00000000-0005-0000-0000-000047B30000}"/>
    <cellStyle name="Structure 2 2 5 3 4" xfId="45896" xr:uid="{00000000-0005-0000-0000-000048B30000}"/>
    <cellStyle name="Structure 2 2 5 3 5" xfId="45897" xr:uid="{00000000-0005-0000-0000-000049B30000}"/>
    <cellStyle name="Structure 2 2 5 3 6" xfId="45898" xr:uid="{00000000-0005-0000-0000-00004AB30000}"/>
    <cellStyle name="Structure 2 2 5 4" xfId="45899" xr:uid="{00000000-0005-0000-0000-00004BB30000}"/>
    <cellStyle name="Structure 2 2 5 4 2" xfId="45900" xr:uid="{00000000-0005-0000-0000-00004CB30000}"/>
    <cellStyle name="Structure 2 2 5 4 3" xfId="45901" xr:uid="{00000000-0005-0000-0000-00004DB30000}"/>
    <cellStyle name="Structure 2 2 5 4 4" xfId="45902" xr:uid="{00000000-0005-0000-0000-00004EB30000}"/>
    <cellStyle name="Structure 2 2 5 4 5" xfId="45903" xr:uid="{00000000-0005-0000-0000-00004FB30000}"/>
    <cellStyle name="Structure 2 2 5 4 6" xfId="45904" xr:uid="{00000000-0005-0000-0000-000050B30000}"/>
    <cellStyle name="Structure 2 2 5 5" xfId="45905" xr:uid="{00000000-0005-0000-0000-000051B30000}"/>
    <cellStyle name="Structure 2 2 5 6" xfId="45906" xr:uid="{00000000-0005-0000-0000-000052B30000}"/>
    <cellStyle name="Structure 2 2 5 7" xfId="45907" xr:uid="{00000000-0005-0000-0000-000053B30000}"/>
    <cellStyle name="Structure 2 2 5 8" xfId="45908" xr:uid="{00000000-0005-0000-0000-000054B30000}"/>
    <cellStyle name="Structure 2 2 6" xfId="45909" xr:uid="{00000000-0005-0000-0000-000055B30000}"/>
    <cellStyle name="Structure 2 2 6 2" xfId="45910" xr:uid="{00000000-0005-0000-0000-000056B30000}"/>
    <cellStyle name="Structure 2 2 6 2 2" xfId="45911" xr:uid="{00000000-0005-0000-0000-000057B30000}"/>
    <cellStyle name="Structure 2 2 6 2 2 2" xfId="45912" xr:uid="{00000000-0005-0000-0000-000058B30000}"/>
    <cellStyle name="Structure 2 2 6 2 2 3" xfId="45913" xr:uid="{00000000-0005-0000-0000-000059B30000}"/>
    <cellStyle name="Structure 2 2 6 2 2 4" xfId="45914" xr:uid="{00000000-0005-0000-0000-00005AB30000}"/>
    <cellStyle name="Structure 2 2 6 2 2 5" xfId="45915" xr:uid="{00000000-0005-0000-0000-00005BB30000}"/>
    <cellStyle name="Structure 2 2 6 2 2 6" xfId="45916" xr:uid="{00000000-0005-0000-0000-00005CB30000}"/>
    <cellStyle name="Structure 2 2 6 2 3" xfId="45917" xr:uid="{00000000-0005-0000-0000-00005DB30000}"/>
    <cellStyle name="Structure 2 2 6 2 4" xfId="45918" xr:uid="{00000000-0005-0000-0000-00005EB30000}"/>
    <cellStyle name="Structure 2 2 6 2 5" xfId="45919" xr:uid="{00000000-0005-0000-0000-00005FB30000}"/>
    <cellStyle name="Structure 2 2 6 2 6" xfId="45920" xr:uid="{00000000-0005-0000-0000-000060B30000}"/>
    <cellStyle name="Structure 2 2 6 3" xfId="45921" xr:uid="{00000000-0005-0000-0000-000061B30000}"/>
    <cellStyle name="Structure 2 2 6 3 2" xfId="45922" xr:uid="{00000000-0005-0000-0000-000062B30000}"/>
    <cellStyle name="Structure 2 2 6 3 2 2" xfId="45923" xr:uid="{00000000-0005-0000-0000-000063B30000}"/>
    <cellStyle name="Structure 2 2 6 3 2 3" xfId="45924" xr:uid="{00000000-0005-0000-0000-000064B30000}"/>
    <cellStyle name="Structure 2 2 6 3 2 4" xfId="45925" xr:uid="{00000000-0005-0000-0000-000065B30000}"/>
    <cellStyle name="Structure 2 2 6 3 2 5" xfId="45926" xr:uid="{00000000-0005-0000-0000-000066B30000}"/>
    <cellStyle name="Structure 2 2 6 3 2 6" xfId="45927" xr:uid="{00000000-0005-0000-0000-000067B30000}"/>
    <cellStyle name="Structure 2 2 6 3 3" xfId="45928" xr:uid="{00000000-0005-0000-0000-000068B30000}"/>
    <cellStyle name="Structure 2 2 6 3 4" xfId="45929" xr:uid="{00000000-0005-0000-0000-000069B30000}"/>
    <cellStyle name="Structure 2 2 6 3 5" xfId="45930" xr:uid="{00000000-0005-0000-0000-00006AB30000}"/>
    <cellStyle name="Structure 2 2 6 3 6" xfId="45931" xr:uid="{00000000-0005-0000-0000-00006BB30000}"/>
    <cellStyle name="Structure 2 2 6 4" xfId="45932" xr:uid="{00000000-0005-0000-0000-00006CB30000}"/>
    <cellStyle name="Structure 2 2 6 4 2" xfId="45933" xr:uid="{00000000-0005-0000-0000-00006DB30000}"/>
    <cellStyle name="Structure 2 2 6 4 3" xfId="45934" xr:uid="{00000000-0005-0000-0000-00006EB30000}"/>
    <cellStyle name="Structure 2 2 6 4 4" xfId="45935" xr:uid="{00000000-0005-0000-0000-00006FB30000}"/>
    <cellStyle name="Structure 2 2 6 4 5" xfId="45936" xr:uid="{00000000-0005-0000-0000-000070B30000}"/>
    <cellStyle name="Structure 2 2 6 4 6" xfId="45937" xr:uid="{00000000-0005-0000-0000-000071B30000}"/>
    <cellStyle name="Structure 2 2 6 5" xfId="45938" xr:uid="{00000000-0005-0000-0000-000072B30000}"/>
    <cellStyle name="Structure 2 2 6 6" xfId="45939" xr:uid="{00000000-0005-0000-0000-000073B30000}"/>
    <cellStyle name="Structure 2 2 6 7" xfId="45940" xr:uid="{00000000-0005-0000-0000-000074B30000}"/>
    <cellStyle name="Structure 2 2 6 8" xfId="45941" xr:uid="{00000000-0005-0000-0000-000075B30000}"/>
    <cellStyle name="Structure 2 2 7" xfId="45942" xr:uid="{00000000-0005-0000-0000-000076B30000}"/>
    <cellStyle name="Structure 2 2 7 2" xfId="45943" xr:uid="{00000000-0005-0000-0000-000077B30000}"/>
    <cellStyle name="Structure 2 2 7 2 2" xfId="45944" xr:uid="{00000000-0005-0000-0000-000078B30000}"/>
    <cellStyle name="Structure 2 2 7 2 3" xfId="45945" xr:uid="{00000000-0005-0000-0000-000079B30000}"/>
    <cellStyle name="Structure 2 2 7 2 4" xfId="45946" xr:uid="{00000000-0005-0000-0000-00007AB30000}"/>
    <cellStyle name="Structure 2 2 7 2 5" xfId="45947" xr:uid="{00000000-0005-0000-0000-00007BB30000}"/>
    <cellStyle name="Structure 2 2 7 2 6" xfId="45948" xr:uid="{00000000-0005-0000-0000-00007CB30000}"/>
    <cellStyle name="Structure 2 2 7 3" xfId="45949" xr:uid="{00000000-0005-0000-0000-00007DB30000}"/>
    <cellStyle name="Structure 2 2 7 4" xfId="45950" xr:uid="{00000000-0005-0000-0000-00007EB30000}"/>
    <cellStyle name="Structure 2 2 7 5" xfId="45951" xr:uid="{00000000-0005-0000-0000-00007FB30000}"/>
    <cellStyle name="Structure 2 2 7 6" xfId="45952" xr:uid="{00000000-0005-0000-0000-000080B30000}"/>
    <cellStyle name="Structure 2 2 8" xfId="45953" xr:uid="{00000000-0005-0000-0000-000081B30000}"/>
    <cellStyle name="Structure 2 2 8 2" xfId="45954" xr:uid="{00000000-0005-0000-0000-000082B30000}"/>
    <cellStyle name="Structure 2 2 8 2 2" xfId="45955" xr:uid="{00000000-0005-0000-0000-000083B30000}"/>
    <cellStyle name="Structure 2 2 8 2 3" xfId="45956" xr:uid="{00000000-0005-0000-0000-000084B30000}"/>
    <cellStyle name="Structure 2 2 8 2 4" xfId="45957" xr:uid="{00000000-0005-0000-0000-000085B30000}"/>
    <cellStyle name="Structure 2 2 8 2 5" xfId="45958" xr:uid="{00000000-0005-0000-0000-000086B30000}"/>
    <cellStyle name="Structure 2 2 8 2 6" xfId="45959" xr:uid="{00000000-0005-0000-0000-000087B30000}"/>
    <cellStyle name="Structure 2 2 8 3" xfId="45960" xr:uid="{00000000-0005-0000-0000-000088B30000}"/>
    <cellStyle name="Structure 2 2 8 4" xfId="45961" xr:uid="{00000000-0005-0000-0000-000089B30000}"/>
    <cellStyle name="Structure 2 2 8 5" xfId="45962" xr:uid="{00000000-0005-0000-0000-00008AB30000}"/>
    <cellStyle name="Structure 2 2 8 6" xfId="45963" xr:uid="{00000000-0005-0000-0000-00008BB30000}"/>
    <cellStyle name="Structure 2 2 9" xfId="45964" xr:uid="{00000000-0005-0000-0000-00008CB30000}"/>
    <cellStyle name="Structure 2 2 9 2" xfId="45965" xr:uid="{00000000-0005-0000-0000-00008DB30000}"/>
    <cellStyle name="Structure 2 2 9 3" xfId="45966" xr:uid="{00000000-0005-0000-0000-00008EB30000}"/>
    <cellStyle name="Structure 2 2 9 4" xfId="45967" xr:uid="{00000000-0005-0000-0000-00008FB30000}"/>
    <cellStyle name="Structure 2 2 9 5" xfId="45968" xr:uid="{00000000-0005-0000-0000-000090B30000}"/>
    <cellStyle name="Structure 2 2 9 6" xfId="45969" xr:uid="{00000000-0005-0000-0000-000091B30000}"/>
    <cellStyle name="Structure 2 3" xfId="45970" xr:uid="{00000000-0005-0000-0000-000092B30000}"/>
    <cellStyle name="Structure 2 3 2" xfId="45971" xr:uid="{00000000-0005-0000-0000-000093B30000}"/>
    <cellStyle name="Structure 2 3 2 2" xfId="45972" xr:uid="{00000000-0005-0000-0000-000094B30000}"/>
    <cellStyle name="Structure 2 3 2 2 2" xfId="45973" xr:uid="{00000000-0005-0000-0000-000095B30000}"/>
    <cellStyle name="Structure 2 3 2 2 3" xfId="45974" xr:uid="{00000000-0005-0000-0000-000096B30000}"/>
    <cellStyle name="Structure 2 3 2 2 4" xfId="45975" xr:uid="{00000000-0005-0000-0000-000097B30000}"/>
    <cellStyle name="Structure 2 3 2 2 5" xfId="45976" xr:uid="{00000000-0005-0000-0000-000098B30000}"/>
    <cellStyle name="Structure 2 3 2 2 6" xfId="45977" xr:uid="{00000000-0005-0000-0000-000099B30000}"/>
    <cellStyle name="Structure 2 3 2 3" xfId="45978" xr:uid="{00000000-0005-0000-0000-00009AB30000}"/>
    <cellStyle name="Structure 2 3 2 4" xfId="45979" xr:uid="{00000000-0005-0000-0000-00009BB30000}"/>
    <cellStyle name="Structure 2 3 2 5" xfId="45980" xr:uid="{00000000-0005-0000-0000-00009CB30000}"/>
    <cellStyle name="Structure 2 3 2 6" xfId="45981" xr:uid="{00000000-0005-0000-0000-00009DB30000}"/>
    <cellStyle name="Structure 2 3 3" xfId="45982" xr:uid="{00000000-0005-0000-0000-00009EB30000}"/>
    <cellStyle name="Structure 2 3 3 2" xfId="45983" xr:uid="{00000000-0005-0000-0000-00009FB30000}"/>
    <cellStyle name="Structure 2 3 3 2 2" xfId="45984" xr:uid="{00000000-0005-0000-0000-0000A0B30000}"/>
    <cellStyle name="Structure 2 3 3 2 3" xfId="45985" xr:uid="{00000000-0005-0000-0000-0000A1B30000}"/>
    <cellStyle name="Structure 2 3 3 2 4" xfId="45986" xr:uid="{00000000-0005-0000-0000-0000A2B30000}"/>
    <cellStyle name="Structure 2 3 3 2 5" xfId="45987" xr:uid="{00000000-0005-0000-0000-0000A3B30000}"/>
    <cellStyle name="Structure 2 3 3 2 6" xfId="45988" xr:uid="{00000000-0005-0000-0000-0000A4B30000}"/>
    <cellStyle name="Structure 2 3 3 3" xfId="45989" xr:uid="{00000000-0005-0000-0000-0000A5B30000}"/>
    <cellStyle name="Structure 2 3 3 4" xfId="45990" xr:uid="{00000000-0005-0000-0000-0000A6B30000}"/>
    <cellStyle name="Structure 2 3 3 5" xfId="45991" xr:uid="{00000000-0005-0000-0000-0000A7B30000}"/>
    <cellStyle name="Structure 2 3 3 6" xfId="45992" xr:uid="{00000000-0005-0000-0000-0000A8B30000}"/>
    <cellStyle name="Structure 2 3 4" xfId="45993" xr:uid="{00000000-0005-0000-0000-0000A9B30000}"/>
    <cellStyle name="Structure 2 3 4 2" xfId="45994" xr:uid="{00000000-0005-0000-0000-0000AAB30000}"/>
    <cellStyle name="Structure 2 3 4 3" xfId="45995" xr:uid="{00000000-0005-0000-0000-0000ABB30000}"/>
    <cellStyle name="Structure 2 3 4 4" xfId="45996" xr:uid="{00000000-0005-0000-0000-0000ACB30000}"/>
    <cellStyle name="Structure 2 3 4 5" xfId="45997" xr:uid="{00000000-0005-0000-0000-0000ADB30000}"/>
    <cellStyle name="Structure 2 3 4 6" xfId="45998" xr:uid="{00000000-0005-0000-0000-0000AEB30000}"/>
    <cellStyle name="Structure 2 3 5" xfId="45999" xr:uid="{00000000-0005-0000-0000-0000AFB30000}"/>
    <cellStyle name="Structure 2 3 6" xfId="46000" xr:uid="{00000000-0005-0000-0000-0000B0B30000}"/>
    <cellStyle name="Structure 2 3 7" xfId="46001" xr:uid="{00000000-0005-0000-0000-0000B1B30000}"/>
    <cellStyle name="Structure 2 3 8" xfId="46002" xr:uid="{00000000-0005-0000-0000-0000B2B30000}"/>
    <cellStyle name="Structure 2 4" xfId="46003" xr:uid="{00000000-0005-0000-0000-0000B3B30000}"/>
    <cellStyle name="Structure 2 4 2" xfId="46004" xr:uid="{00000000-0005-0000-0000-0000B4B30000}"/>
    <cellStyle name="Structure 2 4 2 2" xfId="46005" xr:uid="{00000000-0005-0000-0000-0000B5B30000}"/>
    <cellStyle name="Structure 2 4 2 2 2" xfId="46006" xr:uid="{00000000-0005-0000-0000-0000B6B30000}"/>
    <cellStyle name="Structure 2 4 2 2 3" xfId="46007" xr:uid="{00000000-0005-0000-0000-0000B7B30000}"/>
    <cellStyle name="Structure 2 4 2 2 4" xfId="46008" xr:uid="{00000000-0005-0000-0000-0000B8B30000}"/>
    <cellStyle name="Structure 2 4 2 2 5" xfId="46009" xr:uid="{00000000-0005-0000-0000-0000B9B30000}"/>
    <cellStyle name="Structure 2 4 2 2 6" xfId="46010" xr:uid="{00000000-0005-0000-0000-0000BAB30000}"/>
    <cellStyle name="Structure 2 4 2 3" xfId="46011" xr:uid="{00000000-0005-0000-0000-0000BBB30000}"/>
    <cellStyle name="Structure 2 4 2 4" xfId="46012" xr:uid="{00000000-0005-0000-0000-0000BCB30000}"/>
    <cellStyle name="Structure 2 4 2 5" xfId="46013" xr:uid="{00000000-0005-0000-0000-0000BDB30000}"/>
    <cellStyle name="Structure 2 4 2 6" xfId="46014" xr:uid="{00000000-0005-0000-0000-0000BEB30000}"/>
    <cellStyle name="Structure 2 4 3" xfId="46015" xr:uid="{00000000-0005-0000-0000-0000BFB30000}"/>
    <cellStyle name="Structure 2 4 3 2" xfId="46016" xr:uid="{00000000-0005-0000-0000-0000C0B30000}"/>
    <cellStyle name="Structure 2 4 3 2 2" xfId="46017" xr:uid="{00000000-0005-0000-0000-0000C1B30000}"/>
    <cellStyle name="Structure 2 4 3 2 3" xfId="46018" xr:uid="{00000000-0005-0000-0000-0000C2B30000}"/>
    <cellStyle name="Structure 2 4 3 2 4" xfId="46019" xr:uid="{00000000-0005-0000-0000-0000C3B30000}"/>
    <cellStyle name="Structure 2 4 3 2 5" xfId="46020" xr:uid="{00000000-0005-0000-0000-0000C4B30000}"/>
    <cellStyle name="Structure 2 4 3 2 6" xfId="46021" xr:uid="{00000000-0005-0000-0000-0000C5B30000}"/>
    <cellStyle name="Structure 2 4 3 3" xfId="46022" xr:uid="{00000000-0005-0000-0000-0000C6B30000}"/>
    <cellStyle name="Structure 2 4 3 4" xfId="46023" xr:uid="{00000000-0005-0000-0000-0000C7B30000}"/>
    <cellStyle name="Structure 2 4 3 5" xfId="46024" xr:uid="{00000000-0005-0000-0000-0000C8B30000}"/>
    <cellStyle name="Structure 2 4 3 6" xfId="46025" xr:uid="{00000000-0005-0000-0000-0000C9B30000}"/>
    <cellStyle name="Structure 2 4 4" xfId="46026" xr:uid="{00000000-0005-0000-0000-0000CAB30000}"/>
    <cellStyle name="Structure 2 4 4 2" xfId="46027" xr:uid="{00000000-0005-0000-0000-0000CBB30000}"/>
    <cellStyle name="Structure 2 4 4 3" xfId="46028" xr:uid="{00000000-0005-0000-0000-0000CCB30000}"/>
    <cellStyle name="Structure 2 4 4 4" xfId="46029" xr:uid="{00000000-0005-0000-0000-0000CDB30000}"/>
    <cellStyle name="Structure 2 4 4 5" xfId="46030" xr:uid="{00000000-0005-0000-0000-0000CEB30000}"/>
    <cellStyle name="Structure 2 4 4 6" xfId="46031" xr:uid="{00000000-0005-0000-0000-0000CFB30000}"/>
    <cellStyle name="Structure 2 4 5" xfId="46032" xr:uid="{00000000-0005-0000-0000-0000D0B30000}"/>
    <cellStyle name="Structure 2 4 6" xfId="46033" xr:uid="{00000000-0005-0000-0000-0000D1B30000}"/>
    <cellStyle name="Structure 2 4 7" xfId="46034" xr:uid="{00000000-0005-0000-0000-0000D2B30000}"/>
    <cellStyle name="Structure 2 4 8" xfId="46035" xr:uid="{00000000-0005-0000-0000-0000D3B30000}"/>
    <cellStyle name="Structure 2 5" xfId="46036" xr:uid="{00000000-0005-0000-0000-0000D4B30000}"/>
    <cellStyle name="Structure 2 5 2" xfId="46037" xr:uid="{00000000-0005-0000-0000-0000D5B30000}"/>
    <cellStyle name="Structure 2 5 2 2" xfId="46038" xr:uid="{00000000-0005-0000-0000-0000D6B30000}"/>
    <cellStyle name="Structure 2 5 2 2 2" xfId="46039" xr:uid="{00000000-0005-0000-0000-0000D7B30000}"/>
    <cellStyle name="Structure 2 5 2 2 3" xfId="46040" xr:uid="{00000000-0005-0000-0000-0000D8B30000}"/>
    <cellStyle name="Structure 2 5 2 2 4" xfId="46041" xr:uid="{00000000-0005-0000-0000-0000D9B30000}"/>
    <cellStyle name="Structure 2 5 2 2 5" xfId="46042" xr:uid="{00000000-0005-0000-0000-0000DAB30000}"/>
    <cellStyle name="Structure 2 5 2 2 6" xfId="46043" xr:uid="{00000000-0005-0000-0000-0000DBB30000}"/>
    <cellStyle name="Structure 2 5 2 3" xfId="46044" xr:uid="{00000000-0005-0000-0000-0000DCB30000}"/>
    <cellStyle name="Structure 2 5 2 4" xfId="46045" xr:uid="{00000000-0005-0000-0000-0000DDB30000}"/>
    <cellStyle name="Structure 2 5 2 5" xfId="46046" xr:uid="{00000000-0005-0000-0000-0000DEB30000}"/>
    <cellStyle name="Structure 2 5 2 6" xfId="46047" xr:uid="{00000000-0005-0000-0000-0000DFB30000}"/>
    <cellStyle name="Structure 2 5 3" xfId="46048" xr:uid="{00000000-0005-0000-0000-0000E0B30000}"/>
    <cellStyle name="Structure 2 5 3 2" xfId="46049" xr:uid="{00000000-0005-0000-0000-0000E1B30000}"/>
    <cellStyle name="Structure 2 5 3 2 2" xfId="46050" xr:uid="{00000000-0005-0000-0000-0000E2B30000}"/>
    <cellStyle name="Structure 2 5 3 2 3" xfId="46051" xr:uid="{00000000-0005-0000-0000-0000E3B30000}"/>
    <cellStyle name="Structure 2 5 3 2 4" xfId="46052" xr:uid="{00000000-0005-0000-0000-0000E4B30000}"/>
    <cellStyle name="Structure 2 5 3 2 5" xfId="46053" xr:uid="{00000000-0005-0000-0000-0000E5B30000}"/>
    <cellStyle name="Structure 2 5 3 2 6" xfId="46054" xr:uid="{00000000-0005-0000-0000-0000E6B30000}"/>
    <cellStyle name="Structure 2 5 3 3" xfId="46055" xr:uid="{00000000-0005-0000-0000-0000E7B30000}"/>
    <cellStyle name="Structure 2 5 3 4" xfId="46056" xr:uid="{00000000-0005-0000-0000-0000E8B30000}"/>
    <cellStyle name="Structure 2 5 3 5" xfId="46057" xr:uid="{00000000-0005-0000-0000-0000E9B30000}"/>
    <cellStyle name="Structure 2 5 3 6" xfId="46058" xr:uid="{00000000-0005-0000-0000-0000EAB30000}"/>
    <cellStyle name="Structure 2 5 4" xfId="46059" xr:uid="{00000000-0005-0000-0000-0000EBB30000}"/>
    <cellStyle name="Structure 2 5 4 2" xfId="46060" xr:uid="{00000000-0005-0000-0000-0000ECB30000}"/>
    <cellStyle name="Structure 2 5 4 3" xfId="46061" xr:uid="{00000000-0005-0000-0000-0000EDB30000}"/>
    <cellStyle name="Structure 2 5 4 4" xfId="46062" xr:uid="{00000000-0005-0000-0000-0000EEB30000}"/>
    <cellStyle name="Structure 2 5 4 5" xfId="46063" xr:uid="{00000000-0005-0000-0000-0000EFB30000}"/>
    <cellStyle name="Structure 2 5 4 6" xfId="46064" xr:uid="{00000000-0005-0000-0000-0000F0B30000}"/>
    <cellStyle name="Structure 2 5 5" xfId="46065" xr:uid="{00000000-0005-0000-0000-0000F1B30000}"/>
    <cellStyle name="Structure 2 5 6" xfId="46066" xr:uid="{00000000-0005-0000-0000-0000F2B30000}"/>
    <cellStyle name="Structure 2 5 7" xfId="46067" xr:uid="{00000000-0005-0000-0000-0000F3B30000}"/>
    <cellStyle name="Structure 2 5 8" xfId="46068" xr:uid="{00000000-0005-0000-0000-0000F4B30000}"/>
    <cellStyle name="Structure 2 6" xfId="46069" xr:uid="{00000000-0005-0000-0000-0000F5B30000}"/>
    <cellStyle name="Structure 2 6 2" xfId="46070" xr:uid="{00000000-0005-0000-0000-0000F6B30000}"/>
    <cellStyle name="Structure 2 6 2 2" xfId="46071" xr:uid="{00000000-0005-0000-0000-0000F7B30000}"/>
    <cellStyle name="Structure 2 6 2 2 2" xfId="46072" xr:uid="{00000000-0005-0000-0000-0000F8B30000}"/>
    <cellStyle name="Structure 2 6 2 2 3" xfId="46073" xr:uid="{00000000-0005-0000-0000-0000F9B30000}"/>
    <cellStyle name="Structure 2 6 2 2 4" xfId="46074" xr:uid="{00000000-0005-0000-0000-0000FAB30000}"/>
    <cellStyle name="Structure 2 6 2 2 5" xfId="46075" xr:uid="{00000000-0005-0000-0000-0000FBB30000}"/>
    <cellStyle name="Structure 2 6 2 2 6" xfId="46076" xr:uid="{00000000-0005-0000-0000-0000FCB30000}"/>
    <cellStyle name="Structure 2 6 2 3" xfId="46077" xr:uid="{00000000-0005-0000-0000-0000FDB30000}"/>
    <cellStyle name="Structure 2 6 2 4" xfId="46078" xr:uid="{00000000-0005-0000-0000-0000FEB30000}"/>
    <cellStyle name="Structure 2 6 2 5" xfId="46079" xr:uid="{00000000-0005-0000-0000-0000FFB30000}"/>
    <cellStyle name="Structure 2 6 2 6" xfId="46080" xr:uid="{00000000-0005-0000-0000-000000B40000}"/>
    <cellStyle name="Structure 2 6 3" xfId="46081" xr:uid="{00000000-0005-0000-0000-000001B40000}"/>
    <cellStyle name="Structure 2 6 3 2" xfId="46082" xr:uid="{00000000-0005-0000-0000-000002B40000}"/>
    <cellStyle name="Structure 2 6 3 2 2" xfId="46083" xr:uid="{00000000-0005-0000-0000-000003B40000}"/>
    <cellStyle name="Structure 2 6 3 2 3" xfId="46084" xr:uid="{00000000-0005-0000-0000-000004B40000}"/>
    <cellStyle name="Structure 2 6 3 2 4" xfId="46085" xr:uid="{00000000-0005-0000-0000-000005B40000}"/>
    <cellStyle name="Structure 2 6 3 2 5" xfId="46086" xr:uid="{00000000-0005-0000-0000-000006B40000}"/>
    <cellStyle name="Structure 2 6 3 2 6" xfId="46087" xr:uid="{00000000-0005-0000-0000-000007B40000}"/>
    <cellStyle name="Structure 2 6 3 3" xfId="46088" xr:uid="{00000000-0005-0000-0000-000008B40000}"/>
    <cellStyle name="Structure 2 6 3 4" xfId="46089" xr:uid="{00000000-0005-0000-0000-000009B40000}"/>
    <cellStyle name="Structure 2 6 3 5" xfId="46090" xr:uid="{00000000-0005-0000-0000-00000AB40000}"/>
    <cellStyle name="Structure 2 6 3 6" xfId="46091" xr:uid="{00000000-0005-0000-0000-00000BB40000}"/>
    <cellStyle name="Structure 2 6 4" xfId="46092" xr:uid="{00000000-0005-0000-0000-00000CB40000}"/>
    <cellStyle name="Structure 2 6 4 2" xfId="46093" xr:uid="{00000000-0005-0000-0000-00000DB40000}"/>
    <cellStyle name="Structure 2 6 4 3" xfId="46094" xr:uid="{00000000-0005-0000-0000-00000EB40000}"/>
    <cellStyle name="Structure 2 6 4 4" xfId="46095" xr:uid="{00000000-0005-0000-0000-00000FB40000}"/>
    <cellStyle name="Structure 2 6 4 5" xfId="46096" xr:uid="{00000000-0005-0000-0000-000010B40000}"/>
    <cellStyle name="Structure 2 6 4 6" xfId="46097" xr:uid="{00000000-0005-0000-0000-000011B40000}"/>
    <cellStyle name="Structure 2 6 5" xfId="46098" xr:uid="{00000000-0005-0000-0000-000012B40000}"/>
    <cellStyle name="Structure 2 6 6" xfId="46099" xr:uid="{00000000-0005-0000-0000-000013B40000}"/>
    <cellStyle name="Structure 2 6 7" xfId="46100" xr:uid="{00000000-0005-0000-0000-000014B40000}"/>
    <cellStyle name="Structure 2 6 8" xfId="46101" xr:uid="{00000000-0005-0000-0000-000015B40000}"/>
    <cellStyle name="Structure 2 7" xfId="46102" xr:uid="{00000000-0005-0000-0000-000016B40000}"/>
    <cellStyle name="Structure 2 7 2" xfId="46103" xr:uid="{00000000-0005-0000-0000-000017B40000}"/>
    <cellStyle name="Structure 2 7 2 2" xfId="46104" xr:uid="{00000000-0005-0000-0000-000018B40000}"/>
    <cellStyle name="Structure 2 7 2 2 2" xfId="46105" xr:uid="{00000000-0005-0000-0000-000019B40000}"/>
    <cellStyle name="Structure 2 7 2 2 3" xfId="46106" xr:uid="{00000000-0005-0000-0000-00001AB40000}"/>
    <cellStyle name="Structure 2 7 2 2 4" xfId="46107" xr:uid="{00000000-0005-0000-0000-00001BB40000}"/>
    <cellStyle name="Structure 2 7 2 2 5" xfId="46108" xr:uid="{00000000-0005-0000-0000-00001CB40000}"/>
    <cellStyle name="Structure 2 7 2 2 6" xfId="46109" xr:uid="{00000000-0005-0000-0000-00001DB40000}"/>
    <cellStyle name="Structure 2 7 2 3" xfId="46110" xr:uid="{00000000-0005-0000-0000-00001EB40000}"/>
    <cellStyle name="Structure 2 7 2 4" xfId="46111" xr:uid="{00000000-0005-0000-0000-00001FB40000}"/>
    <cellStyle name="Structure 2 7 2 5" xfId="46112" xr:uid="{00000000-0005-0000-0000-000020B40000}"/>
    <cellStyle name="Structure 2 7 2 6" xfId="46113" xr:uid="{00000000-0005-0000-0000-000021B40000}"/>
    <cellStyle name="Structure 2 7 3" xfId="46114" xr:uid="{00000000-0005-0000-0000-000022B40000}"/>
    <cellStyle name="Structure 2 7 3 2" xfId="46115" xr:uid="{00000000-0005-0000-0000-000023B40000}"/>
    <cellStyle name="Structure 2 7 3 2 2" xfId="46116" xr:uid="{00000000-0005-0000-0000-000024B40000}"/>
    <cellStyle name="Structure 2 7 3 2 3" xfId="46117" xr:uid="{00000000-0005-0000-0000-000025B40000}"/>
    <cellStyle name="Structure 2 7 3 2 4" xfId="46118" xr:uid="{00000000-0005-0000-0000-000026B40000}"/>
    <cellStyle name="Structure 2 7 3 2 5" xfId="46119" xr:uid="{00000000-0005-0000-0000-000027B40000}"/>
    <cellStyle name="Structure 2 7 3 2 6" xfId="46120" xr:uid="{00000000-0005-0000-0000-000028B40000}"/>
    <cellStyle name="Structure 2 7 3 3" xfId="46121" xr:uid="{00000000-0005-0000-0000-000029B40000}"/>
    <cellStyle name="Structure 2 7 3 4" xfId="46122" xr:uid="{00000000-0005-0000-0000-00002AB40000}"/>
    <cellStyle name="Structure 2 7 3 5" xfId="46123" xr:uid="{00000000-0005-0000-0000-00002BB40000}"/>
    <cellStyle name="Structure 2 7 3 6" xfId="46124" xr:uid="{00000000-0005-0000-0000-00002CB40000}"/>
    <cellStyle name="Structure 2 7 4" xfId="46125" xr:uid="{00000000-0005-0000-0000-00002DB40000}"/>
    <cellStyle name="Structure 2 7 4 2" xfId="46126" xr:uid="{00000000-0005-0000-0000-00002EB40000}"/>
    <cellStyle name="Structure 2 7 4 3" xfId="46127" xr:uid="{00000000-0005-0000-0000-00002FB40000}"/>
    <cellStyle name="Structure 2 7 4 4" xfId="46128" xr:uid="{00000000-0005-0000-0000-000030B40000}"/>
    <cellStyle name="Structure 2 7 4 5" xfId="46129" xr:uid="{00000000-0005-0000-0000-000031B40000}"/>
    <cellStyle name="Structure 2 7 4 6" xfId="46130" xr:uid="{00000000-0005-0000-0000-000032B40000}"/>
    <cellStyle name="Structure 2 7 5" xfId="46131" xr:uid="{00000000-0005-0000-0000-000033B40000}"/>
    <cellStyle name="Structure 2 7 6" xfId="46132" xr:uid="{00000000-0005-0000-0000-000034B40000}"/>
    <cellStyle name="Structure 2 7 7" xfId="46133" xr:uid="{00000000-0005-0000-0000-000035B40000}"/>
    <cellStyle name="Structure 2 7 8" xfId="46134" xr:uid="{00000000-0005-0000-0000-000036B40000}"/>
    <cellStyle name="Structure 2 8" xfId="46135" xr:uid="{00000000-0005-0000-0000-000037B40000}"/>
    <cellStyle name="Structure 2 8 2" xfId="46136" xr:uid="{00000000-0005-0000-0000-000038B40000}"/>
    <cellStyle name="Structure 2 8 2 2" xfId="46137" xr:uid="{00000000-0005-0000-0000-000039B40000}"/>
    <cellStyle name="Structure 2 8 2 3" xfId="46138" xr:uid="{00000000-0005-0000-0000-00003AB40000}"/>
    <cellStyle name="Structure 2 8 2 4" xfId="46139" xr:uid="{00000000-0005-0000-0000-00003BB40000}"/>
    <cellStyle name="Structure 2 8 2 5" xfId="46140" xr:uid="{00000000-0005-0000-0000-00003CB40000}"/>
    <cellStyle name="Structure 2 8 2 6" xfId="46141" xr:uid="{00000000-0005-0000-0000-00003DB40000}"/>
    <cellStyle name="Structure 2 8 3" xfId="46142" xr:uid="{00000000-0005-0000-0000-00003EB40000}"/>
    <cellStyle name="Structure 2 8 4" xfId="46143" xr:uid="{00000000-0005-0000-0000-00003FB40000}"/>
    <cellStyle name="Structure 2 8 5" xfId="46144" xr:uid="{00000000-0005-0000-0000-000040B40000}"/>
    <cellStyle name="Structure 2 8 6" xfId="46145" xr:uid="{00000000-0005-0000-0000-000041B40000}"/>
    <cellStyle name="Structure 2 9" xfId="46146" xr:uid="{00000000-0005-0000-0000-000042B40000}"/>
    <cellStyle name="Structure 2 9 2" xfId="46147" xr:uid="{00000000-0005-0000-0000-000043B40000}"/>
    <cellStyle name="Structure 2 9 2 2" xfId="46148" xr:uid="{00000000-0005-0000-0000-000044B40000}"/>
    <cellStyle name="Structure 2 9 2 3" xfId="46149" xr:uid="{00000000-0005-0000-0000-000045B40000}"/>
    <cellStyle name="Structure 2 9 2 4" xfId="46150" xr:uid="{00000000-0005-0000-0000-000046B40000}"/>
    <cellStyle name="Structure 2 9 2 5" xfId="46151" xr:uid="{00000000-0005-0000-0000-000047B40000}"/>
    <cellStyle name="Structure 2 9 2 6" xfId="46152" xr:uid="{00000000-0005-0000-0000-000048B40000}"/>
    <cellStyle name="Structure 2 9 3" xfId="46153" xr:uid="{00000000-0005-0000-0000-000049B40000}"/>
    <cellStyle name="Structure 2 9 4" xfId="46154" xr:uid="{00000000-0005-0000-0000-00004AB40000}"/>
    <cellStyle name="Structure 2 9 5" xfId="46155" xr:uid="{00000000-0005-0000-0000-00004BB40000}"/>
    <cellStyle name="Structure 2 9 6" xfId="46156" xr:uid="{00000000-0005-0000-0000-00004CB40000}"/>
    <cellStyle name="Structure 3" xfId="46157" xr:uid="{00000000-0005-0000-0000-00004DB40000}"/>
    <cellStyle name="Structure 3 10" xfId="46158" xr:uid="{00000000-0005-0000-0000-00004EB40000}"/>
    <cellStyle name="Structure 3 11" xfId="46159" xr:uid="{00000000-0005-0000-0000-00004FB40000}"/>
    <cellStyle name="Structure 3 12" xfId="46160" xr:uid="{00000000-0005-0000-0000-000050B40000}"/>
    <cellStyle name="Structure 3 13" xfId="46161" xr:uid="{00000000-0005-0000-0000-000051B40000}"/>
    <cellStyle name="Structure 3 2" xfId="46162" xr:uid="{00000000-0005-0000-0000-000052B40000}"/>
    <cellStyle name="Structure 3 2 2" xfId="46163" xr:uid="{00000000-0005-0000-0000-000053B40000}"/>
    <cellStyle name="Structure 3 2 2 2" xfId="46164" xr:uid="{00000000-0005-0000-0000-000054B40000}"/>
    <cellStyle name="Structure 3 2 2 2 2" xfId="46165" xr:uid="{00000000-0005-0000-0000-000055B40000}"/>
    <cellStyle name="Structure 3 2 2 2 3" xfId="46166" xr:uid="{00000000-0005-0000-0000-000056B40000}"/>
    <cellStyle name="Structure 3 2 2 2 4" xfId="46167" xr:uid="{00000000-0005-0000-0000-000057B40000}"/>
    <cellStyle name="Structure 3 2 2 2 5" xfId="46168" xr:uid="{00000000-0005-0000-0000-000058B40000}"/>
    <cellStyle name="Structure 3 2 2 2 6" xfId="46169" xr:uid="{00000000-0005-0000-0000-000059B40000}"/>
    <cellStyle name="Structure 3 2 2 3" xfId="46170" xr:uid="{00000000-0005-0000-0000-00005AB40000}"/>
    <cellStyle name="Structure 3 2 2 4" xfId="46171" xr:uid="{00000000-0005-0000-0000-00005BB40000}"/>
    <cellStyle name="Structure 3 2 2 5" xfId="46172" xr:uid="{00000000-0005-0000-0000-00005CB40000}"/>
    <cellStyle name="Structure 3 2 2 6" xfId="46173" xr:uid="{00000000-0005-0000-0000-00005DB40000}"/>
    <cellStyle name="Structure 3 2 3" xfId="46174" xr:uid="{00000000-0005-0000-0000-00005EB40000}"/>
    <cellStyle name="Structure 3 2 3 2" xfId="46175" xr:uid="{00000000-0005-0000-0000-00005FB40000}"/>
    <cellStyle name="Structure 3 2 3 2 2" xfId="46176" xr:uid="{00000000-0005-0000-0000-000060B40000}"/>
    <cellStyle name="Structure 3 2 3 2 3" xfId="46177" xr:uid="{00000000-0005-0000-0000-000061B40000}"/>
    <cellStyle name="Structure 3 2 3 2 4" xfId="46178" xr:uid="{00000000-0005-0000-0000-000062B40000}"/>
    <cellStyle name="Structure 3 2 3 2 5" xfId="46179" xr:uid="{00000000-0005-0000-0000-000063B40000}"/>
    <cellStyle name="Structure 3 2 3 2 6" xfId="46180" xr:uid="{00000000-0005-0000-0000-000064B40000}"/>
    <cellStyle name="Structure 3 2 3 3" xfId="46181" xr:uid="{00000000-0005-0000-0000-000065B40000}"/>
    <cellStyle name="Structure 3 2 3 4" xfId="46182" xr:uid="{00000000-0005-0000-0000-000066B40000}"/>
    <cellStyle name="Structure 3 2 3 5" xfId="46183" xr:uid="{00000000-0005-0000-0000-000067B40000}"/>
    <cellStyle name="Structure 3 2 3 6" xfId="46184" xr:uid="{00000000-0005-0000-0000-000068B40000}"/>
    <cellStyle name="Structure 3 2 4" xfId="46185" xr:uid="{00000000-0005-0000-0000-000069B40000}"/>
    <cellStyle name="Structure 3 2 4 2" xfId="46186" xr:uid="{00000000-0005-0000-0000-00006AB40000}"/>
    <cellStyle name="Structure 3 2 4 3" xfId="46187" xr:uid="{00000000-0005-0000-0000-00006BB40000}"/>
    <cellStyle name="Structure 3 2 4 4" xfId="46188" xr:uid="{00000000-0005-0000-0000-00006CB40000}"/>
    <cellStyle name="Structure 3 2 4 5" xfId="46189" xr:uid="{00000000-0005-0000-0000-00006DB40000}"/>
    <cellStyle name="Structure 3 2 4 6" xfId="46190" xr:uid="{00000000-0005-0000-0000-00006EB40000}"/>
    <cellStyle name="Structure 3 2 5" xfId="46191" xr:uid="{00000000-0005-0000-0000-00006FB40000}"/>
    <cellStyle name="Structure 3 2 6" xfId="46192" xr:uid="{00000000-0005-0000-0000-000070B40000}"/>
    <cellStyle name="Structure 3 2 7" xfId="46193" xr:uid="{00000000-0005-0000-0000-000071B40000}"/>
    <cellStyle name="Structure 3 2 8" xfId="46194" xr:uid="{00000000-0005-0000-0000-000072B40000}"/>
    <cellStyle name="Structure 3 3" xfId="46195" xr:uid="{00000000-0005-0000-0000-000073B40000}"/>
    <cellStyle name="Structure 3 3 2" xfId="46196" xr:uid="{00000000-0005-0000-0000-000074B40000}"/>
    <cellStyle name="Structure 3 3 2 2" xfId="46197" xr:uid="{00000000-0005-0000-0000-000075B40000}"/>
    <cellStyle name="Structure 3 3 2 2 2" xfId="46198" xr:uid="{00000000-0005-0000-0000-000076B40000}"/>
    <cellStyle name="Structure 3 3 2 2 3" xfId="46199" xr:uid="{00000000-0005-0000-0000-000077B40000}"/>
    <cellStyle name="Structure 3 3 2 2 4" xfId="46200" xr:uid="{00000000-0005-0000-0000-000078B40000}"/>
    <cellStyle name="Structure 3 3 2 2 5" xfId="46201" xr:uid="{00000000-0005-0000-0000-000079B40000}"/>
    <cellStyle name="Structure 3 3 2 2 6" xfId="46202" xr:uid="{00000000-0005-0000-0000-00007AB40000}"/>
    <cellStyle name="Structure 3 3 2 3" xfId="46203" xr:uid="{00000000-0005-0000-0000-00007BB40000}"/>
    <cellStyle name="Structure 3 3 2 4" xfId="46204" xr:uid="{00000000-0005-0000-0000-00007CB40000}"/>
    <cellStyle name="Structure 3 3 2 5" xfId="46205" xr:uid="{00000000-0005-0000-0000-00007DB40000}"/>
    <cellStyle name="Structure 3 3 2 6" xfId="46206" xr:uid="{00000000-0005-0000-0000-00007EB40000}"/>
    <cellStyle name="Structure 3 3 3" xfId="46207" xr:uid="{00000000-0005-0000-0000-00007FB40000}"/>
    <cellStyle name="Structure 3 3 3 2" xfId="46208" xr:uid="{00000000-0005-0000-0000-000080B40000}"/>
    <cellStyle name="Structure 3 3 3 2 2" xfId="46209" xr:uid="{00000000-0005-0000-0000-000081B40000}"/>
    <cellStyle name="Structure 3 3 3 2 3" xfId="46210" xr:uid="{00000000-0005-0000-0000-000082B40000}"/>
    <cellStyle name="Structure 3 3 3 2 4" xfId="46211" xr:uid="{00000000-0005-0000-0000-000083B40000}"/>
    <cellStyle name="Structure 3 3 3 2 5" xfId="46212" xr:uid="{00000000-0005-0000-0000-000084B40000}"/>
    <cellStyle name="Structure 3 3 3 2 6" xfId="46213" xr:uid="{00000000-0005-0000-0000-000085B40000}"/>
    <cellStyle name="Structure 3 3 3 3" xfId="46214" xr:uid="{00000000-0005-0000-0000-000086B40000}"/>
    <cellStyle name="Structure 3 3 3 4" xfId="46215" xr:uid="{00000000-0005-0000-0000-000087B40000}"/>
    <cellStyle name="Structure 3 3 3 5" xfId="46216" xr:uid="{00000000-0005-0000-0000-000088B40000}"/>
    <cellStyle name="Structure 3 3 3 6" xfId="46217" xr:uid="{00000000-0005-0000-0000-000089B40000}"/>
    <cellStyle name="Structure 3 3 4" xfId="46218" xr:uid="{00000000-0005-0000-0000-00008AB40000}"/>
    <cellStyle name="Structure 3 3 4 2" xfId="46219" xr:uid="{00000000-0005-0000-0000-00008BB40000}"/>
    <cellStyle name="Structure 3 3 4 3" xfId="46220" xr:uid="{00000000-0005-0000-0000-00008CB40000}"/>
    <cellStyle name="Structure 3 3 4 4" xfId="46221" xr:uid="{00000000-0005-0000-0000-00008DB40000}"/>
    <cellStyle name="Structure 3 3 4 5" xfId="46222" xr:uid="{00000000-0005-0000-0000-00008EB40000}"/>
    <cellStyle name="Structure 3 3 4 6" xfId="46223" xr:uid="{00000000-0005-0000-0000-00008FB40000}"/>
    <cellStyle name="Structure 3 3 5" xfId="46224" xr:uid="{00000000-0005-0000-0000-000090B40000}"/>
    <cellStyle name="Structure 3 3 6" xfId="46225" xr:uid="{00000000-0005-0000-0000-000091B40000}"/>
    <cellStyle name="Structure 3 3 7" xfId="46226" xr:uid="{00000000-0005-0000-0000-000092B40000}"/>
    <cellStyle name="Structure 3 3 8" xfId="46227" xr:uid="{00000000-0005-0000-0000-000093B40000}"/>
    <cellStyle name="Structure 3 4" xfId="46228" xr:uid="{00000000-0005-0000-0000-000094B40000}"/>
    <cellStyle name="Structure 3 4 2" xfId="46229" xr:uid="{00000000-0005-0000-0000-000095B40000}"/>
    <cellStyle name="Structure 3 4 2 2" xfId="46230" xr:uid="{00000000-0005-0000-0000-000096B40000}"/>
    <cellStyle name="Structure 3 4 2 2 2" xfId="46231" xr:uid="{00000000-0005-0000-0000-000097B40000}"/>
    <cellStyle name="Structure 3 4 2 2 3" xfId="46232" xr:uid="{00000000-0005-0000-0000-000098B40000}"/>
    <cellStyle name="Structure 3 4 2 2 4" xfId="46233" xr:uid="{00000000-0005-0000-0000-000099B40000}"/>
    <cellStyle name="Structure 3 4 2 2 5" xfId="46234" xr:uid="{00000000-0005-0000-0000-00009AB40000}"/>
    <cellStyle name="Structure 3 4 2 2 6" xfId="46235" xr:uid="{00000000-0005-0000-0000-00009BB40000}"/>
    <cellStyle name="Structure 3 4 2 3" xfId="46236" xr:uid="{00000000-0005-0000-0000-00009CB40000}"/>
    <cellStyle name="Structure 3 4 2 4" xfId="46237" xr:uid="{00000000-0005-0000-0000-00009DB40000}"/>
    <cellStyle name="Structure 3 4 2 5" xfId="46238" xr:uid="{00000000-0005-0000-0000-00009EB40000}"/>
    <cellStyle name="Structure 3 4 2 6" xfId="46239" xr:uid="{00000000-0005-0000-0000-00009FB40000}"/>
    <cellStyle name="Structure 3 4 3" xfId="46240" xr:uid="{00000000-0005-0000-0000-0000A0B40000}"/>
    <cellStyle name="Structure 3 4 3 2" xfId="46241" xr:uid="{00000000-0005-0000-0000-0000A1B40000}"/>
    <cellStyle name="Structure 3 4 3 2 2" xfId="46242" xr:uid="{00000000-0005-0000-0000-0000A2B40000}"/>
    <cellStyle name="Structure 3 4 3 2 3" xfId="46243" xr:uid="{00000000-0005-0000-0000-0000A3B40000}"/>
    <cellStyle name="Structure 3 4 3 2 4" xfId="46244" xr:uid="{00000000-0005-0000-0000-0000A4B40000}"/>
    <cellStyle name="Structure 3 4 3 2 5" xfId="46245" xr:uid="{00000000-0005-0000-0000-0000A5B40000}"/>
    <cellStyle name="Structure 3 4 3 2 6" xfId="46246" xr:uid="{00000000-0005-0000-0000-0000A6B40000}"/>
    <cellStyle name="Structure 3 4 3 3" xfId="46247" xr:uid="{00000000-0005-0000-0000-0000A7B40000}"/>
    <cellStyle name="Structure 3 4 3 4" xfId="46248" xr:uid="{00000000-0005-0000-0000-0000A8B40000}"/>
    <cellStyle name="Structure 3 4 3 5" xfId="46249" xr:uid="{00000000-0005-0000-0000-0000A9B40000}"/>
    <cellStyle name="Structure 3 4 3 6" xfId="46250" xr:uid="{00000000-0005-0000-0000-0000AAB40000}"/>
    <cellStyle name="Structure 3 4 4" xfId="46251" xr:uid="{00000000-0005-0000-0000-0000ABB40000}"/>
    <cellStyle name="Structure 3 4 4 2" xfId="46252" xr:uid="{00000000-0005-0000-0000-0000ACB40000}"/>
    <cellStyle name="Structure 3 4 4 3" xfId="46253" xr:uid="{00000000-0005-0000-0000-0000ADB40000}"/>
    <cellStyle name="Structure 3 4 4 4" xfId="46254" xr:uid="{00000000-0005-0000-0000-0000AEB40000}"/>
    <cellStyle name="Structure 3 4 4 5" xfId="46255" xr:uid="{00000000-0005-0000-0000-0000AFB40000}"/>
    <cellStyle name="Structure 3 4 4 6" xfId="46256" xr:uid="{00000000-0005-0000-0000-0000B0B40000}"/>
    <cellStyle name="Structure 3 4 5" xfId="46257" xr:uid="{00000000-0005-0000-0000-0000B1B40000}"/>
    <cellStyle name="Structure 3 4 6" xfId="46258" xr:uid="{00000000-0005-0000-0000-0000B2B40000}"/>
    <cellStyle name="Structure 3 4 7" xfId="46259" xr:uid="{00000000-0005-0000-0000-0000B3B40000}"/>
    <cellStyle name="Structure 3 4 8" xfId="46260" xr:uid="{00000000-0005-0000-0000-0000B4B40000}"/>
    <cellStyle name="Structure 3 5" xfId="46261" xr:uid="{00000000-0005-0000-0000-0000B5B40000}"/>
    <cellStyle name="Structure 3 5 2" xfId="46262" xr:uid="{00000000-0005-0000-0000-0000B6B40000}"/>
    <cellStyle name="Structure 3 5 2 2" xfId="46263" xr:uid="{00000000-0005-0000-0000-0000B7B40000}"/>
    <cellStyle name="Structure 3 5 2 2 2" xfId="46264" xr:uid="{00000000-0005-0000-0000-0000B8B40000}"/>
    <cellStyle name="Structure 3 5 2 2 3" xfId="46265" xr:uid="{00000000-0005-0000-0000-0000B9B40000}"/>
    <cellStyle name="Structure 3 5 2 2 4" xfId="46266" xr:uid="{00000000-0005-0000-0000-0000BAB40000}"/>
    <cellStyle name="Structure 3 5 2 2 5" xfId="46267" xr:uid="{00000000-0005-0000-0000-0000BBB40000}"/>
    <cellStyle name="Structure 3 5 2 2 6" xfId="46268" xr:uid="{00000000-0005-0000-0000-0000BCB40000}"/>
    <cellStyle name="Structure 3 5 2 3" xfId="46269" xr:uid="{00000000-0005-0000-0000-0000BDB40000}"/>
    <cellStyle name="Structure 3 5 2 4" xfId="46270" xr:uid="{00000000-0005-0000-0000-0000BEB40000}"/>
    <cellStyle name="Structure 3 5 2 5" xfId="46271" xr:uid="{00000000-0005-0000-0000-0000BFB40000}"/>
    <cellStyle name="Structure 3 5 2 6" xfId="46272" xr:uid="{00000000-0005-0000-0000-0000C0B40000}"/>
    <cellStyle name="Structure 3 5 3" xfId="46273" xr:uid="{00000000-0005-0000-0000-0000C1B40000}"/>
    <cellStyle name="Structure 3 5 3 2" xfId="46274" xr:uid="{00000000-0005-0000-0000-0000C2B40000}"/>
    <cellStyle name="Structure 3 5 3 2 2" xfId="46275" xr:uid="{00000000-0005-0000-0000-0000C3B40000}"/>
    <cellStyle name="Structure 3 5 3 2 3" xfId="46276" xr:uid="{00000000-0005-0000-0000-0000C4B40000}"/>
    <cellStyle name="Structure 3 5 3 2 4" xfId="46277" xr:uid="{00000000-0005-0000-0000-0000C5B40000}"/>
    <cellStyle name="Structure 3 5 3 2 5" xfId="46278" xr:uid="{00000000-0005-0000-0000-0000C6B40000}"/>
    <cellStyle name="Structure 3 5 3 2 6" xfId="46279" xr:uid="{00000000-0005-0000-0000-0000C7B40000}"/>
    <cellStyle name="Structure 3 5 3 3" xfId="46280" xr:uid="{00000000-0005-0000-0000-0000C8B40000}"/>
    <cellStyle name="Structure 3 5 3 4" xfId="46281" xr:uid="{00000000-0005-0000-0000-0000C9B40000}"/>
    <cellStyle name="Structure 3 5 3 5" xfId="46282" xr:uid="{00000000-0005-0000-0000-0000CAB40000}"/>
    <cellStyle name="Structure 3 5 3 6" xfId="46283" xr:uid="{00000000-0005-0000-0000-0000CBB40000}"/>
    <cellStyle name="Structure 3 5 4" xfId="46284" xr:uid="{00000000-0005-0000-0000-0000CCB40000}"/>
    <cellStyle name="Structure 3 5 4 2" xfId="46285" xr:uid="{00000000-0005-0000-0000-0000CDB40000}"/>
    <cellStyle name="Structure 3 5 4 3" xfId="46286" xr:uid="{00000000-0005-0000-0000-0000CEB40000}"/>
    <cellStyle name="Structure 3 5 4 4" xfId="46287" xr:uid="{00000000-0005-0000-0000-0000CFB40000}"/>
    <cellStyle name="Structure 3 5 4 5" xfId="46288" xr:uid="{00000000-0005-0000-0000-0000D0B40000}"/>
    <cellStyle name="Structure 3 5 4 6" xfId="46289" xr:uid="{00000000-0005-0000-0000-0000D1B40000}"/>
    <cellStyle name="Structure 3 5 5" xfId="46290" xr:uid="{00000000-0005-0000-0000-0000D2B40000}"/>
    <cellStyle name="Structure 3 5 6" xfId="46291" xr:uid="{00000000-0005-0000-0000-0000D3B40000}"/>
    <cellStyle name="Structure 3 5 7" xfId="46292" xr:uid="{00000000-0005-0000-0000-0000D4B40000}"/>
    <cellStyle name="Structure 3 5 8" xfId="46293" xr:uid="{00000000-0005-0000-0000-0000D5B40000}"/>
    <cellStyle name="Structure 3 6" xfId="46294" xr:uid="{00000000-0005-0000-0000-0000D6B40000}"/>
    <cellStyle name="Structure 3 6 2" xfId="46295" xr:uid="{00000000-0005-0000-0000-0000D7B40000}"/>
    <cellStyle name="Structure 3 6 2 2" xfId="46296" xr:uid="{00000000-0005-0000-0000-0000D8B40000}"/>
    <cellStyle name="Structure 3 6 2 2 2" xfId="46297" xr:uid="{00000000-0005-0000-0000-0000D9B40000}"/>
    <cellStyle name="Structure 3 6 2 2 3" xfId="46298" xr:uid="{00000000-0005-0000-0000-0000DAB40000}"/>
    <cellStyle name="Structure 3 6 2 2 4" xfId="46299" xr:uid="{00000000-0005-0000-0000-0000DBB40000}"/>
    <cellStyle name="Structure 3 6 2 2 5" xfId="46300" xr:uid="{00000000-0005-0000-0000-0000DCB40000}"/>
    <cellStyle name="Structure 3 6 2 2 6" xfId="46301" xr:uid="{00000000-0005-0000-0000-0000DDB40000}"/>
    <cellStyle name="Structure 3 6 2 3" xfId="46302" xr:uid="{00000000-0005-0000-0000-0000DEB40000}"/>
    <cellStyle name="Structure 3 6 2 4" xfId="46303" xr:uid="{00000000-0005-0000-0000-0000DFB40000}"/>
    <cellStyle name="Structure 3 6 2 5" xfId="46304" xr:uid="{00000000-0005-0000-0000-0000E0B40000}"/>
    <cellStyle name="Structure 3 6 2 6" xfId="46305" xr:uid="{00000000-0005-0000-0000-0000E1B40000}"/>
    <cellStyle name="Structure 3 6 3" xfId="46306" xr:uid="{00000000-0005-0000-0000-0000E2B40000}"/>
    <cellStyle name="Structure 3 6 3 2" xfId="46307" xr:uid="{00000000-0005-0000-0000-0000E3B40000}"/>
    <cellStyle name="Structure 3 6 3 2 2" xfId="46308" xr:uid="{00000000-0005-0000-0000-0000E4B40000}"/>
    <cellStyle name="Structure 3 6 3 2 3" xfId="46309" xr:uid="{00000000-0005-0000-0000-0000E5B40000}"/>
    <cellStyle name="Structure 3 6 3 2 4" xfId="46310" xr:uid="{00000000-0005-0000-0000-0000E6B40000}"/>
    <cellStyle name="Structure 3 6 3 2 5" xfId="46311" xr:uid="{00000000-0005-0000-0000-0000E7B40000}"/>
    <cellStyle name="Structure 3 6 3 2 6" xfId="46312" xr:uid="{00000000-0005-0000-0000-0000E8B40000}"/>
    <cellStyle name="Structure 3 6 3 3" xfId="46313" xr:uid="{00000000-0005-0000-0000-0000E9B40000}"/>
    <cellStyle name="Structure 3 6 3 4" xfId="46314" xr:uid="{00000000-0005-0000-0000-0000EAB40000}"/>
    <cellStyle name="Structure 3 6 3 5" xfId="46315" xr:uid="{00000000-0005-0000-0000-0000EBB40000}"/>
    <cellStyle name="Structure 3 6 3 6" xfId="46316" xr:uid="{00000000-0005-0000-0000-0000ECB40000}"/>
    <cellStyle name="Structure 3 6 4" xfId="46317" xr:uid="{00000000-0005-0000-0000-0000EDB40000}"/>
    <cellStyle name="Structure 3 6 4 2" xfId="46318" xr:uid="{00000000-0005-0000-0000-0000EEB40000}"/>
    <cellStyle name="Structure 3 6 4 3" xfId="46319" xr:uid="{00000000-0005-0000-0000-0000EFB40000}"/>
    <cellStyle name="Structure 3 6 4 4" xfId="46320" xr:uid="{00000000-0005-0000-0000-0000F0B40000}"/>
    <cellStyle name="Structure 3 6 4 5" xfId="46321" xr:uid="{00000000-0005-0000-0000-0000F1B40000}"/>
    <cellStyle name="Structure 3 6 4 6" xfId="46322" xr:uid="{00000000-0005-0000-0000-0000F2B40000}"/>
    <cellStyle name="Structure 3 6 5" xfId="46323" xr:uid="{00000000-0005-0000-0000-0000F3B40000}"/>
    <cellStyle name="Structure 3 6 6" xfId="46324" xr:uid="{00000000-0005-0000-0000-0000F4B40000}"/>
    <cellStyle name="Structure 3 6 7" xfId="46325" xr:uid="{00000000-0005-0000-0000-0000F5B40000}"/>
    <cellStyle name="Structure 3 6 8" xfId="46326" xr:uid="{00000000-0005-0000-0000-0000F6B40000}"/>
    <cellStyle name="Structure 3 7" xfId="46327" xr:uid="{00000000-0005-0000-0000-0000F7B40000}"/>
    <cellStyle name="Structure 3 7 2" xfId="46328" xr:uid="{00000000-0005-0000-0000-0000F8B40000}"/>
    <cellStyle name="Structure 3 7 2 2" xfId="46329" xr:uid="{00000000-0005-0000-0000-0000F9B40000}"/>
    <cellStyle name="Structure 3 7 2 3" xfId="46330" xr:uid="{00000000-0005-0000-0000-0000FAB40000}"/>
    <cellStyle name="Structure 3 7 2 4" xfId="46331" xr:uid="{00000000-0005-0000-0000-0000FBB40000}"/>
    <cellStyle name="Structure 3 7 2 5" xfId="46332" xr:uid="{00000000-0005-0000-0000-0000FCB40000}"/>
    <cellStyle name="Structure 3 7 2 6" xfId="46333" xr:uid="{00000000-0005-0000-0000-0000FDB40000}"/>
    <cellStyle name="Structure 3 7 3" xfId="46334" xr:uid="{00000000-0005-0000-0000-0000FEB40000}"/>
    <cellStyle name="Structure 3 7 4" xfId="46335" xr:uid="{00000000-0005-0000-0000-0000FFB40000}"/>
    <cellStyle name="Structure 3 7 5" xfId="46336" xr:uid="{00000000-0005-0000-0000-000000B50000}"/>
    <cellStyle name="Structure 3 7 6" xfId="46337" xr:uid="{00000000-0005-0000-0000-000001B50000}"/>
    <cellStyle name="Structure 3 8" xfId="46338" xr:uid="{00000000-0005-0000-0000-000002B50000}"/>
    <cellStyle name="Structure 3 8 2" xfId="46339" xr:uid="{00000000-0005-0000-0000-000003B50000}"/>
    <cellStyle name="Structure 3 8 2 2" xfId="46340" xr:uid="{00000000-0005-0000-0000-000004B50000}"/>
    <cellStyle name="Structure 3 8 2 3" xfId="46341" xr:uid="{00000000-0005-0000-0000-000005B50000}"/>
    <cellStyle name="Structure 3 8 2 4" xfId="46342" xr:uid="{00000000-0005-0000-0000-000006B50000}"/>
    <cellStyle name="Structure 3 8 2 5" xfId="46343" xr:uid="{00000000-0005-0000-0000-000007B50000}"/>
    <cellStyle name="Structure 3 8 2 6" xfId="46344" xr:uid="{00000000-0005-0000-0000-000008B50000}"/>
    <cellStyle name="Structure 3 8 3" xfId="46345" xr:uid="{00000000-0005-0000-0000-000009B50000}"/>
    <cellStyle name="Structure 3 8 4" xfId="46346" xr:uid="{00000000-0005-0000-0000-00000AB50000}"/>
    <cellStyle name="Structure 3 8 5" xfId="46347" xr:uid="{00000000-0005-0000-0000-00000BB50000}"/>
    <cellStyle name="Structure 3 8 6" xfId="46348" xr:uid="{00000000-0005-0000-0000-00000CB50000}"/>
    <cellStyle name="Structure 3 9" xfId="46349" xr:uid="{00000000-0005-0000-0000-00000DB50000}"/>
    <cellStyle name="Structure 3 9 2" xfId="46350" xr:uid="{00000000-0005-0000-0000-00000EB50000}"/>
    <cellStyle name="Structure 3 9 3" xfId="46351" xr:uid="{00000000-0005-0000-0000-00000FB50000}"/>
    <cellStyle name="Structure 3 9 4" xfId="46352" xr:uid="{00000000-0005-0000-0000-000010B50000}"/>
    <cellStyle name="Structure 3 9 5" xfId="46353" xr:uid="{00000000-0005-0000-0000-000011B50000}"/>
    <cellStyle name="Structure 3 9 6" xfId="46354" xr:uid="{00000000-0005-0000-0000-000012B50000}"/>
    <cellStyle name="Structure 4" xfId="46355" xr:uid="{00000000-0005-0000-0000-000013B50000}"/>
    <cellStyle name="Structure 4 2" xfId="46356" xr:uid="{00000000-0005-0000-0000-000014B50000}"/>
    <cellStyle name="Structure 4 2 2" xfId="46357" xr:uid="{00000000-0005-0000-0000-000015B50000}"/>
    <cellStyle name="Structure 4 2 2 2" xfId="46358" xr:uid="{00000000-0005-0000-0000-000016B50000}"/>
    <cellStyle name="Structure 4 2 2 3" xfId="46359" xr:uid="{00000000-0005-0000-0000-000017B50000}"/>
    <cellStyle name="Structure 4 2 2 4" xfId="46360" xr:uid="{00000000-0005-0000-0000-000018B50000}"/>
    <cellStyle name="Structure 4 2 2 5" xfId="46361" xr:uid="{00000000-0005-0000-0000-000019B50000}"/>
    <cellStyle name="Structure 4 2 2 6" xfId="46362" xr:uid="{00000000-0005-0000-0000-00001AB50000}"/>
    <cellStyle name="Structure 4 2 3" xfId="46363" xr:uid="{00000000-0005-0000-0000-00001BB50000}"/>
    <cellStyle name="Structure 4 2 4" xfId="46364" xr:uid="{00000000-0005-0000-0000-00001CB50000}"/>
    <cellStyle name="Structure 4 2 5" xfId="46365" xr:uid="{00000000-0005-0000-0000-00001DB50000}"/>
    <cellStyle name="Structure 4 2 6" xfId="46366" xr:uid="{00000000-0005-0000-0000-00001EB50000}"/>
    <cellStyle name="Structure 4 3" xfId="46367" xr:uid="{00000000-0005-0000-0000-00001FB50000}"/>
    <cellStyle name="Structure 4 3 2" xfId="46368" xr:uid="{00000000-0005-0000-0000-000020B50000}"/>
    <cellStyle name="Structure 4 3 2 2" xfId="46369" xr:uid="{00000000-0005-0000-0000-000021B50000}"/>
    <cellStyle name="Structure 4 3 2 3" xfId="46370" xr:uid="{00000000-0005-0000-0000-000022B50000}"/>
    <cellStyle name="Structure 4 3 2 4" xfId="46371" xr:uid="{00000000-0005-0000-0000-000023B50000}"/>
    <cellStyle name="Structure 4 3 2 5" xfId="46372" xr:uid="{00000000-0005-0000-0000-000024B50000}"/>
    <cellStyle name="Structure 4 3 2 6" xfId="46373" xr:uid="{00000000-0005-0000-0000-000025B50000}"/>
    <cellStyle name="Structure 4 3 3" xfId="46374" xr:uid="{00000000-0005-0000-0000-000026B50000}"/>
    <cellStyle name="Structure 4 3 4" xfId="46375" xr:uid="{00000000-0005-0000-0000-000027B50000}"/>
    <cellStyle name="Structure 4 3 5" xfId="46376" xr:uid="{00000000-0005-0000-0000-000028B50000}"/>
    <cellStyle name="Structure 4 3 6" xfId="46377" xr:uid="{00000000-0005-0000-0000-000029B50000}"/>
    <cellStyle name="Structure 4 4" xfId="46378" xr:uid="{00000000-0005-0000-0000-00002AB50000}"/>
    <cellStyle name="Structure 4 4 2" xfId="46379" xr:uid="{00000000-0005-0000-0000-00002BB50000}"/>
    <cellStyle name="Structure 4 4 3" xfId="46380" xr:uid="{00000000-0005-0000-0000-00002CB50000}"/>
    <cellStyle name="Structure 4 4 4" xfId="46381" xr:uid="{00000000-0005-0000-0000-00002DB50000}"/>
    <cellStyle name="Structure 4 4 5" xfId="46382" xr:uid="{00000000-0005-0000-0000-00002EB50000}"/>
    <cellStyle name="Structure 4 4 6" xfId="46383" xr:uid="{00000000-0005-0000-0000-00002FB50000}"/>
    <cellStyle name="Structure 4 5" xfId="46384" xr:uid="{00000000-0005-0000-0000-000030B50000}"/>
    <cellStyle name="Structure 4 6" xfId="46385" xr:uid="{00000000-0005-0000-0000-000031B50000}"/>
    <cellStyle name="Structure 4 7" xfId="46386" xr:uid="{00000000-0005-0000-0000-000032B50000}"/>
    <cellStyle name="Structure 4 8" xfId="46387" xr:uid="{00000000-0005-0000-0000-000033B50000}"/>
    <cellStyle name="Structure 5" xfId="46388" xr:uid="{00000000-0005-0000-0000-000034B50000}"/>
    <cellStyle name="Structure 5 2" xfId="46389" xr:uid="{00000000-0005-0000-0000-000035B50000}"/>
    <cellStyle name="Structure 5 2 2" xfId="46390" xr:uid="{00000000-0005-0000-0000-000036B50000}"/>
    <cellStyle name="Structure 5 2 2 2" xfId="46391" xr:uid="{00000000-0005-0000-0000-000037B50000}"/>
    <cellStyle name="Structure 5 2 2 3" xfId="46392" xr:uid="{00000000-0005-0000-0000-000038B50000}"/>
    <cellStyle name="Structure 5 2 2 4" xfId="46393" xr:uid="{00000000-0005-0000-0000-000039B50000}"/>
    <cellStyle name="Structure 5 2 2 5" xfId="46394" xr:uid="{00000000-0005-0000-0000-00003AB50000}"/>
    <cellStyle name="Structure 5 2 2 6" xfId="46395" xr:uid="{00000000-0005-0000-0000-00003BB50000}"/>
    <cellStyle name="Structure 5 2 3" xfId="46396" xr:uid="{00000000-0005-0000-0000-00003CB50000}"/>
    <cellStyle name="Structure 5 2 4" xfId="46397" xr:uid="{00000000-0005-0000-0000-00003DB50000}"/>
    <cellStyle name="Structure 5 2 5" xfId="46398" xr:uid="{00000000-0005-0000-0000-00003EB50000}"/>
    <cellStyle name="Structure 5 2 6" xfId="46399" xr:uid="{00000000-0005-0000-0000-00003FB50000}"/>
    <cellStyle name="Structure 5 3" xfId="46400" xr:uid="{00000000-0005-0000-0000-000040B50000}"/>
    <cellStyle name="Structure 5 3 2" xfId="46401" xr:uid="{00000000-0005-0000-0000-000041B50000}"/>
    <cellStyle name="Structure 5 3 2 2" xfId="46402" xr:uid="{00000000-0005-0000-0000-000042B50000}"/>
    <cellStyle name="Structure 5 3 2 3" xfId="46403" xr:uid="{00000000-0005-0000-0000-000043B50000}"/>
    <cellStyle name="Structure 5 3 2 4" xfId="46404" xr:uid="{00000000-0005-0000-0000-000044B50000}"/>
    <cellStyle name="Structure 5 3 2 5" xfId="46405" xr:uid="{00000000-0005-0000-0000-000045B50000}"/>
    <cellStyle name="Structure 5 3 2 6" xfId="46406" xr:uid="{00000000-0005-0000-0000-000046B50000}"/>
    <cellStyle name="Structure 5 3 3" xfId="46407" xr:uid="{00000000-0005-0000-0000-000047B50000}"/>
    <cellStyle name="Structure 5 3 4" xfId="46408" xr:uid="{00000000-0005-0000-0000-000048B50000}"/>
    <cellStyle name="Structure 5 3 5" xfId="46409" xr:uid="{00000000-0005-0000-0000-000049B50000}"/>
    <cellStyle name="Structure 5 3 6" xfId="46410" xr:uid="{00000000-0005-0000-0000-00004AB50000}"/>
    <cellStyle name="Structure 5 4" xfId="46411" xr:uid="{00000000-0005-0000-0000-00004BB50000}"/>
    <cellStyle name="Structure 5 4 2" xfId="46412" xr:uid="{00000000-0005-0000-0000-00004CB50000}"/>
    <cellStyle name="Structure 5 4 3" xfId="46413" xr:uid="{00000000-0005-0000-0000-00004DB50000}"/>
    <cellStyle name="Structure 5 4 4" xfId="46414" xr:uid="{00000000-0005-0000-0000-00004EB50000}"/>
    <cellStyle name="Structure 5 4 5" xfId="46415" xr:uid="{00000000-0005-0000-0000-00004FB50000}"/>
    <cellStyle name="Structure 5 4 6" xfId="46416" xr:uid="{00000000-0005-0000-0000-000050B50000}"/>
    <cellStyle name="Structure 5 5" xfId="46417" xr:uid="{00000000-0005-0000-0000-000051B50000}"/>
    <cellStyle name="Structure 5 6" xfId="46418" xr:uid="{00000000-0005-0000-0000-000052B50000}"/>
    <cellStyle name="Structure 5 7" xfId="46419" xr:uid="{00000000-0005-0000-0000-000053B50000}"/>
    <cellStyle name="Structure 5 8" xfId="46420" xr:uid="{00000000-0005-0000-0000-000054B50000}"/>
    <cellStyle name="Structure 6" xfId="46421" xr:uid="{00000000-0005-0000-0000-000055B50000}"/>
    <cellStyle name="Structure 6 2" xfId="46422" xr:uid="{00000000-0005-0000-0000-000056B50000}"/>
    <cellStyle name="Structure 6 2 2" xfId="46423" xr:uid="{00000000-0005-0000-0000-000057B50000}"/>
    <cellStyle name="Structure 6 2 2 2" xfId="46424" xr:uid="{00000000-0005-0000-0000-000058B50000}"/>
    <cellStyle name="Structure 6 2 2 3" xfId="46425" xr:uid="{00000000-0005-0000-0000-000059B50000}"/>
    <cellStyle name="Structure 6 2 2 4" xfId="46426" xr:uid="{00000000-0005-0000-0000-00005AB50000}"/>
    <cellStyle name="Structure 6 2 2 5" xfId="46427" xr:uid="{00000000-0005-0000-0000-00005BB50000}"/>
    <cellStyle name="Structure 6 2 2 6" xfId="46428" xr:uid="{00000000-0005-0000-0000-00005CB50000}"/>
    <cellStyle name="Structure 6 2 3" xfId="46429" xr:uid="{00000000-0005-0000-0000-00005DB50000}"/>
    <cellStyle name="Structure 6 2 4" xfId="46430" xr:uid="{00000000-0005-0000-0000-00005EB50000}"/>
    <cellStyle name="Structure 6 2 5" xfId="46431" xr:uid="{00000000-0005-0000-0000-00005FB50000}"/>
    <cellStyle name="Structure 6 2 6" xfId="46432" xr:uid="{00000000-0005-0000-0000-000060B50000}"/>
    <cellStyle name="Structure 6 3" xfId="46433" xr:uid="{00000000-0005-0000-0000-000061B50000}"/>
    <cellStyle name="Structure 6 3 2" xfId="46434" xr:uid="{00000000-0005-0000-0000-000062B50000}"/>
    <cellStyle name="Structure 6 3 2 2" xfId="46435" xr:uid="{00000000-0005-0000-0000-000063B50000}"/>
    <cellStyle name="Structure 6 3 2 3" xfId="46436" xr:uid="{00000000-0005-0000-0000-000064B50000}"/>
    <cellStyle name="Structure 6 3 2 4" xfId="46437" xr:uid="{00000000-0005-0000-0000-000065B50000}"/>
    <cellStyle name="Structure 6 3 2 5" xfId="46438" xr:uid="{00000000-0005-0000-0000-000066B50000}"/>
    <cellStyle name="Structure 6 3 2 6" xfId="46439" xr:uid="{00000000-0005-0000-0000-000067B50000}"/>
    <cellStyle name="Structure 6 3 3" xfId="46440" xr:uid="{00000000-0005-0000-0000-000068B50000}"/>
    <cellStyle name="Structure 6 3 4" xfId="46441" xr:uid="{00000000-0005-0000-0000-000069B50000}"/>
    <cellStyle name="Structure 6 3 5" xfId="46442" xr:uid="{00000000-0005-0000-0000-00006AB50000}"/>
    <cellStyle name="Structure 6 3 6" xfId="46443" xr:uid="{00000000-0005-0000-0000-00006BB50000}"/>
    <cellStyle name="Structure 6 4" xfId="46444" xr:uid="{00000000-0005-0000-0000-00006CB50000}"/>
    <cellStyle name="Structure 6 4 2" xfId="46445" xr:uid="{00000000-0005-0000-0000-00006DB50000}"/>
    <cellStyle name="Structure 6 4 3" xfId="46446" xr:uid="{00000000-0005-0000-0000-00006EB50000}"/>
    <cellStyle name="Structure 6 4 4" xfId="46447" xr:uid="{00000000-0005-0000-0000-00006FB50000}"/>
    <cellStyle name="Structure 6 4 5" xfId="46448" xr:uid="{00000000-0005-0000-0000-000070B50000}"/>
    <cellStyle name="Structure 6 4 6" xfId="46449" xr:uid="{00000000-0005-0000-0000-000071B50000}"/>
    <cellStyle name="Structure 6 5" xfId="46450" xr:uid="{00000000-0005-0000-0000-000072B50000}"/>
    <cellStyle name="Structure 6 6" xfId="46451" xr:uid="{00000000-0005-0000-0000-000073B50000}"/>
    <cellStyle name="Structure 6 7" xfId="46452" xr:uid="{00000000-0005-0000-0000-000074B50000}"/>
    <cellStyle name="Structure 6 8" xfId="46453" xr:uid="{00000000-0005-0000-0000-000075B50000}"/>
    <cellStyle name="Structure 7" xfId="46454" xr:uid="{00000000-0005-0000-0000-000076B50000}"/>
    <cellStyle name="Structure 7 2" xfId="46455" xr:uid="{00000000-0005-0000-0000-000077B50000}"/>
    <cellStyle name="Structure 7 2 2" xfId="46456" xr:uid="{00000000-0005-0000-0000-000078B50000}"/>
    <cellStyle name="Structure 7 2 3" xfId="46457" xr:uid="{00000000-0005-0000-0000-000079B50000}"/>
    <cellStyle name="Structure 7 2 4" xfId="46458" xr:uid="{00000000-0005-0000-0000-00007AB50000}"/>
    <cellStyle name="Structure 7 2 5" xfId="46459" xr:uid="{00000000-0005-0000-0000-00007BB50000}"/>
    <cellStyle name="Structure 7 2 6" xfId="46460" xr:uid="{00000000-0005-0000-0000-00007CB50000}"/>
    <cellStyle name="Structure 7 3" xfId="46461" xr:uid="{00000000-0005-0000-0000-00007DB50000}"/>
    <cellStyle name="Structure 7 4" xfId="46462" xr:uid="{00000000-0005-0000-0000-00007EB50000}"/>
    <cellStyle name="Structure 7 5" xfId="46463" xr:uid="{00000000-0005-0000-0000-00007FB50000}"/>
    <cellStyle name="Structure 7 6" xfId="46464" xr:uid="{00000000-0005-0000-0000-000080B50000}"/>
    <cellStyle name="Structure 8" xfId="46465" xr:uid="{00000000-0005-0000-0000-000081B50000}"/>
    <cellStyle name="Structure 8 2" xfId="46466" xr:uid="{00000000-0005-0000-0000-000082B50000}"/>
    <cellStyle name="Structure 8 2 2" xfId="46467" xr:uid="{00000000-0005-0000-0000-000083B50000}"/>
    <cellStyle name="Structure 8 2 3" xfId="46468" xr:uid="{00000000-0005-0000-0000-000084B50000}"/>
    <cellStyle name="Structure 8 2 4" xfId="46469" xr:uid="{00000000-0005-0000-0000-000085B50000}"/>
    <cellStyle name="Structure 8 2 5" xfId="46470" xr:uid="{00000000-0005-0000-0000-000086B50000}"/>
    <cellStyle name="Structure 8 2 6" xfId="46471" xr:uid="{00000000-0005-0000-0000-000087B50000}"/>
    <cellStyle name="Structure 8 3" xfId="46472" xr:uid="{00000000-0005-0000-0000-000088B50000}"/>
    <cellStyle name="Structure 8 4" xfId="46473" xr:uid="{00000000-0005-0000-0000-000089B50000}"/>
    <cellStyle name="Structure 8 5" xfId="46474" xr:uid="{00000000-0005-0000-0000-00008AB50000}"/>
    <cellStyle name="Structure 8 6" xfId="46475" xr:uid="{00000000-0005-0000-0000-00008BB50000}"/>
    <cellStyle name="Structure 9" xfId="46476" xr:uid="{00000000-0005-0000-0000-00008CB50000}"/>
    <cellStyle name="Structure 9 2" xfId="46477" xr:uid="{00000000-0005-0000-0000-00008DB50000}"/>
    <cellStyle name="Structure 9 3" xfId="46478" xr:uid="{00000000-0005-0000-0000-00008EB50000}"/>
    <cellStyle name="Structure 9 4" xfId="46479" xr:uid="{00000000-0005-0000-0000-00008FB50000}"/>
    <cellStyle name="Structure 9 5" xfId="46480" xr:uid="{00000000-0005-0000-0000-000090B50000}"/>
    <cellStyle name="Structure 9 6" xfId="46481" xr:uid="{00000000-0005-0000-0000-000091B50000}"/>
    <cellStyle name="style" xfId="46482" xr:uid="{00000000-0005-0000-0000-000092B50000}"/>
    <cellStyle name="Style 1" xfId="46483" xr:uid="{00000000-0005-0000-0000-000093B50000}"/>
    <cellStyle name="Style 1 10" xfId="46484" xr:uid="{00000000-0005-0000-0000-000094B50000}"/>
    <cellStyle name="Style 1 10 2" xfId="46485" xr:uid="{00000000-0005-0000-0000-000095B50000}"/>
    <cellStyle name="Style 1 11" xfId="46486" xr:uid="{00000000-0005-0000-0000-000096B50000}"/>
    <cellStyle name="Style 1 2" xfId="46487" xr:uid="{00000000-0005-0000-0000-000097B50000}"/>
    <cellStyle name="Style 1 2 2" xfId="46488" xr:uid="{00000000-0005-0000-0000-000098B50000}"/>
    <cellStyle name="Style 1 3" xfId="46489" xr:uid="{00000000-0005-0000-0000-000099B50000}"/>
    <cellStyle name="Style 1 3 2" xfId="46490" xr:uid="{00000000-0005-0000-0000-00009AB50000}"/>
    <cellStyle name="Style 1 4" xfId="46491" xr:uid="{00000000-0005-0000-0000-00009BB50000}"/>
    <cellStyle name="Style 1 4 2" xfId="46492" xr:uid="{00000000-0005-0000-0000-00009CB50000}"/>
    <cellStyle name="Style 1 5" xfId="46493" xr:uid="{00000000-0005-0000-0000-00009DB50000}"/>
    <cellStyle name="Style 1 5 2" xfId="46494" xr:uid="{00000000-0005-0000-0000-00009EB50000}"/>
    <cellStyle name="Style 1 6" xfId="46495" xr:uid="{00000000-0005-0000-0000-00009FB50000}"/>
    <cellStyle name="Style 1 6 2" xfId="46496" xr:uid="{00000000-0005-0000-0000-0000A0B50000}"/>
    <cellStyle name="Style 1 7" xfId="46497" xr:uid="{00000000-0005-0000-0000-0000A1B50000}"/>
    <cellStyle name="Style 1 7 2" xfId="46498" xr:uid="{00000000-0005-0000-0000-0000A2B50000}"/>
    <cellStyle name="Style 1 8" xfId="46499" xr:uid="{00000000-0005-0000-0000-0000A3B50000}"/>
    <cellStyle name="Style 1 8 2" xfId="46500" xr:uid="{00000000-0005-0000-0000-0000A4B50000}"/>
    <cellStyle name="Style 1 9" xfId="46501" xr:uid="{00000000-0005-0000-0000-0000A5B50000}"/>
    <cellStyle name="Style 1 9 2" xfId="46502" xr:uid="{00000000-0005-0000-0000-0000A6B50000}"/>
    <cellStyle name="Style 2" xfId="46503" xr:uid="{00000000-0005-0000-0000-0000A7B50000}"/>
    <cellStyle name="Style 3" xfId="46504" xr:uid="{00000000-0005-0000-0000-0000A8B50000}"/>
    <cellStyle name="Style 4" xfId="46505" xr:uid="{00000000-0005-0000-0000-0000A9B50000}"/>
    <cellStyle name="Style 5" xfId="46506" xr:uid="{00000000-0005-0000-0000-0000AAB50000}"/>
    <cellStyle name="Style 6" xfId="46507" xr:uid="{00000000-0005-0000-0000-0000ABB50000}"/>
    <cellStyle name="style1" xfId="46508" xr:uid="{00000000-0005-0000-0000-0000ACB50000}"/>
    <cellStyle name="style2" xfId="46509" xr:uid="{00000000-0005-0000-0000-0000ADB50000}"/>
    <cellStyle name="SubRoutine" xfId="46510" xr:uid="{00000000-0005-0000-0000-0000AEB50000}"/>
    <cellStyle name="Subtotal" xfId="46511" xr:uid="{00000000-0005-0000-0000-0000AFB50000}"/>
    <cellStyle name="Summe" xfId="46512" xr:uid="{00000000-0005-0000-0000-0000B0B50000}"/>
    <cellStyle name="Table Col Head" xfId="46513" xr:uid="{00000000-0005-0000-0000-0000B1B50000}"/>
    <cellStyle name="Table Sub Head" xfId="46514" xr:uid="{00000000-0005-0000-0000-0000B2B50000}"/>
    <cellStyle name="Table Title" xfId="46515" xr:uid="{00000000-0005-0000-0000-0000B3B50000}"/>
    <cellStyle name="Table Units" xfId="46516" xr:uid="{00000000-0005-0000-0000-0000B4B50000}"/>
    <cellStyle name="TableHead" xfId="46517" xr:uid="{00000000-0005-0000-0000-0000B5B50000}"/>
    <cellStyle name="Text" xfId="46518" xr:uid="{00000000-0005-0000-0000-0000B6B50000}"/>
    <cellStyle name="Text 10" xfId="46519" xr:uid="{00000000-0005-0000-0000-0000B7B50000}"/>
    <cellStyle name="Text 11" xfId="46520" xr:uid="{00000000-0005-0000-0000-0000B8B50000}"/>
    <cellStyle name="Text 12" xfId="46521" xr:uid="{00000000-0005-0000-0000-0000B9B50000}"/>
    <cellStyle name="Text 13" xfId="46522" xr:uid="{00000000-0005-0000-0000-0000BAB50000}"/>
    <cellStyle name="Text 14" xfId="46523" xr:uid="{00000000-0005-0000-0000-0000BBB50000}"/>
    <cellStyle name="Text 2" xfId="46524" xr:uid="{00000000-0005-0000-0000-0000BCB50000}"/>
    <cellStyle name="Text 2 10" xfId="46525" xr:uid="{00000000-0005-0000-0000-0000BDB50000}"/>
    <cellStyle name="Text 2 10 2" xfId="46526" xr:uid="{00000000-0005-0000-0000-0000BEB50000}"/>
    <cellStyle name="Text 2 10 3" xfId="46527" xr:uid="{00000000-0005-0000-0000-0000BFB50000}"/>
    <cellStyle name="Text 2 10 4" xfId="46528" xr:uid="{00000000-0005-0000-0000-0000C0B50000}"/>
    <cellStyle name="Text 2 10 5" xfId="46529" xr:uid="{00000000-0005-0000-0000-0000C1B50000}"/>
    <cellStyle name="Text 2 10 6" xfId="46530" xr:uid="{00000000-0005-0000-0000-0000C2B50000}"/>
    <cellStyle name="Text 2 11" xfId="46531" xr:uid="{00000000-0005-0000-0000-0000C3B50000}"/>
    <cellStyle name="Text 2 12" xfId="46532" xr:uid="{00000000-0005-0000-0000-0000C4B50000}"/>
    <cellStyle name="Text 2 13" xfId="46533" xr:uid="{00000000-0005-0000-0000-0000C5B50000}"/>
    <cellStyle name="Text 2 14" xfId="46534" xr:uid="{00000000-0005-0000-0000-0000C6B50000}"/>
    <cellStyle name="Text 2 2" xfId="46535" xr:uid="{00000000-0005-0000-0000-0000C7B50000}"/>
    <cellStyle name="Text 2 2 10" xfId="46536" xr:uid="{00000000-0005-0000-0000-0000C8B50000}"/>
    <cellStyle name="Text 2 2 11" xfId="46537" xr:uid="{00000000-0005-0000-0000-0000C9B50000}"/>
    <cellStyle name="Text 2 2 12" xfId="46538" xr:uid="{00000000-0005-0000-0000-0000CAB50000}"/>
    <cellStyle name="Text 2 2 13" xfId="46539" xr:uid="{00000000-0005-0000-0000-0000CBB50000}"/>
    <cellStyle name="Text 2 2 2" xfId="46540" xr:uid="{00000000-0005-0000-0000-0000CCB50000}"/>
    <cellStyle name="Text 2 2 2 2" xfId="46541" xr:uid="{00000000-0005-0000-0000-0000CDB50000}"/>
    <cellStyle name="Text 2 2 2 2 2" xfId="46542" xr:uid="{00000000-0005-0000-0000-0000CEB50000}"/>
    <cellStyle name="Text 2 2 2 2 2 2" xfId="46543" xr:uid="{00000000-0005-0000-0000-0000CFB50000}"/>
    <cellStyle name="Text 2 2 2 2 2 3" xfId="46544" xr:uid="{00000000-0005-0000-0000-0000D0B50000}"/>
    <cellStyle name="Text 2 2 2 2 2 4" xfId="46545" xr:uid="{00000000-0005-0000-0000-0000D1B50000}"/>
    <cellStyle name="Text 2 2 2 2 2 5" xfId="46546" xr:uid="{00000000-0005-0000-0000-0000D2B50000}"/>
    <cellStyle name="Text 2 2 2 2 2 6" xfId="46547" xr:uid="{00000000-0005-0000-0000-0000D3B50000}"/>
    <cellStyle name="Text 2 2 2 2 3" xfId="46548" xr:uid="{00000000-0005-0000-0000-0000D4B50000}"/>
    <cellStyle name="Text 2 2 2 2 4" xfId="46549" xr:uid="{00000000-0005-0000-0000-0000D5B50000}"/>
    <cellStyle name="Text 2 2 2 2 5" xfId="46550" xr:uid="{00000000-0005-0000-0000-0000D6B50000}"/>
    <cellStyle name="Text 2 2 2 2 6" xfId="46551" xr:uid="{00000000-0005-0000-0000-0000D7B50000}"/>
    <cellStyle name="Text 2 2 2 3" xfId="46552" xr:uid="{00000000-0005-0000-0000-0000D8B50000}"/>
    <cellStyle name="Text 2 2 2 3 2" xfId="46553" xr:uid="{00000000-0005-0000-0000-0000D9B50000}"/>
    <cellStyle name="Text 2 2 2 3 2 2" xfId="46554" xr:uid="{00000000-0005-0000-0000-0000DAB50000}"/>
    <cellStyle name="Text 2 2 2 3 2 3" xfId="46555" xr:uid="{00000000-0005-0000-0000-0000DBB50000}"/>
    <cellStyle name="Text 2 2 2 3 2 4" xfId="46556" xr:uid="{00000000-0005-0000-0000-0000DCB50000}"/>
    <cellStyle name="Text 2 2 2 3 2 5" xfId="46557" xr:uid="{00000000-0005-0000-0000-0000DDB50000}"/>
    <cellStyle name="Text 2 2 2 3 2 6" xfId="46558" xr:uid="{00000000-0005-0000-0000-0000DEB50000}"/>
    <cellStyle name="Text 2 2 2 3 3" xfId="46559" xr:uid="{00000000-0005-0000-0000-0000DFB50000}"/>
    <cellStyle name="Text 2 2 2 3 4" xfId="46560" xr:uid="{00000000-0005-0000-0000-0000E0B50000}"/>
    <cellStyle name="Text 2 2 2 3 5" xfId="46561" xr:uid="{00000000-0005-0000-0000-0000E1B50000}"/>
    <cellStyle name="Text 2 2 2 3 6" xfId="46562" xr:uid="{00000000-0005-0000-0000-0000E2B50000}"/>
    <cellStyle name="Text 2 2 2 4" xfId="46563" xr:uid="{00000000-0005-0000-0000-0000E3B50000}"/>
    <cellStyle name="Text 2 2 2 4 2" xfId="46564" xr:uid="{00000000-0005-0000-0000-0000E4B50000}"/>
    <cellStyle name="Text 2 2 2 4 3" xfId="46565" xr:uid="{00000000-0005-0000-0000-0000E5B50000}"/>
    <cellStyle name="Text 2 2 2 4 4" xfId="46566" xr:uid="{00000000-0005-0000-0000-0000E6B50000}"/>
    <cellStyle name="Text 2 2 2 4 5" xfId="46567" xr:uid="{00000000-0005-0000-0000-0000E7B50000}"/>
    <cellStyle name="Text 2 2 2 4 6" xfId="46568" xr:uid="{00000000-0005-0000-0000-0000E8B50000}"/>
    <cellStyle name="Text 2 2 2 5" xfId="46569" xr:uid="{00000000-0005-0000-0000-0000E9B50000}"/>
    <cellStyle name="Text 2 2 2 6" xfId="46570" xr:uid="{00000000-0005-0000-0000-0000EAB50000}"/>
    <cellStyle name="Text 2 2 2 7" xfId="46571" xr:uid="{00000000-0005-0000-0000-0000EBB50000}"/>
    <cellStyle name="Text 2 2 2 8" xfId="46572" xr:uid="{00000000-0005-0000-0000-0000ECB50000}"/>
    <cellStyle name="Text 2 2 3" xfId="46573" xr:uid="{00000000-0005-0000-0000-0000EDB50000}"/>
    <cellStyle name="Text 2 2 3 2" xfId="46574" xr:uid="{00000000-0005-0000-0000-0000EEB50000}"/>
    <cellStyle name="Text 2 2 3 2 2" xfId="46575" xr:uid="{00000000-0005-0000-0000-0000EFB50000}"/>
    <cellStyle name="Text 2 2 3 2 2 2" xfId="46576" xr:uid="{00000000-0005-0000-0000-0000F0B50000}"/>
    <cellStyle name="Text 2 2 3 2 2 3" xfId="46577" xr:uid="{00000000-0005-0000-0000-0000F1B50000}"/>
    <cellStyle name="Text 2 2 3 2 2 4" xfId="46578" xr:uid="{00000000-0005-0000-0000-0000F2B50000}"/>
    <cellStyle name="Text 2 2 3 2 2 5" xfId="46579" xr:uid="{00000000-0005-0000-0000-0000F3B50000}"/>
    <cellStyle name="Text 2 2 3 2 2 6" xfId="46580" xr:uid="{00000000-0005-0000-0000-0000F4B50000}"/>
    <cellStyle name="Text 2 2 3 2 3" xfId="46581" xr:uid="{00000000-0005-0000-0000-0000F5B50000}"/>
    <cellStyle name="Text 2 2 3 2 4" xfId="46582" xr:uid="{00000000-0005-0000-0000-0000F6B50000}"/>
    <cellStyle name="Text 2 2 3 2 5" xfId="46583" xr:uid="{00000000-0005-0000-0000-0000F7B50000}"/>
    <cellStyle name="Text 2 2 3 2 6" xfId="46584" xr:uid="{00000000-0005-0000-0000-0000F8B50000}"/>
    <cellStyle name="Text 2 2 3 3" xfId="46585" xr:uid="{00000000-0005-0000-0000-0000F9B50000}"/>
    <cellStyle name="Text 2 2 3 3 2" xfId="46586" xr:uid="{00000000-0005-0000-0000-0000FAB50000}"/>
    <cellStyle name="Text 2 2 3 3 2 2" xfId="46587" xr:uid="{00000000-0005-0000-0000-0000FBB50000}"/>
    <cellStyle name="Text 2 2 3 3 2 3" xfId="46588" xr:uid="{00000000-0005-0000-0000-0000FCB50000}"/>
    <cellStyle name="Text 2 2 3 3 2 4" xfId="46589" xr:uid="{00000000-0005-0000-0000-0000FDB50000}"/>
    <cellStyle name="Text 2 2 3 3 2 5" xfId="46590" xr:uid="{00000000-0005-0000-0000-0000FEB50000}"/>
    <cellStyle name="Text 2 2 3 3 2 6" xfId="46591" xr:uid="{00000000-0005-0000-0000-0000FFB50000}"/>
    <cellStyle name="Text 2 2 3 3 3" xfId="46592" xr:uid="{00000000-0005-0000-0000-000000B60000}"/>
    <cellStyle name="Text 2 2 3 3 4" xfId="46593" xr:uid="{00000000-0005-0000-0000-000001B60000}"/>
    <cellStyle name="Text 2 2 3 3 5" xfId="46594" xr:uid="{00000000-0005-0000-0000-000002B60000}"/>
    <cellStyle name="Text 2 2 3 3 6" xfId="46595" xr:uid="{00000000-0005-0000-0000-000003B60000}"/>
    <cellStyle name="Text 2 2 3 4" xfId="46596" xr:uid="{00000000-0005-0000-0000-000004B60000}"/>
    <cellStyle name="Text 2 2 3 4 2" xfId="46597" xr:uid="{00000000-0005-0000-0000-000005B60000}"/>
    <cellStyle name="Text 2 2 3 4 3" xfId="46598" xr:uid="{00000000-0005-0000-0000-000006B60000}"/>
    <cellStyle name="Text 2 2 3 4 4" xfId="46599" xr:uid="{00000000-0005-0000-0000-000007B60000}"/>
    <cellStyle name="Text 2 2 3 4 5" xfId="46600" xr:uid="{00000000-0005-0000-0000-000008B60000}"/>
    <cellStyle name="Text 2 2 3 4 6" xfId="46601" xr:uid="{00000000-0005-0000-0000-000009B60000}"/>
    <cellStyle name="Text 2 2 3 5" xfId="46602" xr:uid="{00000000-0005-0000-0000-00000AB60000}"/>
    <cellStyle name="Text 2 2 3 6" xfId="46603" xr:uid="{00000000-0005-0000-0000-00000BB60000}"/>
    <cellStyle name="Text 2 2 3 7" xfId="46604" xr:uid="{00000000-0005-0000-0000-00000CB60000}"/>
    <cellStyle name="Text 2 2 3 8" xfId="46605" xr:uid="{00000000-0005-0000-0000-00000DB60000}"/>
    <cellStyle name="Text 2 2 4" xfId="46606" xr:uid="{00000000-0005-0000-0000-00000EB60000}"/>
    <cellStyle name="Text 2 2 4 2" xfId="46607" xr:uid="{00000000-0005-0000-0000-00000FB60000}"/>
    <cellStyle name="Text 2 2 4 2 2" xfId="46608" xr:uid="{00000000-0005-0000-0000-000010B60000}"/>
    <cellStyle name="Text 2 2 4 2 2 2" xfId="46609" xr:uid="{00000000-0005-0000-0000-000011B60000}"/>
    <cellStyle name="Text 2 2 4 2 2 3" xfId="46610" xr:uid="{00000000-0005-0000-0000-000012B60000}"/>
    <cellStyle name="Text 2 2 4 2 2 4" xfId="46611" xr:uid="{00000000-0005-0000-0000-000013B60000}"/>
    <cellStyle name="Text 2 2 4 2 2 5" xfId="46612" xr:uid="{00000000-0005-0000-0000-000014B60000}"/>
    <cellStyle name="Text 2 2 4 2 2 6" xfId="46613" xr:uid="{00000000-0005-0000-0000-000015B60000}"/>
    <cellStyle name="Text 2 2 4 2 3" xfId="46614" xr:uid="{00000000-0005-0000-0000-000016B60000}"/>
    <cellStyle name="Text 2 2 4 2 4" xfId="46615" xr:uid="{00000000-0005-0000-0000-000017B60000}"/>
    <cellStyle name="Text 2 2 4 2 5" xfId="46616" xr:uid="{00000000-0005-0000-0000-000018B60000}"/>
    <cellStyle name="Text 2 2 4 2 6" xfId="46617" xr:uid="{00000000-0005-0000-0000-000019B60000}"/>
    <cellStyle name="Text 2 2 4 3" xfId="46618" xr:uid="{00000000-0005-0000-0000-00001AB60000}"/>
    <cellStyle name="Text 2 2 4 3 2" xfId="46619" xr:uid="{00000000-0005-0000-0000-00001BB60000}"/>
    <cellStyle name="Text 2 2 4 3 2 2" xfId="46620" xr:uid="{00000000-0005-0000-0000-00001CB60000}"/>
    <cellStyle name="Text 2 2 4 3 2 3" xfId="46621" xr:uid="{00000000-0005-0000-0000-00001DB60000}"/>
    <cellStyle name="Text 2 2 4 3 2 4" xfId="46622" xr:uid="{00000000-0005-0000-0000-00001EB60000}"/>
    <cellStyle name="Text 2 2 4 3 2 5" xfId="46623" xr:uid="{00000000-0005-0000-0000-00001FB60000}"/>
    <cellStyle name="Text 2 2 4 3 2 6" xfId="46624" xr:uid="{00000000-0005-0000-0000-000020B60000}"/>
    <cellStyle name="Text 2 2 4 3 3" xfId="46625" xr:uid="{00000000-0005-0000-0000-000021B60000}"/>
    <cellStyle name="Text 2 2 4 3 4" xfId="46626" xr:uid="{00000000-0005-0000-0000-000022B60000}"/>
    <cellStyle name="Text 2 2 4 3 5" xfId="46627" xr:uid="{00000000-0005-0000-0000-000023B60000}"/>
    <cellStyle name="Text 2 2 4 3 6" xfId="46628" xr:uid="{00000000-0005-0000-0000-000024B60000}"/>
    <cellStyle name="Text 2 2 4 4" xfId="46629" xr:uid="{00000000-0005-0000-0000-000025B60000}"/>
    <cellStyle name="Text 2 2 4 4 2" xfId="46630" xr:uid="{00000000-0005-0000-0000-000026B60000}"/>
    <cellStyle name="Text 2 2 4 4 3" xfId="46631" xr:uid="{00000000-0005-0000-0000-000027B60000}"/>
    <cellStyle name="Text 2 2 4 4 4" xfId="46632" xr:uid="{00000000-0005-0000-0000-000028B60000}"/>
    <cellStyle name="Text 2 2 4 4 5" xfId="46633" xr:uid="{00000000-0005-0000-0000-000029B60000}"/>
    <cellStyle name="Text 2 2 4 4 6" xfId="46634" xr:uid="{00000000-0005-0000-0000-00002AB60000}"/>
    <cellStyle name="Text 2 2 4 5" xfId="46635" xr:uid="{00000000-0005-0000-0000-00002BB60000}"/>
    <cellStyle name="Text 2 2 4 6" xfId="46636" xr:uid="{00000000-0005-0000-0000-00002CB60000}"/>
    <cellStyle name="Text 2 2 4 7" xfId="46637" xr:uid="{00000000-0005-0000-0000-00002DB60000}"/>
    <cellStyle name="Text 2 2 4 8" xfId="46638" xr:uid="{00000000-0005-0000-0000-00002EB60000}"/>
    <cellStyle name="Text 2 2 5" xfId="46639" xr:uid="{00000000-0005-0000-0000-00002FB60000}"/>
    <cellStyle name="Text 2 2 5 2" xfId="46640" xr:uid="{00000000-0005-0000-0000-000030B60000}"/>
    <cellStyle name="Text 2 2 5 2 2" xfId="46641" xr:uid="{00000000-0005-0000-0000-000031B60000}"/>
    <cellStyle name="Text 2 2 5 2 2 2" xfId="46642" xr:uid="{00000000-0005-0000-0000-000032B60000}"/>
    <cellStyle name="Text 2 2 5 2 2 3" xfId="46643" xr:uid="{00000000-0005-0000-0000-000033B60000}"/>
    <cellStyle name="Text 2 2 5 2 2 4" xfId="46644" xr:uid="{00000000-0005-0000-0000-000034B60000}"/>
    <cellStyle name="Text 2 2 5 2 2 5" xfId="46645" xr:uid="{00000000-0005-0000-0000-000035B60000}"/>
    <cellStyle name="Text 2 2 5 2 2 6" xfId="46646" xr:uid="{00000000-0005-0000-0000-000036B60000}"/>
    <cellStyle name="Text 2 2 5 2 3" xfId="46647" xr:uid="{00000000-0005-0000-0000-000037B60000}"/>
    <cellStyle name="Text 2 2 5 2 4" xfId="46648" xr:uid="{00000000-0005-0000-0000-000038B60000}"/>
    <cellStyle name="Text 2 2 5 2 5" xfId="46649" xr:uid="{00000000-0005-0000-0000-000039B60000}"/>
    <cellStyle name="Text 2 2 5 2 6" xfId="46650" xr:uid="{00000000-0005-0000-0000-00003AB60000}"/>
    <cellStyle name="Text 2 2 5 3" xfId="46651" xr:uid="{00000000-0005-0000-0000-00003BB60000}"/>
    <cellStyle name="Text 2 2 5 3 2" xfId="46652" xr:uid="{00000000-0005-0000-0000-00003CB60000}"/>
    <cellStyle name="Text 2 2 5 3 2 2" xfId="46653" xr:uid="{00000000-0005-0000-0000-00003DB60000}"/>
    <cellStyle name="Text 2 2 5 3 2 3" xfId="46654" xr:uid="{00000000-0005-0000-0000-00003EB60000}"/>
    <cellStyle name="Text 2 2 5 3 2 4" xfId="46655" xr:uid="{00000000-0005-0000-0000-00003FB60000}"/>
    <cellStyle name="Text 2 2 5 3 2 5" xfId="46656" xr:uid="{00000000-0005-0000-0000-000040B60000}"/>
    <cellStyle name="Text 2 2 5 3 2 6" xfId="46657" xr:uid="{00000000-0005-0000-0000-000041B60000}"/>
    <cellStyle name="Text 2 2 5 3 3" xfId="46658" xr:uid="{00000000-0005-0000-0000-000042B60000}"/>
    <cellStyle name="Text 2 2 5 3 4" xfId="46659" xr:uid="{00000000-0005-0000-0000-000043B60000}"/>
    <cellStyle name="Text 2 2 5 3 5" xfId="46660" xr:uid="{00000000-0005-0000-0000-000044B60000}"/>
    <cellStyle name="Text 2 2 5 3 6" xfId="46661" xr:uid="{00000000-0005-0000-0000-000045B60000}"/>
    <cellStyle name="Text 2 2 5 4" xfId="46662" xr:uid="{00000000-0005-0000-0000-000046B60000}"/>
    <cellStyle name="Text 2 2 5 4 2" xfId="46663" xr:uid="{00000000-0005-0000-0000-000047B60000}"/>
    <cellStyle name="Text 2 2 5 4 3" xfId="46664" xr:uid="{00000000-0005-0000-0000-000048B60000}"/>
    <cellStyle name="Text 2 2 5 4 4" xfId="46665" xr:uid="{00000000-0005-0000-0000-000049B60000}"/>
    <cellStyle name="Text 2 2 5 4 5" xfId="46666" xr:uid="{00000000-0005-0000-0000-00004AB60000}"/>
    <cellStyle name="Text 2 2 5 4 6" xfId="46667" xr:uid="{00000000-0005-0000-0000-00004BB60000}"/>
    <cellStyle name="Text 2 2 5 5" xfId="46668" xr:uid="{00000000-0005-0000-0000-00004CB60000}"/>
    <cellStyle name="Text 2 2 5 6" xfId="46669" xr:uid="{00000000-0005-0000-0000-00004DB60000}"/>
    <cellStyle name="Text 2 2 5 7" xfId="46670" xr:uid="{00000000-0005-0000-0000-00004EB60000}"/>
    <cellStyle name="Text 2 2 5 8" xfId="46671" xr:uid="{00000000-0005-0000-0000-00004FB60000}"/>
    <cellStyle name="Text 2 2 6" xfId="46672" xr:uid="{00000000-0005-0000-0000-000050B60000}"/>
    <cellStyle name="Text 2 2 6 2" xfId="46673" xr:uid="{00000000-0005-0000-0000-000051B60000}"/>
    <cellStyle name="Text 2 2 6 2 2" xfId="46674" xr:uid="{00000000-0005-0000-0000-000052B60000}"/>
    <cellStyle name="Text 2 2 6 2 2 2" xfId="46675" xr:uid="{00000000-0005-0000-0000-000053B60000}"/>
    <cellStyle name="Text 2 2 6 2 2 3" xfId="46676" xr:uid="{00000000-0005-0000-0000-000054B60000}"/>
    <cellStyle name="Text 2 2 6 2 2 4" xfId="46677" xr:uid="{00000000-0005-0000-0000-000055B60000}"/>
    <cellStyle name="Text 2 2 6 2 2 5" xfId="46678" xr:uid="{00000000-0005-0000-0000-000056B60000}"/>
    <cellStyle name="Text 2 2 6 2 2 6" xfId="46679" xr:uid="{00000000-0005-0000-0000-000057B60000}"/>
    <cellStyle name="Text 2 2 6 2 3" xfId="46680" xr:uid="{00000000-0005-0000-0000-000058B60000}"/>
    <cellStyle name="Text 2 2 6 2 4" xfId="46681" xr:uid="{00000000-0005-0000-0000-000059B60000}"/>
    <cellStyle name="Text 2 2 6 2 5" xfId="46682" xr:uid="{00000000-0005-0000-0000-00005AB60000}"/>
    <cellStyle name="Text 2 2 6 2 6" xfId="46683" xr:uid="{00000000-0005-0000-0000-00005BB60000}"/>
    <cellStyle name="Text 2 2 6 3" xfId="46684" xr:uid="{00000000-0005-0000-0000-00005CB60000}"/>
    <cellStyle name="Text 2 2 6 3 2" xfId="46685" xr:uid="{00000000-0005-0000-0000-00005DB60000}"/>
    <cellStyle name="Text 2 2 6 3 2 2" xfId="46686" xr:uid="{00000000-0005-0000-0000-00005EB60000}"/>
    <cellStyle name="Text 2 2 6 3 2 3" xfId="46687" xr:uid="{00000000-0005-0000-0000-00005FB60000}"/>
    <cellStyle name="Text 2 2 6 3 2 4" xfId="46688" xr:uid="{00000000-0005-0000-0000-000060B60000}"/>
    <cellStyle name="Text 2 2 6 3 2 5" xfId="46689" xr:uid="{00000000-0005-0000-0000-000061B60000}"/>
    <cellStyle name="Text 2 2 6 3 2 6" xfId="46690" xr:uid="{00000000-0005-0000-0000-000062B60000}"/>
    <cellStyle name="Text 2 2 6 3 3" xfId="46691" xr:uid="{00000000-0005-0000-0000-000063B60000}"/>
    <cellStyle name="Text 2 2 6 3 4" xfId="46692" xr:uid="{00000000-0005-0000-0000-000064B60000}"/>
    <cellStyle name="Text 2 2 6 3 5" xfId="46693" xr:uid="{00000000-0005-0000-0000-000065B60000}"/>
    <cellStyle name="Text 2 2 6 3 6" xfId="46694" xr:uid="{00000000-0005-0000-0000-000066B60000}"/>
    <cellStyle name="Text 2 2 6 4" xfId="46695" xr:uid="{00000000-0005-0000-0000-000067B60000}"/>
    <cellStyle name="Text 2 2 6 4 2" xfId="46696" xr:uid="{00000000-0005-0000-0000-000068B60000}"/>
    <cellStyle name="Text 2 2 6 4 3" xfId="46697" xr:uid="{00000000-0005-0000-0000-000069B60000}"/>
    <cellStyle name="Text 2 2 6 4 4" xfId="46698" xr:uid="{00000000-0005-0000-0000-00006AB60000}"/>
    <cellStyle name="Text 2 2 6 4 5" xfId="46699" xr:uid="{00000000-0005-0000-0000-00006BB60000}"/>
    <cellStyle name="Text 2 2 6 4 6" xfId="46700" xr:uid="{00000000-0005-0000-0000-00006CB60000}"/>
    <cellStyle name="Text 2 2 6 5" xfId="46701" xr:uid="{00000000-0005-0000-0000-00006DB60000}"/>
    <cellStyle name="Text 2 2 6 6" xfId="46702" xr:uid="{00000000-0005-0000-0000-00006EB60000}"/>
    <cellStyle name="Text 2 2 6 7" xfId="46703" xr:uid="{00000000-0005-0000-0000-00006FB60000}"/>
    <cellStyle name="Text 2 2 6 8" xfId="46704" xr:uid="{00000000-0005-0000-0000-000070B60000}"/>
    <cellStyle name="Text 2 2 7" xfId="46705" xr:uid="{00000000-0005-0000-0000-000071B60000}"/>
    <cellStyle name="Text 2 2 7 2" xfId="46706" xr:uid="{00000000-0005-0000-0000-000072B60000}"/>
    <cellStyle name="Text 2 2 7 2 2" xfId="46707" xr:uid="{00000000-0005-0000-0000-000073B60000}"/>
    <cellStyle name="Text 2 2 7 2 3" xfId="46708" xr:uid="{00000000-0005-0000-0000-000074B60000}"/>
    <cellStyle name="Text 2 2 7 2 4" xfId="46709" xr:uid="{00000000-0005-0000-0000-000075B60000}"/>
    <cellStyle name="Text 2 2 7 2 5" xfId="46710" xr:uid="{00000000-0005-0000-0000-000076B60000}"/>
    <cellStyle name="Text 2 2 7 2 6" xfId="46711" xr:uid="{00000000-0005-0000-0000-000077B60000}"/>
    <cellStyle name="Text 2 2 7 3" xfId="46712" xr:uid="{00000000-0005-0000-0000-000078B60000}"/>
    <cellStyle name="Text 2 2 7 4" xfId="46713" xr:uid="{00000000-0005-0000-0000-000079B60000}"/>
    <cellStyle name="Text 2 2 7 5" xfId="46714" xr:uid="{00000000-0005-0000-0000-00007AB60000}"/>
    <cellStyle name="Text 2 2 7 6" xfId="46715" xr:uid="{00000000-0005-0000-0000-00007BB60000}"/>
    <cellStyle name="Text 2 2 8" xfId="46716" xr:uid="{00000000-0005-0000-0000-00007CB60000}"/>
    <cellStyle name="Text 2 2 8 2" xfId="46717" xr:uid="{00000000-0005-0000-0000-00007DB60000}"/>
    <cellStyle name="Text 2 2 8 2 2" xfId="46718" xr:uid="{00000000-0005-0000-0000-00007EB60000}"/>
    <cellStyle name="Text 2 2 8 2 3" xfId="46719" xr:uid="{00000000-0005-0000-0000-00007FB60000}"/>
    <cellStyle name="Text 2 2 8 2 4" xfId="46720" xr:uid="{00000000-0005-0000-0000-000080B60000}"/>
    <cellStyle name="Text 2 2 8 2 5" xfId="46721" xr:uid="{00000000-0005-0000-0000-000081B60000}"/>
    <cellStyle name="Text 2 2 8 2 6" xfId="46722" xr:uid="{00000000-0005-0000-0000-000082B60000}"/>
    <cellStyle name="Text 2 2 8 3" xfId="46723" xr:uid="{00000000-0005-0000-0000-000083B60000}"/>
    <cellStyle name="Text 2 2 8 4" xfId="46724" xr:uid="{00000000-0005-0000-0000-000084B60000}"/>
    <cellStyle name="Text 2 2 8 5" xfId="46725" xr:uid="{00000000-0005-0000-0000-000085B60000}"/>
    <cellStyle name="Text 2 2 8 6" xfId="46726" xr:uid="{00000000-0005-0000-0000-000086B60000}"/>
    <cellStyle name="Text 2 2 9" xfId="46727" xr:uid="{00000000-0005-0000-0000-000087B60000}"/>
    <cellStyle name="Text 2 2 9 2" xfId="46728" xr:uid="{00000000-0005-0000-0000-000088B60000}"/>
    <cellStyle name="Text 2 2 9 3" xfId="46729" xr:uid="{00000000-0005-0000-0000-000089B60000}"/>
    <cellStyle name="Text 2 2 9 4" xfId="46730" xr:uid="{00000000-0005-0000-0000-00008AB60000}"/>
    <cellStyle name="Text 2 2 9 5" xfId="46731" xr:uid="{00000000-0005-0000-0000-00008BB60000}"/>
    <cellStyle name="Text 2 2 9 6" xfId="46732" xr:uid="{00000000-0005-0000-0000-00008CB60000}"/>
    <cellStyle name="Text 2 3" xfId="46733" xr:uid="{00000000-0005-0000-0000-00008DB60000}"/>
    <cellStyle name="Text 2 3 2" xfId="46734" xr:uid="{00000000-0005-0000-0000-00008EB60000}"/>
    <cellStyle name="Text 2 3 2 2" xfId="46735" xr:uid="{00000000-0005-0000-0000-00008FB60000}"/>
    <cellStyle name="Text 2 3 2 2 2" xfId="46736" xr:uid="{00000000-0005-0000-0000-000090B60000}"/>
    <cellStyle name="Text 2 3 2 2 3" xfId="46737" xr:uid="{00000000-0005-0000-0000-000091B60000}"/>
    <cellStyle name="Text 2 3 2 2 4" xfId="46738" xr:uid="{00000000-0005-0000-0000-000092B60000}"/>
    <cellStyle name="Text 2 3 2 2 5" xfId="46739" xr:uid="{00000000-0005-0000-0000-000093B60000}"/>
    <cellStyle name="Text 2 3 2 2 6" xfId="46740" xr:uid="{00000000-0005-0000-0000-000094B60000}"/>
    <cellStyle name="Text 2 3 2 3" xfId="46741" xr:uid="{00000000-0005-0000-0000-000095B60000}"/>
    <cellStyle name="Text 2 3 2 4" xfId="46742" xr:uid="{00000000-0005-0000-0000-000096B60000}"/>
    <cellStyle name="Text 2 3 2 5" xfId="46743" xr:uid="{00000000-0005-0000-0000-000097B60000}"/>
    <cellStyle name="Text 2 3 2 6" xfId="46744" xr:uid="{00000000-0005-0000-0000-000098B60000}"/>
    <cellStyle name="Text 2 3 3" xfId="46745" xr:uid="{00000000-0005-0000-0000-000099B60000}"/>
    <cellStyle name="Text 2 3 3 2" xfId="46746" xr:uid="{00000000-0005-0000-0000-00009AB60000}"/>
    <cellStyle name="Text 2 3 3 2 2" xfId="46747" xr:uid="{00000000-0005-0000-0000-00009BB60000}"/>
    <cellStyle name="Text 2 3 3 2 3" xfId="46748" xr:uid="{00000000-0005-0000-0000-00009CB60000}"/>
    <cellStyle name="Text 2 3 3 2 4" xfId="46749" xr:uid="{00000000-0005-0000-0000-00009DB60000}"/>
    <cellStyle name="Text 2 3 3 2 5" xfId="46750" xr:uid="{00000000-0005-0000-0000-00009EB60000}"/>
    <cellStyle name="Text 2 3 3 2 6" xfId="46751" xr:uid="{00000000-0005-0000-0000-00009FB60000}"/>
    <cellStyle name="Text 2 3 3 3" xfId="46752" xr:uid="{00000000-0005-0000-0000-0000A0B60000}"/>
    <cellStyle name="Text 2 3 3 4" xfId="46753" xr:uid="{00000000-0005-0000-0000-0000A1B60000}"/>
    <cellStyle name="Text 2 3 3 5" xfId="46754" xr:uid="{00000000-0005-0000-0000-0000A2B60000}"/>
    <cellStyle name="Text 2 3 3 6" xfId="46755" xr:uid="{00000000-0005-0000-0000-0000A3B60000}"/>
    <cellStyle name="Text 2 3 4" xfId="46756" xr:uid="{00000000-0005-0000-0000-0000A4B60000}"/>
    <cellStyle name="Text 2 3 4 2" xfId="46757" xr:uid="{00000000-0005-0000-0000-0000A5B60000}"/>
    <cellStyle name="Text 2 3 4 3" xfId="46758" xr:uid="{00000000-0005-0000-0000-0000A6B60000}"/>
    <cellStyle name="Text 2 3 4 4" xfId="46759" xr:uid="{00000000-0005-0000-0000-0000A7B60000}"/>
    <cellStyle name="Text 2 3 4 5" xfId="46760" xr:uid="{00000000-0005-0000-0000-0000A8B60000}"/>
    <cellStyle name="Text 2 3 4 6" xfId="46761" xr:uid="{00000000-0005-0000-0000-0000A9B60000}"/>
    <cellStyle name="Text 2 3 5" xfId="46762" xr:uid="{00000000-0005-0000-0000-0000AAB60000}"/>
    <cellStyle name="Text 2 3 6" xfId="46763" xr:uid="{00000000-0005-0000-0000-0000ABB60000}"/>
    <cellStyle name="Text 2 3 7" xfId="46764" xr:uid="{00000000-0005-0000-0000-0000ACB60000}"/>
    <cellStyle name="Text 2 3 8" xfId="46765" xr:uid="{00000000-0005-0000-0000-0000ADB60000}"/>
    <cellStyle name="Text 2 4" xfId="46766" xr:uid="{00000000-0005-0000-0000-0000AEB60000}"/>
    <cellStyle name="Text 2 4 2" xfId="46767" xr:uid="{00000000-0005-0000-0000-0000AFB60000}"/>
    <cellStyle name="Text 2 4 2 2" xfId="46768" xr:uid="{00000000-0005-0000-0000-0000B0B60000}"/>
    <cellStyle name="Text 2 4 2 2 2" xfId="46769" xr:uid="{00000000-0005-0000-0000-0000B1B60000}"/>
    <cellStyle name="Text 2 4 2 2 3" xfId="46770" xr:uid="{00000000-0005-0000-0000-0000B2B60000}"/>
    <cellStyle name="Text 2 4 2 2 4" xfId="46771" xr:uid="{00000000-0005-0000-0000-0000B3B60000}"/>
    <cellStyle name="Text 2 4 2 2 5" xfId="46772" xr:uid="{00000000-0005-0000-0000-0000B4B60000}"/>
    <cellStyle name="Text 2 4 2 2 6" xfId="46773" xr:uid="{00000000-0005-0000-0000-0000B5B60000}"/>
    <cellStyle name="Text 2 4 2 3" xfId="46774" xr:uid="{00000000-0005-0000-0000-0000B6B60000}"/>
    <cellStyle name="Text 2 4 2 4" xfId="46775" xr:uid="{00000000-0005-0000-0000-0000B7B60000}"/>
    <cellStyle name="Text 2 4 2 5" xfId="46776" xr:uid="{00000000-0005-0000-0000-0000B8B60000}"/>
    <cellStyle name="Text 2 4 2 6" xfId="46777" xr:uid="{00000000-0005-0000-0000-0000B9B60000}"/>
    <cellStyle name="Text 2 4 3" xfId="46778" xr:uid="{00000000-0005-0000-0000-0000BAB60000}"/>
    <cellStyle name="Text 2 4 3 2" xfId="46779" xr:uid="{00000000-0005-0000-0000-0000BBB60000}"/>
    <cellStyle name="Text 2 4 3 2 2" xfId="46780" xr:uid="{00000000-0005-0000-0000-0000BCB60000}"/>
    <cellStyle name="Text 2 4 3 2 3" xfId="46781" xr:uid="{00000000-0005-0000-0000-0000BDB60000}"/>
    <cellStyle name="Text 2 4 3 2 4" xfId="46782" xr:uid="{00000000-0005-0000-0000-0000BEB60000}"/>
    <cellStyle name="Text 2 4 3 2 5" xfId="46783" xr:uid="{00000000-0005-0000-0000-0000BFB60000}"/>
    <cellStyle name="Text 2 4 3 2 6" xfId="46784" xr:uid="{00000000-0005-0000-0000-0000C0B60000}"/>
    <cellStyle name="Text 2 4 3 3" xfId="46785" xr:uid="{00000000-0005-0000-0000-0000C1B60000}"/>
    <cellStyle name="Text 2 4 3 4" xfId="46786" xr:uid="{00000000-0005-0000-0000-0000C2B60000}"/>
    <cellStyle name="Text 2 4 3 5" xfId="46787" xr:uid="{00000000-0005-0000-0000-0000C3B60000}"/>
    <cellStyle name="Text 2 4 3 6" xfId="46788" xr:uid="{00000000-0005-0000-0000-0000C4B60000}"/>
    <cellStyle name="Text 2 4 4" xfId="46789" xr:uid="{00000000-0005-0000-0000-0000C5B60000}"/>
    <cellStyle name="Text 2 4 4 2" xfId="46790" xr:uid="{00000000-0005-0000-0000-0000C6B60000}"/>
    <cellStyle name="Text 2 4 4 3" xfId="46791" xr:uid="{00000000-0005-0000-0000-0000C7B60000}"/>
    <cellStyle name="Text 2 4 4 4" xfId="46792" xr:uid="{00000000-0005-0000-0000-0000C8B60000}"/>
    <cellStyle name="Text 2 4 4 5" xfId="46793" xr:uid="{00000000-0005-0000-0000-0000C9B60000}"/>
    <cellStyle name="Text 2 4 4 6" xfId="46794" xr:uid="{00000000-0005-0000-0000-0000CAB60000}"/>
    <cellStyle name="Text 2 4 5" xfId="46795" xr:uid="{00000000-0005-0000-0000-0000CBB60000}"/>
    <cellStyle name="Text 2 4 6" xfId="46796" xr:uid="{00000000-0005-0000-0000-0000CCB60000}"/>
    <cellStyle name="Text 2 4 7" xfId="46797" xr:uid="{00000000-0005-0000-0000-0000CDB60000}"/>
    <cellStyle name="Text 2 4 8" xfId="46798" xr:uid="{00000000-0005-0000-0000-0000CEB60000}"/>
    <cellStyle name="Text 2 5" xfId="46799" xr:uid="{00000000-0005-0000-0000-0000CFB60000}"/>
    <cellStyle name="Text 2 5 2" xfId="46800" xr:uid="{00000000-0005-0000-0000-0000D0B60000}"/>
    <cellStyle name="Text 2 5 2 2" xfId="46801" xr:uid="{00000000-0005-0000-0000-0000D1B60000}"/>
    <cellStyle name="Text 2 5 2 2 2" xfId="46802" xr:uid="{00000000-0005-0000-0000-0000D2B60000}"/>
    <cellStyle name="Text 2 5 2 2 3" xfId="46803" xr:uid="{00000000-0005-0000-0000-0000D3B60000}"/>
    <cellStyle name="Text 2 5 2 2 4" xfId="46804" xr:uid="{00000000-0005-0000-0000-0000D4B60000}"/>
    <cellStyle name="Text 2 5 2 2 5" xfId="46805" xr:uid="{00000000-0005-0000-0000-0000D5B60000}"/>
    <cellStyle name="Text 2 5 2 2 6" xfId="46806" xr:uid="{00000000-0005-0000-0000-0000D6B60000}"/>
    <cellStyle name="Text 2 5 2 3" xfId="46807" xr:uid="{00000000-0005-0000-0000-0000D7B60000}"/>
    <cellStyle name="Text 2 5 2 4" xfId="46808" xr:uid="{00000000-0005-0000-0000-0000D8B60000}"/>
    <cellStyle name="Text 2 5 2 5" xfId="46809" xr:uid="{00000000-0005-0000-0000-0000D9B60000}"/>
    <cellStyle name="Text 2 5 2 6" xfId="46810" xr:uid="{00000000-0005-0000-0000-0000DAB60000}"/>
    <cellStyle name="Text 2 5 3" xfId="46811" xr:uid="{00000000-0005-0000-0000-0000DBB60000}"/>
    <cellStyle name="Text 2 5 3 2" xfId="46812" xr:uid="{00000000-0005-0000-0000-0000DCB60000}"/>
    <cellStyle name="Text 2 5 3 2 2" xfId="46813" xr:uid="{00000000-0005-0000-0000-0000DDB60000}"/>
    <cellStyle name="Text 2 5 3 2 3" xfId="46814" xr:uid="{00000000-0005-0000-0000-0000DEB60000}"/>
    <cellStyle name="Text 2 5 3 2 4" xfId="46815" xr:uid="{00000000-0005-0000-0000-0000DFB60000}"/>
    <cellStyle name="Text 2 5 3 2 5" xfId="46816" xr:uid="{00000000-0005-0000-0000-0000E0B60000}"/>
    <cellStyle name="Text 2 5 3 2 6" xfId="46817" xr:uid="{00000000-0005-0000-0000-0000E1B60000}"/>
    <cellStyle name="Text 2 5 3 3" xfId="46818" xr:uid="{00000000-0005-0000-0000-0000E2B60000}"/>
    <cellStyle name="Text 2 5 3 4" xfId="46819" xr:uid="{00000000-0005-0000-0000-0000E3B60000}"/>
    <cellStyle name="Text 2 5 3 5" xfId="46820" xr:uid="{00000000-0005-0000-0000-0000E4B60000}"/>
    <cellStyle name="Text 2 5 3 6" xfId="46821" xr:uid="{00000000-0005-0000-0000-0000E5B60000}"/>
    <cellStyle name="Text 2 5 4" xfId="46822" xr:uid="{00000000-0005-0000-0000-0000E6B60000}"/>
    <cellStyle name="Text 2 5 4 2" xfId="46823" xr:uid="{00000000-0005-0000-0000-0000E7B60000}"/>
    <cellStyle name="Text 2 5 4 3" xfId="46824" xr:uid="{00000000-0005-0000-0000-0000E8B60000}"/>
    <cellStyle name="Text 2 5 4 4" xfId="46825" xr:uid="{00000000-0005-0000-0000-0000E9B60000}"/>
    <cellStyle name="Text 2 5 4 5" xfId="46826" xr:uid="{00000000-0005-0000-0000-0000EAB60000}"/>
    <cellStyle name="Text 2 5 4 6" xfId="46827" xr:uid="{00000000-0005-0000-0000-0000EBB60000}"/>
    <cellStyle name="Text 2 5 5" xfId="46828" xr:uid="{00000000-0005-0000-0000-0000ECB60000}"/>
    <cellStyle name="Text 2 5 6" xfId="46829" xr:uid="{00000000-0005-0000-0000-0000EDB60000}"/>
    <cellStyle name="Text 2 5 7" xfId="46830" xr:uid="{00000000-0005-0000-0000-0000EEB60000}"/>
    <cellStyle name="Text 2 5 8" xfId="46831" xr:uid="{00000000-0005-0000-0000-0000EFB60000}"/>
    <cellStyle name="Text 2 6" xfId="46832" xr:uid="{00000000-0005-0000-0000-0000F0B60000}"/>
    <cellStyle name="Text 2 6 2" xfId="46833" xr:uid="{00000000-0005-0000-0000-0000F1B60000}"/>
    <cellStyle name="Text 2 6 2 2" xfId="46834" xr:uid="{00000000-0005-0000-0000-0000F2B60000}"/>
    <cellStyle name="Text 2 6 2 2 2" xfId="46835" xr:uid="{00000000-0005-0000-0000-0000F3B60000}"/>
    <cellStyle name="Text 2 6 2 2 3" xfId="46836" xr:uid="{00000000-0005-0000-0000-0000F4B60000}"/>
    <cellStyle name="Text 2 6 2 2 4" xfId="46837" xr:uid="{00000000-0005-0000-0000-0000F5B60000}"/>
    <cellStyle name="Text 2 6 2 2 5" xfId="46838" xr:uid="{00000000-0005-0000-0000-0000F6B60000}"/>
    <cellStyle name="Text 2 6 2 2 6" xfId="46839" xr:uid="{00000000-0005-0000-0000-0000F7B60000}"/>
    <cellStyle name="Text 2 6 2 3" xfId="46840" xr:uid="{00000000-0005-0000-0000-0000F8B60000}"/>
    <cellStyle name="Text 2 6 2 4" xfId="46841" xr:uid="{00000000-0005-0000-0000-0000F9B60000}"/>
    <cellStyle name="Text 2 6 2 5" xfId="46842" xr:uid="{00000000-0005-0000-0000-0000FAB60000}"/>
    <cellStyle name="Text 2 6 2 6" xfId="46843" xr:uid="{00000000-0005-0000-0000-0000FBB60000}"/>
    <cellStyle name="Text 2 6 3" xfId="46844" xr:uid="{00000000-0005-0000-0000-0000FCB60000}"/>
    <cellStyle name="Text 2 6 3 2" xfId="46845" xr:uid="{00000000-0005-0000-0000-0000FDB60000}"/>
    <cellStyle name="Text 2 6 3 2 2" xfId="46846" xr:uid="{00000000-0005-0000-0000-0000FEB60000}"/>
    <cellStyle name="Text 2 6 3 2 3" xfId="46847" xr:uid="{00000000-0005-0000-0000-0000FFB60000}"/>
    <cellStyle name="Text 2 6 3 2 4" xfId="46848" xr:uid="{00000000-0005-0000-0000-000000B70000}"/>
    <cellStyle name="Text 2 6 3 2 5" xfId="46849" xr:uid="{00000000-0005-0000-0000-000001B70000}"/>
    <cellStyle name="Text 2 6 3 2 6" xfId="46850" xr:uid="{00000000-0005-0000-0000-000002B70000}"/>
    <cellStyle name="Text 2 6 3 3" xfId="46851" xr:uid="{00000000-0005-0000-0000-000003B70000}"/>
    <cellStyle name="Text 2 6 3 4" xfId="46852" xr:uid="{00000000-0005-0000-0000-000004B70000}"/>
    <cellStyle name="Text 2 6 3 5" xfId="46853" xr:uid="{00000000-0005-0000-0000-000005B70000}"/>
    <cellStyle name="Text 2 6 3 6" xfId="46854" xr:uid="{00000000-0005-0000-0000-000006B70000}"/>
    <cellStyle name="Text 2 6 4" xfId="46855" xr:uid="{00000000-0005-0000-0000-000007B70000}"/>
    <cellStyle name="Text 2 6 4 2" xfId="46856" xr:uid="{00000000-0005-0000-0000-000008B70000}"/>
    <cellStyle name="Text 2 6 4 3" xfId="46857" xr:uid="{00000000-0005-0000-0000-000009B70000}"/>
    <cellStyle name="Text 2 6 4 4" xfId="46858" xr:uid="{00000000-0005-0000-0000-00000AB70000}"/>
    <cellStyle name="Text 2 6 4 5" xfId="46859" xr:uid="{00000000-0005-0000-0000-00000BB70000}"/>
    <cellStyle name="Text 2 6 4 6" xfId="46860" xr:uid="{00000000-0005-0000-0000-00000CB70000}"/>
    <cellStyle name="Text 2 6 5" xfId="46861" xr:uid="{00000000-0005-0000-0000-00000DB70000}"/>
    <cellStyle name="Text 2 6 6" xfId="46862" xr:uid="{00000000-0005-0000-0000-00000EB70000}"/>
    <cellStyle name="Text 2 6 7" xfId="46863" xr:uid="{00000000-0005-0000-0000-00000FB70000}"/>
    <cellStyle name="Text 2 6 8" xfId="46864" xr:uid="{00000000-0005-0000-0000-000010B70000}"/>
    <cellStyle name="Text 2 7" xfId="46865" xr:uid="{00000000-0005-0000-0000-000011B70000}"/>
    <cellStyle name="Text 2 7 2" xfId="46866" xr:uid="{00000000-0005-0000-0000-000012B70000}"/>
    <cellStyle name="Text 2 7 2 2" xfId="46867" xr:uid="{00000000-0005-0000-0000-000013B70000}"/>
    <cellStyle name="Text 2 7 2 2 2" xfId="46868" xr:uid="{00000000-0005-0000-0000-000014B70000}"/>
    <cellStyle name="Text 2 7 2 2 3" xfId="46869" xr:uid="{00000000-0005-0000-0000-000015B70000}"/>
    <cellStyle name="Text 2 7 2 2 4" xfId="46870" xr:uid="{00000000-0005-0000-0000-000016B70000}"/>
    <cellStyle name="Text 2 7 2 2 5" xfId="46871" xr:uid="{00000000-0005-0000-0000-000017B70000}"/>
    <cellStyle name="Text 2 7 2 2 6" xfId="46872" xr:uid="{00000000-0005-0000-0000-000018B70000}"/>
    <cellStyle name="Text 2 7 2 3" xfId="46873" xr:uid="{00000000-0005-0000-0000-000019B70000}"/>
    <cellStyle name="Text 2 7 2 4" xfId="46874" xr:uid="{00000000-0005-0000-0000-00001AB70000}"/>
    <cellStyle name="Text 2 7 2 5" xfId="46875" xr:uid="{00000000-0005-0000-0000-00001BB70000}"/>
    <cellStyle name="Text 2 7 2 6" xfId="46876" xr:uid="{00000000-0005-0000-0000-00001CB70000}"/>
    <cellStyle name="Text 2 7 3" xfId="46877" xr:uid="{00000000-0005-0000-0000-00001DB70000}"/>
    <cellStyle name="Text 2 7 3 2" xfId="46878" xr:uid="{00000000-0005-0000-0000-00001EB70000}"/>
    <cellStyle name="Text 2 7 3 2 2" xfId="46879" xr:uid="{00000000-0005-0000-0000-00001FB70000}"/>
    <cellStyle name="Text 2 7 3 2 3" xfId="46880" xr:uid="{00000000-0005-0000-0000-000020B70000}"/>
    <cellStyle name="Text 2 7 3 2 4" xfId="46881" xr:uid="{00000000-0005-0000-0000-000021B70000}"/>
    <cellStyle name="Text 2 7 3 2 5" xfId="46882" xr:uid="{00000000-0005-0000-0000-000022B70000}"/>
    <cellStyle name="Text 2 7 3 2 6" xfId="46883" xr:uid="{00000000-0005-0000-0000-000023B70000}"/>
    <cellStyle name="Text 2 7 3 3" xfId="46884" xr:uid="{00000000-0005-0000-0000-000024B70000}"/>
    <cellStyle name="Text 2 7 3 4" xfId="46885" xr:uid="{00000000-0005-0000-0000-000025B70000}"/>
    <cellStyle name="Text 2 7 3 5" xfId="46886" xr:uid="{00000000-0005-0000-0000-000026B70000}"/>
    <cellStyle name="Text 2 7 3 6" xfId="46887" xr:uid="{00000000-0005-0000-0000-000027B70000}"/>
    <cellStyle name="Text 2 7 4" xfId="46888" xr:uid="{00000000-0005-0000-0000-000028B70000}"/>
    <cellStyle name="Text 2 7 4 2" xfId="46889" xr:uid="{00000000-0005-0000-0000-000029B70000}"/>
    <cellStyle name="Text 2 7 4 3" xfId="46890" xr:uid="{00000000-0005-0000-0000-00002AB70000}"/>
    <cellStyle name="Text 2 7 4 4" xfId="46891" xr:uid="{00000000-0005-0000-0000-00002BB70000}"/>
    <cellStyle name="Text 2 7 4 5" xfId="46892" xr:uid="{00000000-0005-0000-0000-00002CB70000}"/>
    <cellStyle name="Text 2 7 4 6" xfId="46893" xr:uid="{00000000-0005-0000-0000-00002DB70000}"/>
    <cellStyle name="Text 2 7 5" xfId="46894" xr:uid="{00000000-0005-0000-0000-00002EB70000}"/>
    <cellStyle name="Text 2 7 6" xfId="46895" xr:uid="{00000000-0005-0000-0000-00002FB70000}"/>
    <cellStyle name="Text 2 7 7" xfId="46896" xr:uid="{00000000-0005-0000-0000-000030B70000}"/>
    <cellStyle name="Text 2 7 8" xfId="46897" xr:uid="{00000000-0005-0000-0000-000031B70000}"/>
    <cellStyle name="Text 2 8" xfId="46898" xr:uid="{00000000-0005-0000-0000-000032B70000}"/>
    <cellStyle name="Text 2 8 2" xfId="46899" xr:uid="{00000000-0005-0000-0000-000033B70000}"/>
    <cellStyle name="Text 2 8 2 2" xfId="46900" xr:uid="{00000000-0005-0000-0000-000034B70000}"/>
    <cellStyle name="Text 2 8 2 3" xfId="46901" xr:uid="{00000000-0005-0000-0000-000035B70000}"/>
    <cellStyle name="Text 2 8 2 4" xfId="46902" xr:uid="{00000000-0005-0000-0000-000036B70000}"/>
    <cellStyle name="Text 2 8 2 5" xfId="46903" xr:uid="{00000000-0005-0000-0000-000037B70000}"/>
    <cellStyle name="Text 2 8 2 6" xfId="46904" xr:uid="{00000000-0005-0000-0000-000038B70000}"/>
    <cellStyle name="Text 2 8 3" xfId="46905" xr:uid="{00000000-0005-0000-0000-000039B70000}"/>
    <cellStyle name="Text 2 8 4" xfId="46906" xr:uid="{00000000-0005-0000-0000-00003AB70000}"/>
    <cellStyle name="Text 2 8 5" xfId="46907" xr:uid="{00000000-0005-0000-0000-00003BB70000}"/>
    <cellStyle name="Text 2 8 6" xfId="46908" xr:uid="{00000000-0005-0000-0000-00003CB70000}"/>
    <cellStyle name="Text 2 9" xfId="46909" xr:uid="{00000000-0005-0000-0000-00003DB70000}"/>
    <cellStyle name="Text 2 9 2" xfId="46910" xr:uid="{00000000-0005-0000-0000-00003EB70000}"/>
    <cellStyle name="Text 2 9 2 2" xfId="46911" xr:uid="{00000000-0005-0000-0000-00003FB70000}"/>
    <cellStyle name="Text 2 9 2 3" xfId="46912" xr:uid="{00000000-0005-0000-0000-000040B70000}"/>
    <cellStyle name="Text 2 9 2 4" xfId="46913" xr:uid="{00000000-0005-0000-0000-000041B70000}"/>
    <cellStyle name="Text 2 9 2 5" xfId="46914" xr:uid="{00000000-0005-0000-0000-000042B70000}"/>
    <cellStyle name="Text 2 9 2 6" xfId="46915" xr:uid="{00000000-0005-0000-0000-000043B70000}"/>
    <cellStyle name="Text 2 9 3" xfId="46916" xr:uid="{00000000-0005-0000-0000-000044B70000}"/>
    <cellStyle name="Text 2 9 4" xfId="46917" xr:uid="{00000000-0005-0000-0000-000045B70000}"/>
    <cellStyle name="Text 2 9 5" xfId="46918" xr:uid="{00000000-0005-0000-0000-000046B70000}"/>
    <cellStyle name="Text 2 9 6" xfId="46919" xr:uid="{00000000-0005-0000-0000-000047B70000}"/>
    <cellStyle name="Text 3" xfId="46920" xr:uid="{00000000-0005-0000-0000-000048B70000}"/>
    <cellStyle name="Text 3 10" xfId="46921" xr:uid="{00000000-0005-0000-0000-000049B70000}"/>
    <cellStyle name="Text 3 11" xfId="46922" xr:uid="{00000000-0005-0000-0000-00004AB70000}"/>
    <cellStyle name="Text 3 12" xfId="46923" xr:uid="{00000000-0005-0000-0000-00004BB70000}"/>
    <cellStyle name="Text 3 13" xfId="46924" xr:uid="{00000000-0005-0000-0000-00004CB70000}"/>
    <cellStyle name="Text 3 2" xfId="46925" xr:uid="{00000000-0005-0000-0000-00004DB70000}"/>
    <cellStyle name="Text 3 2 2" xfId="46926" xr:uid="{00000000-0005-0000-0000-00004EB70000}"/>
    <cellStyle name="Text 3 2 2 2" xfId="46927" xr:uid="{00000000-0005-0000-0000-00004FB70000}"/>
    <cellStyle name="Text 3 2 2 2 2" xfId="46928" xr:uid="{00000000-0005-0000-0000-000050B70000}"/>
    <cellStyle name="Text 3 2 2 2 3" xfId="46929" xr:uid="{00000000-0005-0000-0000-000051B70000}"/>
    <cellStyle name="Text 3 2 2 2 4" xfId="46930" xr:uid="{00000000-0005-0000-0000-000052B70000}"/>
    <cellStyle name="Text 3 2 2 2 5" xfId="46931" xr:uid="{00000000-0005-0000-0000-000053B70000}"/>
    <cellStyle name="Text 3 2 2 2 6" xfId="46932" xr:uid="{00000000-0005-0000-0000-000054B70000}"/>
    <cellStyle name="Text 3 2 2 3" xfId="46933" xr:uid="{00000000-0005-0000-0000-000055B70000}"/>
    <cellStyle name="Text 3 2 2 4" xfId="46934" xr:uid="{00000000-0005-0000-0000-000056B70000}"/>
    <cellStyle name="Text 3 2 2 5" xfId="46935" xr:uid="{00000000-0005-0000-0000-000057B70000}"/>
    <cellStyle name="Text 3 2 2 6" xfId="46936" xr:uid="{00000000-0005-0000-0000-000058B70000}"/>
    <cellStyle name="Text 3 2 3" xfId="46937" xr:uid="{00000000-0005-0000-0000-000059B70000}"/>
    <cellStyle name="Text 3 2 3 2" xfId="46938" xr:uid="{00000000-0005-0000-0000-00005AB70000}"/>
    <cellStyle name="Text 3 2 3 2 2" xfId="46939" xr:uid="{00000000-0005-0000-0000-00005BB70000}"/>
    <cellStyle name="Text 3 2 3 2 3" xfId="46940" xr:uid="{00000000-0005-0000-0000-00005CB70000}"/>
    <cellStyle name="Text 3 2 3 2 4" xfId="46941" xr:uid="{00000000-0005-0000-0000-00005DB70000}"/>
    <cellStyle name="Text 3 2 3 2 5" xfId="46942" xr:uid="{00000000-0005-0000-0000-00005EB70000}"/>
    <cellStyle name="Text 3 2 3 2 6" xfId="46943" xr:uid="{00000000-0005-0000-0000-00005FB70000}"/>
    <cellStyle name="Text 3 2 3 3" xfId="46944" xr:uid="{00000000-0005-0000-0000-000060B70000}"/>
    <cellStyle name="Text 3 2 3 4" xfId="46945" xr:uid="{00000000-0005-0000-0000-000061B70000}"/>
    <cellStyle name="Text 3 2 3 5" xfId="46946" xr:uid="{00000000-0005-0000-0000-000062B70000}"/>
    <cellStyle name="Text 3 2 3 6" xfId="46947" xr:uid="{00000000-0005-0000-0000-000063B70000}"/>
    <cellStyle name="Text 3 2 4" xfId="46948" xr:uid="{00000000-0005-0000-0000-000064B70000}"/>
    <cellStyle name="Text 3 2 4 2" xfId="46949" xr:uid="{00000000-0005-0000-0000-000065B70000}"/>
    <cellStyle name="Text 3 2 4 3" xfId="46950" xr:uid="{00000000-0005-0000-0000-000066B70000}"/>
    <cellStyle name="Text 3 2 4 4" xfId="46951" xr:uid="{00000000-0005-0000-0000-000067B70000}"/>
    <cellStyle name="Text 3 2 4 5" xfId="46952" xr:uid="{00000000-0005-0000-0000-000068B70000}"/>
    <cellStyle name="Text 3 2 4 6" xfId="46953" xr:uid="{00000000-0005-0000-0000-000069B70000}"/>
    <cellStyle name="Text 3 2 5" xfId="46954" xr:uid="{00000000-0005-0000-0000-00006AB70000}"/>
    <cellStyle name="Text 3 2 6" xfId="46955" xr:uid="{00000000-0005-0000-0000-00006BB70000}"/>
    <cellStyle name="Text 3 2 7" xfId="46956" xr:uid="{00000000-0005-0000-0000-00006CB70000}"/>
    <cellStyle name="Text 3 2 8" xfId="46957" xr:uid="{00000000-0005-0000-0000-00006DB70000}"/>
    <cellStyle name="Text 3 3" xfId="46958" xr:uid="{00000000-0005-0000-0000-00006EB70000}"/>
    <cellStyle name="Text 3 3 2" xfId="46959" xr:uid="{00000000-0005-0000-0000-00006FB70000}"/>
    <cellStyle name="Text 3 3 2 2" xfId="46960" xr:uid="{00000000-0005-0000-0000-000070B70000}"/>
    <cellStyle name="Text 3 3 2 2 2" xfId="46961" xr:uid="{00000000-0005-0000-0000-000071B70000}"/>
    <cellStyle name="Text 3 3 2 2 3" xfId="46962" xr:uid="{00000000-0005-0000-0000-000072B70000}"/>
    <cellStyle name="Text 3 3 2 2 4" xfId="46963" xr:uid="{00000000-0005-0000-0000-000073B70000}"/>
    <cellStyle name="Text 3 3 2 2 5" xfId="46964" xr:uid="{00000000-0005-0000-0000-000074B70000}"/>
    <cellStyle name="Text 3 3 2 2 6" xfId="46965" xr:uid="{00000000-0005-0000-0000-000075B70000}"/>
    <cellStyle name="Text 3 3 2 3" xfId="46966" xr:uid="{00000000-0005-0000-0000-000076B70000}"/>
    <cellStyle name="Text 3 3 2 4" xfId="46967" xr:uid="{00000000-0005-0000-0000-000077B70000}"/>
    <cellStyle name="Text 3 3 2 5" xfId="46968" xr:uid="{00000000-0005-0000-0000-000078B70000}"/>
    <cellStyle name="Text 3 3 2 6" xfId="46969" xr:uid="{00000000-0005-0000-0000-000079B70000}"/>
    <cellStyle name="Text 3 3 3" xfId="46970" xr:uid="{00000000-0005-0000-0000-00007AB70000}"/>
    <cellStyle name="Text 3 3 3 2" xfId="46971" xr:uid="{00000000-0005-0000-0000-00007BB70000}"/>
    <cellStyle name="Text 3 3 3 2 2" xfId="46972" xr:uid="{00000000-0005-0000-0000-00007CB70000}"/>
    <cellStyle name="Text 3 3 3 2 3" xfId="46973" xr:uid="{00000000-0005-0000-0000-00007DB70000}"/>
    <cellStyle name="Text 3 3 3 2 4" xfId="46974" xr:uid="{00000000-0005-0000-0000-00007EB70000}"/>
    <cellStyle name="Text 3 3 3 2 5" xfId="46975" xr:uid="{00000000-0005-0000-0000-00007FB70000}"/>
    <cellStyle name="Text 3 3 3 2 6" xfId="46976" xr:uid="{00000000-0005-0000-0000-000080B70000}"/>
    <cellStyle name="Text 3 3 3 3" xfId="46977" xr:uid="{00000000-0005-0000-0000-000081B70000}"/>
    <cellStyle name="Text 3 3 3 4" xfId="46978" xr:uid="{00000000-0005-0000-0000-000082B70000}"/>
    <cellStyle name="Text 3 3 3 5" xfId="46979" xr:uid="{00000000-0005-0000-0000-000083B70000}"/>
    <cellStyle name="Text 3 3 3 6" xfId="46980" xr:uid="{00000000-0005-0000-0000-000084B70000}"/>
    <cellStyle name="Text 3 3 4" xfId="46981" xr:uid="{00000000-0005-0000-0000-000085B70000}"/>
    <cellStyle name="Text 3 3 4 2" xfId="46982" xr:uid="{00000000-0005-0000-0000-000086B70000}"/>
    <cellStyle name="Text 3 3 4 3" xfId="46983" xr:uid="{00000000-0005-0000-0000-000087B70000}"/>
    <cellStyle name="Text 3 3 4 4" xfId="46984" xr:uid="{00000000-0005-0000-0000-000088B70000}"/>
    <cellStyle name="Text 3 3 4 5" xfId="46985" xr:uid="{00000000-0005-0000-0000-000089B70000}"/>
    <cellStyle name="Text 3 3 4 6" xfId="46986" xr:uid="{00000000-0005-0000-0000-00008AB70000}"/>
    <cellStyle name="Text 3 3 5" xfId="46987" xr:uid="{00000000-0005-0000-0000-00008BB70000}"/>
    <cellStyle name="Text 3 3 6" xfId="46988" xr:uid="{00000000-0005-0000-0000-00008CB70000}"/>
    <cellStyle name="Text 3 3 7" xfId="46989" xr:uid="{00000000-0005-0000-0000-00008DB70000}"/>
    <cellStyle name="Text 3 3 8" xfId="46990" xr:uid="{00000000-0005-0000-0000-00008EB70000}"/>
    <cellStyle name="Text 3 4" xfId="46991" xr:uid="{00000000-0005-0000-0000-00008FB70000}"/>
    <cellStyle name="Text 3 4 2" xfId="46992" xr:uid="{00000000-0005-0000-0000-000090B70000}"/>
    <cellStyle name="Text 3 4 2 2" xfId="46993" xr:uid="{00000000-0005-0000-0000-000091B70000}"/>
    <cellStyle name="Text 3 4 2 2 2" xfId="46994" xr:uid="{00000000-0005-0000-0000-000092B70000}"/>
    <cellStyle name="Text 3 4 2 2 3" xfId="46995" xr:uid="{00000000-0005-0000-0000-000093B70000}"/>
    <cellStyle name="Text 3 4 2 2 4" xfId="46996" xr:uid="{00000000-0005-0000-0000-000094B70000}"/>
    <cellStyle name="Text 3 4 2 2 5" xfId="46997" xr:uid="{00000000-0005-0000-0000-000095B70000}"/>
    <cellStyle name="Text 3 4 2 2 6" xfId="46998" xr:uid="{00000000-0005-0000-0000-000096B70000}"/>
    <cellStyle name="Text 3 4 2 3" xfId="46999" xr:uid="{00000000-0005-0000-0000-000097B70000}"/>
    <cellStyle name="Text 3 4 2 4" xfId="47000" xr:uid="{00000000-0005-0000-0000-000098B70000}"/>
    <cellStyle name="Text 3 4 2 5" xfId="47001" xr:uid="{00000000-0005-0000-0000-000099B70000}"/>
    <cellStyle name="Text 3 4 2 6" xfId="47002" xr:uid="{00000000-0005-0000-0000-00009AB70000}"/>
    <cellStyle name="Text 3 4 3" xfId="47003" xr:uid="{00000000-0005-0000-0000-00009BB70000}"/>
    <cellStyle name="Text 3 4 3 2" xfId="47004" xr:uid="{00000000-0005-0000-0000-00009CB70000}"/>
    <cellStyle name="Text 3 4 3 2 2" xfId="47005" xr:uid="{00000000-0005-0000-0000-00009DB70000}"/>
    <cellStyle name="Text 3 4 3 2 3" xfId="47006" xr:uid="{00000000-0005-0000-0000-00009EB70000}"/>
    <cellStyle name="Text 3 4 3 2 4" xfId="47007" xr:uid="{00000000-0005-0000-0000-00009FB70000}"/>
    <cellStyle name="Text 3 4 3 2 5" xfId="47008" xr:uid="{00000000-0005-0000-0000-0000A0B70000}"/>
    <cellStyle name="Text 3 4 3 2 6" xfId="47009" xr:uid="{00000000-0005-0000-0000-0000A1B70000}"/>
    <cellStyle name="Text 3 4 3 3" xfId="47010" xr:uid="{00000000-0005-0000-0000-0000A2B70000}"/>
    <cellStyle name="Text 3 4 3 4" xfId="47011" xr:uid="{00000000-0005-0000-0000-0000A3B70000}"/>
    <cellStyle name="Text 3 4 3 5" xfId="47012" xr:uid="{00000000-0005-0000-0000-0000A4B70000}"/>
    <cellStyle name="Text 3 4 3 6" xfId="47013" xr:uid="{00000000-0005-0000-0000-0000A5B70000}"/>
    <cellStyle name="Text 3 4 4" xfId="47014" xr:uid="{00000000-0005-0000-0000-0000A6B70000}"/>
    <cellStyle name="Text 3 4 4 2" xfId="47015" xr:uid="{00000000-0005-0000-0000-0000A7B70000}"/>
    <cellStyle name="Text 3 4 4 3" xfId="47016" xr:uid="{00000000-0005-0000-0000-0000A8B70000}"/>
    <cellStyle name="Text 3 4 4 4" xfId="47017" xr:uid="{00000000-0005-0000-0000-0000A9B70000}"/>
    <cellStyle name="Text 3 4 4 5" xfId="47018" xr:uid="{00000000-0005-0000-0000-0000AAB70000}"/>
    <cellStyle name="Text 3 4 4 6" xfId="47019" xr:uid="{00000000-0005-0000-0000-0000ABB70000}"/>
    <cellStyle name="Text 3 4 5" xfId="47020" xr:uid="{00000000-0005-0000-0000-0000ACB70000}"/>
    <cellStyle name="Text 3 4 6" xfId="47021" xr:uid="{00000000-0005-0000-0000-0000ADB70000}"/>
    <cellStyle name="Text 3 4 7" xfId="47022" xr:uid="{00000000-0005-0000-0000-0000AEB70000}"/>
    <cellStyle name="Text 3 4 8" xfId="47023" xr:uid="{00000000-0005-0000-0000-0000AFB70000}"/>
    <cellStyle name="Text 3 5" xfId="47024" xr:uid="{00000000-0005-0000-0000-0000B0B70000}"/>
    <cellStyle name="Text 3 5 2" xfId="47025" xr:uid="{00000000-0005-0000-0000-0000B1B70000}"/>
    <cellStyle name="Text 3 5 2 2" xfId="47026" xr:uid="{00000000-0005-0000-0000-0000B2B70000}"/>
    <cellStyle name="Text 3 5 2 2 2" xfId="47027" xr:uid="{00000000-0005-0000-0000-0000B3B70000}"/>
    <cellStyle name="Text 3 5 2 2 3" xfId="47028" xr:uid="{00000000-0005-0000-0000-0000B4B70000}"/>
    <cellStyle name="Text 3 5 2 2 4" xfId="47029" xr:uid="{00000000-0005-0000-0000-0000B5B70000}"/>
    <cellStyle name="Text 3 5 2 2 5" xfId="47030" xr:uid="{00000000-0005-0000-0000-0000B6B70000}"/>
    <cellStyle name="Text 3 5 2 2 6" xfId="47031" xr:uid="{00000000-0005-0000-0000-0000B7B70000}"/>
    <cellStyle name="Text 3 5 2 3" xfId="47032" xr:uid="{00000000-0005-0000-0000-0000B8B70000}"/>
    <cellStyle name="Text 3 5 2 4" xfId="47033" xr:uid="{00000000-0005-0000-0000-0000B9B70000}"/>
    <cellStyle name="Text 3 5 2 5" xfId="47034" xr:uid="{00000000-0005-0000-0000-0000BAB70000}"/>
    <cellStyle name="Text 3 5 2 6" xfId="47035" xr:uid="{00000000-0005-0000-0000-0000BBB70000}"/>
    <cellStyle name="Text 3 5 3" xfId="47036" xr:uid="{00000000-0005-0000-0000-0000BCB70000}"/>
    <cellStyle name="Text 3 5 3 2" xfId="47037" xr:uid="{00000000-0005-0000-0000-0000BDB70000}"/>
    <cellStyle name="Text 3 5 3 2 2" xfId="47038" xr:uid="{00000000-0005-0000-0000-0000BEB70000}"/>
    <cellStyle name="Text 3 5 3 2 3" xfId="47039" xr:uid="{00000000-0005-0000-0000-0000BFB70000}"/>
    <cellStyle name="Text 3 5 3 2 4" xfId="47040" xr:uid="{00000000-0005-0000-0000-0000C0B70000}"/>
    <cellStyle name="Text 3 5 3 2 5" xfId="47041" xr:uid="{00000000-0005-0000-0000-0000C1B70000}"/>
    <cellStyle name="Text 3 5 3 2 6" xfId="47042" xr:uid="{00000000-0005-0000-0000-0000C2B70000}"/>
    <cellStyle name="Text 3 5 3 3" xfId="47043" xr:uid="{00000000-0005-0000-0000-0000C3B70000}"/>
    <cellStyle name="Text 3 5 3 4" xfId="47044" xr:uid="{00000000-0005-0000-0000-0000C4B70000}"/>
    <cellStyle name="Text 3 5 3 5" xfId="47045" xr:uid="{00000000-0005-0000-0000-0000C5B70000}"/>
    <cellStyle name="Text 3 5 3 6" xfId="47046" xr:uid="{00000000-0005-0000-0000-0000C6B70000}"/>
    <cellStyle name="Text 3 5 4" xfId="47047" xr:uid="{00000000-0005-0000-0000-0000C7B70000}"/>
    <cellStyle name="Text 3 5 4 2" xfId="47048" xr:uid="{00000000-0005-0000-0000-0000C8B70000}"/>
    <cellStyle name="Text 3 5 4 3" xfId="47049" xr:uid="{00000000-0005-0000-0000-0000C9B70000}"/>
    <cellStyle name="Text 3 5 4 4" xfId="47050" xr:uid="{00000000-0005-0000-0000-0000CAB70000}"/>
    <cellStyle name="Text 3 5 4 5" xfId="47051" xr:uid="{00000000-0005-0000-0000-0000CBB70000}"/>
    <cellStyle name="Text 3 5 4 6" xfId="47052" xr:uid="{00000000-0005-0000-0000-0000CCB70000}"/>
    <cellStyle name="Text 3 5 5" xfId="47053" xr:uid="{00000000-0005-0000-0000-0000CDB70000}"/>
    <cellStyle name="Text 3 5 6" xfId="47054" xr:uid="{00000000-0005-0000-0000-0000CEB70000}"/>
    <cellStyle name="Text 3 5 7" xfId="47055" xr:uid="{00000000-0005-0000-0000-0000CFB70000}"/>
    <cellStyle name="Text 3 5 8" xfId="47056" xr:uid="{00000000-0005-0000-0000-0000D0B70000}"/>
    <cellStyle name="Text 3 6" xfId="47057" xr:uid="{00000000-0005-0000-0000-0000D1B70000}"/>
    <cellStyle name="Text 3 6 2" xfId="47058" xr:uid="{00000000-0005-0000-0000-0000D2B70000}"/>
    <cellStyle name="Text 3 6 2 2" xfId="47059" xr:uid="{00000000-0005-0000-0000-0000D3B70000}"/>
    <cellStyle name="Text 3 6 2 2 2" xfId="47060" xr:uid="{00000000-0005-0000-0000-0000D4B70000}"/>
    <cellStyle name="Text 3 6 2 2 3" xfId="47061" xr:uid="{00000000-0005-0000-0000-0000D5B70000}"/>
    <cellStyle name="Text 3 6 2 2 4" xfId="47062" xr:uid="{00000000-0005-0000-0000-0000D6B70000}"/>
    <cellStyle name="Text 3 6 2 2 5" xfId="47063" xr:uid="{00000000-0005-0000-0000-0000D7B70000}"/>
    <cellStyle name="Text 3 6 2 2 6" xfId="47064" xr:uid="{00000000-0005-0000-0000-0000D8B70000}"/>
    <cellStyle name="Text 3 6 2 3" xfId="47065" xr:uid="{00000000-0005-0000-0000-0000D9B70000}"/>
    <cellStyle name="Text 3 6 2 4" xfId="47066" xr:uid="{00000000-0005-0000-0000-0000DAB70000}"/>
    <cellStyle name="Text 3 6 2 5" xfId="47067" xr:uid="{00000000-0005-0000-0000-0000DBB70000}"/>
    <cellStyle name="Text 3 6 2 6" xfId="47068" xr:uid="{00000000-0005-0000-0000-0000DCB70000}"/>
    <cellStyle name="Text 3 6 3" xfId="47069" xr:uid="{00000000-0005-0000-0000-0000DDB70000}"/>
    <cellStyle name="Text 3 6 3 2" xfId="47070" xr:uid="{00000000-0005-0000-0000-0000DEB70000}"/>
    <cellStyle name="Text 3 6 3 2 2" xfId="47071" xr:uid="{00000000-0005-0000-0000-0000DFB70000}"/>
    <cellStyle name="Text 3 6 3 2 3" xfId="47072" xr:uid="{00000000-0005-0000-0000-0000E0B70000}"/>
    <cellStyle name="Text 3 6 3 2 4" xfId="47073" xr:uid="{00000000-0005-0000-0000-0000E1B70000}"/>
    <cellStyle name="Text 3 6 3 2 5" xfId="47074" xr:uid="{00000000-0005-0000-0000-0000E2B70000}"/>
    <cellStyle name="Text 3 6 3 2 6" xfId="47075" xr:uid="{00000000-0005-0000-0000-0000E3B70000}"/>
    <cellStyle name="Text 3 6 3 3" xfId="47076" xr:uid="{00000000-0005-0000-0000-0000E4B70000}"/>
    <cellStyle name="Text 3 6 3 4" xfId="47077" xr:uid="{00000000-0005-0000-0000-0000E5B70000}"/>
    <cellStyle name="Text 3 6 3 5" xfId="47078" xr:uid="{00000000-0005-0000-0000-0000E6B70000}"/>
    <cellStyle name="Text 3 6 3 6" xfId="47079" xr:uid="{00000000-0005-0000-0000-0000E7B70000}"/>
    <cellStyle name="Text 3 6 4" xfId="47080" xr:uid="{00000000-0005-0000-0000-0000E8B70000}"/>
    <cellStyle name="Text 3 6 4 2" xfId="47081" xr:uid="{00000000-0005-0000-0000-0000E9B70000}"/>
    <cellStyle name="Text 3 6 4 3" xfId="47082" xr:uid="{00000000-0005-0000-0000-0000EAB70000}"/>
    <cellStyle name="Text 3 6 4 4" xfId="47083" xr:uid="{00000000-0005-0000-0000-0000EBB70000}"/>
    <cellStyle name="Text 3 6 4 5" xfId="47084" xr:uid="{00000000-0005-0000-0000-0000ECB70000}"/>
    <cellStyle name="Text 3 6 4 6" xfId="47085" xr:uid="{00000000-0005-0000-0000-0000EDB70000}"/>
    <cellStyle name="Text 3 6 5" xfId="47086" xr:uid="{00000000-0005-0000-0000-0000EEB70000}"/>
    <cellStyle name="Text 3 6 6" xfId="47087" xr:uid="{00000000-0005-0000-0000-0000EFB70000}"/>
    <cellStyle name="Text 3 6 7" xfId="47088" xr:uid="{00000000-0005-0000-0000-0000F0B70000}"/>
    <cellStyle name="Text 3 6 8" xfId="47089" xr:uid="{00000000-0005-0000-0000-0000F1B70000}"/>
    <cellStyle name="Text 3 7" xfId="47090" xr:uid="{00000000-0005-0000-0000-0000F2B70000}"/>
    <cellStyle name="Text 3 7 2" xfId="47091" xr:uid="{00000000-0005-0000-0000-0000F3B70000}"/>
    <cellStyle name="Text 3 7 2 2" xfId="47092" xr:uid="{00000000-0005-0000-0000-0000F4B70000}"/>
    <cellStyle name="Text 3 7 2 3" xfId="47093" xr:uid="{00000000-0005-0000-0000-0000F5B70000}"/>
    <cellStyle name="Text 3 7 2 4" xfId="47094" xr:uid="{00000000-0005-0000-0000-0000F6B70000}"/>
    <cellStyle name="Text 3 7 2 5" xfId="47095" xr:uid="{00000000-0005-0000-0000-0000F7B70000}"/>
    <cellStyle name="Text 3 7 2 6" xfId="47096" xr:uid="{00000000-0005-0000-0000-0000F8B70000}"/>
    <cellStyle name="Text 3 7 3" xfId="47097" xr:uid="{00000000-0005-0000-0000-0000F9B70000}"/>
    <cellStyle name="Text 3 7 4" xfId="47098" xr:uid="{00000000-0005-0000-0000-0000FAB70000}"/>
    <cellStyle name="Text 3 7 5" xfId="47099" xr:uid="{00000000-0005-0000-0000-0000FBB70000}"/>
    <cellStyle name="Text 3 7 6" xfId="47100" xr:uid="{00000000-0005-0000-0000-0000FCB70000}"/>
    <cellStyle name="Text 3 8" xfId="47101" xr:uid="{00000000-0005-0000-0000-0000FDB70000}"/>
    <cellStyle name="Text 3 8 2" xfId="47102" xr:uid="{00000000-0005-0000-0000-0000FEB70000}"/>
    <cellStyle name="Text 3 8 2 2" xfId="47103" xr:uid="{00000000-0005-0000-0000-0000FFB70000}"/>
    <cellStyle name="Text 3 8 2 3" xfId="47104" xr:uid="{00000000-0005-0000-0000-000000B80000}"/>
    <cellStyle name="Text 3 8 2 4" xfId="47105" xr:uid="{00000000-0005-0000-0000-000001B80000}"/>
    <cellStyle name="Text 3 8 2 5" xfId="47106" xr:uid="{00000000-0005-0000-0000-000002B80000}"/>
    <cellStyle name="Text 3 8 2 6" xfId="47107" xr:uid="{00000000-0005-0000-0000-000003B80000}"/>
    <cellStyle name="Text 3 8 3" xfId="47108" xr:uid="{00000000-0005-0000-0000-000004B80000}"/>
    <cellStyle name="Text 3 8 4" xfId="47109" xr:uid="{00000000-0005-0000-0000-000005B80000}"/>
    <cellStyle name="Text 3 8 5" xfId="47110" xr:uid="{00000000-0005-0000-0000-000006B80000}"/>
    <cellStyle name="Text 3 8 6" xfId="47111" xr:uid="{00000000-0005-0000-0000-000007B80000}"/>
    <cellStyle name="Text 3 9" xfId="47112" xr:uid="{00000000-0005-0000-0000-000008B80000}"/>
    <cellStyle name="Text 3 9 2" xfId="47113" xr:uid="{00000000-0005-0000-0000-000009B80000}"/>
    <cellStyle name="Text 3 9 3" xfId="47114" xr:uid="{00000000-0005-0000-0000-00000AB80000}"/>
    <cellStyle name="Text 3 9 4" xfId="47115" xr:uid="{00000000-0005-0000-0000-00000BB80000}"/>
    <cellStyle name="Text 3 9 5" xfId="47116" xr:uid="{00000000-0005-0000-0000-00000CB80000}"/>
    <cellStyle name="Text 3 9 6" xfId="47117" xr:uid="{00000000-0005-0000-0000-00000DB80000}"/>
    <cellStyle name="Text 4" xfId="47118" xr:uid="{00000000-0005-0000-0000-00000EB80000}"/>
    <cellStyle name="Text 4 2" xfId="47119" xr:uid="{00000000-0005-0000-0000-00000FB80000}"/>
    <cellStyle name="Text 4 2 2" xfId="47120" xr:uid="{00000000-0005-0000-0000-000010B80000}"/>
    <cellStyle name="Text 4 2 2 2" xfId="47121" xr:uid="{00000000-0005-0000-0000-000011B80000}"/>
    <cellStyle name="Text 4 2 2 3" xfId="47122" xr:uid="{00000000-0005-0000-0000-000012B80000}"/>
    <cellStyle name="Text 4 2 2 4" xfId="47123" xr:uid="{00000000-0005-0000-0000-000013B80000}"/>
    <cellStyle name="Text 4 2 2 5" xfId="47124" xr:uid="{00000000-0005-0000-0000-000014B80000}"/>
    <cellStyle name="Text 4 2 2 6" xfId="47125" xr:uid="{00000000-0005-0000-0000-000015B80000}"/>
    <cellStyle name="Text 4 2 3" xfId="47126" xr:uid="{00000000-0005-0000-0000-000016B80000}"/>
    <cellStyle name="Text 4 2 4" xfId="47127" xr:uid="{00000000-0005-0000-0000-000017B80000}"/>
    <cellStyle name="Text 4 2 5" xfId="47128" xr:uid="{00000000-0005-0000-0000-000018B80000}"/>
    <cellStyle name="Text 4 2 6" xfId="47129" xr:uid="{00000000-0005-0000-0000-000019B80000}"/>
    <cellStyle name="Text 4 3" xfId="47130" xr:uid="{00000000-0005-0000-0000-00001AB80000}"/>
    <cellStyle name="Text 4 3 2" xfId="47131" xr:uid="{00000000-0005-0000-0000-00001BB80000}"/>
    <cellStyle name="Text 4 3 2 2" xfId="47132" xr:uid="{00000000-0005-0000-0000-00001CB80000}"/>
    <cellStyle name="Text 4 3 2 3" xfId="47133" xr:uid="{00000000-0005-0000-0000-00001DB80000}"/>
    <cellStyle name="Text 4 3 2 4" xfId="47134" xr:uid="{00000000-0005-0000-0000-00001EB80000}"/>
    <cellStyle name="Text 4 3 2 5" xfId="47135" xr:uid="{00000000-0005-0000-0000-00001FB80000}"/>
    <cellStyle name="Text 4 3 2 6" xfId="47136" xr:uid="{00000000-0005-0000-0000-000020B80000}"/>
    <cellStyle name="Text 4 3 3" xfId="47137" xr:uid="{00000000-0005-0000-0000-000021B80000}"/>
    <cellStyle name="Text 4 3 4" xfId="47138" xr:uid="{00000000-0005-0000-0000-000022B80000}"/>
    <cellStyle name="Text 4 3 5" xfId="47139" xr:uid="{00000000-0005-0000-0000-000023B80000}"/>
    <cellStyle name="Text 4 3 6" xfId="47140" xr:uid="{00000000-0005-0000-0000-000024B80000}"/>
    <cellStyle name="Text 4 4" xfId="47141" xr:uid="{00000000-0005-0000-0000-000025B80000}"/>
    <cellStyle name="Text 4 4 2" xfId="47142" xr:uid="{00000000-0005-0000-0000-000026B80000}"/>
    <cellStyle name="Text 4 4 3" xfId="47143" xr:uid="{00000000-0005-0000-0000-000027B80000}"/>
    <cellStyle name="Text 4 4 4" xfId="47144" xr:uid="{00000000-0005-0000-0000-000028B80000}"/>
    <cellStyle name="Text 4 4 5" xfId="47145" xr:uid="{00000000-0005-0000-0000-000029B80000}"/>
    <cellStyle name="Text 4 4 6" xfId="47146" xr:uid="{00000000-0005-0000-0000-00002AB80000}"/>
    <cellStyle name="Text 4 5" xfId="47147" xr:uid="{00000000-0005-0000-0000-00002BB80000}"/>
    <cellStyle name="Text 4 6" xfId="47148" xr:uid="{00000000-0005-0000-0000-00002CB80000}"/>
    <cellStyle name="Text 4 7" xfId="47149" xr:uid="{00000000-0005-0000-0000-00002DB80000}"/>
    <cellStyle name="Text 4 8" xfId="47150" xr:uid="{00000000-0005-0000-0000-00002EB80000}"/>
    <cellStyle name="Text 5" xfId="47151" xr:uid="{00000000-0005-0000-0000-00002FB80000}"/>
    <cellStyle name="Text 5 2" xfId="47152" xr:uid="{00000000-0005-0000-0000-000030B80000}"/>
    <cellStyle name="Text 5 2 2" xfId="47153" xr:uid="{00000000-0005-0000-0000-000031B80000}"/>
    <cellStyle name="Text 5 2 2 2" xfId="47154" xr:uid="{00000000-0005-0000-0000-000032B80000}"/>
    <cellStyle name="Text 5 2 2 3" xfId="47155" xr:uid="{00000000-0005-0000-0000-000033B80000}"/>
    <cellStyle name="Text 5 2 2 4" xfId="47156" xr:uid="{00000000-0005-0000-0000-000034B80000}"/>
    <cellStyle name="Text 5 2 2 5" xfId="47157" xr:uid="{00000000-0005-0000-0000-000035B80000}"/>
    <cellStyle name="Text 5 2 2 6" xfId="47158" xr:uid="{00000000-0005-0000-0000-000036B80000}"/>
    <cellStyle name="Text 5 2 3" xfId="47159" xr:uid="{00000000-0005-0000-0000-000037B80000}"/>
    <cellStyle name="Text 5 2 4" xfId="47160" xr:uid="{00000000-0005-0000-0000-000038B80000}"/>
    <cellStyle name="Text 5 2 5" xfId="47161" xr:uid="{00000000-0005-0000-0000-000039B80000}"/>
    <cellStyle name="Text 5 2 6" xfId="47162" xr:uid="{00000000-0005-0000-0000-00003AB80000}"/>
    <cellStyle name="Text 5 3" xfId="47163" xr:uid="{00000000-0005-0000-0000-00003BB80000}"/>
    <cellStyle name="Text 5 3 2" xfId="47164" xr:uid="{00000000-0005-0000-0000-00003CB80000}"/>
    <cellStyle name="Text 5 3 2 2" xfId="47165" xr:uid="{00000000-0005-0000-0000-00003DB80000}"/>
    <cellStyle name="Text 5 3 2 3" xfId="47166" xr:uid="{00000000-0005-0000-0000-00003EB80000}"/>
    <cellStyle name="Text 5 3 2 4" xfId="47167" xr:uid="{00000000-0005-0000-0000-00003FB80000}"/>
    <cellStyle name="Text 5 3 2 5" xfId="47168" xr:uid="{00000000-0005-0000-0000-000040B80000}"/>
    <cellStyle name="Text 5 3 2 6" xfId="47169" xr:uid="{00000000-0005-0000-0000-000041B80000}"/>
    <cellStyle name="Text 5 3 3" xfId="47170" xr:uid="{00000000-0005-0000-0000-000042B80000}"/>
    <cellStyle name="Text 5 3 4" xfId="47171" xr:uid="{00000000-0005-0000-0000-000043B80000}"/>
    <cellStyle name="Text 5 3 5" xfId="47172" xr:uid="{00000000-0005-0000-0000-000044B80000}"/>
    <cellStyle name="Text 5 3 6" xfId="47173" xr:uid="{00000000-0005-0000-0000-000045B80000}"/>
    <cellStyle name="Text 5 4" xfId="47174" xr:uid="{00000000-0005-0000-0000-000046B80000}"/>
    <cellStyle name="Text 5 4 2" xfId="47175" xr:uid="{00000000-0005-0000-0000-000047B80000}"/>
    <cellStyle name="Text 5 4 3" xfId="47176" xr:uid="{00000000-0005-0000-0000-000048B80000}"/>
    <cellStyle name="Text 5 4 4" xfId="47177" xr:uid="{00000000-0005-0000-0000-000049B80000}"/>
    <cellStyle name="Text 5 4 5" xfId="47178" xr:uid="{00000000-0005-0000-0000-00004AB80000}"/>
    <cellStyle name="Text 5 4 6" xfId="47179" xr:uid="{00000000-0005-0000-0000-00004BB80000}"/>
    <cellStyle name="Text 5 5" xfId="47180" xr:uid="{00000000-0005-0000-0000-00004CB80000}"/>
    <cellStyle name="Text 5 6" xfId="47181" xr:uid="{00000000-0005-0000-0000-00004DB80000}"/>
    <cellStyle name="Text 5 7" xfId="47182" xr:uid="{00000000-0005-0000-0000-00004EB80000}"/>
    <cellStyle name="Text 5 8" xfId="47183" xr:uid="{00000000-0005-0000-0000-00004FB80000}"/>
    <cellStyle name="Text 6" xfId="47184" xr:uid="{00000000-0005-0000-0000-000050B80000}"/>
    <cellStyle name="Text 6 2" xfId="47185" xr:uid="{00000000-0005-0000-0000-000051B80000}"/>
    <cellStyle name="Text 6 2 2" xfId="47186" xr:uid="{00000000-0005-0000-0000-000052B80000}"/>
    <cellStyle name="Text 6 2 2 2" xfId="47187" xr:uid="{00000000-0005-0000-0000-000053B80000}"/>
    <cellStyle name="Text 6 2 2 3" xfId="47188" xr:uid="{00000000-0005-0000-0000-000054B80000}"/>
    <cellStyle name="Text 6 2 2 4" xfId="47189" xr:uid="{00000000-0005-0000-0000-000055B80000}"/>
    <cellStyle name="Text 6 2 2 5" xfId="47190" xr:uid="{00000000-0005-0000-0000-000056B80000}"/>
    <cellStyle name="Text 6 2 2 6" xfId="47191" xr:uid="{00000000-0005-0000-0000-000057B80000}"/>
    <cellStyle name="Text 6 2 3" xfId="47192" xr:uid="{00000000-0005-0000-0000-000058B80000}"/>
    <cellStyle name="Text 6 2 4" xfId="47193" xr:uid="{00000000-0005-0000-0000-000059B80000}"/>
    <cellStyle name="Text 6 2 5" xfId="47194" xr:uid="{00000000-0005-0000-0000-00005AB80000}"/>
    <cellStyle name="Text 6 2 6" xfId="47195" xr:uid="{00000000-0005-0000-0000-00005BB80000}"/>
    <cellStyle name="Text 6 3" xfId="47196" xr:uid="{00000000-0005-0000-0000-00005CB80000}"/>
    <cellStyle name="Text 6 3 2" xfId="47197" xr:uid="{00000000-0005-0000-0000-00005DB80000}"/>
    <cellStyle name="Text 6 3 2 2" xfId="47198" xr:uid="{00000000-0005-0000-0000-00005EB80000}"/>
    <cellStyle name="Text 6 3 2 3" xfId="47199" xr:uid="{00000000-0005-0000-0000-00005FB80000}"/>
    <cellStyle name="Text 6 3 2 4" xfId="47200" xr:uid="{00000000-0005-0000-0000-000060B80000}"/>
    <cellStyle name="Text 6 3 2 5" xfId="47201" xr:uid="{00000000-0005-0000-0000-000061B80000}"/>
    <cellStyle name="Text 6 3 2 6" xfId="47202" xr:uid="{00000000-0005-0000-0000-000062B80000}"/>
    <cellStyle name="Text 6 3 3" xfId="47203" xr:uid="{00000000-0005-0000-0000-000063B80000}"/>
    <cellStyle name="Text 6 3 4" xfId="47204" xr:uid="{00000000-0005-0000-0000-000064B80000}"/>
    <cellStyle name="Text 6 3 5" xfId="47205" xr:uid="{00000000-0005-0000-0000-000065B80000}"/>
    <cellStyle name="Text 6 3 6" xfId="47206" xr:uid="{00000000-0005-0000-0000-000066B80000}"/>
    <cellStyle name="Text 6 4" xfId="47207" xr:uid="{00000000-0005-0000-0000-000067B80000}"/>
    <cellStyle name="Text 6 4 2" xfId="47208" xr:uid="{00000000-0005-0000-0000-000068B80000}"/>
    <cellStyle name="Text 6 4 3" xfId="47209" xr:uid="{00000000-0005-0000-0000-000069B80000}"/>
    <cellStyle name="Text 6 4 4" xfId="47210" xr:uid="{00000000-0005-0000-0000-00006AB80000}"/>
    <cellStyle name="Text 6 4 5" xfId="47211" xr:uid="{00000000-0005-0000-0000-00006BB80000}"/>
    <cellStyle name="Text 6 4 6" xfId="47212" xr:uid="{00000000-0005-0000-0000-00006CB80000}"/>
    <cellStyle name="Text 6 5" xfId="47213" xr:uid="{00000000-0005-0000-0000-00006DB80000}"/>
    <cellStyle name="Text 6 6" xfId="47214" xr:uid="{00000000-0005-0000-0000-00006EB80000}"/>
    <cellStyle name="Text 6 7" xfId="47215" xr:uid="{00000000-0005-0000-0000-00006FB80000}"/>
    <cellStyle name="Text 6 8" xfId="47216" xr:uid="{00000000-0005-0000-0000-000070B80000}"/>
    <cellStyle name="Text 7" xfId="47217" xr:uid="{00000000-0005-0000-0000-000071B80000}"/>
    <cellStyle name="Text 7 2" xfId="47218" xr:uid="{00000000-0005-0000-0000-000072B80000}"/>
    <cellStyle name="Text 7 2 2" xfId="47219" xr:uid="{00000000-0005-0000-0000-000073B80000}"/>
    <cellStyle name="Text 7 2 3" xfId="47220" xr:uid="{00000000-0005-0000-0000-000074B80000}"/>
    <cellStyle name="Text 7 2 4" xfId="47221" xr:uid="{00000000-0005-0000-0000-000075B80000}"/>
    <cellStyle name="Text 7 2 5" xfId="47222" xr:uid="{00000000-0005-0000-0000-000076B80000}"/>
    <cellStyle name="Text 7 2 6" xfId="47223" xr:uid="{00000000-0005-0000-0000-000077B80000}"/>
    <cellStyle name="Text 7 3" xfId="47224" xr:uid="{00000000-0005-0000-0000-000078B80000}"/>
    <cellStyle name="Text 7 4" xfId="47225" xr:uid="{00000000-0005-0000-0000-000079B80000}"/>
    <cellStyle name="Text 7 5" xfId="47226" xr:uid="{00000000-0005-0000-0000-00007AB80000}"/>
    <cellStyle name="Text 7 6" xfId="47227" xr:uid="{00000000-0005-0000-0000-00007BB80000}"/>
    <cellStyle name="Text 8" xfId="47228" xr:uid="{00000000-0005-0000-0000-00007CB80000}"/>
    <cellStyle name="Text 8 2" xfId="47229" xr:uid="{00000000-0005-0000-0000-00007DB80000}"/>
    <cellStyle name="Text 8 2 2" xfId="47230" xr:uid="{00000000-0005-0000-0000-00007EB80000}"/>
    <cellStyle name="Text 8 2 3" xfId="47231" xr:uid="{00000000-0005-0000-0000-00007FB80000}"/>
    <cellStyle name="Text 8 2 4" xfId="47232" xr:uid="{00000000-0005-0000-0000-000080B80000}"/>
    <cellStyle name="Text 8 2 5" xfId="47233" xr:uid="{00000000-0005-0000-0000-000081B80000}"/>
    <cellStyle name="Text 8 2 6" xfId="47234" xr:uid="{00000000-0005-0000-0000-000082B80000}"/>
    <cellStyle name="Text 8 3" xfId="47235" xr:uid="{00000000-0005-0000-0000-000083B80000}"/>
    <cellStyle name="Text 8 4" xfId="47236" xr:uid="{00000000-0005-0000-0000-000084B80000}"/>
    <cellStyle name="Text 8 5" xfId="47237" xr:uid="{00000000-0005-0000-0000-000085B80000}"/>
    <cellStyle name="Text 8 6" xfId="47238" xr:uid="{00000000-0005-0000-0000-000086B80000}"/>
    <cellStyle name="Text 9" xfId="47239" xr:uid="{00000000-0005-0000-0000-000087B80000}"/>
    <cellStyle name="Text 9 2" xfId="47240" xr:uid="{00000000-0005-0000-0000-000088B80000}"/>
    <cellStyle name="Text 9 3" xfId="47241" xr:uid="{00000000-0005-0000-0000-000089B80000}"/>
    <cellStyle name="Text 9 4" xfId="47242" xr:uid="{00000000-0005-0000-0000-00008AB80000}"/>
    <cellStyle name="Text 9 5" xfId="47243" xr:uid="{00000000-0005-0000-0000-00008BB80000}"/>
    <cellStyle name="Text 9 6" xfId="47244" xr:uid="{00000000-0005-0000-0000-00008CB80000}"/>
    <cellStyle name="Text Indent A" xfId="47245" xr:uid="{00000000-0005-0000-0000-00008DB80000}"/>
    <cellStyle name="Text Indent B" xfId="47246" xr:uid="{00000000-0005-0000-0000-00008EB80000}"/>
    <cellStyle name="Text Indent C" xfId="47247" xr:uid="{00000000-0005-0000-0000-00008FB80000}"/>
    <cellStyle name="þ_x001d_ð &amp;ý&amp;†ýG_x0008__x0009_X_x000a__x0007__x0001__x0001_" xfId="47248" xr:uid="{00000000-0005-0000-0000-000090B80000}"/>
    <cellStyle name="Time" xfId="47249" xr:uid="{00000000-0005-0000-0000-000091B80000}"/>
    <cellStyle name="Time 10" xfId="47250" xr:uid="{00000000-0005-0000-0000-000092B80000}"/>
    <cellStyle name="Time 11" xfId="47251" xr:uid="{00000000-0005-0000-0000-000093B80000}"/>
    <cellStyle name="Time 12" xfId="47252" xr:uid="{00000000-0005-0000-0000-000094B80000}"/>
    <cellStyle name="Time 13" xfId="47253" xr:uid="{00000000-0005-0000-0000-000095B80000}"/>
    <cellStyle name="Time 2" xfId="47254" xr:uid="{00000000-0005-0000-0000-000096B80000}"/>
    <cellStyle name="Time 2 10" xfId="47255" xr:uid="{00000000-0005-0000-0000-000097B80000}"/>
    <cellStyle name="Time 2 10 2" xfId="47256" xr:uid="{00000000-0005-0000-0000-000098B80000}"/>
    <cellStyle name="Time 2 10 3" xfId="47257" xr:uid="{00000000-0005-0000-0000-000099B80000}"/>
    <cellStyle name="Time 2 10 4" xfId="47258" xr:uid="{00000000-0005-0000-0000-00009AB80000}"/>
    <cellStyle name="Time 2 10 5" xfId="47259" xr:uid="{00000000-0005-0000-0000-00009BB80000}"/>
    <cellStyle name="Time 2 10 6" xfId="47260" xr:uid="{00000000-0005-0000-0000-00009CB80000}"/>
    <cellStyle name="Time 2 11" xfId="47261" xr:uid="{00000000-0005-0000-0000-00009DB80000}"/>
    <cellStyle name="Time 2 12" xfId="47262" xr:uid="{00000000-0005-0000-0000-00009EB80000}"/>
    <cellStyle name="Time 2 13" xfId="47263" xr:uid="{00000000-0005-0000-0000-00009FB80000}"/>
    <cellStyle name="Time 2 14" xfId="47264" xr:uid="{00000000-0005-0000-0000-0000A0B80000}"/>
    <cellStyle name="Time 2 2" xfId="47265" xr:uid="{00000000-0005-0000-0000-0000A1B80000}"/>
    <cellStyle name="Time 2 2 10" xfId="47266" xr:uid="{00000000-0005-0000-0000-0000A2B80000}"/>
    <cellStyle name="Time 2 2 11" xfId="47267" xr:uid="{00000000-0005-0000-0000-0000A3B80000}"/>
    <cellStyle name="Time 2 2 12" xfId="47268" xr:uid="{00000000-0005-0000-0000-0000A4B80000}"/>
    <cellStyle name="Time 2 2 13" xfId="47269" xr:uid="{00000000-0005-0000-0000-0000A5B80000}"/>
    <cellStyle name="Time 2 2 2" xfId="47270" xr:uid="{00000000-0005-0000-0000-0000A6B80000}"/>
    <cellStyle name="Time 2 2 2 2" xfId="47271" xr:uid="{00000000-0005-0000-0000-0000A7B80000}"/>
    <cellStyle name="Time 2 2 2 2 2" xfId="47272" xr:uid="{00000000-0005-0000-0000-0000A8B80000}"/>
    <cellStyle name="Time 2 2 2 2 2 2" xfId="47273" xr:uid="{00000000-0005-0000-0000-0000A9B80000}"/>
    <cellStyle name="Time 2 2 2 2 2 3" xfId="47274" xr:uid="{00000000-0005-0000-0000-0000AAB80000}"/>
    <cellStyle name="Time 2 2 2 2 2 4" xfId="47275" xr:uid="{00000000-0005-0000-0000-0000ABB80000}"/>
    <cellStyle name="Time 2 2 2 2 2 5" xfId="47276" xr:uid="{00000000-0005-0000-0000-0000ACB80000}"/>
    <cellStyle name="Time 2 2 2 2 2 6" xfId="47277" xr:uid="{00000000-0005-0000-0000-0000ADB80000}"/>
    <cellStyle name="Time 2 2 2 2 3" xfId="47278" xr:uid="{00000000-0005-0000-0000-0000AEB80000}"/>
    <cellStyle name="Time 2 2 2 2 4" xfId="47279" xr:uid="{00000000-0005-0000-0000-0000AFB80000}"/>
    <cellStyle name="Time 2 2 2 2 5" xfId="47280" xr:uid="{00000000-0005-0000-0000-0000B0B80000}"/>
    <cellStyle name="Time 2 2 2 2 6" xfId="47281" xr:uid="{00000000-0005-0000-0000-0000B1B80000}"/>
    <cellStyle name="Time 2 2 2 3" xfId="47282" xr:uid="{00000000-0005-0000-0000-0000B2B80000}"/>
    <cellStyle name="Time 2 2 2 3 2" xfId="47283" xr:uid="{00000000-0005-0000-0000-0000B3B80000}"/>
    <cellStyle name="Time 2 2 2 3 2 2" xfId="47284" xr:uid="{00000000-0005-0000-0000-0000B4B80000}"/>
    <cellStyle name="Time 2 2 2 3 2 3" xfId="47285" xr:uid="{00000000-0005-0000-0000-0000B5B80000}"/>
    <cellStyle name="Time 2 2 2 3 2 4" xfId="47286" xr:uid="{00000000-0005-0000-0000-0000B6B80000}"/>
    <cellStyle name="Time 2 2 2 3 2 5" xfId="47287" xr:uid="{00000000-0005-0000-0000-0000B7B80000}"/>
    <cellStyle name="Time 2 2 2 3 2 6" xfId="47288" xr:uid="{00000000-0005-0000-0000-0000B8B80000}"/>
    <cellStyle name="Time 2 2 2 3 3" xfId="47289" xr:uid="{00000000-0005-0000-0000-0000B9B80000}"/>
    <cellStyle name="Time 2 2 2 3 4" xfId="47290" xr:uid="{00000000-0005-0000-0000-0000BAB80000}"/>
    <cellStyle name="Time 2 2 2 3 5" xfId="47291" xr:uid="{00000000-0005-0000-0000-0000BBB80000}"/>
    <cellStyle name="Time 2 2 2 3 6" xfId="47292" xr:uid="{00000000-0005-0000-0000-0000BCB80000}"/>
    <cellStyle name="Time 2 2 2 4" xfId="47293" xr:uid="{00000000-0005-0000-0000-0000BDB80000}"/>
    <cellStyle name="Time 2 2 2 4 2" xfId="47294" xr:uid="{00000000-0005-0000-0000-0000BEB80000}"/>
    <cellStyle name="Time 2 2 2 4 3" xfId="47295" xr:uid="{00000000-0005-0000-0000-0000BFB80000}"/>
    <cellStyle name="Time 2 2 2 4 4" xfId="47296" xr:uid="{00000000-0005-0000-0000-0000C0B80000}"/>
    <cellStyle name="Time 2 2 2 4 5" xfId="47297" xr:uid="{00000000-0005-0000-0000-0000C1B80000}"/>
    <cellStyle name="Time 2 2 2 4 6" xfId="47298" xr:uid="{00000000-0005-0000-0000-0000C2B80000}"/>
    <cellStyle name="Time 2 2 2 5" xfId="47299" xr:uid="{00000000-0005-0000-0000-0000C3B80000}"/>
    <cellStyle name="Time 2 2 2 6" xfId="47300" xr:uid="{00000000-0005-0000-0000-0000C4B80000}"/>
    <cellStyle name="Time 2 2 2 7" xfId="47301" xr:uid="{00000000-0005-0000-0000-0000C5B80000}"/>
    <cellStyle name="Time 2 2 2 8" xfId="47302" xr:uid="{00000000-0005-0000-0000-0000C6B80000}"/>
    <cellStyle name="Time 2 2 3" xfId="47303" xr:uid="{00000000-0005-0000-0000-0000C7B80000}"/>
    <cellStyle name="Time 2 2 3 2" xfId="47304" xr:uid="{00000000-0005-0000-0000-0000C8B80000}"/>
    <cellStyle name="Time 2 2 3 2 2" xfId="47305" xr:uid="{00000000-0005-0000-0000-0000C9B80000}"/>
    <cellStyle name="Time 2 2 3 2 2 2" xfId="47306" xr:uid="{00000000-0005-0000-0000-0000CAB80000}"/>
    <cellStyle name="Time 2 2 3 2 2 3" xfId="47307" xr:uid="{00000000-0005-0000-0000-0000CBB80000}"/>
    <cellStyle name="Time 2 2 3 2 2 4" xfId="47308" xr:uid="{00000000-0005-0000-0000-0000CCB80000}"/>
    <cellStyle name="Time 2 2 3 2 2 5" xfId="47309" xr:uid="{00000000-0005-0000-0000-0000CDB80000}"/>
    <cellStyle name="Time 2 2 3 2 2 6" xfId="47310" xr:uid="{00000000-0005-0000-0000-0000CEB80000}"/>
    <cellStyle name="Time 2 2 3 2 3" xfId="47311" xr:uid="{00000000-0005-0000-0000-0000CFB80000}"/>
    <cellStyle name="Time 2 2 3 2 4" xfId="47312" xr:uid="{00000000-0005-0000-0000-0000D0B80000}"/>
    <cellStyle name="Time 2 2 3 2 5" xfId="47313" xr:uid="{00000000-0005-0000-0000-0000D1B80000}"/>
    <cellStyle name="Time 2 2 3 2 6" xfId="47314" xr:uid="{00000000-0005-0000-0000-0000D2B80000}"/>
    <cellStyle name="Time 2 2 3 3" xfId="47315" xr:uid="{00000000-0005-0000-0000-0000D3B80000}"/>
    <cellStyle name="Time 2 2 3 3 2" xfId="47316" xr:uid="{00000000-0005-0000-0000-0000D4B80000}"/>
    <cellStyle name="Time 2 2 3 3 2 2" xfId="47317" xr:uid="{00000000-0005-0000-0000-0000D5B80000}"/>
    <cellStyle name="Time 2 2 3 3 2 3" xfId="47318" xr:uid="{00000000-0005-0000-0000-0000D6B80000}"/>
    <cellStyle name="Time 2 2 3 3 2 4" xfId="47319" xr:uid="{00000000-0005-0000-0000-0000D7B80000}"/>
    <cellStyle name="Time 2 2 3 3 2 5" xfId="47320" xr:uid="{00000000-0005-0000-0000-0000D8B80000}"/>
    <cellStyle name="Time 2 2 3 3 2 6" xfId="47321" xr:uid="{00000000-0005-0000-0000-0000D9B80000}"/>
    <cellStyle name="Time 2 2 3 3 3" xfId="47322" xr:uid="{00000000-0005-0000-0000-0000DAB80000}"/>
    <cellStyle name="Time 2 2 3 3 4" xfId="47323" xr:uid="{00000000-0005-0000-0000-0000DBB80000}"/>
    <cellStyle name="Time 2 2 3 3 5" xfId="47324" xr:uid="{00000000-0005-0000-0000-0000DCB80000}"/>
    <cellStyle name="Time 2 2 3 3 6" xfId="47325" xr:uid="{00000000-0005-0000-0000-0000DDB80000}"/>
    <cellStyle name="Time 2 2 3 4" xfId="47326" xr:uid="{00000000-0005-0000-0000-0000DEB80000}"/>
    <cellStyle name="Time 2 2 3 4 2" xfId="47327" xr:uid="{00000000-0005-0000-0000-0000DFB80000}"/>
    <cellStyle name="Time 2 2 3 4 3" xfId="47328" xr:uid="{00000000-0005-0000-0000-0000E0B80000}"/>
    <cellStyle name="Time 2 2 3 4 4" xfId="47329" xr:uid="{00000000-0005-0000-0000-0000E1B80000}"/>
    <cellStyle name="Time 2 2 3 4 5" xfId="47330" xr:uid="{00000000-0005-0000-0000-0000E2B80000}"/>
    <cellStyle name="Time 2 2 3 4 6" xfId="47331" xr:uid="{00000000-0005-0000-0000-0000E3B80000}"/>
    <cellStyle name="Time 2 2 3 5" xfId="47332" xr:uid="{00000000-0005-0000-0000-0000E4B80000}"/>
    <cellStyle name="Time 2 2 3 6" xfId="47333" xr:uid="{00000000-0005-0000-0000-0000E5B80000}"/>
    <cellStyle name="Time 2 2 3 7" xfId="47334" xr:uid="{00000000-0005-0000-0000-0000E6B80000}"/>
    <cellStyle name="Time 2 2 3 8" xfId="47335" xr:uid="{00000000-0005-0000-0000-0000E7B80000}"/>
    <cellStyle name="Time 2 2 4" xfId="47336" xr:uid="{00000000-0005-0000-0000-0000E8B80000}"/>
    <cellStyle name="Time 2 2 4 2" xfId="47337" xr:uid="{00000000-0005-0000-0000-0000E9B80000}"/>
    <cellStyle name="Time 2 2 4 2 2" xfId="47338" xr:uid="{00000000-0005-0000-0000-0000EAB80000}"/>
    <cellStyle name="Time 2 2 4 2 2 2" xfId="47339" xr:uid="{00000000-0005-0000-0000-0000EBB80000}"/>
    <cellStyle name="Time 2 2 4 2 2 3" xfId="47340" xr:uid="{00000000-0005-0000-0000-0000ECB80000}"/>
    <cellStyle name="Time 2 2 4 2 2 4" xfId="47341" xr:uid="{00000000-0005-0000-0000-0000EDB80000}"/>
    <cellStyle name="Time 2 2 4 2 2 5" xfId="47342" xr:uid="{00000000-0005-0000-0000-0000EEB80000}"/>
    <cellStyle name="Time 2 2 4 2 2 6" xfId="47343" xr:uid="{00000000-0005-0000-0000-0000EFB80000}"/>
    <cellStyle name="Time 2 2 4 2 3" xfId="47344" xr:uid="{00000000-0005-0000-0000-0000F0B80000}"/>
    <cellStyle name="Time 2 2 4 2 4" xfId="47345" xr:uid="{00000000-0005-0000-0000-0000F1B80000}"/>
    <cellStyle name="Time 2 2 4 2 5" xfId="47346" xr:uid="{00000000-0005-0000-0000-0000F2B80000}"/>
    <cellStyle name="Time 2 2 4 2 6" xfId="47347" xr:uid="{00000000-0005-0000-0000-0000F3B80000}"/>
    <cellStyle name="Time 2 2 4 3" xfId="47348" xr:uid="{00000000-0005-0000-0000-0000F4B80000}"/>
    <cellStyle name="Time 2 2 4 3 2" xfId="47349" xr:uid="{00000000-0005-0000-0000-0000F5B80000}"/>
    <cellStyle name="Time 2 2 4 3 2 2" xfId="47350" xr:uid="{00000000-0005-0000-0000-0000F6B80000}"/>
    <cellStyle name="Time 2 2 4 3 2 3" xfId="47351" xr:uid="{00000000-0005-0000-0000-0000F7B80000}"/>
    <cellStyle name="Time 2 2 4 3 2 4" xfId="47352" xr:uid="{00000000-0005-0000-0000-0000F8B80000}"/>
    <cellStyle name="Time 2 2 4 3 2 5" xfId="47353" xr:uid="{00000000-0005-0000-0000-0000F9B80000}"/>
    <cellStyle name="Time 2 2 4 3 2 6" xfId="47354" xr:uid="{00000000-0005-0000-0000-0000FAB80000}"/>
    <cellStyle name="Time 2 2 4 3 3" xfId="47355" xr:uid="{00000000-0005-0000-0000-0000FBB80000}"/>
    <cellStyle name="Time 2 2 4 3 4" xfId="47356" xr:uid="{00000000-0005-0000-0000-0000FCB80000}"/>
    <cellStyle name="Time 2 2 4 3 5" xfId="47357" xr:uid="{00000000-0005-0000-0000-0000FDB80000}"/>
    <cellStyle name="Time 2 2 4 3 6" xfId="47358" xr:uid="{00000000-0005-0000-0000-0000FEB80000}"/>
    <cellStyle name="Time 2 2 4 4" xfId="47359" xr:uid="{00000000-0005-0000-0000-0000FFB80000}"/>
    <cellStyle name="Time 2 2 4 4 2" xfId="47360" xr:uid="{00000000-0005-0000-0000-000000B90000}"/>
    <cellStyle name="Time 2 2 4 4 3" xfId="47361" xr:uid="{00000000-0005-0000-0000-000001B90000}"/>
    <cellStyle name="Time 2 2 4 4 4" xfId="47362" xr:uid="{00000000-0005-0000-0000-000002B90000}"/>
    <cellStyle name="Time 2 2 4 4 5" xfId="47363" xr:uid="{00000000-0005-0000-0000-000003B90000}"/>
    <cellStyle name="Time 2 2 4 4 6" xfId="47364" xr:uid="{00000000-0005-0000-0000-000004B90000}"/>
    <cellStyle name="Time 2 2 4 5" xfId="47365" xr:uid="{00000000-0005-0000-0000-000005B90000}"/>
    <cellStyle name="Time 2 2 4 6" xfId="47366" xr:uid="{00000000-0005-0000-0000-000006B90000}"/>
    <cellStyle name="Time 2 2 4 7" xfId="47367" xr:uid="{00000000-0005-0000-0000-000007B90000}"/>
    <cellStyle name="Time 2 2 4 8" xfId="47368" xr:uid="{00000000-0005-0000-0000-000008B90000}"/>
    <cellStyle name="Time 2 2 5" xfId="47369" xr:uid="{00000000-0005-0000-0000-000009B90000}"/>
    <cellStyle name="Time 2 2 5 2" xfId="47370" xr:uid="{00000000-0005-0000-0000-00000AB90000}"/>
    <cellStyle name="Time 2 2 5 2 2" xfId="47371" xr:uid="{00000000-0005-0000-0000-00000BB90000}"/>
    <cellStyle name="Time 2 2 5 2 2 2" xfId="47372" xr:uid="{00000000-0005-0000-0000-00000CB90000}"/>
    <cellStyle name="Time 2 2 5 2 2 3" xfId="47373" xr:uid="{00000000-0005-0000-0000-00000DB90000}"/>
    <cellStyle name="Time 2 2 5 2 2 4" xfId="47374" xr:uid="{00000000-0005-0000-0000-00000EB90000}"/>
    <cellStyle name="Time 2 2 5 2 2 5" xfId="47375" xr:uid="{00000000-0005-0000-0000-00000FB90000}"/>
    <cellStyle name="Time 2 2 5 2 2 6" xfId="47376" xr:uid="{00000000-0005-0000-0000-000010B90000}"/>
    <cellStyle name="Time 2 2 5 2 3" xfId="47377" xr:uid="{00000000-0005-0000-0000-000011B90000}"/>
    <cellStyle name="Time 2 2 5 2 4" xfId="47378" xr:uid="{00000000-0005-0000-0000-000012B90000}"/>
    <cellStyle name="Time 2 2 5 2 5" xfId="47379" xr:uid="{00000000-0005-0000-0000-000013B90000}"/>
    <cellStyle name="Time 2 2 5 2 6" xfId="47380" xr:uid="{00000000-0005-0000-0000-000014B90000}"/>
    <cellStyle name="Time 2 2 5 3" xfId="47381" xr:uid="{00000000-0005-0000-0000-000015B90000}"/>
    <cellStyle name="Time 2 2 5 3 2" xfId="47382" xr:uid="{00000000-0005-0000-0000-000016B90000}"/>
    <cellStyle name="Time 2 2 5 3 2 2" xfId="47383" xr:uid="{00000000-0005-0000-0000-000017B90000}"/>
    <cellStyle name="Time 2 2 5 3 2 3" xfId="47384" xr:uid="{00000000-0005-0000-0000-000018B90000}"/>
    <cellStyle name="Time 2 2 5 3 2 4" xfId="47385" xr:uid="{00000000-0005-0000-0000-000019B90000}"/>
    <cellStyle name="Time 2 2 5 3 2 5" xfId="47386" xr:uid="{00000000-0005-0000-0000-00001AB90000}"/>
    <cellStyle name="Time 2 2 5 3 2 6" xfId="47387" xr:uid="{00000000-0005-0000-0000-00001BB90000}"/>
    <cellStyle name="Time 2 2 5 3 3" xfId="47388" xr:uid="{00000000-0005-0000-0000-00001CB90000}"/>
    <cellStyle name="Time 2 2 5 3 4" xfId="47389" xr:uid="{00000000-0005-0000-0000-00001DB90000}"/>
    <cellStyle name="Time 2 2 5 3 5" xfId="47390" xr:uid="{00000000-0005-0000-0000-00001EB90000}"/>
    <cellStyle name="Time 2 2 5 3 6" xfId="47391" xr:uid="{00000000-0005-0000-0000-00001FB90000}"/>
    <cellStyle name="Time 2 2 5 4" xfId="47392" xr:uid="{00000000-0005-0000-0000-000020B90000}"/>
    <cellStyle name="Time 2 2 5 4 2" xfId="47393" xr:uid="{00000000-0005-0000-0000-000021B90000}"/>
    <cellStyle name="Time 2 2 5 4 3" xfId="47394" xr:uid="{00000000-0005-0000-0000-000022B90000}"/>
    <cellStyle name="Time 2 2 5 4 4" xfId="47395" xr:uid="{00000000-0005-0000-0000-000023B90000}"/>
    <cellStyle name="Time 2 2 5 4 5" xfId="47396" xr:uid="{00000000-0005-0000-0000-000024B90000}"/>
    <cellStyle name="Time 2 2 5 4 6" xfId="47397" xr:uid="{00000000-0005-0000-0000-000025B90000}"/>
    <cellStyle name="Time 2 2 5 5" xfId="47398" xr:uid="{00000000-0005-0000-0000-000026B90000}"/>
    <cellStyle name="Time 2 2 5 6" xfId="47399" xr:uid="{00000000-0005-0000-0000-000027B90000}"/>
    <cellStyle name="Time 2 2 5 7" xfId="47400" xr:uid="{00000000-0005-0000-0000-000028B90000}"/>
    <cellStyle name="Time 2 2 5 8" xfId="47401" xr:uid="{00000000-0005-0000-0000-000029B90000}"/>
    <cellStyle name="Time 2 2 6" xfId="47402" xr:uid="{00000000-0005-0000-0000-00002AB90000}"/>
    <cellStyle name="Time 2 2 6 2" xfId="47403" xr:uid="{00000000-0005-0000-0000-00002BB90000}"/>
    <cellStyle name="Time 2 2 6 2 2" xfId="47404" xr:uid="{00000000-0005-0000-0000-00002CB90000}"/>
    <cellStyle name="Time 2 2 6 2 2 2" xfId="47405" xr:uid="{00000000-0005-0000-0000-00002DB90000}"/>
    <cellStyle name="Time 2 2 6 2 2 3" xfId="47406" xr:uid="{00000000-0005-0000-0000-00002EB90000}"/>
    <cellStyle name="Time 2 2 6 2 2 4" xfId="47407" xr:uid="{00000000-0005-0000-0000-00002FB90000}"/>
    <cellStyle name="Time 2 2 6 2 2 5" xfId="47408" xr:uid="{00000000-0005-0000-0000-000030B90000}"/>
    <cellStyle name="Time 2 2 6 2 2 6" xfId="47409" xr:uid="{00000000-0005-0000-0000-000031B90000}"/>
    <cellStyle name="Time 2 2 6 2 3" xfId="47410" xr:uid="{00000000-0005-0000-0000-000032B90000}"/>
    <cellStyle name="Time 2 2 6 2 4" xfId="47411" xr:uid="{00000000-0005-0000-0000-000033B90000}"/>
    <cellStyle name="Time 2 2 6 2 5" xfId="47412" xr:uid="{00000000-0005-0000-0000-000034B90000}"/>
    <cellStyle name="Time 2 2 6 2 6" xfId="47413" xr:uid="{00000000-0005-0000-0000-000035B90000}"/>
    <cellStyle name="Time 2 2 6 3" xfId="47414" xr:uid="{00000000-0005-0000-0000-000036B90000}"/>
    <cellStyle name="Time 2 2 6 3 2" xfId="47415" xr:uid="{00000000-0005-0000-0000-000037B90000}"/>
    <cellStyle name="Time 2 2 6 3 2 2" xfId="47416" xr:uid="{00000000-0005-0000-0000-000038B90000}"/>
    <cellStyle name="Time 2 2 6 3 2 3" xfId="47417" xr:uid="{00000000-0005-0000-0000-000039B90000}"/>
    <cellStyle name="Time 2 2 6 3 2 4" xfId="47418" xr:uid="{00000000-0005-0000-0000-00003AB90000}"/>
    <cellStyle name="Time 2 2 6 3 2 5" xfId="47419" xr:uid="{00000000-0005-0000-0000-00003BB90000}"/>
    <cellStyle name="Time 2 2 6 3 2 6" xfId="47420" xr:uid="{00000000-0005-0000-0000-00003CB90000}"/>
    <cellStyle name="Time 2 2 6 3 3" xfId="47421" xr:uid="{00000000-0005-0000-0000-00003DB90000}"/>
    <cellStyle name="Time 2 2 6 3 4" xfId="47422" xr:uid="{00000000-0005-0000-0000-00003EB90000}"/>
    <cellStyle name="Time 2 2 6 3 5" xfId="47423" xr:uid="{00000000-0005-0000-0000-00003FB90000}"/>
    <cellStyle name="Time 2 2 6 3 6" xfId="47424" xr:uid="{00000000-0005-0000-0000-000040B90000}"/>
    <cellStyle name="Time 2 2 6 4" xfId="47425" xr:uid="{00000000-0005-0000-0000-000041B90000}"/>
    <cellStyle name="Time 2 2 6 4 2" xfId="47426" xr:uid="{00000000-0005-0000-0000-000042B90000}"/>
    <cellStyle name="Time 2 2 6 4 3" xfId="47427" xr:uid="{00000000-0005-0000-0000-000043B90000}"/>
    <cellStyle name="Time 2 2 6 4 4" xfId="47428" xr:uid="{00000000-0005-0000-0000-000044B90000}"/>
    <cellStyle name="Time 2 2 6 4 5" xfId="47429" xr:uid="{00000000-0005-0000-0000-000045B90000}"/>
    <cellStyle name="Time 2 2 6 4 6" xfId="47430" xr:uid="{00000000-0005-0000-0000-000046B90000}"/>
    <cellStyle name="Time 2 2 6 5" xfId="47431" xr:uid="{00000000-0005-0000-0000-000047B90000}"/>
    <cellStyle name="Time 2 2 6 6" xfId="47432" xr:uid="{00000000-0005-0000-0000-000048B90000}"/>
    <cellStyle name="Time 2 2 6 7" xfId="47433" xr:uid="{00000000-0005-0000-0000-000049B90000}"/>
    <cellStyle name="Time 2 2 6 8" xfId="47434" xr:uid="{00000000-0005-0000-0000-00004AB90000}"/>
    <cellStyle name="Time 2 2 7" xfId="47435" xr:uid="{00000000-0005-0000-0000-00004BB90000}"/>
    <cellStyle name="Time 2 2 7 2" xfId="47436" xr:uid="{00000000-0005-0000-0000-00004CB90000}"/>
    <cellStyle name="Time 2 2 7 2 2" xfId="47437" xr:uid="{00000000-0005-0000-0000-00004DB90000}"/>
    <cellStyle name="Time 2 2 7 2 3" xfId="47438" xr:uid="{00000000-0005-0000-0000-00004EB90000}"/>
    <cellStyle name="Time 2 2 7 2 4" xfId="47439" xr:uid="{00000000-0005-0000-0000-00004FB90000}"/>
    <cellStyle name="Time 2 2 7 2 5" xfId="47440" xr:uid="{00000000-0005-0000-0000-000050B90000}"/>
    <cellStyle name="Time 2 2 7 2 6" xfId="47441" xr:uid="{00000000-0005-0000-0000-000051B90000}"/>
    <cellStyle name="Time 2 2 7 3" xfId="47442" xr:uid="{00000000-0005-0000-0000-000052B90000}"/>
    <cellStyle name="Time 2 2 7 4" xfId="47443" xr:uid="{00000000-0005-0000-0000-000053B90000}"/>
    <cellStyle name="Time 2 2 7 5" xfId="47444" xr:uid="{00000000-0005-0000-0000-000054B90000}"/>
    <cellStyle name="Time 2 2 7 6" xfId="47445" xr:uid="{00000000-0005-0000-0000-000055B90000}"/>
    <cellStyle name="Time 2 2 8" xfId="47446" xr:uid="{00000000-0005-0000-0000-000056B90000}"/>
    <cellStyle name="Time 2 2 8 2" xfId="47447" xr:uid="{00000000-0005-0000-0000-000057B90000}"/>
    <cellStyle name="Time 2 2 8 2 2" xfId="47448" xr:uid="{00000000-0005-0000-0000-000058B90000}"/>
    <cellStyle name="Time 2 2 8 2 3" xfId="47449" xr:uid="{00000000-0005-0000-0000-000059B90000}"/>
    <cellStyle name="Time 2 2 8 2 4" xfId="47450" xr:uid="{00000000-0005-0000-0000-00005AB90000}"/>
    <cellStyle name="Time 2 2 8 2 5" xfId="47451" xr:uid="{00000000-0005-0000-0000-00005BB90000}"/>
    <cellStyle name="Time 2 2 8 2 6" xfId="47452" xr:uid="{00000000-0005-0000-0000-00005CB90000}"/>
    <cellStyle name="Time 2 2 8 3" xfId="47453" xr:uid="{00000000-0005-0000-0000-00005DB90000}"/>
    <cellStyle name="Time 2 2 8 4" xfId="47454" xr:uid="{00000000-0005-0000-0000-00005EB90000}"/>
    <cellStyle name="Time 2 2 8 5" xfId="47455" xr:uid="{00000000-0005-0000-0000-00005FB90000}"/>
    <cellStyle name="Time 2 2 8 6" xfId="47456" xr:uid="{00000000-0005-0000-0000-000060B90000}"/>
    <cellStyle name="Time 2 2 9" xfId="47457" xr:uid="{00000000-0005-0000-0000-000061B90000}"/>
    <cellStyle name="Time 2 2 9 2" xfId="47458" xr:uid="{00000000-0005-0000-0000-000062B90000}"/>
    <cellStyle name="Time 2 2 9 3" xfId="47459" xr:uid="{00000000-0005-0000-0000-000063B90000}"/>
    <cellStyle name="Time 2 2 9 4" xfId="47460" xr:uid="{00000000-0005-0000-0000-000064B90000}"/>
    <cellStyle name="Time 2 2 9 5" xfId="47461" xr:uid="{00000000-0005-0000-0000-000065B90000}"/>
    <cellStyle name="Time 2 2 9 6" xfId="47462" xr:uid="{00000000-0005-0000-0000-000066B90000}"/>
    <cellStyle name="Time 2 3" xfId="47463" xr:uid="{00000000-0005-0000-0000-000067B90000}"/>
    <cellStyle name="Time 2 3 2" xfId="47464" xr:uid="{00000000-0005-0000-0000-000068B90000}"/>
    <cellStyle name="Time 2 3 2 2" xfId="47465" xr:uid="{00000000-0005-0000-0000-000069B90000}"/>
    <cellStyle name="Time 2 3 2 2 2" xfId="47466" xr:uid="{00000000-0005-0000-0000-00006AB90000}"/>
    <cellStyle name="Time 2 3 2 2 3" xfId="47467" xr:uid="{00000000-0005-0000-0000-00006BB90000}"/>
    <cellStyle name="Time 2 3 2 2 4" xfId="47468" xr:uid="{00000000-0005-0000-0000-00006CB90000}"/>
    <cellStyle name="Time 2 3 2 2 5" xfId="47469" xr:uid="{00000000-0005-0000-0000-00006DB90000}"/>
    <cellStyle name="Time 2 3 2 2 6" xfId="47470" xr:uid="{00000000-0005-0000-0000-00006EB90000}"/>
    <cellStyle name="Time 2 3 2 3" xfId="47471" xr:uid="{00000000-0005-0000-0000-00006FB90000}"/>
    <cellStyle name="Time 2 3 2 4" xfId="47472" xr:uid="{00000000-0005-0000-0000-000070B90000}"/>
    <cellStyle name="Time 2 3 2 5" xfId="47473" xr:uid="{00000000-0005-0000-0000-000071B90000}"/>
    <cellStyle name="Time 2 3 2 6" xfId="47474" xr:uid="{00000000-0005-0000-0000-000072B90000}"/>
    <cellStyle name="Time 2 3 3" xfId="47475" xr:uid="{00000000-0005-0000-0000-000073B90000}"/>
    <cellStyle name="Time 2 3 3 2" xfId="47476" xr:uid="{00000000-0005-0000-0000-000074B90000}"/>
    <cellStyle name="Time 2 3 3 2 2" xfId="47477" xr:uid="{00000000-0005-0000-0000-000075B90000}"/>
    <cellStyle name="Time 2 3 3 2 3" xfId="47478" xr:uid="{00000000-0005-0000-0000-000076B90000}"/>
    <cellStyle name="Time 2 3 3 2 4" xfId="47479" xr:uid="{00000000-0005-0000-0000-000077B90000}"/>
    <cellStyle name="Time 2 3 3 2 5" xfId="47480" xr:uid="{00000000-0005-0000-0000-000078B90000}"/>
    <cellStyle name="Time 2 3 3 2 6" xfId="47481" xr:uid="{00000000-0005-0000-0000-000079B90000}"/>
    <cellStyle name="Time 2 3 3 3" xfId="47482" xr:uid="{00000000-0005-0000-0000-00007AB90000}"/>
    <cellStyle name="Time 2 3 3 4" xfId="47483" xr:uid="{00000000-0005-0000-0000-00007BB90000}"/>
    <cellStyle name="Time 2 3 3 5" xfId="47484" xr:uid="{00000000-0005-0000-0000-00007CB90000}"/>
    <cellStyle name="Time 2 3 3 6" xfId="47485" xr:uid="{00000000-0005-0000-0000-00007DB90000}"/>
    <cellStyle name="Time 2 3 4" xfId="47486" xr:uid="{00000000-0005-0000-0000-00007EB90000}"/>
    <cellStyle name="Time 2 3 4 2" xfId="47487" xr:uid="{00000000-0005-0000-0000-00007FB90000}"/>
    <cellStyle name="Time 2 3 4 3" xfId="47488" xr:uid="{00000000-0005-0000-0000-000080B90000}"/>
    <cellStyle name="Time 2 3 4 4" xfId="47489" xr:uid="{00000000-0005-0000-0000-000081B90000}"/>
    <cellStyle name="Time 2 3 4 5" xfId="47490" xr:uid="{00000000-0005-0000-0000-000082B90000}"/>
    <cellStyle name="Time 2 3 4 6" xfId="47491" xr:uid="{00000000-0005-0000-0000-000083B90000}"/>
    <cellStyle name="Time 2 3 5" xfId="47492" xr:uid="{00000000-0005-0000-0000-000084B90000}"/>
    <cellStyle name="Time 2 3 6" xfId="47493" xr:uid="{00000000-0005-0000-0000-000085B90000}"/>
    <cellStyle name="Time 2 3 7" xfId="47494" xr:uid="{00000000-0005-0000-0000-000086B90000}"/>
    <cellStyle name="Time 2 3 8" xfId="47495" xr:uid="{00000000-0005-0000-0000-000087B90000}"/>
    <cellStyle name="Time 2 4" xfId="47496" xr:uid="{00000000-0005-0000-0000-000088B90000}"/>
    <cellStyle name="Time 2 4 2" xfId="47497" xr:uid="{00000000-0005-0000-0000-000089B90000}"/>
    <cellStyle name="Time 2 4 2 2" xfId="47498" xr:uid="{00000000-0005-0000-0000-00008AB90000}"/>
    <cellStyle name="Time 2 4 2 2 2" xfId="47499" xr:uid="{00000000-0005-0000-0000-00008BB90000}"/>
    <cellStyle name="Time 2 4 2 2 3" xfId="47500" xr:uid="{00000000-0005-0000-0000-00008CB90000}"/>
    <cellStyle name="Time 2 4 2 2 4" xfId="47501" xr:uid="{00000000-0005-0000-0000-00008DB90000}"/>
    <cellStyle name="Time 2 4 2 2 5" xfId="47502" xr:uid="{00000000-0005-0000-0000-00008EB90000}"/>
    <cellStyle name="Time 2 4 2 2 6" xfId="47503" xr:uid="{00000000-0005-0000-0000-00008FB90000}"/>
    <cellStyle name="Time 2 4 2 3" xfId="47504" xr:uid="{00000000-0005-0000-0000-000090B90000}"/>
    <cellStyle name="Time 2 4 2 4" xfId="47505" xr:uid="{00000000-0005-0000-0000-000091B90000}"/>
    <cellStyle name="Time 2 4 2 5" xfId="47506" xr:uid="{00000000-0005-0000-0000-000092B90000}"/>
    <cellStyle name="Time 2 4 2 6" xfId="47507" xr:uid="{00000000-0005-0000-0000-000093B90000}"/>
    <cellStyle name="Time 2 4 3" xfId="47508" xr:uid="{00000000-0005-0000-0000-000094B90000}"/>
    <cellStyle name="Time 2 4 3 2" xfId="47509" xr:uid="{00000000-0005-0000-0000-000095B90000}"/>
    <cellStyle name="Time 2 4 3 2 2" xfId="47510" xr:uid="{00000000-0005-0000-0000-000096B90000}"/>
    <cellStyle name="Time 2 4 3 2 3" xfId="47511" xr:uid="{00000000-0005-0000-0000-000097B90000}"/>
    <cellStyle name="Time 2 4 3 2 4" xfId="47512" xr:uid="{00000000-0005-0000-0000-000098B90000}"/>
    <cellStyle name="Time 2 4 3 2 5" xfId="47513" xr:uid="{00000000-0005-0000-0000-000099B90000}"/>
    <cellStyle name="Time 2 4 3 2 6" xfId="47514" xr:uid="{00000000-0005-0000-0000-00009AB90000}"/>
    <cellStyle name="Time 2 4 3 3" xfId="47515" xr:uid="{00000000-0005-0000-0000-00009BB90000}"/>
    <cellStyle name="Time 2 4 3 4" xfId="47516" xr:uid="{00000000-0005-0000-0000-00009CB90000}"/>
    <cellStyle name="Time 2 4 3 5" xfId="47517" xr:uid="{00000000-0005-0000-0000-00009DB90000}"/>
    <cellStyle name="Time 2 4 3 6" xfId="47518" xr:uid="{00000000-0005-0000-0000-00009EB90000}"/>
    <cellStyle name="Time 2 4 4" xfId="47519" xr:uid="{00000000-0005-0000-0000-00009FB90000}"/>
    <cellStyle name="Time 2 4 4 2" xfId="47520" xr:uid="{00000000-0005-0000-0000-0000A0B90000}"/>
    <cellStyle name="Time 2 4 4 3" xfId="47521" xr:uid="{00000000-0005-0000-0000-0000A1B90000}"/>
    <cellStyle name="Time 2 4 4 4" xfId="47522" xr:uid="{00000000-0005-0000-0000-0000A2B90000}"/>
    <cellStyle name="Time 2 4 4 5" xfId="47523" xr:uid="{00000000-0005-0000-0000-0000A3B90000}"/>
    <cellStyle name="Time 2 4 4 6" xfId="47524" xr:uid="{00000000-0005-0000-0000-0000A4B90000}"/>
    <cellStyle name="Time 2 4 5" xfId="47525" xr:uid="{00000000-0005-0000-0000-0000A5B90000}"/>
    <cellStyle name="Time 2 4 6" xfId="47526" xr:uid="{00000000-0005-0000-0000-0000A6B90000}"/>
    <cellStyle name="Time 2 4 7" xfId="47527" xr:uid="{00000000-0005-0000-0000-0000A7B90000}"/>
    <cellStyle name="Time 2 4 8" xfId="47528" xr:uid="{00000000-0005-0000-0000-0000A8B90000}"/>
    <cellStyle name="Time 2 5" xfId="47529" xr:uid="{00000000-0005-0000-0000-0000A9B90000}"/>
    <cellStyle name="Time 2 5 2" xfId="47530" xr:uid="{00000000-0005-0000-0000-0000AAB90000}"/>
    <cellStyle name="Time 2 5 2 2" xfId="47531" xr:uid="{00000000-0005-0000-0000-0000ABB90000}"/>
    <cellStyle name="Time 2 5 2 2 2" xfId="47532" xr:uid="{00000000-0005-0000-0000-0000ACB90000}"/>
    <cellStyle name="Time 2 5 2 2 3" xfId="47533" xr:uid="{00000000-0005-0000-0000-0000ADB90000}"/>
    <cellStyle name="Time 2 5 2 2 4" xfId="47534" xr:uid="{00000000-0005-0000-0000-0000AEB90000}"/>
    <cellStyle name="Time 2 5 2 2 5" xfId="47535" xr:uid="{00000000-0005-0000-0000-0000AFB90000}"/>
    <cellStyle name="Time 2 5 2 2 6" xfId="47536" xr:uid="{00000000-0005-0000-0000-0000B0B90000}"/>
    <cellStyle name="Time 2 5 2 3" xfId="47537" xr:uid="{00000000-0005-0000-0000-0000B1B90000}"/>
    <cellStyle name="Time 2 5 2 4" xfId="47538" xr:uid="{00000000-0005-0000-0000-0000B2B90000}"/>
    <cellStyle name="Time 2 5 2 5" xfId="47539" xr:uid="{00000000-0005-0000-0000-0000B3B90000}"/>
    <cellStyle name="Time 2 5 2 6" xfId="47540" xr:uid="{00000000-0005-0000-0000-0000B4B90000}"/>
    <cellStyle name="Time 2 5 3" xfId="47541" xr:uid="{00000000-0005-0000-0000-0000B5B90000}"/>
    <cellStyle name="Time 2 5 3 2" xfId="47542" xr:uid="{00000000-0005-0000-0000-0000B6B90000}"/>
    <cellStyle name="Time 2 5 3 2 2" xfId="47543" xr:uid="{00000000-0005-0000-0000-0000B7B90000}"/>
    <cellStyle name="Time 2 5 3 2 3" xfId="47544" xr:uid="{00000000-0005-0000-0000-0000B8B90000}"/>
    <cellStyle name="Time 2 5 3 2 4" xfId="47545" xr:uid="{00000000-0005-0000-0000-0000B9B90000}"/>
    <cellStyle name="Time 2 5 3 2 5" xfId="47546" xr:uid="{00000000-0005-0000-0000-0000BAB90000}"/>
    <cellStyle name="Time 2 5 3 2 6" xfId="47547" xr:uid="{00000000-0005-0000-0000-0000BBB90000}"/>
    <cellStyle name="Time 2 5 3 3" xfId="47548" xr:uid="{00000000-0005-0000-0000-0000BCB90000}"/>
    <cellStyle name="Time 2 5 3 4" xfId="47549" xr:uid="{00000000-0005-0000-0000-0000BDB90000}"/>
    <cellStyle name="Time 2 5 3 5" xfId="47550" xr:uid="{00000000-0005-0000-0000-0000BEB90000}"/>
    <cellStyle name="Time 2 5 3 6" xfId="47551" xr:uid="{00000000-0005-0000-0000-0000BFB90000}"/>
    <cellStyle name="Time 2 5 4" xfId="47552" xr:uid="{00000000-0005-0000-0000-0000C0B90000}"/>
    <cellStyle name="Time 2 5 4 2" xfId="47553" xr:uid="{00000000-0005-0000-0000-0000C1B90000}"/>
    <cellStyle name="Time 2 5 4 3" xfId="47554" xr:uid="{00000000-0005-0000-0000-0000C2B90000}"/>
    <cellStyle name="Time 2 5 4 4" xfId="47555" xr:uid="{00000000-0005-0000-0000-0000C3B90000}"/>
    <cellStyle name="Time 2 5 4 5" xfId="47556" xr:uid="{00000000-0005-0000-0000-0000C4B90000}"/>
    <cellStyle name="Time 2 5 4 6" xfId="47557" xr:uid="{00000000-0005-0000-0000-0000C5B90000}"/>
    <cellStyle name="Time 2 5 5" xfId="47558" xr:uid="{00000000-0005-0000-0000-0000C6B90000}"/>
    <cellStyle name="Time 2 5 6" xfId="47559" xr:uid="{00000000-0005-0000-0000-0000C7B90000}"/>
    <cellStyle name="Time 2 5 7" xfId="47560" xr:uid="{00000000-0005-0000-0000-0000C8B90000}"/>
    <cellStyle name="Time 2 5 8" xfId="47561" xr:uid="{00000000-0005-0000-0000-0000C9B90000}"/>
    <cellStyle name="Time 2 6" xfId="47562" xr:uid="{00000000-0005-0000-0000-0000CAB90000}"/>
    <cellStyle name="Time 2 6 2" xfId="47563" xr:uid="{00000000-0005-0000-0000-0000CBB90000}"/>
    <cellStyle name="Time 2 6 2 2" xfId="47564" xr:uid="{00000000-0005-0000-0000-0000CCB90000}"/>
    <cellStyle name="Time 2 6 2 2 2" xfId="47565" xr:uid="{00000000-0005-0000-0000-0000CDB90000}"/>
    <cellStyle name="Time 2 6 2 2 3" xfId="47566" xr:uid="{00000000-0005-0000-0000-0000CEB90000}"/>
    <cellStyle name="Time 2 6 2 2 4" xfId="47567" xr:uid="{00000000-0005-0000-0000-0000CFB90000}"/>
    <cellStyle name="Time 2 6 2 2 5" xfId="47568" xr:uid="{00000000-0005-0000-0000-0000D0B90000}"/>
    <cellStyle name="Time 2 6 2 2 6" xfId="47569" xr:uid="{00000000-0005-0000-0000-0000D1B90000}"/>
    <cellStyle name="Time 2 6 2 3" xfId="47570" xr:uid="{00000000-0005-0000-0000-0000D2B90000}"/>
    <cellStyle name="Time 2 6 2 4" xfId="47571" xr:uid="{00000000-0005-0000-0000-0000D3B90000}"/>
    <cellStyle name="Time 2 6 2 5" xfId="47572" xr:uid="{00000000-0005-0000-0000-0000D4B90000}"/>
    <cellStyle name="Time 2 6 2 6" xfId="47573" xr:uid="{00000000-0005-0000-0000-0000D5B90000}"/>
    <cellStyle name="Time 2 6 3" xfId="47574" xr:uid="{00000000-0005-0000-0000-0000D6B90000}"/>
    <cellStyle name="Time 2 6 3 2" xfId="47575" xr:uid="{00000000-0005-0000-0000-0000D7B90000}"/>
    <cellStyle name="Time 2 6 3 2 2" xfId="47576" xr:uid="{00000000-0005-0000-0000-0000D8B90000}"/>
    <cellStyle name="Time 2 6 3 2 3" xfId="47577" xr:uid="{00000000-0005-0000-0000-0000D9B90000}"/>
    <cellStyle name="Time 2 6 3 2 4" xfId="47578" xr:uid="{00000000-0005-0000-0000-0000DAB90000}"/>
    <cellStyle name="Time 2 6 3 2 5" xfId="47579" xr:uid="{00000000-0005-0000-0000-0000DBB90000}"/>
    <cellStyle name="Time 2 6 3 2 6" xfId="47580" xr:uid="{00000000-0005-0000-0000-0000DCB90000}"/>
    <cellStyle name="Time 2 6 3 3" xfId="47581" xr:uid="{00000000-0005-0000-0000-0000DDB90000}"/>
    <cellStyle name="Time 2 6 3 4" xfId="47582" xr:uid="{00000000-0005-0000-0000-0000DEB90000}"/>
    <cellStyle name="Time 2 6 3 5" xfId="47583" xr:uid="{00000000-0005-0000-0000-0000DFB90000}"/>
    <cellStyle name="Time 2 6 3 6" xfId="47584" xr:uid="{00000000-0005-0000-0000-0000E0B90000}"/>
    <cellStyle name="Time 2 6 4" xfId="47585" xr:uid="{00000000-0005-0000-0000-0000E1B90000}"/>
    <cellStyle name="Time 2 6 4 2" xfId="47586" xr:uid="{00000000-0005-0000-0000-0000E2B90000}"/>
    <cellStyle name="Time 2 6 4 3" xfId="47587" xr:uid="{00000000-0005-0000-0000-0000E3B90000}"/>
    <cellStyle name="Time 2 6 4 4" xfId="47588" xr:uid="{00000000-0005-0000-0000-0000E4B90000}"/>
    <cellStyle name="Time 2 6 4 5" xfId="47589" xr:uid="{00000000-0005-0000-0000-0000E5B90000}"/>
    <cellStyle name="Time 2 6 4 6" xfId="47590" xr:uid="{00000000-0005-0000-0000-0000E6B90000}"/>
    <cellStyle name="Time 2 6 5" xfId="47591" xr:uid="{00000000-0005-0000-0000-0000E7B90000}"/>
    <cellStyle name="Time 2 6 6" xfId="47592" xr:uid="{00000000-0005-0000-0000-0000E8B90000}"/>
    <cellStyle name="Time 2 6 7" xfId="47593" xr:uid="{00000000-0005-0000-0000-0000E9B90000}"/>
    <cellStyle name="Time 2 6 8" xfId="47594" xr:uid="{00000000-0005-0000-0000-0000EAB90000}"/>
    <cellStyle name="Time 2 7" xfId="47595" xr:uid="{00000000-0005-0000-0000-0000EBB90000}"/>
    <cellStyle name="Time 2 7 2" xfId="47596" xr:uid="{00000000-0005-0000-0000-0000ECB90000}"/>
    <cellStyle name="Time 2 7 2 2" xfId="47597" xr:uid="{00000000-0005-0000-0000-0000EDB90000}"/>
    <cellStyle name="Time 2 7 2 2 2" xfId="47598" xr:uid="{00000000-0005-0000-0000-0000EEB90000}"/>
    <cellStyle name="Time 2 7 2 2 3" xfId="47599" xr:uid="{00000000-0005-0000-0000-0000EFB90000}"/>
    <cellStyle name="Time 2 7 2 2 4" xfId="47600" xr:uid="{00000000-0005-0000-0000-0000F0B90000}"/>
    <cellStyle name="Time 2 7 2 2 5" xfId="47601" xr:uid="{00000000-0005-0000-0000-0000F1B90000}"/>
    <cellStyle name="Time 2 7 2 2 6" xfId="47602" xr:uid="{00000000-0005-0000-0000-0000F2B90000}"/>
    <cellStyle name="Time 2 7 2 3" xfId="47603" xr:uid="{00000000-0005-0000-0000-0000F3B90000}"/>
    <cellStyle name="Time 2 7 2 4" xfId="47604" xr:uid="{00000000-0005-0000-0000-0000F4B90000}"/>
    <cellStyle name="Time 2 7 2 5" xfId="47605" xr:uid="{00000000-0005-0000-0000-0000F5B90000}"/>
    <cellStyle name="Time 2 7 2 6" xfId="47606" xr:uid="{00000000-0005-0000-0000-0000F6B90000}"/>
    <cellStyle name="Time 2 7 3" xfId="47607" xr:uid="{00000000-0005-0000-0000-0000F7B90000}"/>
    <cellStyle name="Time 2 7 3 2" xfId="47608" xr:uid="{00000000-0005-0000-0000-0000F8B90000}"/>
    <cellStyle name="Time 2 7 3 2 2" xfId="47609" xr:uid="{00000000-0005-0000-0000-0000F9B90000}"/>
    <cellStyle name="Time 2 7 3 2 3" xfId="47610" xr:uid="{00000000-0005-0000-0000-0000FAB90000}"/>
    <cellStyle name="Time 2 7 3 2 4" xfId="47611" xr:uid="{00000000-0005-0000-0000-0000FBB90000}"/>
    <cellStyle name="Time 2 7 3 2 5" xfId="47612" xr:uid="{00000000-0005-0000-0000-0000FCB90000}"/>
    <cellStyle name="Time 2 7 3 2 6" xfId="47613" xr:uid="{00000000-0005-0000-0000-0000FDB90000}"/>
    <cellStyle name="Time 2 7 3 3" xfId="47614" xr:uid="{00000000-0005-0000-0000-0000FEB90000}"/>
    <cellStyle name="Time 2 7 3 4" xfId="47615" xr:uid="{00000000-0005-0000-0000-0000FFB90000}"/>
    <cellStyle name="Time 2 7 3 5" xfId="47616" xr:uid="{00000000-0005-0000-0000-000000BA0000}"/>
    <cellStyle name="Time 2 7 3 6" xfId="47617" xr:uid="{00000000-0005-0000-0000-000001BA0000}"/>
    <cellStyle name="Time 2 7 4" xfId="47618" xr:uid="{00000000-0005-0000-0000-000002BA0000}"/>
    <cellStyle name="Time 2 7 4 2" xfId="47619" xr:uid="{00000000-0005-0000-0000-000003BA0000}"/>
    <cellStyle name="Time 2 7 4 3" xfId="47620" xr:uid="{00000000-0005-0000-0000-000004BA0000}"/>
    <cellStyle name="Time 2 7 4 4" xfId="47621" xr:uid="{00000000-0005-0000-0000-000005BA0000}"/>
    <cellStyle name="Time 2 7 4 5" xfId="47622" xr:uid="{00000000-0005-0000-0000-000006BA0000}"/>
    <cellStyle name="Time 2 7 4 6" xfId="47623" xr:uid="{00000000-0005-0000-0000-000007BA0000}"/>
    <cellStyle name="Time 2 7 5" xfId="47624" xr:uid="{00000000-0005-0000-0000-000008BA0000}"/>
    <cellStyle name="Time 2 7 6" xfId="47625" xr:uid="{00000000-0005-0000-0000-000009BA0000}"/>
    <cellStyle name="Time 2 7 7" xfId="47626" xr:uid="{00000000-0005-0000-0000-00000ABA0000}"/>
    <cellStyle name="Time 2 7 8" xfId="47627" xr:uid="{00000000-0005-0000-0000-00000BBA0000}"/>
    <cellStyle name="Time 2 8" xfId="47628" xr:uid="{00000000-0005-0000-0000-00000CBA0000}"/>
    <cellStyle name="Time 2 8 2" xfId="47629" xr:uid="{00000000-0005-0000-0000-00000DBA0000}"/>
    <cellStyle name="Time 2 8 2 2" xfId="47630" xr:uid="{00000000-0005-0000-0000-00000EBA0000}"/>
    <cellStyle name="Time 2 8 2 3" xfId="47631" xr:uid="{00000000-0005-0000-0000-00000FBA0000}"/>
    <cellStyle name="Time 2 8 2 4" xfId="47632" xr:uid="{00000000-0005-0000-0000-000010BA0000}"/>
    <cellStyle name="Time 2 8 2 5" xfId="47633" xr:uid="{00000000-0005-0000-0000-000011BA0000}"/>
    <cellStyle name="Time 2 8 2 6" xfId="47634" xr:uid="{00000000-0005-0000-0000-000012BA0000}"/>
    <cellStyle name="Time 2 8 3" xfId="47635" xr:uid="{00000000-0005-0000-0000-000013BA0000}"/>
    <cellStyle name="Time 2 8 4" xfId="47636" xr:uid="{00000000-0005-0000-0000-000014BA0000}"/>
    <cellStyle name="Time 2 8 5" xfId="47637" xr:uid="{00000000-0005-0000-0000-000015BA0000}"/>
    <cellStyle name="Time 2 8 6" xfId="47638" xr:uid="{00000000-0005-0000-0000-000016BA0000}"/>
    <cellStyle name="Time 2 9" xfId="47639" xr:uid="{00000000-0005-0000-0000-000017BA0000}"/>
    <cellStyle name="Time 2 9 2" xfId="47640" xr:uid="{00000000-0005-0000-0000-000018BA0000}"/>
    <cellStyle name="Time 2 9 2 2" xfId="47641" xr:uid="{00000000-0005-0000-0000-000019BA0000}"/>
    <cellStyle name="Time 2 9 2 3" xfId="47642" xr:uid="{00000000-0005-0000-0000-00001ABA0000}"/>
    <cellStyle name="Time 2 9 2 4" xfId="47643" xr:uid="{00000000-0005-0000-0000-00001BBA0000}"/>
    <cellStyle name="Time 2 9 2 5" xfId="47644" xr:uid="{00000000-0005-0000-0000-00001CBA0000}"/>
    <cellStyle name="Time 2 9 2 6" xfId="47645" xr:uid="{00000000-0005-0000-0000-00001DBA0000}"/>
    <cellStyle name="Time 2 9 3" xfId="47646" xr:uid="{00000000-0005-0000-0000-00001EBA0000}"/>
    <cellStyle name="Time 2 9 4" xfId="47647" xr:uid="{00000000-0005-0000-0000-00001FBA0000}"/>
    <cellStyle name="Time 2 9 5" xfId="47648" xr:uid="{00000000-0005-0000-0000-000020BA0000}"/>
    <cellStyle name="Time 2 9 6" xfId="47649" xr:uid="{00000000-0005-0000-0000-000021BA0000}"/>
    <cellStyle name="Time 3" xfId="47650" xr:uid="{00000000-0005-0000-0000-000022BA0000}"/>
    <cellStyle name="Time 3 10" xfId="47651" xr:uid="{00000000-0005-0000-0000-000023BA0000}"/>
    <cellStyle name="Time 3 11" xfId="47652" xr:uid="{00000000-0005-0000-0000-000024BA0000}"/>
    <cellStyle name="Time 3 12" xfId="47653" xr:uid="{00000000-0005-0000-0000-000025BA0000}"/>
    <cellStyle name="Time 3 13" xfId="47654" xr:uid="{00000000-0005-0000-0000-000026BA0000}"/>
    <cellStyle name="Time 3 2" xfId="47655" xr:uid="{00000000-0005-0000-0000-000027BA0000}"/>
    <cellStyle name="Time 3 2 2" xfId="47656" xr:uid="{00000000-0005-0000-0000-000028BA0000}"/>
    <cellStyle name="Time 3 2 2 2" xfId="47657" xr:uid="{00000000-0005-0000-0000-000029BA0000}"/>
    <cellStyle name="Time 3 2 2 2 2" xfId="47658" xr:uid="{00000000-0005-0000-0000-00002ABA0000}"/>
    <cellStyle name="Time 3 2 2 2 3" xfId="47659" xr:uid="{00000000-0005-0000-0000-00002BBA0000}"/>
    <cellStyle name="Time 3 2 2 2 4" xfId="47660" xr:uid="{00000000-0005-0000-0000-00002CBA0000}"/>
    <cellStyle name="Time 3 2 2 2 5" xfId="47661" xr:uid="{00000000-0005-0000-0000-00002DBA0000}"/>
    <cellStyle name="Time 3 2 2 2 6" xfId="47662" xr:uid="{00000000-0005-0000-0000-00002EBA0000}"/>
    <cellStyle name="Time 3 2 2 3" xfId="47663" xr:uid="{00000000-0005-0000-0000-00002FBA0000}"/>
    <cellStyle name="Time 3 2 2 4" xfId="47664" xr:uid="{00000000-0005-0000-0000-000030BA0000}"/>
    <cellStyle name="Time 3 2 2 5" xfId="47665" xr:uid="{00000000-0005-0000-0000-000031BA0000}"/>
    <cellStyle name="Time 3 2 2 6" xfId="47666" xr:uid="{00000000-0005-0000-0000-000032BA0000}"/>
    <cellStyle name="Time 3 2 3" xfId="47667" xr:uid="{00000000-0005-0000-0000-000033BA0000}"/>
    <cellStyle name="Time 3 2 3 2" xfId="47668" xr:uid="{00000000-0005-0000-0000-000034BA0000}"/>
    <cellStyle name="Time 3 2 3 2 2" xfId="47669" xr:uid="{00000000-0005-0000-0000-000035BA0000}"/>
    <cellStyle name="Time 3 2 3 2 3" xfId="47670" xr:uid="{00000000-0005-0000-0000-000036BA0000}"/>
    <cellStyle name="Time 3 2 3 2 4" xfId="47671" xr:uid="{00000000-0005-0000-0000-000037BA0000}"/>
    <cellStyle name="Time 3 2 3 2 5" xfId="47672" xr:uid="{00000000-0005-0000-0000-000038BA0000}"/>
    <cellStyle name="Time 3 2 3 2 6" xfId="47673" xr:uid="{00000000-0005-0000-0000-000039BA0000}"/>
    <cellStyle name="Time 3 2 3 3" xfId="47674" xr:uid="{00000000-0005-0000-0000-00003ABA0000}"/>
    <cellStyle name="Time 3 2 3 4" xfId="47675" xr:uid="{00000000-0005-0000-0000-00003BBA0000}"/>
    <cellStyle name="Time 3 2 3 5" xfId="47676" xr:uid="{00000000-0005-0000-0000-00003CBA0000}"/>
    <cellStyle name="Time 3 2 3 6" xfId="47677" xr:uid="{00000000-0005-0000-0000-00003DBA0000}"/>
    <cellStyle name="Time 3 2 4" xfId="47678" xr:uid="{00000000-0005-0000-0000-00003EBA0000}"/>
    <cellStyle name="Time 3 2 4 2" xfId="47679" xr:uid="{00000000-0005-0000-0000-00003FBA0000}"/>
    <cellStyle name="Time 3 2 4 3" xfId="47680" xr:uid="{00000000-0005-0000-0000-000040BA0000}"/>
    <cellStyle name="Time 3 2 4 4" xfId="47681" xr:uid="{00000000-0005-0000-0000-000041BA0000}"/>
    <cellStyle name="Time 3 2 4 5" xfId="47682" xr:uid="{00000000-0005-0000-0000-000042BA0000}"/>
    <cellStyle name="Time 3 2 4 6" xfId="47683" xr:uid="{00000000-0005-0000-0000-000043BA0000}"/>
    <cellStyle name="Time 3 2 5" xfId="47684" xr:uid="{00000000-0005-0000-0000-000044BA0000}"/>
    <cellStyle name="Time 3 2 6" xfId="47685" xr:uid="{00000000-0005-0000-0000-000045BA0000}"/>
    <cellStyle name="Time 3 2 7" xfId="47686" xr:uid="{00000000-0005-0000-0000-000046BA0000}"/>
    <cellStyle name="Time 3 2 8" xfId="47687" xr:uid="{00000000-0005-0000-0000-000047BA0000}"/>
    <cellStyle name="Time 3 3" xfId="47688" xr:uid="{00000000-0005-0000-0000-000048BA0000}"/>
    <cellStyle name="Time 3 3 2" xfId="47689" xr:uid="{00000000-0005-0000-0000-000049BA0000}"/>
    <cellStyle name="Time 3 3 2 2" xfId="47690" xr:uid="{00000000-0005-0000-0000-00004ABA0000}"/>
    <cellStyle name="Time 3 3 2 2 2" xfId="47691" xr:uid="{00000000-0005-0000-0000-00004BBA0000}"/>
    <cellStyle name="Time 3 3 2 2 3" xfId="47692" xr:uid="{00000000-0005-0000-0000-00004CBA0000}"/>
    <cellStyle name="Time 3 3 2 2 4" xfId="47693" xr:uid="{00000000-0005-0000-0000-00004DBA0000}"/>
    <cellStyle name="Time 3 3 2 2 5" xfId="47694" xr:uid="{00000000-0005-0000-0000-00004EBA0000}"/>
    <cellStyle name="Time 3 3 2 2 6" xfId="47695" xr:uid="{00000000-0005-0000-0000-00004FBA0000}"/>
    <cellStyle name="Time 3 3 2 3" xfId="47696" xr:uid="{00000000-0005-0000-0000-000050BA0000}"/>
    <cellStyle name="Time 3 3 2 4" xfId="47697" xr:uid="{00000000-0005-0000-0000-000051BA0000}"/>
    <cellStyle name="Time 3 3 2 5" xfId="47698" xr:uid="{00000000-0005-0000-0000-000052BA0000}"/>
    <cellStyle name="Time 3 3 2 6" xfId="47699" xr:uid="{00000000-0005-0000-0000-000053BA0000}"/>
    <cellStyle name="Time 3 3 3" xfId="47700" xr:uid="{00000000-0005-0000-0000-000054BA0000}"/>
    <cellStyle name="Time 3 3 3 2" xfId="47701" xr:uid="{00000000-0005-0000-0000-000055BA0000}"/>
    <cellStyle name="Time 3 3 3 2 2" xfId="47702" xr:uid="{00000000-0005-0000-0000-000056BA0000}"/>
    <cellStyle name="Time 3 3 3 2 3" xfId="47703" xr:uid="{00000000-0005-0000-0000-000057BA0000}"/>
    <cellStyle name="Time 3 3 3 2 4" xfId="47704" xr:uid="{00000000-0005-0000-0000-000058BA0000}"/>
    <cellStyle name="Time 3 3 3 2 5" xfId="47705" xr:uid="{00000000-0005-0000-0000-000059BA0000}"/>
    <cellStyle name="Time 3 3 3 2 6" xfId="47706" xr:uid="{00000000-0005-0000-0000-00005ABA0000}"/>
    <cellStyle name="Time 3 3 3 3" xfId="47707" xr:uid="{00000000-0005-0000-0000-00005BBA0000}"/>
    <cellStyle name="Time 3 3 3 4" xfId="47708" xr:uid="{00000000-0005-0000-0000-00005CBA0000}"/>
    <cellStyle name="Time 3 3 3 5" xfId="47709" xr:uid="{00000000-0005-0000-0000-00005DBA0000}"/>
    <cellStyle name="Time 3 3 3 6" xfId="47710" xr:uid="{00000000-0005-0000-0000-00005EBA0000}"/>
    <cellStyle name="Time 3 3 4" xfId="47711" xr:uid="{00000000-0005-0000-0000-00005FBA0000}"/>
    <cellStyle name="Time 3 3 4 2" xfId="47712" xr:uid="{00000000-0005-0000-0000-000060BA0000}"/>
    <cellStyle name="Time 3 3 4 3" xfId="47713" xr:uid="{00000000-0005-0000-0000-000061BA0000}"/>
    <cellStyle name="Time 3 3 4 4" xfId="47714" xr:uid="{00000000-0005-0000-0000-000062BA0000}"/>
    <cellStyle name="Time 3 3 4 5" xfId="47715" xr:uid="{00000000-0005-0000-0000-000063BA0000}"/>
    <cellStyle name="Time 3 3 4 6" xfId="47716" xr:uid="{00000000-0005-0000-0000-000064BA0000}"/>
    <cellStyle name="Time 3 3 5" xfId="47717" xr:uid="{00000000-0005-0000-0000-000065BA0000}"/>
    <cellStyle name="Time 3 3 6" xfId="47718" xr:uid="{00000000-0005-0000-0000-000066BA0000}"/>
    <cellStyle name="Time 3 3 7" xfId="47719" xr:uid="{00000000-0005-0000-0000-000067BA0000}"/>
    <cellStyle name="Time 3 3 8" xfId="47720" xr:uid="{00000000-0005-0000-0000-000068BA0000}"/>
    <cellStyle name="Time 3 4" xfId="47721" xr:uid="{00000000-0005-0000-0000-000069BA0000}"/>
    <cellStyle name="Time 3 4 2" xfId="47722" xr:uid="{00000000-0005-0000-0000-00006ABA0000}"/>
    <cellStyle name="Time 3 4 2 2" xfId="47723" xr:uid="{00000000-0005-0000-0000-00006BBA0000}"/>
    <cellStyle name="Time 3 4 2 2 2" xfId="47724" xr:uid="{00000000-0005-0000-0000-00006CBA0000}"/>
    <cellStyle name="Time 3 4 2 2 3" xfId="47725" xr:uid="{00000000-0005-0000-0000-00006DBA0000}"/>
    <cellStyle name="Time 3 4 2 2 4" xfId="47726" xr:uid="{00000000-0005-0000-0000-00006EBA0000}"/>
    <cellStyle name="Time 3 4 2 2 5" xfId="47727" xr:uid="{00000000-0005-0000-0000-00006FBA0000}"/>
    <cellStyle name="Time 3 4 2 2 6" xfId="47728" xr:uid="{00000000-0005-0000-0000-000070BA0000}"/>
    <cellStyle name="Time 3 4 2 3" xfId="47729" xr:uid="{00000000-0005-0000-0000-000071BA0000}"/>
    <cellStyle name="Time 3 4 2 4" xfId="47730" xr:uid="{00000000-0005-0000-0000-000072BA0000}"/>
    <cellStyle name="Time 3 4 2 5" xfId="47731" xr:uid="{00000000-0005-0000-0000-000073BA0000}"/>
    <cellStyle name="Time 3 4 2 6" xfId="47732" xr:uid="{00000000-0005-0000-0000-000074BA0000}"/>
    <cellStyle name="Time 3 4 3" xfId="47733" xr:uid="{00000000-0005-0000-0000-000075BA0000}"/>
    <cellStyle name="Time 3 4 3 2" xfId="47734" xr:uid="{00000000-0005-0000-0000-000076BA0000}"/>
    <cellStyle name="Time 3 4 3 2 2" xfId="47735" xr:uid="{00000000-0005-0000-0000-000077BA0000}"/>
    <cellStyle name="Time 3 4 3 2 3" xfId="47736" xr:uid="{00000000-0005-0000-0000-000078BA0000}"/>
    <cellStyle name="Time 3 4 3 2 4" xfId="47737" xr:uid="{00000000-0005-0000-0000-000079BA0000}"/>
    <cellStyle name="Time 3 4 3 2 5" xfId="47738" xr:uid="{00000000-0005-0000-0000-00007ABA0000}"/>
    <cellStyle name="Time 3 4 3 2 6" xfId="47739" xr:uid="{00000000-0005-0000-0000-00007BBA0000}"/>
    <cellStyle name="Time 3 4 3 3" xfId="47740" xr:uid="{00000000-0005-0000-0000-00007CBA0000}"/>
    <cellStyle name="Time 3 4 3 4" xfId="47741" xr:uid="{00000000-0005-0000-0000-00007DBA0000}"/>
    <cellStyle name="Time 3 4 3 5" xfId="47742" xr:uid="{00000000-0005-0000-0000-00007EBA0000}"/>
    <cellStyle name="Time 3 4 3 6" xfId="47743" xr:uid="{00000000-0005-0000-0000-00007FBA0000}"/>
    <cellStyle name="Time 3 4 4" xfId="47744" xr:uid="{00000000-0005-0000-0000-000080BA0000}"/>
    <cellStyle name="Time 3 4 4 2" xfId="47745" xr:uid="{00000000-0005-0000-0000-000081BA0000}"/>
    <cellStyle name="Time 3 4 4 3" xfId="47746" xr:uid="{00000000-0005-0000-0000-000082BA0000}"/>
    <cellStyle name="Time 3 4 4 4" xfId="47747" xr:uid="{00000000-0005-0000-0000-000083BA0000}"/>
    <cellStyle name="Time 3 4 4 5" xfId="47748" xr:uid="{00000000-0005-0000-0000-000084BA0000}"/>
    <cellStyle name="Time 3 4 4 6" xfId="47749" xr:uid="{00000000-0005-0000-0000-000085BA0000}"/>
    <cellStyle name="Time 3 4 5" xfId="47750" xr:uid="{00000000-0005-0000-0000-000086BA0000}"/>
    <cellStyle name="Time 3 4 6" xfId="47751" xr:uid="{00000000-0005-0000-0000-000087BA0000}"/>
    <cellStyle name="Time 3 4 7" xfId="47752" xr:uid="{00000000-0005-0000-0000-000088BA0000}"/>
    <cellStyle name="Time 3 4 8" xfId="47753" xr:uid="{00000000-0005-0000-0000-000089BA0000}"/>
    <cellStyle name="Time 3 5" xfId="47754" xr:uid="{00000000-0005-0000-0000-00008ABA0000}"/>
    <cellStyle name="Time 3 5 2" xfId="47755" xr:uid="{00000000-0005-0000-0000-00008BBA0000}"/>
    <cellStyle name="Time 3 5 2 2" xfId="47756" xr:uid="{00000000-0005-0000-0000-00008CBA0000}"/>
    <cellStyle name="Time 3 5 2 2 2" xfId="47757" xr:uid="{00000000-0005-0000-0000-00008DBA0000}"/>
    <cellStyle name="Time 3 5 2 2 3" xfId="47758" xr:uid="{00000000-0005-0000-0000-00008EBA0000}"/>
    <cellStyle name="Time 3 5 2 2 4" xfId="47759" xr:uid="{00000000-0005-0000-0000-00008FBA0000}"/>
    <cellStyle name="Time 3 5 2 2 5" xfId="47760" xr:uid="{00000000-0005-0000-0000-000090BA0000}"/>
    <cellStyle name="Time 3 5 2 2 6" xfId="47761" xr:uid="{00000000-0005-0000-0000-000091BA0000}"/>
    <cellStyle name="Time 3 5 2 3" xfId="47762" xr:uid="{00000000-0005-0000-0000-000092BA0000}"/>
    <cellStyle name="Time 3 5 2 4" xfId="47763" xr:uid="{00000000-0005-0000-0000-000093BA0000}"/>
    <cellStyle name="Time 3 5 2 5" xfId="47764" xr:uid="{00000000-0005-0000-0000-000094BA0000}"/>
    <cellStyle name="Time 3 5 2 6" xfId="47765" xr:uid="{00000000-0005-0000-0000-000095BA0000}"/>
    <cellStyle name="Time 3 5 3" xfId="47766" xr:uid="{00000000-0005-0000-0000-000096BA0000}"/>
    <cellStyle name="Time 3 5 3 2" xfId="47767" xr:uid="{00000000-0005-0000-0000-000097BA0000}"/>
    <cellStyle name="Time 3 5 3 2 2" xfId="47768" xr:uid="{00000000-0005-0000-0000-000098BA0000}"/>
    <cellStyle name="Time 3 5 3 2 3" xfId="47769" xr:uid="{00000000-0005-0000-0000-000099BA0000}"/>
    <cellStyle name="Time 3 5 3 2 4" xfId="47770" xr:uid="{00000000-0005-0000-0000-00009ABA0000}"/>
    <cellStyle name="Time 3 5 3 2 5" xfId="47771" xr:uid="{00000000-0005-0000-0000-00009BBA0000}"/>
    <cellStyle name="Time 3 5 3 2 6" xfId="47772" xr:uid="{00000000-0005-0000-0000-00009CBA0000}"/>
    <cellStyle name="Time 3 5 3 3" xfId="47773" xr:uid="{00000000-0005-0000-0000-00009DBA0000}"/>
    <cellStyle name="Time 3 5 3 4" xfId="47774" xr:uid="{00000000-0005-0000-0000-00009EBA0000}"/>
    <cellStyle name="Time 3 5 3 5" xfId="47775" xr:uid="{00000000-0005-0000-0000-00009FBA0000}"/>
    <cellStyle name="Time 3 5 3 6" xfId="47776" xr:uid="{00000000-0005-0000-0000-0000A0BA0000}"/>
    <cellStyle name="Time 3 5 4" xfId="47777" xr:uid="{00000000-0005-0000-0000-0000A1BA0000}"/>
    <cellStyle name="Time 3 5 4 2" xfId="47778" xr:uid="{00000000-0005-0000-0000-0000A2BA0000}"/>
    <cellStyle name="Time 3 5 4 3" xfId="47779" xr:uid="{00000000-0005-0000-0000-0000A3BA0000}"/>
    <cellStyle name="Time 3 5 4 4" xfId="47780" xr:uid="{00000000-0005-0000-0000-0000A4BA0000}"/>
    <cellStyle name="Time 3 5 4 5" xfId="47781" xr:uid="{00000000-0005-0000-0000-0000A5BA0000}"/>
    <cellStyle name="Time 3 5 4 6" xfId="47782" xr:uid="{00000000-0005-0000-0000-0000A6BA0000}"/>
    <cellStyle name="Time 3 5 5" xfId="47783" xr:uid="{00000000-0005-0000-0000-0000A7BA0000}"/>
    <cellStyle name="Time 3 5 6" xfId="47784" xr:uid="{00000000-0005-0000-0000-0000A8BA0000}"/>
    <cellStyle name="Time 3 5 7" xfId="47785" xr:uid="{00000000-0005-0000-0000-0000A9BA0000}"/>
    <cellStyle name="Time 3 5 8" xfId="47786" xr:uid="{00000000-0005-0000-0000-0000AABA0000}"/>
    <cellStyle name="Time 3 6" xfId="47787" xr:uid="{00000000-0005-0000-0000-0000ABBA0000}"/>
    <cellStyle name="Time 3 6 2" xfId="47788" xr:uid="{00000000-0005-0000-0000-0000ACBA0000}"/>
    <cellStyle name="Time 3 6 2 2" xfId="47789" xr:uid="{00000000-0005-0000-0000-0000ADBA0000}"/>
    <cellStyle name="Time 3 6 2 2 2" xfId="47790" xr:uid="{00000000-0005-0000-0000-0000AEBA0000}"/>
    <cellStyle name="Time 3 6 2 2 3" xfId="47791" xr:uid="{00000000-0005-0000-0000-0000AFBA0000}"/>
    <cellStyle name="Time 3 6 2 2 4" xfId="47792" xr:uid="{00000000-0005-0000-0000-0000B0BA0000}"/>
    <cellStyle name="Time 3 6 2 2 5" xfId="47793" xr:uid="{00000000-0005-0000-0000-0000B1BA0000}"/>
    <cellStyle name="Time 3 6 2 2 6" xfId="47794" xr:uid="{00000000-0005-0000-0000-0000B2BA0000}"/>
    <cellStyle name="Time 3 6 2 3" xfId="47795" xr:uid="{00000000-0005-0000-0000-0000B3BA0000}"/>
    <cellStyle name="Time 3 6 2 4" xfId="47796" xr:uid="{00000000-0005-0000-0000-0000B4BA0000}"/>
    <cellStyle name="Time 3 6 2 5" xfId="47797" xr:uid="{00000000-0005-0000-0000-0000B5BA0000}"/>
    <cellStyle name="Time 3 6 2 6" xfId="47798" xr:uid="{00000000-0005-0000-0000-0000B6BA0000}"/>
    <cellStyle name="Time 3 6 3" xfId="47799" xr:uid="{00000000-0005-0000-0000-0000B7BA0000}"/>
    <cellStyle name="Time 3 6 3 2" xfId="47800" xr:uid="{00000000-0005-0000-0000-0000B8BA0000}"/>
    <cellStyle name="Time 3 6 3 2 2" xfId="47801" xr:uid="{00000000-0005-0000-0000-0000B9BA0000}"/>
    <cellStyle name="Time 3 6 3 2 3" xfId="47802" xr:uid="{00000000-0005-0000-0000-0000BABA0000}"/>
    <cellStyle name="Time 3 6 3 2 4" xfId="47803" xr:uid="{00000000-0005-0000-0000-0000BBBA0000}"/>
    <cellStyle name="Time 3 6 3 2 5" xfId="47804" xr:uid="{00000000-0005-0000-0000-0000BCBA0000}"/>
    <cellStyle name="Time 3 6 3 2 6" xfId="47805" xr:uid="{00000000-0005-0000-0000-0000BDBA0000}"/>
    <cellStyle name="Time 3 6 3 3" xfId="47806" xr:uid="{00000000-0005-0000-0000-0000BEBA0000}"/>
    <cellStyle name="Time 3 6 3 4" xfId="47807" xr:uid="{00000000-0005-0000-0000-0000BFBA0000}"/>
    <cellStyle name="Time 3 6 3 5" xfId="47808" xr:uid="{00000000-0005-0000-0000-0000C0BA0000}"/>
    <cellStyle name="Time 3 6 3 6" xfId="47809" xr:uid="{00000000-0005-0000-0000-0000C1BA0000}"/>
    <cellStyle name="Time 3 6 4" xfId="47810" xr:uid="{00000000-0005-0000-0000-0000C2BA0000}"/>
    <cellStyle name="Time 3 6 4 2" xfId="47811" xr:uid="{00000000-0005-0000-0000-0000C3BA0000}"/>
    <cellStyle name="Time 3 6 4 3" xfId="47812" xr:uid="{00000000-0005-0000-0000-0000C4BA0000}"/>
    <cellStyle name="Time 3 6 4 4" xfId="47813" xr:uid="{00000000-0005-0000-0000-0000C5BA0000}"/>
    <cellStyle name="Time 3 6 4 5" xfId="47814" xr:uid="{00000000-0005-0000-0000-0000C6BA0000}"/>
    <cellStyle name="Time 3 6 4 6" xfId="47815" xr:uid="{00000000-0005-0000-0000-0000C7BA0000}"/>
    <cellStyle name="Time 3 6 5" xfId="47816" xr:uid="{00000000-0005-0000-0000-0000C8BA0000}"/>
    <cellStyle name="Time 3 6 6" xfId="47817" xr:uid="{00000000-0005-0000-0000-0000C9BA0000}"/>
    <cellStyle name="Time 3 6 7" xfId="47818" xr:uid="{00000000-0005-0000-0000-0000CABA0000}"/>
    <cellStyle name="Time 3 6 8" xfId="47819" xr:uid="{00000000-0005-0000-0000-0000CBBA0000}"/>
    <cellStyle name="Time 3 7" xfId="47820" xr:uid="{00000000-0005-0000-0000-0000CCBA0000}"/>
    <cellStyle name="Time 3 7 2" xfId="47821" xr:uid="{00000000-0005-0000-0000-0000CDBA0000}"/>
    <cellStyle name="Time 3 7 2 2" xfId="47822" xr:uid="{00000000-0005-0000-0000-0000CEBA0000}"/>
    <cellStyle name="Time 3 7 2 3" xfId="47823" xr:uid="{00000000-0005-0000-0000-0000CFBA0000}"/>
    <cellStyle name="Time 3 7 2 4" xfId="47824" xr:uid="{00000000-0005-0000-0000-0000D0BA0000}"/>
    <cellStyle name="Time 3 7 2 5" xfId="47825" xr:uid="{00000000-0005-0000-0000-0000D1BA0000}"/>
    <cellStyle name="Time 3 7 2 6" xfId="47826" xr:uid="{00000000-0005-0000-0000-0000D2BA0000}"/>
    <cellStyle name="Time 3 7 3" xfId="47827" xr:uid="{00000000-0005-0000-0000-0000D3BA0000}"/>
    <cellStyle name="Time 3 7 4" xfId="47828" xr:uid="{00000000-0005-0000-0000-0000D4BA0000}"/>
    <cellStyle name="Time 3 7 5" xfId="47829" xr:uid="{00000000-0005-0000-0000-0000D5BA0000}"/>
    <cellStyle name="Time 3 7 6" xfId="47830" xr:uid="{00000000-0005-0000-0000-0000D6BA0000}"/>
    <cellStyle name="Time 3 8" xfId="47831" xr:uid="{00000000-0005-0000-0000-0000D7BA0000}"/>
    <cellStyle name="Time 3 8 2" xfId="47832" xr:uid="{00000000-0005-0000-0000-0000D8BA0000}"/>
    <cellStyle name="Time 3 8 2 2" xfId="47833" xr:uid="{00000000-0005-0000-0000-0000D9BA0000}"/>
    <cellStyle name="Time 3 8 2 3" xfId="47834" xr:uid="{00000000-0005-0000-0000-0000DABA0000}"/>
    <cellStyle name="Time 3 8 2 4" xfId="47835" xr:uid="{00000000-0005-0000-0000-0000DBBA0000}"/>
    <cellStyle name="Time 3 8 2 5" xfId="47836" xr:uid="{00000000-0005-0000-0000-0000DCBA0000}"/>
    <cellStyle name="Time 3 8 2 6" xfId="47837" xr:uid="{00000000-0005-0000-0000-0000DDBA0000}"/>
    <cellStyle name="Time 3 8 3" xfId="47838" xr:uid="{00000000-0005-0000-0000-0000DEBA0000}"/>
    <cellStyle name="Time 3 8 4" xfId="47839" xr:uid="{00000000-0005-0000-0000-0000DFBA0000}"/>
    <cellStyle name="Time 3 8 5" xfId="47840" xr:uid="{00000000-0005-0000-0000-0000E0BA0000}"/>
    <cellStyle name="Time 3 8 6" xfId="47841" xr:uid="{00000000-0005-0000-0000-0000E1BA0000}"/>
    <cellStyle name="Time 3 9" xfId="47842" xr:uid="{00000000-0005-0000-0000-0000E2BA0000}"/>
    <cellStyle name="Time 3 9 2" xfId="47843" xr:uid="{00000000-0005-0000-0000-0000E3BA0000}"/>
    <cellStyle name="Time 3 9 3" xfId="47844" xr:uid="{00000000-0005-0000-0000-0000E4BA0000}"/>
    <cellStyle name="Time 3 9 4" xfId="47845" xr:uid="{00000000-0005-0000-0000-0000E5BA0000}"/>
    <cellStyle name="Time 3 9 5" xfId="47846" xr:uid="{00000000-0005-0000-0000-0000E6BA0000}"/>
    <cellStyle name="Time 3 9 6" xfId="47847" xr:uid="{00000000-0005-0000-0000-0000E7BA0000}"/>
    <cellStyle name="Time 4" xfId="47848" xr:uid="{00000000-0005-0000-0000-0000E8BA0000}"/>
    <cellStyle name="Time 4 2" xfId="47849" xr:uid="{00000000-0005-0000-0000-0000E9BA0000}"/>
    <cellStyle name="Time 4 2 2" xfId="47850" xr:uid="{00000000-0005-0000-0000-0000EABA0000}"/>
    <cellStyle name="Time 4 2 2 2" xfId="47851" xr:uid="{00000000-0005-0000-0000-0000EBBA0000}"/>
    <cellStyle name="Time 4 2 2 3" xfId="47852" xr:uid="{00000000-0005-0000-0000-0000ECBA0000}"/>
    <cellStyle name="Time 4 2 2 4" xfId="47853" xr:uid="{00000000-0005-0000-0000-0000EDBA0000}"/>
    <cellStyle name="Time 4 2 2 5" xfId="47854" xr:uid="{00000000-0005-0000-0000-0000EEBA0000}"/>
    <cellStyle name="Time 4 2 2 6" xfId="47855" xr:uid="{00000000-0005-0000-0000-0000EFBA0000}"/>
    <cellStyle name="Time 4 2 3" xfId="47856" xr:uid="{00000000-0005-0000-0000-0000F0BA0000}"/>
    <cellStyle name="Time 4 2 4" xfId="47857" xr:uid="{00000000-0005-0000-0000-0000F1BA0000}"/>
    <cellStyle name="Time 4 2 5" xfId="47858" xr:uid="{00000000-0005-0000-0000-0000F2BA0000}"/>
    <cellStyle name="Time 4 2 6" xfId="47859" xr:uid="{00000000-0005-0000-0000-0000F3BA0000}"/>
    <cellStyle name="Time 4 3" xfId="47860" xr:uid="{00000000-0005-0000-0000-0000F4BA0000}"/>
    <cellStyle name="Time 4 3 2" xfId="47861" xr:uid="{00000000-0005-0000-0000-0000F5BA0000}"/>
    <cellStyle name="Time 4 3 2 2" xfId="47862" xr:uid="{00000000-0005-0000-0000-0000F6BA0000}"/>
    <cellStyle name="Time 4 3 2 3" xfId="47863" xr:uid="{00000000-0005-0000-0000-0000F7BA0000}"/>
    <cellStyle name="Time 4 3 2 4" xfId="47864" xr:uid="{00000000-0005-0000-0000-0000F8BA0000}"/>
    <cellStyle name="Time 4 3 2 5" xfId="47865" xr:uid="{00000000-0005-0000-0000-0000F9BA0000}"/>
    <cellStyle name="Time 4 3 2 6" xfId="47866" xr:uid="{00000000-0005-0000-0000-0000FABA0000}"/>
    <cellStyle name="Time 4 3 3" xfId="47867" xr:uid="{00000000-0005-0000-0000-0000FBBA0000}"/>
    <cellStyle name="Time 4 3 4" xfId="47868" xr:uid="{00000000-0005-0000-0000-0000FCBA0000}"/>
    <cellStyle name="Time 4 3 5" xfId="47869" xr:uid="{00000000-0005-0000-0000-0000FDBA0000}"/>
    <cellStyle name="Time 4 3 6" xfId="47870" xr:uid="{00000000-0005-0000-0000-0000FEBA0000}"/>
    <cellStyle name="Time 4 4" xfId="47871" xr:uid="{00000000-0005-0000-0000-0000FFBA0000}"/>
    <cellStyle name="Time 4 4 2" xfId="47872" xr:uid="{00000000-0005-0000-0000-000000BB0000}"/>
    <cellStyle name="Time 4 4 3" xfId="47873" xr:uid="{00000000-0005-0000-0000-000001BB0000}"/>
    <cellStyle name="Time 4 4 4" xfId="47874" xr:uid="{00000000-0005-0000-0000-000002BB0000}"/>
    <cellStyle name="Time 4 4 5" xfId="47875" xr:uid="{00000000-0005-0000-0000-000003BB0000}"/>
    <cellStyle name="Time 4 4 6" xfId="47876" xr:uid="{00000000-0005-0000-0000-000004BB0000}"/>
    <cellStyle name="Time 4 5" xfId="47877" xr:uid="{00000000-0005-0000-0000-000005BB0000}"/>
    <cellStyle name="Time 4 6" xfId="47878" xr:uid="{00000000-0005-0000-0000-000006BB0000}"/>
    <cellStyle name="Time 4 7" xfId="47879" xr:uid="{00000000-0005-0000-0000-000007BB0000}"/>
    <cellStyle name="Time 4 8" xfId="47880" xr:uid="{00000000-0005-0000-0000-000008BB0000}"/>
    <cellStyle name="Time 5" xfId="47881" xr:uid="{00000000-0005-0000-0000-000009BB0000}"/>
    <cellStyle name="Time 5 2" xfId="47882" xr:uid="{00000000-0005-0000-0000-00000ABB0000}"/>
    <cellStyle name="Time 5 2 2" xfId="47883" xr:uid="{00000000-0005-0000-0000-00000BBB0000}"/>
    <cellStyle name="Time 5 2 2 2" xfId="47884" xr:uid="{00000000-0005-0000-0000-00000CBB0000}"/>
    <cellStyle name="Time 5 2 2 3" xfId="47885" xr:uid="{00000000-0005-0000-0000-00000DBB0000}"/>
    <cellStyle name="Time 5 2 2 4" xfId="47886" xr:uid="{00000000-0005-0000-0000-00000EBB0000}"/>
    <cellStyle name="Time 5 2 2 5" xfId="47887" xr:uid="{00000000-0005-0000-0000-00000FBB0000}"/>
    <cellStyle name="Time 5 2 2 6" xfId="47888" xr:uid="{00000000-0005-0000-0000-000010BB0000}"/>
    <cellStyle name="Time 5 2 3" xfId="47889" xr:uid="{00000000-0005-0000-0000-000011BB0000}"/>
    <cellStyle name="Time 5 2 4" xfId="47890" xr:uid="{00000000-0005-0000-0000-000012BB0000}"/>
    <cellStyle name="Time 5 2 5" xfId="47891" xr:uid="{00000000-0005-0000-0000-000013BB0000}"/>
    <cellStyle name="Time 5 2 6" xfId="47892" xr:uid="{00000000-0005-0000-0000-000014BB0000}"/>
    <cellStyle name="Time 5 3" xfId="47893" xr:uid="{00000000-0005-0000-0000-000015BB0000}"/>
    <cellStyle name="Time 5 3 2" xfId="47894" xr:uid="{00000000-0005-0000-0000-000016BB0000}"/>
    <cellStyle name="Time 5 3 2 2" xfId="47895" xr:uid="{00000000-0005-0000-0000-000017BB0000}"/>
    <cellStyle name="Time 5 3 2 3" xfId="47896" xr:uid="{00000000-0005-0000-0000-000018BB0000}"/>
    <cellStyle name="Time 5 3 2 4" xfId="47897" xr:uid="{00000000-0005-0000-0000-000019BB0000}"/>
    <cellStyle name="Time 5 3 2 5" xfId="47898" xr:uid="{00000000-0005-0000-0000-00001ABB0000}"/>
    <cellStyle name="Time 5 3 2 6" xfId="47899" xr:uid="{00000000-0005-0000-0000-00001BBB0000}"/>
    <cellStyle name="Time 5 3 3" xfId="47900" xr:uid="{00000000-0005-0000-0000-00001CBB0000}"/>
    <cellStyle name="Time 5 3 4" xfId="47901" xr:uid="{00000000-0005-0000-0000-00001DBB0000}"/>
    <cellStyle name="Time 5 3 5" xfId="47902" xr:uid="{00000000-0005-0000-0000-00001EBB0000}"/>
    <cellStyle name="Time 5 3 6" xfId="47903" xr:uid="{00000000-0005-0000-0000-00001FBB0000}"/>
    <cellStyle name="Time 5 4" xfId="47904" xr:uid="{00000000-0005-0000-0000-000020BB0000}"/>
    <cellStyle name="Time 5 4 2" xfId="47905" xr:uid="{00000000-0005-0000-0000-000021BB0000}"/>
    <cellStyle name="Time 5 4 3" xfId="47906" xr:uid="{00000000-0005-0000-0000-000022BB0000}"/>
    <cellStyle name="Time 5 4 4" xfId="47907" xr:uid="{00000000-0005-0000-0000-000023BB0000}"/>
    <cellStyle name="Time 5 4 5" xfId="47908" xr:uid="{00000000-0005-0000-0000-000024BB0000}"/>
    <cellStyle name="Time 5 4 6" xfId="47909" xr:uid="{00000000-0005-0000-0000-000025BB0000}"/>
    <cellStyle name="Time 5 5" xfId="47910" xr:uid="{00000000-0005-0000-0000-000026BB0000}"/>
    <cellStyle name="Time 5 6" xfId="47911" xr:uid="{00000000-0005-0000-0000-000027BB0000}"/>
    <cellStyle name="Time 5 7" xfId="47912" xr:uid="{00000000-0005-0000-0000-000028BB0000}"/>
    <cellStyle name="Time 5 8" xfId="47913" xr:uid="{00000000-0005-0000-0000-000029BB0000}"/>
    <cellStyle name="Time 6" xfId="47914" xr:uid="{00000000-0005-0000-0000-00002ABB0000}"/>
    <cellStyle name="Time 6 2" xfId="47915" xr:uid="{00000000-0005-0000-0000-00002BBB0000}"/>
    <cellStyle name="Time 6 2 2" xfId="47916" xr:uid="{00000000-0005-0000-0000-00002CBB0000}"/>
    <cellStyle name="Time 6 2 2 2" xfId="47917" xr:uid="{00000000-0005-0000-0000-00002DBB0000}"/>
    <cellStyle name="Time 6 2 2 3" xfId="47918" xr:uid="{00000000-0005-0000-0000-00002EBB0000}"/>
    <cellStyle name="Time 6 2 2 4" xfId="47919" xr:uid="{00000000-0005-0000-0000-00002FBB0000}"/>
    <cellStyle name="Time 6 2 2 5" xfId="47920" xr:uid="{00000000-0005-0000-0000-000030BB0000}"/>
    <cellStyle name="Time 6 2 2 6" xfId="47921" xr:uid="{00000000-0005-0000-0000-000031BB0000}"/>
    <cellStyle name="Time 6 2 3" xfId="47922" xr:uid="{00000000-0005-0000-0000-000032BB0000}"/>
    <cellStyle name="Time 6 2 4" xfId="47923" xr:uid="{00000000-0005-0000-0000-000033BB0000}"/>
    <cellStyle name="Time 6 2 5" xfId="47924" xr:uid="{00000000-0005-0000-0000-000034BB0000}"/>
    <cellStyle name="Time 6 2 6" xfId="47925" xr:uid="{00000000-0005-0000-0000-000035BB0000}"/>
    <cellStyle name="Time 6 3" xfId="47926" xr:uid="{00000000-0005-0000-0000-000036BB0000}"/>
    <cellStyle name="Time 6 3 2" xfId="47927" xr:uid="{00000000-0005-0000-0000-000037BB0000}"/>
    <cellStyle name="Time 6 3 2 2" xfId="47928" xr:uid="{00000000-0005-0000-0000-000038BB0000}"/>
    <cellStyle name="Time 6 3 2 3" xfId="47929" xr:uid="{00000000-0005-0000-0000-000039BB0000}"/>
    <cellStyle name="Time 6 3 2 4" xfId="47930" xr:uid="{00000000-0005-0000-0000-00003ABB0000}"/>
    <cellStyle name="Time 6 3 2 5" xfId="47931" xr:uid="{00000000-0005-0000-0000-00003BBB0000}"/>
    <cellStyle name="Time 6 3 2 6" xfId="47932" xr:uid="{00000000-0005-0000-0000-00003CBB0000}"/>
    <cellStyle name="Time 6 3 3" xfId="47933" xr:uid="{00000000-0005-0000-0000-00003DBB0000}"/>
    <cellStyle name="Time 6 3 4" xfId="47934" xr:uid="{00000000-0005-0000-0000-00003EBB0000}"/>
    <cellStyle name="Time 6 3 5" xfId="47935" xr:uid="{00000000-0005-0000-0000-00003FBB0000}"/>
    <cellStyle name="Time 6 3 6" xfId="47936" xr:uid="{00000000-0005-0000-0000-000040BB0000}"/>
    <cellStyle name="Time 6 4" xfId="47937" xr:uid="{00000000-0005-0000-0000-000041BB0000}"/>
    <cellStyle name="Time 6 4 2" xfId="47938" xr:uid="{00000000-0005-0000-0000-000042BB0000}"/>
    <cellStyle name="Time 6 4 3" xfId="47939" xr:uid="{00000000-0005-0000-0000-000043BB0000}"/>
    <cellStyle name="Time 6 4 4" xfId="47940" xr:uid="{00000000-0005-0000-0000-000044BB0000}"/>
    <cellStyle name="Time 6 4 5" xfId="47941" xr:uid="{00000000-0005-0000-0000-000045BB0000}"/>
    <cellStyle name="Time 6 4 6" xfId="47942" xr:uid="{00000000-0005-0000-0000-000046BB0000}"/>
    <cellStyle name="Time 6 5" xfId="47943" xr:uid="{00000000-0005-0000-0000-000047BB0000}"/>
    <cellStyle name="Time 6 6" xfId="47944" xr:uid="{00000000-0005-0000-0000-000048BB0000}"/>
    <cellStyle name="Time 6 7" xfId="47945" xr:uid="{00000000-0005-0000-0000-000049BB0000}"/>
    <cellStyle name="Time 6 8" xfId="47946" xr:uid="{00000000-0005-0000-0000-00004ABB0000}"/>
    <cellStyle name="Time 7" xfId="47947" xr:uid="{00000000-0005-0000-0000-00004BBB0000}"/>
    <cellStyle name="Time 7 2" xfId="47948" xr:uid="{00000000-0005-0000-0000-00004CBB0000}"/>
    <cellStyle name="Time 7 2 2" xfId="47949" xr:uid="{00000000-0005-0000-0000-00004DBB0000}"/>
    <cellStyle name="Time 7 2 3" xfId="47950" xr:uid="{00000000-0005-0000-0000-00004EBB0000}"/>
    <cellStyle name="Time 7 2 4" xfId="47951" xr:uid="{00000000-0005-0000-0000-00004FBB0000}"/>
    <cellStyle name="Time 7 2 5" xfId="47952" xr:uid="{00000000-0005-0000-0000-000050BB0000}"/>
    <cellStyle name="Time 7 2 6" xfId="47953" xr:uid="{00000000-0005-0000-0000-000051BB0000}"/>
    <cellStyle name="Time 7 3" xfId="47954" xr:uid="{00000000-0005-0000-0000-000052BB0000}"/>
    <cellStyle name="Time 7 4" xfId="47955" xr:uid="{00000000-0005-0000-0000-000053BB0000}"/>
    <cellStyle name="Time 7 5" xfId="47956" xr:uid="{00000000-0005-0000-0000-000054BB0000}"/>
    <cellStyle name="Time 7 6" xfId="47957" xr:uid="{00000000-0005-0000-0000-000055BB0000}"/>
    <cellStyle name="Time 8" xfId="47958" xr:uid="{00000000-0005-0000-0000-000056BB0000}"/>
    <cellStyle name="Time 8 2" xfId="47959" xr:uid="{00000000-0005-0000-0000-000057BB0000}"/>
    <cellStyle name="Time 8 2 2" xfId="47960" xr:uid="{00000000-0005-0000-0000-000058BB0000}"/>
    <cellStyle name="Time 8 2 3" xfId="47961" xr:uid="{00000000-0005-0000-0000-000059BB0000}"/>
    <cellStyle name="Time 8 2 4" xfId="47962" xr:uid="{00000000-0005-0000-0000-00005ABB0000}"/>
    <cellStyle name="Time 8 2 5" xfId="47963" xr:uid="{00000000-0005-0000-0000-00005BBB0000}"/>
    <cellStyle name="Time 8 2 6" xfId="47964" xr:uid="{00000000-0005-0000-0000-00005CBB0000}"/>
    <cellStyle name="Time 8 3" xfId="47965" xr:uid="{00000000-0005-0000-0000-00005DBB0000}"/>
    <cellStyle name="Time 8 4" xfId="47966" xr:uid="{00000000-0005-0000-0000-00005EBB0000}"/>
    <cellStyle name="Time 8 5" xfId="47967" xr:uid="{00000000-0005-0000-0000-00005FBB0000}"/>
    <cellStyle name="Time 8 6" xfId="47968" xr:uid="{00000000-0005-0000-0000-000060BB0000}"/>
    <cellStyle name="Time 9" xfId="47969" xr:uid="{00000000-0005-0000-0000-000061BB0000}"/>
    <cellStyle name="Time 9 2" xfId="47970" xr:uid="{00000000-0005-0000-0000-000062BB0000}"/>
    <cellStyle name="Time 9 3" xfId="47971" xr:uid="{00000000-0005-0000-0000-000063BB0000}"/>
    <cellStyle name="Time 9 4" xfId="47972" xr:uid="{00000000-0005-0000-0000-000064BB0000}"/>
    <cellStyle name="Time 9 5" xfId="47973" xr:uid="{00000000-0005-0000-0000-000065BB0000}"/>
    <cellStyle name="Time 9 6" xfId="47974" xr:uid="{00000000-0005-0000-0000-000066BB0000}"/>
    <cellStyle name="Times New Roman" xfId="47975" xr:uid="{00000000-0005-0000-0000-000067BB0000}"/>
    <cellStyle name="Title 2" xfId="47976" xr:uid="{00000000-0005-0000-0000-000068BB0000}"/>
    <cellStyle name="Title 2 2" xfId="47977" xr:uid="{00000000-0005-0000-0000-000069BB0000}"/>
    <cellStyle name="Title 3" xfId="47978" xr:uid="{00000000-0005-0000-0000-00006ABB0000}"/>
    <cellStyle name="Title 3 2" xfId="47979" xr:uid="{00000000-0005-0000-0000-00006BBB0000}"/>
    <cellStyle name="Title 4" xfId="47980" xr:uid="{00000000-0005-0000-0000-00006CBB0000}"/>
    <cellStyle name="Titles" xfId="47981" xr:uid="{00000000-0005-0000-0000-00006DBB0000}"/>
    <cellStyle name="Total 2" xfId="47982" xr:uid="{00000000-0005-0000-0000-00006EBB0000}"/>
    <cellStyle name="Total 2 10" xfId="47983" xr:uid="{00000000-0005-0000-0000-00006FBB0000}"/>
    <cellStyle name="Total 2 10 2" xfId="47984" xr:uid="{00000000-0005-0000-0000-000070BB0000}"/>
    <cellStyle name="Total 2 10 2 2" xfId="47985" xr:uid="{00000000-0005-0000-0000-000071BB0000}"/>
    <cellStyle name="Total 2 10 2 3" xfId="47986" xr:uid="{00000000-0005-0000-0000-000072BB0000}"/>
    <cellStyle name="Total 2 10 2 4" xfId="47987" xr:uid="{00000000-0005-0000-0000-000073BB0000}"/>
    <cellStyle name="Total 2 10 2 5" xfId="47988" xr:uid="{00000000-0005-0000-0000-000074BB0000}"/>
    <cellStyle name="Total 2 10 3" xfId="47989" xr:uid="{00000000-0005-0000-0000-000075BB0000}"/>
    <cellStyle name="Total 2 10 4" xfId="47990" xr:uid="{00000000-0005-0000-0000-000076BB0000}"/>
    <cellStyle name="Total 2 10 5" xfId="47991" xr:uid="{00000000-0005-0000-0000-000077BB0000}"/>
    <cellStyle name="Total 2 10 6" xfId="47992" xr:uid="{00000000-0005-0000-0000-000078BB0000}"/>
    <cellStyle name="Total 2 11" xfId="47993" xr:uid="{00000000-0005-0000-0000-000079BB0000}"/>
    <cellStyle name="Total 2 11 2" xfId="47994" xr:uid="{00000000-0005-0000-0000-00007ABB0000}"/>
    <cellStyle name="Total 2 11 2 2" xfId="47995" xr:uid="{00000000-0005-0000-0000-00007BBB0000}"/>
    <cellStyle name="Total 2 11 2 3" xfId="47996" xr:uid="{00000000-0005-0000-0000-00007CBB0000}"/>
    <cellStyle name="Total 2 11 2 4" xfId="47997" xr:uid="{00000000-0005-0000-0000-00007DBB0000}"/>
    <cellStyle name="Total 2 11 2 5" xfId="47998" xr:uid="{00000000-0005-0000-0000-00007EBB0000}"/>
    <cellStyle name="Total 2 11 3" xfId="47999" xr:uid="{00000000-0005-0000-0000-00007FBB0000}"/>
    <cellStyle name="Total 2 11 4" xfId="48000" xr:uid="{00000000-0005-0000-0000-000080BB0000}"/>
    <cellStyle name="Total 2 11 5" xfId="48001" xr:uid="{00000000-0005-0000-0000-000081BB0000}"/>
    <cellStyle name="Total 2 11 6" xfId="48002" xr:uid="{00000000-0005-0000-0000-000082BB0000}"/>
    <cellStyle name="Total 2 12" xfId="48003" xr:uid="{00000000-0005-0000-0000-000083BB0000}"/>
    <cellStyle name="Total 2 12 2" xfId="48004" xr:uid="{00000000-0005-0000-0000-000084BB0000}"/>
    <cellStyle name="Total 2 12 2 2" xfId="48005" xr:uid="{00000000-0005-0000-0000-000085BB0000}"/>
    <cellStyle name="Total 2 12 2 3" xfId="48006" xr:uid="{00000000-0005-0000-0000-000086BB0000}"/>
    <cellStyle name="Total 2 12 2 4" xfId="48007" xr:uid="{00000000-0005-0000-0000-000087BB0000}"/>
    <cellStyle name="Total 2 12 2 5" xfId="48008" xr:uid="{00000000-0005-0000-0000-000088BB0000}"/>
    <cellStyle name="Total 2 12 3" xfId="48009" xr:uid="{00000000-0005-0000-0000-000089BB0000}"/>
    <cellStyle name="Total 2 12 4" xfId="48010" xr:uid="{00000000-0005-0000-0000-00008ABB0000}"/>
    <cellStyle name="Total 2 12 5" xfId="48011" xr:uid="{00000000-0005-0000-0000-00008BBB0000}"/>
    <cellStyle name="Total 2 12 6" xfId="48012" xr:uid="{00000000-0005-0000-0000-00008CBB0000}"/>
    <cellStyle name="Total 2 13" xfId="48013" xr:uid="{00000000-0005-0000-0000-00008DBB0000}"/>
    <cellStyle name="Total 2 13 2" xfId="48014" xr:uid="{00000000-0005-0000-0000-00008EBB0000}"/>
    <cellStyle name="Total 2 13 2 2" xfId="48015" xr:uid="{00000000-0005-0000-0000-00008FBB0000}"/>
    <cellStyle name="Total 2 13 2 3" xfId="48016" xr:uid="{00000000-0005-0000-0000-000090BB0000}"/>
    <cellStyle name="Total 2 13 2 4" xfId="48017" xr:uid="{00000000-0005-0000-0000-000091BB0000}"/>
    <cellStyle name="Total 2 13 2 5" xfId="48018" xr:uid="{00000000-0005-0000-0000-000092BB0000}"/>
    <cellStyle name="Total 2 13 3" xfId="48019" xr:uid="{00000000-0005-0000-0000-000093BB0000}"/>
    <cellStyle name="Total 2 13 4" xfId="48020" xr:uid="{00000000-0005-0000-0000-000094BB0000}"/>
    <cellStyle name="Total 2 13 5" xfId="48021" xr:uid="{00000000-0005-0000-0000-000095BB0000}"/>
    <cellStyle name="Total 2 13 6" xfId="48022" xr:uid="{00000000-0005-0000-0000-000096BB0000}"/>
    <cellStyle name="Total 2 14" xfId="48023" xr:uid="{00000000-0005-0000-0000-000097BB0000}"/>
    <cellStyle name="Total 2 14 2" xfId="48024" xr:uid="{00000000-0005-0000-0000-000098BB0000}"/>
    <cellStyle name="Total 2 14 2 2" xfId="48025" xr:uid="{00000000-0005-0000-0000-000099BB0000}"/>
    <cellStyle name="Total 2 14 2 3" xfId="48026" xr:uid="{00000000-0005-0000-0000-00009ABB0000}"/>
    <cellStyle name="Total 2 14 2 4" xfId="48027" xr:uid="{00000000-0005-0000-0000-00009BBB0000}"/>
    <cellStyle name="Total 2 14 2 5" xfId="48028" xr:uid="{00000000-0005-0000-0000-00009CBB0000}"/>
    <cellStyle name="Total 2 14 3" xfId="48029" xr:uid="{00000000-0005-0000-0000-00009DBB0000}"/>
    <cellStyle name="Total 2 14 4" xfId="48030" xr:uid="{00000000-0005-0000-0000-00009EBB0000}"/>
    <cellStyle name="Total 2 14 5" xfId="48031" xr:uid="{00000000-0005-0000-0000-00009FBB0000}"/>
    <cellStyle name="Total 2 14 6" xfId="48032" xr:uid="{00000000-0005-0000-0000-0000A0BB0000}"/>
    <cellStyle name="Total 2 15" xfId="48033" xr:uid="{00000000-0005-0000-0000-0000A1BB0000}"/>
    <cellStyle name="Total 2 15 2" xfId="48034" xr:uid="{00000000-0005-0000-0000-0000A2BB0000}"/>
    <cellStyle name="Total 2 15 2 2" xfId="48035" xr:uid="{00000000-0005-0000-0000-0000A3BB0000}"/>
    <cellStyle name="Total 2 15 2 3" xfId="48036" xr:uid="{00000000-0005-0000-0000-0000A4BB0000}"/>
    <cellStyle name="Total 2 15 2 4" xfId="48037" xr:uid="{00000000-0005-0000-0000-0000A5BB0000}"/>
    <cellStyle name="Total 2 15 2 5" xfId="48038" xr:uid="{00000000-0005-0000-0000-0000A6BB0000}"/>
    <cellStyle name="Total 2 15 3" xfId="48039" xr:uid="{00000000-0005-0000-0000-0000A7BB0000}"/>
    <cellStyle name="Total 2 15 4" xfId="48040" xr:uid="{00000000-0005-0000-0000-0000A8BB0000}"/>
    <cellStyle name="Total 2 15 5" xfId="48041" xr:uid="{00000000-0005-0000-0000-0000A9BB0000}"/>
    <cellStyle name="Total 2 15 6" xfId="48042" xr:uid="{00000000-0005-0000-0000-0000AABB0000}"/>
    <cellStyle name="Total 2 16" xfId="48043" xr:uid="{00000000-0005-0000-0000-0000ABBB0000}"/>
    <cellStyle name="Total 2 16 2" xfId="48044" xr:uid="{00000000-0005-0000-0000-0000ACBB0000}"/>
    <cellStyle name="Total 2 16 2 2" xfId="48045" xr:uid="{00000000-0005-0000-0000-0000ADBB0000}"/>
    <cellStyle name="Total 2 16 2 3" xfId="48046" xr:uid="{00000000-0005-0000-0000-0000AEBB0000}"/>
    <cellStyle name="Total 2 16 2 4" xfId="48047" xr:uid="{00000000-0005-0000-0000-0000AFBB0000}"/>
    <cellStyle name="Total 2 16 2 5" xfId="48048" xr:uid="{00000000-0005-0000-0000-0000B0BB0000}"/>
    <cellStyle name="Total 2 16 3" xfId="48049" xr:uid="{00000000-0005-0000-0000-0000B1BB0000}"/>
    <cellStyle name="Total 2 16 4" xfId="48050" xr:uid="{00000000-0005-0000-0000-0000B2BB0000}"/>
    <cellStyle name="Total 2 16 5" xfId="48051" xr:uid="{00000000-0005-0000-0000-0000B3BB0000}"/>
    <cellStyle name="Total 2 16 6" xfId="48052" xr:uid="{00000000-0005-0000-0000-0000B4BB0000}"/>
    <cellStyle name="Total 2 17" xfId="48053" xr:uid="{00000000-0005-0000-0000-0000B5BB0000}"/>
    <cellStyle name="Total 2 17 2" xfId="48054" xr:uid="{00000000-0005-0000-0000-0000B6BB0000}"/>
    <cellStyle name="Total 2 17 2 2" xfId="48055" xr:uid="{00000000-0005-0000-0000-0000B7BB0000}"/>
    <cellStyle name="Total 2 17 2 3" xfId="48056" xr:uid="{00000000-0005-0000-0000-0000B8BB0000}"/>
    <cellStyle name="Total 2 17 2 4" xfId="48057" xr:uid="{00000000-0005-0000-0000-0000B9BB0000}"/>
    <cellStyle name="Total 2 17 2 5" xfId="48058" xr:uid="{00000000-0005-0000-0000-0000BABB0000}"/>
    <cellStyle name="Total 2 17 3" xfId="48059" xr:uid="{00000000-0005-0000-0000-0000BBBB0000}"/>
    <cellStyle name="Total 2 17 4" xfId="48060" xr:uid="{00000000-0005-0000-0000-0000BCBB0000}"/>
    <cellStyle name="Total 2 17 5" xfId="48061" xr:uid="{00000000-0005-0000-0000-0000BDBB0000}"/>
    <cellStyle name="Total 2 17 6" xfId="48062" xr:uid="{00000000-0005-0000-0000-0000BEBB0000}"/>
    <cellStyle name="Total 2 18" xfId="48063" xr:uid="{00000000-0005-0000-0000-0000BFBB0000}"/>
    <cellStyle name="Total 2 18 2" xfId="48064" xr:uid="{00000000-0005-0000-0000-0000C0BB0000}"/>
    <cellStyle name="Total 2 18 2 2" xfId="48065" xr:uid="{00000000-0005-0000-0000-0000C1BB0000}"/>
    <cellStyle name="Total 2 18 2 3" xfId="48066" xr:uid="{00000000-0005-0000-0000-0000C2BB0000}"/>
    <cellStyle name="Total 2 18 2 4" xfId="48067" xr:uid="{00000000-0005-0000-0000-0000C3BB0000}"/>
    <cellStyle name="Total 2 18 2 5" xfId="48068" xr:uid="{00000000-0005-0000-0000-0000C4BB0000}"/>
    <cellStyle name="Total 2 18 3" xfId="48069" xr:uid="{00000000-0005-0000-0000-0000C5BB0000}"/>
    <cellStyle name="Total 2 18 4" xfId="48070" xr:uid="{00000000-0005-0000-0000-0000C6BB0000}"/>
    <cellStyle name="Total 2 18 5" xfId="48071" xr:uid="{00000000-0005-0000-0000-0000C7BB0000}"/>
    <cellStyle name="Total 2 18 6" xfId="48072" xr:uid="{00000000-0005-0000-0000-0000C8BB0000}"/>
    <cellStyle name="Total 2 19" xfId="48073" xr:uid="{00000000-0005-0000-0000-0000C9BB0000}"/>
    <cellStyle name="Total 2 19 2" xfId="48074" xr:uid="{00000000-0005-0000-0000-0000CABB0000}"/>
    <cellStyle name="Total 2 19 2 2" xfId="48075" xr:uid="{00000000-0005-0000-0000-0000CBBB0000}"/>
    <cellStyle name="Total 2 19 2 3" xfId="48076" xr:uid="{00000000-0005-0000-0000-0000CCBB0000}"/>
    <cellStyle name="Total 2 19 2 4" xfId="48077" xr:uid="{00000000-0005-0000-0000-0000CDBB0000}"/>
    <cellStyle name="Total 2 19 2 5" xfId="48078" xr:uid="{00000000-0005-0000-0000-0000CEBB0000}"/>
    <cellStyle name="Total 2 19 3" xfId="48079" xr:uid="{00000000-0005-0000-0000-0000CFBB0000}"/>
    <cellStyle name="Total 2 19 4" xfId="48080" xr:uid="{00000000-0005-0000-0000-0000D0BB0000}"/>
    <cellStyle name="Total 2 19 5" xfId="48081" xr:uid="{00000000-0005-0000-0000-0000D1BB0000}"/>
    <cellStyle name="Total 2 19 6" xfId="48082" xr:uid="{00000000-0005-0000-0000-0000D2BB0000}"/>
    <cellStyle name="Total 2 2" xfId="48083" xr:uid="{00000000-0005-0000-0000-0000D3BB0000}"/>
    <cellStyle name="Total 2 2 10" xfId="48084" xr:uid="{00000000-0005-0000-0000-0000D4BB0000}"/>
    <cellStyle name="Total 2 2 10 2" xfId="48085" xr:uid="{00000000-0005-0000-0000-0000D5BB0000}"/>
    <cellStyle name="Total 2 2 10 2 2" xfId="48086" xr:uid="{00000000-0005-0000-0000-0000D6BB0000}"/>
    <cellStyle name="Total 2 2 10 2 3" xfId="48087" xr:uid="{00000000-0005-0000-0000-0000D7BB0000}"/>
    <cellStyle name="Total 2 2 10 2 4" xfId="48088" xr:uid="{00000000-0005-0000-0000-0000D8BB0000}"/>
    <cellStyle name="Total 2 2 10 2 5" xfId="48089" xr:uid="{00000000-0005-0000-0000-0000D9BB0000}"/>
    <cellStyle name="Total 2 2 10 2 6" xfId="48090" xr:uid="{00000000-0005-0000-0000-0000DABB0000}"/>
    <cellStyle name="Total 2 2 10 3" xfId="48091" xr:uid="{00000000-0005-0000-0000-0000DBBB0000}"/>
    <cellStyle name="Total 2 2 10 4" xfId="48092" xr:uid="{00000000-0005-0000-0000-0000DCBB0000}"/>
    <cellStyle name="Total 2 2 10 5" xfId="48093" xr:uid="{00000000-0005-0000-0000-0000DDBB0000}"/>
    <cellStyle name="Total 2 2 10 6" xfId="48094" xr:uid="{00000000-0005-0000-0000-0000DEBB0000}"/>
    <cellStyle name="Total 2 2 10 7" xfId="48095" xr:uid="{00000000-0005-0000-0000-0000DFBB0000}"/>
    <cellStyle name="Total 2 2 11" xfId="48096" xr:uid="{00000000-0005-0000-0000-0000E0BB0000}"/>
    <cellStyle name="Total 2 2 11 2" xfId="48097" xr:uid="{00000000-0005-0000-0000-0000E1BB0000}"/>
    <cellStyle name="Total 2 2 11 2 2" xfId="48098" xr:uid="{00000000-0005-0000-0000-0000E2BB0000}"/>
    <cellStyle name="Total 2 2 11 2 3" xfId="48099" xr:uid="{00000000-0005-0000-0000-0000E3BB0000}"/>
    <cellStyle name="Total 2 2 11 2 4" xfId="48100" xr:uid="{00000000-0005-0000-0000-0000E4BB0000}"/>
    <cellStyle name="Total 2 2 11 2 5" xfId="48101" xr:uid="{00000000-0005-0000-0000-0000E5BB0000}"/>
    <cellStyle name="Total 2 2 11 2 6" xfId="48102" xr:uid="{00000000-0005-0000-0000-0000E6BB0000}"/>
    <cellStyle name="Total 2 2 11 3" xfId="48103" xr:uid="{00000000-0005-0000-0000-0000E7BB0000}"/>
    <cellStyle name="Total 2 2 11 4" xfId="48104" xr:uid="{00000000-0005-0000-0000-0000E8BB0000}"/>
    <cellStyle name="Total 2 2 11 5" xfId="48105" xr:uid="{00000000-0005-0000-0000-0000E9BB0000}"/>
    <cellStyle name="Total 2 2 11 6" xfId="48106" xr:uid="{00000000-0005-0000-0000-0000EABB0000}"/>
    <cellStyle name="Total 2 2 11 7" xfId="48107" xr:uid="{00000000-0005-0000-0000-0000EBBB0000}"/>
    <cellStyle name="Total 2 2 12" xfId="48108" xr:uid="{00000000-0005-0000-0000-0000ECBB0000}"/>
    <cellStyle name="Total 2 2 12 2" xfId="48109" xr:uid="{00000000-0005-0000-0000-0000EDBB0000}"/>
    <cellStyle name="Total 2 2 12 2 2" xfId="48110" xr:uid="{00000000-0005-0000-0000-0000EEBB0000}"/>
    <cellStyle name="Total 2 2 12 2 3" xfId="48111" xr:uid="{00000000-0005-0000-0000-0000EFBB0000}"/>
    <cellStyle name="Total 2 2 12 2 4" xfId="48112" xr:uid="{00000000-0005-0000-0000-0000F0BB0000}"/>
    <cellStyle name="Total 2 2 12 2 5" xfId="48113" xr:uid="{00000000-0005-0000-0000-0000F1BB0000}"/>
    <cellStyle name="Total 2 2 12 2 6" xfId="48114" xr:uid="{00000000-0005-0000-0000-0000F2BB0000}"/>
    <cellStyle name="Total 2 2 12 3" xfId="48115" xr:uid="{00000000-0005-0000-0000-0000F3BB0000}"/>
    <cellStyle name="Total 2 2 12 4" xfId="48116" xr:uid="{00000000-0005-0000-0000-0000F4BB0000}"/>
    <cellStyle name="Total 2 2 12 5" xfId="48117" xr:uid="{00000000-0005-0000-0000-0000F5BB0000}"/>
    <cellStyle name="Total 2 2 12 6" xfId="48118" xr:uid="{00000000-0005-0000-0000-0000F6BB0000}"/>
    <cellStyle name="Total 2 2 12 7" xfId="48119" xr:uid="{00000000-0005-0000-0000-0000F7BB0000}"/>
    <cellStyle name="Total 2 2 13" xfId="48120" xr:uid="{00000000-0005-0000-0000-0000F8BB0000}"/>
    <cellStyle name="Total 2 2 13 2" xfId="48121" xr:uid="{00000000-0005-0000-0000-0000F9BB0000}"/>
    <cellStyle name="Total 2 2 13 2 2" xfId="48122" xr:uid="{00000000-0005-0000-0000-0000FABB0000}"/>
    <cellStyle name="Total 2 2 13 2 3" xfId="48123" xr:uid="{00000000-0005-0000-0000-0000FBBB0000}"/>
    <cellStyle name="Total 2 2 13 2 4" xfId="48124" xr:uid="{00000000-0005-0000-0000-0000FCBB0000}"/>
    <cellStyle name="Total 2 2 13 2 5" xfId="48125" xr:uid="{00000000-0005-0000-0000-0000FDBB0000}"/>
    <cellStyle name="Total 2 2 13 2 6" xfId="48126" xr:uid="{00000000-0005-0000-0000-0000FEBB0000}"/>
    <cellStyle name="Total 2 2 13 3" xfId="48127" xr:uid="{00000000-0005-0000-0000-0000FFBB0000}"/>
    <cellStyle name="Total 2 2 13 4" xfId="48128" xr:uid="{00000000-0005-0000-0000-000000BC0000}"/>
    <cellStyle name="Total 2 2 13 5" xfId="48129" xr:uid="{00000000-0005-0000-0000-000001BC0000}"/>
    <cellStyle name="Total 2 2 13 6" xfId="48130" xr:uid="{00000000-0005-0000-0000-000002BC0000}"/>
    <cellStyle name="Total 2 2 13 7" xfId="48131" xr:uid="{00000000-0005-0000-0000-000003BC0000}"/>
    <cellStyle name="Total 2 2 14" xfId="48132" xr:uid="{00000000-0005-0000-0000-000004BC0000}"/>
    <cellStyle name="Total 2 2 14 2" xfId="48133" xr:uid="{00000000-0005-0000-0000-000005BC0000}"/>
    <cellStyle name="Total 2 2 14 2 2" xfId="48134" xr:uid="{00000000-0005-0000-0000-000006BC0000}"/>
    <cellStyle name="Total 2 2 14 2 3" xfId="48135" xr:uid="{00000000-0005-0000-0000-000007BC0000}"/>
    <cellStyle name="Total 2 2 14 2 4" xfId="48136" xr:uid="{00000000-0005-0000-0000-000008BC0000}"/>
    <cellStyle name="Total 2 2 14 2 5" xfId="48137" xr:uid="{00000000-0005-0000-0000-000009BC0000}"/>
    <cellStyle name="Total 2 2 14 2 6" xfId="48138" xr:uid="{00000000-0005-0000-0000-00000ABC0000}"/>
    <cellStyle name="Total 2 2 14 3" xfId="48139" xr:uid="{00000000-0005-0000-0000-00000BBC0000}"/>
    <cellStyle name="Total 2 2 14 4" xfId="48140" xr:uid="{00000000-0005-0000-0000-00000CBC0000}"/>
    <cellStyle name="Total 2 2 14 5" xfId="48141" xr:uid="{00000000-0005-0000-0000-00000DBC0000}"/>
    <cellStyle name="Total 2 2 14 6" xfId="48142" xr:uid="{00000000-0005-0000-0000-00000EBC0000}"/>
    <cellStyle name="Total 2 2 14 7" xfId="48143" xr:uid="{00000000-0005-0000-0000-00000FBC0000}"/>
    <cellStyle name="Total 2 2 15" xfId="48144" xr:uid="{00000000-0005-0000-0000-000010BC0000}"/>
    <cellStyle name="Total 2 2 15 2" xfId="48145" xr:uid="{00000000-0005-0000-0000-000011BC0000}"/>
    <cellStyle name="Total 2 2 15 2 2" xfId="48146" xr:uid="{00000000-0005-0000-0000-000012BC0000}"/>
    <cellStyle name="Total 2 2 15 2 3" xfId="48147" xr:uid="{00000000-0005-0000-0000-000013BC0000}"/>
    <cellStyle name="Total 2 2 15 2 4" xfId="48148" xr:uid="{00000000-0005-0000-0000-000014BC0000}"/>
    <cellStyle name="Total 2 2 15 2 5" xfId="48149" xr:uid="{00000000-0005-0000-0000-000015BC0000}"/>
    <cellStyle name="Total 2 2 15 2 6" xfId="48150" xr:uid="{00000000-0005-0000-0000-000016BC0000}"/>
    <cellStyle name="Total 2 2 15 3" xfId="48151" xr:uid="{00000000-0005-0000-0000-000017BC0000}"/>
    <cellStyle name="Total 2 2 15 4" xfId="48152" xr:uid="{00000000-0005-0000-0000-000018BC0000}"/>
    <cellStyle name="Total 2 2 15 5" xfId="48153" xr:uid="{00000000-0005-0000-0000-000019BC0000}"/>
    <cellStyle name="Total 2 2 15 6" xfId="48154" xr:uid="{00000000-0005-0000-0000-00001ABC0000}"/>
    <cellStyle name="Total 2 2 15 7" xfId="48155" xr:uid="{00000000-0005-0000-0000-00001BBC0000}"/>
    <cellStyle name="Total 2 2 16" xfId="48156" xr:uid="{00000000-0005-0000-0000-00001CBC0000}"/>
    <cellStyle name="Total 2 2 16 2" xfId="48157" xr:uid="{00000000-0005-0000-0000-00001DBC0000}"/>
    <cellStyle name="Total 2 2 16 2 2" xfId="48158" xr:uid="{00000000-0005-0000-0000-00001EBC0000}"/>
    <cellStyle name="Total 2 2 16 2 3" xfId="48159" xr:uid="{00000000-0005-0000-0000-00001FBC0000}"/>
    <cellStyle name="Total 2 2 16 2 4" xfId="48160" xr:uid="{00000000-0005-0000-0000-000020BC0000}"/>
    <cellStyle name="Total 2 2 16 2 5" xfId="48161" xr:uid="{00000000-0005-0000-0000-000021BC0000}"/>
    <cellStyle name="Total 2 2 16 2 6" xfId="48162" xr:uid="{00000000-0005-0000-0000-000022BC0000}"/>
    <cellStyle name="Total 2 2 16 3" xfId="48163" xr:uid="{00000000-0005-0000-0000-000023BC0000}"/>
    <cellStyle name="Total 2 2 16 4" xfId="48164" xr:uid="{00000000-0005-0000-0000-000024BC0000}"/>
    <cellStyle name="Total 2 2 16 5" xfId="48165" xr:uid="{00000000-0005-0000-0000-000025BC0000}"/>
    <cellStyle name="Total 2 2 16 6" xfId="48166" xr:uid="{00000000-0005-0000-0000-000026BC0000}"/>
    <cellStyle name="Total 2 2 16 7" xfId="48167" xr:uid="{00000000-0005-0000-0000-000027BC0000}"/>
    <cellStyle name="Total 2 2 17" xfId="48168" xr:uid="{00000000-0005-0000-0000-000028BC0000}"/>
    <cellStyle name="Total 2 2 17 2" xfId="48169" xr:uid="{00000000-0005-0000-0000-000029BC0000}"/>
    <cellStyle name="Total 2 2 17 2 2" xfId="48170" xr:uid="{00000000-0005-0000-0000-00002ABC0000}"/>
    <cellStyle name="Total 2 2 17 2 3" xfId="48171" xr:uid="{00000000-0005-0000-0000-00002BBC0000}"/>
    <cellStyle name="Total 2 2 17 2 4" xfId="48172" xr:uid="{00000000-0005-0000-0000-00002CBC0000}"/>
    <cellStyle name="Total 2 2 17 2 5" xfId="48173" xr:uid="{00000000-0005-0000-0000-00002DBC0000}"/>
    <cellStyle name="Total 2 2 17 2 6" xfId="48174" xr:uid="{00000000-0005-0000-0000-00002EBC0000}"/>
    <cellStyle name="Total 2 2 17 3" xfId="48175" xr:uid="{00000000-0005-0000-0000-00002FBC0000}"/>
    <cellStyle name="Total 2 2 17 4" xfId="48176" xr:uid="{00000000-0005-0000-0000-000030BC0000}"/>
    <cellStyle name="Total 2 2 17 5" xfId="48177" xr:uid="{00000000-0005-0000-0000-000031BC0000}"/>
    <cellStyle name="Total 2 2 17 6" xfId="48178" xr:uid="{00000000-0005-0000-0000-000032BC0000}"/>
    <cellStyle name="Total 2 2 17 7" xfId="48179" xr:uid="{00000000-0005-0000-0000-000033BC0000}"/>
    <cellStyle name="Total 2 2 18" xfId="48180" xr:uid="{00000000-0005-0000-0000-000034BC0000}"/>
    <cellStyle name="Total 2 2 18 2" xfId="48181" xr:uid="{00000000-0005-0000-0000-000035BC0000}"/>
    <cellStyle name="Total 2 2 18 2 2" xfId="48182" xr:uid="{00000000-0005-0000-0000-000036BC0000}"/>
    <cellStyle name="Total 2 2 18 2 3" xfId="48183" xr:uid="{00000000-0005-0000-0000-000037BC0000}"/>
    <cellStyle name="Total 2 2 18 2 4" xfId="48184" xr:uid="{00000000-0005-0000-0000-000038BC0000}"/>
    <cellStyle name="Total 2 2 18 2 5" xfId="48185" xr:uid="{00000000-0005-0000-0000-000039BC0000}"/>
    <cellStyle name="Total 2 2 18 2 6" xfId="48186" xr:uid="{00000000-0005-0000-0000-00003ABC0000}"/>
    <cellStyle name="Total 2 2 18 3" xfId="48187" xr:uid="{00000000-0005-0000-0000-00003BBC0000}"/>
    <cellStyle name="Total 2 2 18 4" xfId="48188" xr:uid="{00000000-0005-0000-0000-00003CBC0000}"/>
    <cellStyle name="Total 2 2 18 5" xfId="48189" xr:uid="{00000000-0005-0000-0000-00003DBC0000}"/>
    <cellStyle name="Total 2 2 18 6" xfId="48190" xr:uid="{00000000-0005-0000-0000-00003EBC0000}"/>
    <cellStyle name="Total 2 2 18 7" xfId="48191" xr:uid="{00000000-0005-0000-0000-00003FBC0000}"/>
    <cellStyle name="Total 2 2 19" xfId="48192" xr:uid="{00000000-0005-0000-0000-000040BC0000}"/>
    <cellStyle name="Total 2 2 19 2" xfId="48193" xr:uid="{00000000-0005-0000-0000-000041BC0000}"/>
    <cellStyle name="Total 2 2 19 2 2" xfId="48194" xr:uid="{00000000-0005-0000-0000-000042BC0000}"/>
    <cellStyle name="Total 2 2 19 2 3" xfId="48195" xr:uid="{00000000-0005-0000-0000-000043BC0000}"/>
    <cellStyle name="Total 2 2 19 2 4" xfId="48196" xr:uid="{00000000-0005-0000-0000-000044BC0000}"/>
    <cellStyle name="Total 2 2 19 2 5" xfId="48197" xr:uid="{00000000-0005-0000-0000-000045BC0000}"/>
    <cellStyle name="Total 2 2 19 2 6" xfId="48198" xr:uid="{00000000-0005-0000-0000-000046BC0000}"/>
    <cellStyle name="Total 2 2 19 3" xfId="48199" xr:uid="{00000000-0005-0000-0000-000047BC0000}"/>
    <cellStyle name="Total 2 2 19 4" xfId="48200" xr:uid="{00000000-0005-0000-0000-000048BC0000}"/>
    <cellStyle name="Total 2 2 19 5" xfId="48201" xr:uid="{00000000-0005-0000-0000-000049BC0000}"/>
    <cellStyle name="Total 2 2 19 6" xfId="48202" xr:uid="{00000000-0005-0000-0000-00004ABC0000}"/>
    <cellStyle name="Total 2 2 19 7" xfId="48203" xr:uid="{00000000-0005-0000-0000-00004BBC0000}"/>
    <cellStyle name="Total 2 2 2" xfId="48204" xr:uid="{00000000-0005-0000-0000-00004CBC0000}"/>
    <cellStyle name="Total 2 2 2 2" xfId="48205" xr:uid="{00000000-0005-0000-0000-00004DBC0000}"/>
    <cellStyle name="Total 2 2 2 2 2" xfId="48206" xr:uid="{00000000-0005-0000-0000-00004EBC0000}"/>
    <cellStyle name="Total 2 2 2 2 3" xfId="48207" xr:uid="{00000000-0005-0000-0000-00004FBC0000}"/>
    <cellStyle name="Total 2 2 2 2 4" xfId="48208" xr:uid="{00000000-0005-0000-0000-000050BC0000}"/>
    <cellStyle name="Total 2 2 2 2 5" xfId="48209" xr:uid="{00000000-0005-0000-0000-000051BC0000}"/>
    <cellStyle name="Total 2 2 2 2 6" xfId="48210" xr:uid="{00000000-0005-0000-0000-000052BC0000}"/>
    <cellStyle name="Total 2 2 2 3" xfId="48211" xr:uid="{00000000-0005-0000-0000-000053BC0000}"/>
    <cellStyle name="Total 2 2 2 3 2" xfId="48212" xr:uid="{00000000-0005-0000-0000-000054BC0000}"/>
    <cellStyle name="Total 2 2 2 3 3" xfId="48213" xr:uid="{00000000-0005-0000-0000-000055BC0000}"/>
    <cellStyle name="Total 2 2 2 3 4" xfId="48214" xr:uid="{00000000-0005-0000-0000-000056BC0000}"/>
    <cellStyle name="Total 2 2 2 3 5" xfId="48215" xr:uid="{00000000-0005-0000-0000-000057BC0000}"/>
    <cellStyle name="Total 2 2 2 3 6" xfId="48216" xr:uid="{00000000-0005-0000-0000-000058BC0000}"/>
    <cellStyle name="Total 2 2 2 4" xfId="48217" xr:uid="{00000000-0005-0000-0000-000059BC0000}"/>
    <cellStyle name="Total 2 2 2 5" xfId="48218" xr:uid="{00000000-0005-0000-0000-00005ABC0000}"/>
    <cellStyle name="Total 2 2 2 6" xfId="48219" xr:uid="{00000000-0005-0000-0000-00005BBC0000}"/>
    <cellStyle name="Total 2 2 2 7" xfId="48220" xr:uid="{00000000-0005-0000-0000-00005CBC0000}"/>
    <cellStyle name="Total 2 2 2 8" xfId="48221" xr:uid="{00000000-0005-0000-0000-00005DBC0000}"/>
    <cellStyle name="Total 2 2 20" xfId="48222" xr:uid="{00000000-0005-0000-0000-00005EBC0000}"/>
    <cellStyle name="Total 2 2 20 2" xfId="48223" xr:uid="{00000000-0005-0000-0000-00005FBC0000}"/>
    <cellStyle name="Total 2 2 20 2 2" xfId="48224" xr:uid="{00000000-0005-0000-0000-000060BC0000}"/>
    <cellStyle name="Total 2 2 20 2 3" xfId="48225" xr:uid="{00000000-0005-0000-0000-000061BC0000}"/>
    <cellStyle name="Total 2 2 20 2 4" xfId="48226" xr:uid="{00000000-0005-0000-0000-000062BC0000}"/>
    <cellStyle name="Total 2 2 20 2 5" xfId="48227" xr:uid="{00000000-0005-0000-0000-000063BC0000}"/>
    <cellStyle name="Total 2 2 20 2 6" xfId="48228" xr:uid="{00000000-0005-0000-0000-000064BC0000}"/>
    <cellStyle name="Total 2 2 20 3" xfId="48229" xr:uid="{00000000-0005-0000-0000-000065BC0000}"/>
    <cellStyle name="Total 2 2 20 4" xfId="48230" xr:uid="{00000000-0005-0000-0000-000066BC0000}"/>
    <cellStyle name="Total 2 2 20 5" xfId="48231" xr:uid="{00000000-0005-0000-0000-000067BC0000}"/>
    <cellStyle name="Total 2 2 20 6" xfId="48232" xr:uid="{00000000-0005-0000-0000-000068BC0000}"/>
    <cellStyle name="Total 2 2 20 7" xfId="48233" xr:uid="{00000000-0005-0000-0000-000069BC0000}"/>
    <cellStyle name="Total 2 2 21" xfId="48234" xr:uid="{00000000-0005-0000-0000-00006ABC0000}"/>
    <cellStyle name="Total 2 2 21 2" xfId="48235" xr:uid="{00000000-0005-0000-0000-00006BBC0000}"/>
    <cellStyle name="Total 2 2 21 2 2" xfId="48236" xr:uid="{00000000-0005-0000-0000-00006CBC0000}"/>
    <cellStyle name="Total 2 2 21 2 3" xfId="48237" xr:uid="{00000000-0005-0000-0000-00006DBC0000}"/>
    <cellStyle name="Total 2 2 21 2 4" xfId="48238" xr:uid="{00000000-0005-0000-0000-00006EBC0000}"/>
    <cellStyle name="Total 2 2 21 2 5" xfId="48239" xr:uid="{00000000-0005-0000-0000-00006FBC0000}"/>
    <cellStyle name="Total 2 2 21 2 6" xfId="48240" xr:uid="{00000000-0005-0000-0000-000070BC0000}"/>
    <cellStyle name="Total 2 2 21 3" xfId="48241" xr:uid="{00000000-0005-0000-0000-000071BC0000}"/>
    <cellStyle name="Total 2 2 21 4" xfId="48242" xr:uid="{00000000-0005-0000-0000-000072BC0000}"/>
    <cellStyle name="Total 2 2 21 5" xfId="48243" xr:uid="{00000000-0005-0000-0000-000073BC0000}"/>
    <cellStyle name="Total 2 2 21 6" xfId="48244" xr:uid="{00000000-0005-0000-0000-000074BC0000}"/>
    <cellStyle name="Total 2 2 21 7" xfId="48245" xr:uid="{00000000-0005-0000-0000-000075BC0000}"/>
    <cellStyle name="Total 2 2 22" xfId="48246" xr:uid="{00000000-0005-0000-0000-000076BC0000}"/>
    <cellStyle name="Total 2 2 22 2" xfId="48247" xr:uid="{00000000-0005-0000-0000-000077BC0000}"/>
    <cellStyle name="Total 2 2 22 2 2" xfId="48248" xr:uid="{00000000-0005-0000-0000-000078BC0000}"/>
    <cellStyle name="Total 2 2 22 2 3" xfId="48249" xr:uid="{00000000-0005-0000-0000-000079BC0000}"/>
    <cellStyle name="Total 2 2 22 2 4" xfId="48250" xr:uid="{00000000-0005-0000-0000-00007ABC0000}"/>
    <cellStyle name="Total 2 2 22 2 5" xfId="48251" xr:uid="{00000000-0005-0000-0000-00007BBC0000}"/>
    <cellStyle name="Total 2 2 22 2 6" xfId="48252" xr:uid="{00000000-0005-0000-0000-00007CBC0000}"/>
    <cellStyle name="Total 2 2 22 3" xfId="48253" xr:uid="{00000000-0005-0000-0000-00007DBC0000}"/>
    <cellStyle name="Total 2 2 22 4" xfId="48254" xr:uid="{00000000-0005-0000-0000-00007EBC0000}"/>
    <cellStyle name="Total 2 2 22 5" xfId="48255" xr:uid="{00000000-0005-0000-0000-00007FBC0000}"/>
    <cellStyle name="Total 2 2 22 6" xfId="48256" xr:uid="{00000000-0005-0000-0000-000080BC0000}"/>
    <cellStyle name="Total 2 2 22 7" xfId="48257" xr:uid="{00000000-0005-0000-0000-000081BC0000}"/>
    <cellStyle name="Total 2 2 23" xfId="48258" xr:uid="{00000000-0005-0000-0000-000082BC0000}"/>
    <cellStyle name="Total 2 2 23 2" xfId="48259" xr:uid="{00000000-0005-0000-0000-000083BC0000}"/>
    <cellStyle name="Total 2 2 23 2 2" xfId="48260" xr:uid="{00000000-0005-0000-0000-000084BC0000}"/>
    <cellStyle name="Total 2 2 23 2 3" xfId="48261" xr:uid="{00000000-0005-0000-0000-000085BC0000}"/>
    <cellStyle name="Total 2 2 23 2 4" xfId="48262" xr:uid="{00000000-0005-0000-0000-000086BC0000}"/>
    <cellStyle name="Total 2 2 23 2 5" xfId="48263" xr:uid="{00000000-0005-0000-0000-000087BC0000}"/>
    <cellStyle name="Total 2 2 23 2 6" xfId="48264" xr:uid="{00000000-0005-0000-0000-000088BC0000}"/>
    <cellStyle name="Total 2 2 23 3" xfId="48265" xr:uid="{00000000-0005-0000-0000-000089BC0000}"/>
    <cellStyle name="Total 2 2 23 4" xfId="48266" xr:uid="{00000000-0005-0000-0000-00008ABC0000}"/>
    <cellStyle name="Total 2 2 23 5" xfId="48267" xr:uid="{00000000-0005-0000-0000-00008BBC0000}"/>
    <cellStyle name="Total 2 2 23 6" xfId="48268" xr:uid="{00000000-0005-0000-0000-00008CBC0000}"/>
    <cellStyle name="Total 2 2 23 7" xfId="48269" xr:uid="{00000000-0005-0000-0000-00008DBC0000}"/>
    <cellStyle name="Total 2 2 24" xfId="48270" xr:uid="{00000000-0005-0000-0000-00008EBC0000}"/>
    <cellStyle name="Total 2 2 24 2" xfId="48271" xr:uid="{00000000-0005-0000-0000-00008FBC0000}"/>
    <cellStyle name="Total 2 2 24 2 2" xfId="48272" xr:uid="{00000000-0005-0000-0000-000090BC0000}"/>
    <cellStyle name="Total 2 2 24 2 3" xfId="48273" xr:uid="{00000000-0005-0000-0000-000091BC0000}"/>
    <cellStyle name="Total 2 2 24 2 4" xfId="48274" xr:uid="{00000000-0005-0000-0000-000092BC0000}"/>
    <cellStyle name="Total 2 2 24 2 5" xfId="48275" xr:uid="{00000000-0005-0000-0000-000093BC0000}"/>
    <cellStyle name="Total 2 2 24 2 6" xfId="48276" xr:uid="{00000000-0005-0000-0000-000094BC0000}"/>
    <cellStyle name="Total 2 2 24 3" xfId="48277" xr:uid="{00000000-0005-0000-0000-000095BC0000}"/>
    <cellStyle name="Total 2 2 24 4" xfId="48278" xr:uid="{00000000-0005-0000-0000-000096BC0000}"/>
    <cellStyle name="Total 2 2 24 5" xfId="48279" xr:uid="{00000000-0005-0000-0000-000097BC0000}"/>
    <cellStyle name="Total 2 2 24 6" xfId="48280" xr:uid="{00000000-0005-0000-0000-000098BC0000}"/>
    <cellStyle name="Total 2 2 24 7" xfId="48281" xr:uid="{00000000-0005-0000-0000-000099BC0000}"/>
    <cellStyle name="Total 2 2 25" xfId="48282" xr:uid="{00000000-0005-0000-0000-00009ABC0000}"/>
    <cellStyle name="Total 2 2 25 2" xfId="48283" xr:uid="{00000000-0005-0000-0000-00009BBC0000}"/>
    <cellStyle name="Total 2 2 25 2 2" xfId="48284" xr:uid="{00000000-0005-0000-0000-00009CBC0000}"/>
    <cellStyle name="Total 2 2 25 2 3" xfId="48285" xr:uid="{00000000-0005-0000-0000-00009DBC0000}"/>
    <cellStyle name="Total 2 2 25 2 4" xfId="48286" xr:uid="{00000000-0005-0000-0000-00009EBC0000}"/>
    <cellStyle name="Total 2 2 25 2 5" xfId="48287" xr:uid="{00000000-0005-0000-0000-00009FBC0000}"/>
    <cellStyle name="Total 2 2 25 2 6" xfId="48288" xr:uid="{00000000-0005-0000-0000-0000A0BC0000}"/>
    <cellStyle name="Total 2 2 25 3" xfId="48289" xr:uid="{00000000-0005-0000-0000-0000A1BC0000}"/>
    <cellStyle name="Total 2 2 25 4" xfId="48290" xr:uid="{00000000-0005-0000-0000-0000A2BC0000}"/>
    <cellStyle name="Total 2 2 25 5" xfId="48291" xr:uid="{00000000-0005-0000-0000-0000A3BC0000}"/>
    <cellStyle name="Total 2 2 25 6" xfId="48292" xr:uid="{00000000-0005-0000-0000-0000A4BC0000}"/>
    <cellStyle name="Total 2 2 25 7" xfId="48293" xr:uid="{00000000-0005-0000-0000-0000A5BC0000}"/>
    <cellStyle name="Total 2 2 26" xfId="48294" xr:uid="{00000000-0005-0000-0000-0000A6BC0000}"/>
    <cellStyle name="Total 2 2 26 2" xfId="48295" xr:uid="{00000000-0005-0000-0000-0000A7BC0000}"/>
    <cellStyle name="Total 2 2 26 2 2" xfId="48296" xr:uid="{00000000-0005-0000-0000-0000A8BC0000}"/>
    <cellStyle name="Total 2 2 26 2 3" xfId="48297" xr:uid="{00000000-0005-0000-0000-0000A9BC0000}"/>
    <cellStyle name="Total 2 2 26 2 4" xfId="48298" xr:uid="{00000000-0005-0000-0000-0000AABC0000}"/>
    <cellStyle name="Total 2 2 26 2 5" xfId="48299" xr:uid="{00000000-0005-0000-0000-0000ABBC0000}"/>
    <cellStyle name="Total 2 2 26 2 6" xfId="48300" xr:uid="{00000000-0005-0000-0000-0000ACBC0000}"/>
    <cellStyle name="Total 2 2 26 3" xfId="48301" xr:uid="{00000000-0005-0000-0000-0000ADBC0000}"/>
    <cellStyle name="Total 2 2 26 4" xfId="48302" xr:uid="{00000000-0005-0000-0000-0000AEBC0000}"/>
    <cellStyle name="Total 2 2 26 5" xfId="48303" xr:uid="{00000000-0005-0000-0000-0000AFBC0000}"/>
    <cellStyle name="Total 2 2 26 6" xfId="48304" xr:uid="{00000000-0005-0000-0000-0000B0BC0000}"/>
    <cellStyle name="Total 2 2 26 7" xfId="48305" xr:uid="{00000000-0005-0000-0000-0000B1BC0000}"/>
    <cellStyle name="Total 2 2 27" xfId="48306" xr:uid="{00000000-0005-0000-0000-0000B2BC0000}"/>
    <cellStyle name="Total 2 2 27 2" xfId="48307" xr:uid="{00000000-0005-0000-0000-0000B3BC0000}"/>
    <cellStyle name="Total 2 2 27 2 2" xfId="48308" xr:uid="{00000000-0005-0000-0000-0000B4BC0000}"/>
    <cellStyle name="Total 2 2 27 2 3" xfId="48309" xr:uid="{00000000-0005-0000-0000-0000B5BC0000}"/>
    <cellStyle name="Total 2 2 27 2 4" xfId="48310" xr:uid="{00000000-0005-0000-0000-0000B6BC0000}"/>
    <cellStyle name="Total 2 2 27 2 5" xfId="48311" xr:uid="{00000000-0005-0000-0000-0000B7BC0000}"/>
    <cellStyle name="Total 2 2 27 2 6" xfId="48312" xr:uid="{00000000-0005-0000-0000-0000B8BC0000}"/>
    <cellStyle name="Total 2 2 27 3" xfId="48313" xr:uid="{00000000-0005-0000-0000-0000B9BC0000}"/>
    <cellStyle name="Total 2 2 27 4" xfId="48314" xr:uid="{00000000-0005-0000-0000-0000BABC0000}"/>
    <cellStyle name="Total 2 2 27 5" xfId="48315" xr:uid="{00000000-0005-0000-0000-0000BBBC0000}"/>
    <cellStyle name="Total 2 2 27 6" xfId="48316" xr:uid="{00000000-0005-0000-0000-0000BCBC0000}"/>
    <cellStyle name="Total 2 2 27 7" xfId="48317" xr:uid="{00000000-0005-0000-0000-0000BDBC0000}"/>
    <cellStyle name="Total 2 2 28" xfId="48318" xr:uid="{00000000-0005-0000-0000-0000BEBC0000}"/>
    <cellStyle name="Total 2 2 28 2" xfId="48319" xr:uid="{00000000-0005-0000-0000-0000BFBC0000}"/>
    <cellStyle name="Total 2 2 28 2 2" xfId="48320" xr:uid="{00000000-0005-0000-0000-0000C0BC0000}"/>
    <cellStyle name="Total 2 2 28 2 3" xfId="48321" xr:uid="{00000000-0005-0000-0000-0000C1BC0000}"/>
    <cellStyle name="Total 2 2 28 2 4" xfId="48322" xr:uid="{00000000-0005-0000-0000-0000C2BC0000}"/>
    <cellStyle name="Total 2 2 28 2 5" xfId="48323" xr:uid="{00000000-0005-0000-0000-0000C3BC0000}"/>
    <cellStyle name="Total 2 2 28 2 6" xfId="48324" xr:uid="{00000000-0005-0000-0000-0000C4BC0000}"/>
    <cellStyle name="Total 2 2 28 3" xfId="48325" xr:uid="{00000000-0005-0000-0000-0000C5BC0000}"/>
    <cellStyle name="Total 2 2 28 4" xfId="48326" xr:uid="{00000000-0005-0000-0000-0000C6BC0000}"/>
    <cellStyle name="Total 2 2 28 5" xfId="48327" xr:uid="{00000000-0005-0000-0000-0000C7BC0000}"/>
    <cellStyle name="Total 2 2 28 6" xfId="48328" xr:uid="{00000000-0005-0000-0000-0000C8BC0000}"/>
    <cellStyle name="Total 2 2 28 7" xfId="48329" xr:uid="{00000000-0005-0000-0000-0000C9BC0000}"/>
    <cellStyle name="Total 2 2 29" xfId="48330" xr:uid="{00000000-0005-0000-0000-0000CABC0000}"/>
    <cellStyle name="Total 2 2 29 2" xfId="48331" xr:uid="{00000000-0005-0000-0000-0000CBBC0000}"/>
    <cellStyle name="Total 2 2 29 2 2" xfId="48332" xr:uid="{00000000-0005-0000-0000-0000CCBC0000}"/>
    <cellStyle name="Total 2 2 29 2 3" xfId="48333" xr:uid="{00000000-0005-0000-0000-0000CDBC0000}"/>
    <cellStyle name="Total 2 2 29 2 4" xfId="48334" xr:uid="{00000000-0005-0000-0000-0000CEBC0000}"/>
    <cellStyle name="Total 2 2 29 2 5" xfId="48335" xr:uid="{00000000-0005-0000-0000-0000CFBC0000}"/>
    <cellStyle name="Total 2 2 29 2 6" xfId="48336" xr:uid="{00000000-0005-0000-0000-0000D0BC0000}"/>
    <cellStyle name="Total 2 2 29 3" xfId="48337" xr:uid="{00000000-0005-0000-0000-0000D1BC0000}"/>
    <cellStyle name="Total 2 2 29 4" xfId="48338" xr:uid="{00000000-0005-0000-0000-0000D2BC0000}"/>
    <cellStyle name="Total 2 2 29 5" xfId="48339" xr:uid="{00000000-0005-0000-0000-0000D3BC0000}"/>
    <cellStyle name="Total 2 2 29 6" xfId="48340" xr:uid="{00000000-0005-0000-0000-0000D4BC0000}"/>
    <cellStyle name="Total 2 2 29 7" xfId="48341" xr:uid="{00000000-0005-0000-0000-0000D5BC0000}"/>
    <cellStyle name="Total 2 2 3" xfId="48342" xr:uid="{00000000-0005-0000-0000-0000D6BC0000}"/>
    <cellStyle name="Total 2 2 3 2" xfId="48343" xr:uid="{00000000-0005-0000-0000-0000D7BC0000}"/>
    <cellStyle name="Total 2 2 3 2 2" xfId="48344" xr:uid="{00000000-0005-0000-0000-0000D8BC0000}"/>
    <cellStyle name="Total 2 2 3 2 3" xfId="48345" xr:uid="{00000000-0005-0000-0000-0000D9BC0000}"/>
    <cellStyle name="Total 2 2 3 2 4" xfId="48346" xr:uid="{00000000-0005-0000-0000-0000DABC0000}"/>
    <cellStyle name="Total 2 2 3 2 5" xfId="48347" xr:uid="{00000000-0005-0000-0000-0000DBBC0000}"/>
    <cellStyle name="Total 2 2 3 2 6" xfId="48348" xr:uid="{00000000-0005-0000-0000-0000DCBC0000}"/>
    <cellStyle name="Total 2 2 3 3" xfId="48349" xr:uid="{00000000-0005-0000-0000-0000DDBC0000}"/>
    <cellStyle name="Total 2 2 3 4" xfId="48350" xr:uid="{00000000-0005-0000-0000-0000DEBC0000}"/>
    <cellStyle name="Total 2 2 3 5" xfId="48351" xr:uid="{00000000-0005-0000-0000-0000DFBC0000}"/>
    <cellStyle name="Total 2 2 3 6" xfId="48352" xr:uid="{00000000-0005-0000-0000-0000E0BC0000}"/>
    <cellStyle name="Total 2 2 3 7" xfId="48353" xr:uid="{00000000-0005-0000-0000-0000E1BC0000}"/>
    <cellStyle name="Total 2 2 30" xfId="48354" xr:uid="{00000000-0005-0000-0000-0000E2BC0000}"/>
    <cellStyle name="Total 2 2 30 2" xfId="48355" xr:uid="{00000000-0005-0000-0000-0000E3BC0000}"/>
    <cellStyle name="Total 2 2 30 2 2" xfId="48356" xr:uid="{00000000-0005-0000-0000-0000E4BC0000}"/>
    <cellStyle name="Total 2 2 30 2 3" xfId="48357" xr:uid="{00000000-0005-0000-0000-0000E5BC0000}"/>
    <cellStyle name="Total 2 2 30 2 4" xfId="48358" xr:uid="{00000000-0005-0000-0000-0000E6BC0000}"/>
    <cellStyle name="Total 2 2 30 2 5" xfId="48359" xr:uid="{00000000-0005-0000-0000-0000E7BC0000}"/>
    <cellStyle name="Total 2 2 30 2 6" xfId="48360" xr:uid="{00000000-0005-0000-0000-0000E8BC0000}"/>
    <cellStyle name="Total 2 2 30 3" xfId="48361" xr:uid="{00000000-0005-0000-0000-0000E9BC0000}"/>
    <cellStyle name="Total 2 2 30 4" xfId="48362" xr:uid="{00000000-0005-0000-0000-0000EABC0000}"/>
    <cellStyle name="Total 2 2 30 5" xfId="48363" xr:uid="{00000000-0005-0000-0000-0000EBBC0000}"/>
    <cellStyle name="Total 2 2 30 6" xfId="48364" xr:uid="{00000000-0005-0000-0000-0000ECBC0000}"/>
    <cellStyle name="Total 2 2 30 7" xfId="48365" xr:uid="{00000000-0005-0000-0000-0000EDBC0000}"/>
    <cellStyle name="Total 2 2 31" xfId="48366" xr:uid="{00000000-0005-0000-0000-0000EEBC0000}"/>
    <cellStyle name="Total 2 2 31 2" xfId="48367" xr:uid="{00000000-0005-0000-0000-0000EFBC0000}"/>
    <cellStyle name="Total 2 2 31 2 2" xfId="48368" xr:uid="{00000000-0005-0000-0000-0000F0BC0000}"/>
    <cellStyle name="Total 2 2 31 2 3" xfId="48369" xr:uid="{00000000-0005-0000-0000-0000F1BC0000}"/>
    <cellStyle name="Total 2 2 31 2 4" xfId="48370" xr:uid="{00000000-0005-0000-0000-0000F2BC0000}"/>
    <cellStyle name="Total 2 2 31 2 5" xfId="48371" xr:uid="{00000000-0005-0000-0000-0000F3BC0000}"/>
    <cellStyle name="Total 2 2 31 2 6" xfId="48372" xr:uid="{00000000-0005-0000-0000-0000F4BC0000}"/>
    <cellStyle name="Total 2 2 31 3" xfId="48373" xr:uid="{00000000-0005-0000-0000-0000F5BC0000}"/>
    <cellStyle name="Total 2 2 31 4" xfId="48374" xr:uid="{00000000-0005-0000-0000-0000F6BC0000}"/>
    <cellStyle name="Total 2 2 31 5" xfId="48375" xr:uid="{00000000-0005-0000-0000-0000F7BC0000}"/>
    <cellStyle name="Total 2 2 31 6" xfId="48376" xr:uid="{00000000-0005-0000-0000-0000F8BC0000}"/>
    <cellStyle name="Total 2 2 31 7" xfId="48377" xr:uid="{00000000-0005-0000-0000-0000F9BC0000}"/>
    <cellStyle name="Total 2 2 32" xfId="48378" xr:uid="{00000000-0005-0000-0000-0000FABC0000}"/>
    <cellStyle name="Total 2 2 32 2" xfId="48379" xr:uid="{00000000-0005-0000-0000-0000FBBC0000}"/>
    <cellStyle name="Total 2 2 32 2 2" xfId="48380" xr:uid="{00000000-0005-0000-0000-0000FCBC0000}"/>
    <cellStyle name="Total 2 2 32 2 3" xfId="48381" xr:uid="{00000000-0005-0000-0000-0000FDBC0000}"/>
    <cellStyle name="Total 2 2 32 2 4" xfId="48382" xr:uid="{00000000-0005-0000-0000-0000FEBC0000}"/>
    <cellStyle name="Total 2 2 32 2 5" xfId="48383" xr:uid="{00000000-0005-0000-0000-0000FFBC0000}"/>
    <cellStyle name="Total 2 2 32 2 6" xfId="48384" xr:uid="{00000000-0005-0000-0000-000000BD0000}"/>
    <cellStyle name="Total 2 2 32 3" xfId="48385" xr:uid="{00000000-0005-0000-0000-000001BD0000}"/>
    <cellStyle name="Total 2 2 32 4" xfId="48386" xr:uid="{00000000-0005-0000-0000-000002BD0000}"/>
    <cellStyle name="Total 2 2 32 5" xfId="48387" xr:uid="{00000000-0005-0000-0000-000003BD0000}"/>
    <cellStyle name="Total 2 2 32 6" xfId="48388" xr:uid="{00000000-0005-0000-0000-000004BD0000}"/>
    <cellStyle name="Total 2 2 32 7" xfId="48389" xr:uid="{00000000-0005-0000-0000-000005BD0000}"/>
    <cellStyle name="Total 2 2 33" xfId="48390" xr:uid="{00000000-0005-0000-0000-000006BD0000}"/>
    <cellStyle name="Total 2 2 33 2" xfId="48391" xr:uid="{00000000-0005-0000-0000-000007BD0000}"/>
    <cellStyle name="Total 2 2 33 2 2" xfId="48392" xr:uid="{00000000-0005-0000-0000-000008BD0000}"/>
    <cellStyle name="Total 2 2 33 2 3" xfId="48393" xr:uid="{00000000-0005-0000-0000-000009BD0000}"/>
    <cellStyle name="Total 2 2 33 2 4" xfId="48394" xr:uid="{00000000-0005-0000-0000-00000ABD0000}"/>
    <cellStyle name="Total 2 2 33 2 5" xfId="48395" xr:uid="{00000000-0005-0000-0000-00000BBD0000}"/>
    <cellStyle name="Total 2 2 33 2 6" xfId="48396" xr:uid="{00000000-0005-0000-0000-00000CBD0000}"/>
    <cellStyle name="Total 2 2 33 3" xfId="48397" xr:uid="{00000000-0005-0000-0000-00000DBD0000}"/>
    <cellStyle name="Total 2 2 33 4" xfId="48398" xr:uid="{00000000-0005-0000-0000-00000EBD0000}"/>
    <cellStyle name="Total 2 2 33 5" xfId="48399" xr:uid="{00000000-0005-0000-0000-00000FBD0000}"/>
    <cellStyle name="Total 2 2 33 6" xfId="48400" xr:uid="{00000000-0005-0000-0000-000010BD0000}"/>
    <cellStyle name="Total 2 2 33 7" xfId="48401" xr:uid="{00000000-0005-0000-0000-000011BD0000}"/>
    <cellStyle name="Total 2 2 34" xfId="48402" xr:uid="{00000000-0005-0000-0000-000012BD0000}"/>
    <cellStyle name="Total 2 2 34 2" xfId="48403" xr:uid="{00000000-0005-0000-0000-000013BD0000}"/>
    <cellStyle name="Total 2 2 34 2 2" xfId="48404" xr:uid="{00000000-0005-0000-0000-000014BD0000}"/>
    <cellStyle name="Total 2 2 34 2 3" xfId="48405" xr:uid="{00000000-0005-0000-0000-000015BD0000}"/>
    <cellStyle name="Total 2 2 34 2 4" xfId="48406" xr:uid="{00000000-0005-0000-0000-000016BD0000}"/>
    <cellStyle name="Total 2 2 34 2 5" xfId="48407" xr:uid="{00000000-0005-0000-0000-000017BD0000}"/>
    <cellStyle name="Total 2 2 34 2 6" xfId="48408" xr:uid="{00000000-0005-0000-0000-000018BD0000}"/>
    <cellStyle name="Total 2 2 34 3" xfId="48409" xr:uid="{00000000-0005-0000-0000-000019BD0000}"/>
    <cellStyle name="Total 2 2 34 4" xfId="48410" xr:uid="{00000000-0005-0000-0000-00001ABD0000}"/>
    <cellStyle name="Total 2 2 34 5" xfId="48411" xr:uid="{00000000-0005-0000-0000-00001BBD0000}"/>
    <cellStyle name="Total 2 2 34 6" xfId="48412" xr:uid="{00000000-0005-0000-0000-00001CBD0000}"/>
    <cellStyle name="Total 2 2 34 7" xfId="48413" xr:uid="{00000000-0005-0000-0000-00001DBD0000}"/>
    <cellStyle name="Total 2 2 35" xfId="48414" xr:uid="{00000000-0005-0000-0000-00001EBD0000}"/>
    <cellStyle name="Total 2 2 35 2" xfId="48415" xr:uid="{00000000-0005-0000-0000-00001FBD0000}"/>
    <cellStyle name="Total 2 2 35 2 2" xfId="48416" xr:uid="{00000000-0005-0000-0000-000020BD0000}"/>
    <cellStyle name="Total 2 2 35 2 3" xfId="48417" xr:uid="{00000000-0005-0000-0000-000021BD0000}"/>
    <cellStyle name="Total 2 2 35 2 4" xfId="48418" xr:uid="{00000000-0005-0000-0000-000022BD0000}"/>
    <cellStyle name="Total 2 2 35 2 5" xfId="48419" xr:uid="{00000000-0005-0000-0000-000023BD0000}"/>
    <cellStyle name="Total 2 2 35 2 6" xfId="48420" xr:uid="{00000000-0005-0000-0000-000024BD0000}"/>
    <cellStyle name="Total 2 2 35 3" xfId="48421" xr:uid="{00000000-0005-0000-0000-000025BD0000}"/>
    <cellStyle name="Total 2 2 35 4" xfId="48422" xr:uid="{00000000-0005-0000-0000-000026BD0000}"/>
    <cellStyle name="Total 2 2 35 5" xfId="48423" xr:uid="{00000000-0005-0000-0000-000027BD0000}"/>
    <cellStyle name="Total 2 2 35 6" xfId="48424" xr:uid="{00000000-0005-0000-0000-000028BD0000}"/>
    <cellStyle name="Total 2 2 35 7" xfId="48425" xr:uid="{00000000-0005-0000-0000-000029BD0000}"/>
    <cellStyle name="Total 2 2 36" xfId="48426" xr:uid="{00000000-0005-0000-0000-00002ABD0000}"/>
    <cellStyle name="Total 2 2 36 2" xfId="48427" xr:uid="{00000000-0005-0000-0000-00002BBD0000}"/>
    <cellStyle name="Total 2 2 36 2 2" xfId="48428" xr:uid="{00000000-0005-0000-0000-00002CBD0000}"/>
    <cellStyle name="Total 2 2 36 2 3" xfId="48429" xr:uid="{00000000-0005-0000-0000-00002DBD0000}"/>
    <cellStyle name="Total 2 2 36 2 4" xfId="48430" xr:uid="{00000000-0005-0000-0000-00002EBD0000}"/>
    <cellStyle name="Total 2 2 36 2 5" xfId="48431" xr:uid="{00000000-0005-0000-0000-00002FBD0000}"/>
    <cellStyle name="Total 2 2 36 2 6" xfId="48432" xr:uid="{00000000-0005-0000-0000-000030BD0000}"/>
    <cellStyle name="Total 2 2 36 3" xfId="48433" xr:uid="{00000000-0005-0000-0000-000031BD0000}"/>
    <cellStyle name="Total 2 2 36 4" xfId="48434" xr:uid="{00000000-0005-0000-0000-000032BD0000}"/>
    <cellStyle name="Total 2 2 36 5" xfId="48435" xr:uid="{00000000-0005-0000-0000-000033BD0000}"/>
    <cellStyle name="Total 2 2 36 6" xfId="48436" xr:uid="{00000000-0005-0000-0000-000034BD0000}"/>
    <cellStyle name="Total 2 2 36 7" xfId="48437" xr:uid="{00000000-0005-0000-0000-000035BD0000}"/>
    <cellStyle name="Total 2 2 37" xfId="48438" xr:uid="{00000000-0005-0000-0000-000036BD0000}"/>
    <cellStyle name="Total 2 2 37 2" xfId="48439" xr:uid="{00000000-0005-0000-0000-000037BD0000}"/>
    <cellStyle name="Total 2 2 37 2 2" xfId="48440" xr:uid="{00000000-0005-0000-0000-000038BD0000}"/>
    <cellStyle name="Total 2 2 37 2 3" xfId="48441" xr:uid="{00000000-0005-0000-0000-000039BD0000}"/>
    <cellStyle name="Total 2 2 37 2 4" xfId="48442" xr:uid="{00000000-0005-0000-0000-00003ABD0000}"/>
    <cellStyle name="Total 2 2 37 2 5" xfId="48443" xr:uid="{00000000-0005-0000-0000-00003BBD0000}"/>
    <cellStyle name="Total 2 2 37 2 6" xfId="48444" xr:uid="{00000000-0005-0000-0000-00003CBD0000}"/>
    <cellStyle name="Total 2 2 37 3" xfId="48445" xr:uid="{00000000-0005-0000-0000-00003DBD0000}"/>
    <cellStyle name="Total 2 2 37 4" xfId="48446" xr:uid="{00000000-0005-0000-0000-00003EBD0000}"/>
    <cellStyle name="Total 2 2 37 5" xfId="48447" xr:uid="{00000000-0005-0000-0000-00003FBD0000}"/>
    <cellStyle name="Total 2 2 37 6" xfId="48448" xr:uid="{00000000-0005-0000-0000-000040BD0000}"/>
    <cellStyle name="Total 2 2 37 7" xfId="48449" xr:uid="{00000000-0005-0000-0000-000041BD0000}"/>
    <cellStyle name="Total 2 2 38" xfId="48450" xr:uid="{00000000-0005-0000-0000-000042BD0000}"/>
    <cellStyle name="Total 2 2 38 2" xfId="48451" xr:uid="{00000000-0005-0000-0000-000043BD0000}"/>
    <cellStyle name="Total 2 2 38 2 2" xfId="48452" xr:uid="{00000000-0005-0000-0000-000044BD0000}"/>
    <cellStyle name="Total 2 2 38 2 3" xfId="48453" xr:uid="{00000000-0005-0000-0000-000045BD0000}"/>
    <cellStyle name="Total 2 2 38 2 4" xfId="48454" xr:uid="{00000000-0005-0000-0000-000046BD0000}"/>
    <cellStyle name="Total 2 2 38 2 5" xfId="48455" xr:uid="{00000000-0005-0000-0000-000047BD0000}"/>
    <cellStyle name="Total 2 2 38 2 6" xfId="48456" xr:uid="{00000000-0005-0000-0000-000048BD0000}"/>
    <cellStyle name="Total 2 2 38 3" xfId="48457" xr:uid="{00000000-0005-0000-0000-000049BD0000}"/>
    <cellStyle name="Total 2 2 38 4" xfId="48458" xr:uid="{00000000-0005-0000-0000-00004ABD0000}"/>
    <cellStyle name="Total 2 2 38 5" xfId="48459" xr:uid="{00000000-0005-0000-0000-00004BBD0000}"/>
    <cellStyle name="Total 2 2 38 6" xfId="48460" xr:uid="{00000000-0005-0000-0000-00004CBD0000}"/>
    <cellStyle name="Total 2 2 38 7" xfId="48461" xr:uid="{00000000-0005-0000-0000-00004DBD0000}"/>
    <cellStyle name="Total 2 2 39" xfId="48462" xr:uid="{00000000-0005-0000-0000-00004EBD0000}"/>
    <cellStyle name="Total 2 2 39 2" xfId="48463" xr:uid="{00000000-0005-0000-0000-00004FBD0000}"/>
    <cellStyle name="Total 2 2 39 2 2" xfId="48464" xr:uid="{00000000-0005-0000-0000-000050BD0000}"/>
    <cellStyle name="Total 2 2 39 2 3" xfId="48465" xr:uid="{00000000-0005-0000-0000-000051BD0000}"/>
    <cellStyle name="Total 2 2 39 2 4" xfId="48466" xr:uid="{00000000-0005-0000-0000-000052BD0000}"/>
    <cellStyle name="Total 2 2 39 2 5" xfId="48467" xr:uid="{00000000-0005-0000-0000-000053BD0000}"/>
    <cellStyle name="Total 2 2 39 2 6" xfId="48468" xr:uid="{00000000-0005-0000-0000-000054BD0000}"/>
    <cellStyle name="Total 2 2 39 3" xfId="48469" xr:uid="{00000000-0005-0000-0000-000055BD0000}"/>
    <cellStyle name="Total 2 2 39 4" xfId="48470" xr:uid="{00000000-0005-0000-0000-000056BD0000}"/>
    <cellStyle name="Total 2 2 39 5" xfId="48471" xr:uid="{00000000-0005-0000-0000-000057BD0000}"/>
    <cellStyle name="Total 2 2 39 6" xfId="48472" xr:uid="{00000000-0005-0000-0000-000058BD0000}"/>
    <cellStyle name="Total 2 2 39 7" xfId="48473" xr:uid="{00000000-0005-0000-0000-000059BD0000}"/>
    <cellStyle name="Total 2 2 4" xfId="48474" xr:uid="{00000000-0005-0000-0000-00005ABD0000}"/>
    <cellStyle name="Total 2 2 4 2" xfId="48475" xr:uid="{00000000-0005-0000-0000-00005BBD0000}"/>
    <cellStyle name="Total 2 2 4 2 2" xfId="48476" xr:uid="{00000000-0005-0000-0000-00005CBD0000}"/>
    <cellStyle name="Total 2 2 4 2 3" xfId="48477" xr:uid="{00000000-0005-0000-0000-00005DBD0000}"/>
    <cellStyle name="Total 2 2 4 2 4" xfId="48478" xr:uid="{00000000-0005-0000-0000-00005EBD0000}"/>
    <cellStyle name="Total 2 2 4 2 5" xfId="48479" xr:uid="{00000000-0005-0000-0000-00005FBD0000}"/>
    <cellStyle name="Total 2 2 4 2 6" xfId="48480" xr:uid="{00000000-0005-0000-0000-000060BD0000}"/>
    <cellStyle name="Total 2 2 4 3" xfId="48481" xr:uid="{00000000-0005-0000-0000-000061BD0000}"/>
    <cellStyle name="Total 2 2 4 4" xfId="48482" xr:uid="{00000000-0005-0000-0000-000062BD0000}"/>
    <cellStyle name="Total 2 2 4 5" xfId="48483" xr:uid="{00000000-0005-0000-0000-000063BD0000}"/>
    <cellStyle name="Total 2 2 4 6" xfId="48484" xr:uid="{00000000-0005-0000-0000-000064BD0000}"/>
    <cellStyle name="Total 2 2 4 7" xfId="48485" xr:uid="{00000000-0005-0000-0000-000065BD0000}"/>
    <cellStyle name="Total 2 2 40" xfId="48486" xr:uid="{00000000-0005-0000-0000-000066BD0000}"/>
    <cellStyle name="Total 2 2 40 2" xfId="48487" xr:uid="{00000000-0005-0000-0000-000067BD0000}"/>
    <cellStyle name="Total 2 2 40 2 2" xfId="48488" xr:uid="{00000000-0005-0000-0000-000068BD0000}"/>
    <cellStyle name="Total 2 2 40 2 3" xfId="48489" xr:uid="{00000000-0005-0000-0000-000069BD0000}"/>
    <cellStyle name="Total 2 2 40 2 4" xfId="48490" xr:uid="{00000000-0005-0000-0000-00006ABD0000}"/>
    <cellStyle name="Total 2 2 40 2 5" xfId="48491" xr:uid="{00000000-0005-0000-0000-00006BBD0000}"/>
    <cellStyle name="Total 2 2 40 2 6" xfId="48492" xr:uid="{00000000-0005-0000-0000-00006CBD0000}"/>
    <cellStyle name="Total 2 2 40 3" xfId="48493" xr:uid="{00000000-0005-0000-0000-00006DBD0000}"/>
    <cellStyle name="Total 2 2 40 4" xfId="48494" xr:uid="{00000000-0005-0000-0000-00006EBD0000}"/>
    <cellStyle name="Total 2 2 40 5" xfId="48495" xr:uid="{00000000-0005-0000-0000-00006FBD0000}"/>
    <cellStyle name="Total 2 2 40 6" xfId="48496" xr:uid="{00000000-0005-0000-0000-000070BD0000}"/>
    <cellStyle name="Total 2 2 40 7" xfId="48497" xr:uid="{00000000-0005-0000-0000-000071BD0000}"/>
    <cellStyle name="Total 2 2 41" xfId="48498" xr:uid="{00000000-0005-0000-0000-000072BD0000}"/>
    <cellStyle name="Total 2 2 41 2" xfId="48499" xr:uid="{00000000-0005-0000-0000-000073BD0000}"/>
    <cellStyle name="Total 2 2 41 2 2" xfId="48500" xr:uid="{00000000-0005-0000-0000-000074BD0000}"/>
    <cellStyle name="Total 2 2 41 2 3" xfId="48501" xr:uid="{00000000-0005-0000-0000-000075BD0000}"/>
    <cellStyle name="Total 2 2 41 2 4" xfId="48502" xr:uid="{00000000-0005-0000-0000-000076BD0000}"/>
    <cellStyle name="Total 2 2 41 2 5" xfId="48503" xr:uid="{00000000-0005-0000-0000-000077BD0000}"/>
    <cellStyle name="Total 2 2 41 2 6" xfId="48504" xr:uid="{00000000-0005-0000-0000-000078BD0000}"/>
    <cellStyle name="Total 2 2 41 3" xfId="48505" xr:uid="{00000000-0005-0000-0000-000079BD0000}"/>
    <cellStyle name="Total 2 2 41 4" xfId="48506" xr:uid="{00000000-0005-0000-0000-00007ABD0000}"/>
    <cellStyle name="Total 2 2 41 5" xfId="48507" xr:uid="{00000000-0005-0000-0000-00007BBD0000}"/>
    <cellStyle name="Total 2 2 41 6" xfId="48508" xr:uid="{00000000-0005-0000-0000-00007CBD0000}"/>
    <cellStyle name="Total 2 2 41 7" xfId="48509" xr:uid="{00000000-0005-0000-0000-00007DBD0000}"/>
    <cellStyle name="Total 2 2 42" xfId="48510" xr:uid="{00000000-0005-0000-0000-00007EBD0000}"/>
    <cellStyle name="Total 2 2 42 2" xfId="48511" xr:uid="{00000000-0005-0000-0000-00007FBD0000}"/>
    <cellStyle name="Total 2 2 42 3" xfId="48512" xr:uid="{00000000-0005-0000-0000-000080BD0000}"/>
    <cellStyle name="Total 2 2 42 4" xfId="48513" xr:uid="{00000000-0005-0000-0000-000081BD0000}"/>
    <cellStyle name="Total 2 2 42 5" xfId="48514" xr:uid="{00000000-0005-0000-0000-000082BD0000}"/>
    <cellStyle name="Total 2 2 42 6" xfId="48515" xr:uid="{00000000-0005-0000-0000-000083BD0000}"/>
    <cellStyle name="Total 2 2 43" xfId="48516" xr:uid="{00000000-0005-0000-0000-000084BD0000}"/>
    <cellStyle name="Total 2 2 43 2" xfId="48517" xr:uid="{00000000-0005-0000-0000-000085BD0000}"/>
    <cellStyle name="Total 2 2 43 3" xfId="48518" xr:uid="{00000000-0005-0000-0000-000086BD0000}"/>
    <cellStyle name="Total 2 2 43 4" xfId="48519" xr:uid="{00000000-0005-0000-0000-000087BD0000}"/>
    <cellStyle name="Total 2 2 43 5" xfId="48520" xr:uid="{00000000-0005-0000-0000-000088BD0000}"/>
    <cellStyle name="Total 2 2 43 6" xfId="48521" xr:uid="{00000000-0005-0000-0000-000089BD0000}"/>
    <cellStyle name="Total 2 2 44" xfId="48522" xr:uid="{00000000-0005-0000-0000-00008ABD0000}"/>
    <cellStyle name="Total 2 2 45" xfId="48523" xr:uid="{00000000-0005-0000-0000-00008BBD0000}"/>
    <cellStyle name="Total 2 2 46" xfId="48524" xr:uid="{00000000-0005-0000-0000-00008CBD0000}"/>
    <cellStyle name="Total 2 2 47" xfId="48525" xr:uid="{00000000-0005-0000-0000-00008DBD0000}"/>
    <cellStyle name="Total 2 2 5" xfId="48526" xr:uid="{00000000-0005-0000-0000-00008EBD0000}"/>
    <cellStyle name="Total 2 2 5 2" xfId="48527" xr:uid="{00000000-0005-0000-0000-00008FBD0000}"/>
    <cellStyle name="Total 2 2 5 2 2" xfId="48528" xr:uid="{00000000-0005-0000-0000-000090BD0000}"/>
    <cellStyle name="Total 2 2 5 2 3" xfId="48529" xr:uid="{00000000-0005-0000-0000-000091BD0000}"/>
    <cellStyle name="Total 2 2 5 2 4" xfId="48530" xr:uid="{00000000-0005-0000-0000-000092BD0000}"/>
    <cellStyle name="Total 2 2 5 2 5" xfId="48531" xr:uid="{00000000-0005-0000-0000-000093BD0000}"/>
    <cellStyle name="Total 2 2 5 2 6" xfId="48532" xr:uid="{00000000-0005-0000-0000-000094BD0000}"/>
    <cellStyle name="Total 2 2 5 3" xfId="48533" xr:uid="{00000000-0005-0000-0000-000095BD0000}"/>
    <cellStyle name="Total 2 2 5 4" xfId="48534" xr:uid="{00000000-0005-0000-0000-000096BD0000}"/>
    <cellStyle name="Total 2 2 5 5" xfId="48535" xr:uid="{00000000-0005-0000-0000-000097BD0000}"/>
    <cellStyle name="Total 2 2 5 6" xfId="48536" xr:uid="{00000000-0005-0000-0000-000098BD0000}"/>
    <cellStyle name="Total 2 2 5 7" xfId="48537" xr:uid="{00000000-0005-0000-0000-000099BD0000}"/>
    <cellStyle name="Total 2 2 6" xfId="48538" xr:uid="{00000000-0005-0000-0000-00009ABD0000}"/>
    <cellStyle name="Total 2 2 6 2" xfId="48539" xr:uid="{00000000-0005-0000-0000-00009BBD0000}"/>
    <cellStyle name="Total 2 2 6 2 2" xfId="48540" xr:uid="{00000000-0005-0000-0000-00009CBD0000}"/>
    <cellStyle name="Total 2 2 6 2 3" xfId="48541" xr:uid="{00000000-0005-0000-0000-00009DBD0000}"/>
    <cellStyle name="Total 2 2 6 2 4" xfId="48542" xr:uid="{00000000-0005-0000-0000-00009EBD0000}"/>
    <cellStyle name="Total 2 2 6 2 5" xfId="48543" xr:uid="{00000000-0005-0000-0000-00009FBD0000}"/>
    <cellStyle name="Total 2 2 6 2 6" xfId="48544" xr:uid="{00000000-0005-0000-0000-0000A0BD0000}"/>
    <cellStyle name="Total 2 2 6 3" xfId="48545" xr:uid="{00000000-0005-0000-0000-0000A1BD0000}"/>
    <cellStyle name="Total 2 2 6 4" xfId="48546" xr:uid="{00000000-0005-0000-0000-0000A2BD0000}"/>
    <cellStyle name="Total 2 2 6 5" xfId="48547" xr:uid="{00000000-0005-0000-0000-0000A3BD0000}"/>
    <cellStyle name="Total 2 2 6 6" xfId="48548" xr:uid="{00000000-0005-0000-0000-0000A4BD0000}"/>
    <cellStyle name="Total 2 2 6 7" xfId="48549" xr:uid="{00000000-0005-0000-0000-0000A5BD0000}"/>
    <cellStyle name="Total 2 2 7" xfId="48550" xr:uid="{00000000-0005-0000-0000-0000A6BD0000}"/>
    <cellStyle name="Total 2 2 7 2" xfId="48551" xr:uid="{00000000-0005-0000-0000-0000A7BD0000}"/>
    <cellStyle name="Total 2 2 7 2 2" xfId="48552" xr:uid="{00000000-0005-0000-0000-0000A8BD0000}"/>
    <cellStyle name="Total 2 2 7 2 3" xfId="48553" xr:uid="{00000000-0005-0000-0000-0000A9BD0000}"/>
    <cellStyle name="Total 2 2 7 2 4" xfId="48554" xr:uid="{00000000-0005-0000-0000-0000AABD0000}"/>
    <cellStyle name="Total 2 2 7 2 5" xfId="48555" xr:uid="{00000000-0005-0000-0000-0000ABBD0000}"/>
    <cellStyle name="Total 2 2 7 2 6" xfId="48556" xr:uid="{00000000-0005-0000-0000-0000ACBD0000}"/>
    <cellStyle name="Total 2 2 7 3" xfId="48557" xr:uid="{00000000-0005-0000-0000-0000ADBD0000}"/>
    <cellStyle name="Total 2 2 7 4" xfId="48558" xr:uid="{00000000-0005-0000-0000-0000AEBD0000}"/>
    <cellStyle name="Total 2 2 7 5" xfId="48559" xr:uid="{00000000-0005-0000-0000-0000AFBD0000}"/>
    <cellStyle name="Total 2 2 7 6" xfId="48560" xr:uid="{00000000-0005-0000-0000-0000B0BD0000}"/>
    <cellStyle name="Total 2 2 7 7" xfId="48561" xr:uid="{00000000-0005-0000-0000-0000B1BD0000}"/>
    <cellStyle name="Total 2 2 8" xfId="48562" xr:uid="{00000000-0005-0000-0000-0000B2BD0000}"/>
    <cellStyle name="Total 2 2 8 2" xfId="48563" xr:uid="{00000000-0005-0000-0000-0000B3BD0000}"/>
    <cellStyle name="Total 2 2 8 2 2" xfId="48564" xr:uid="{00000000-0005-0000-0000-0000B4BD0000}"/>
    <cellStyle name="Total 2 2 8 2 3" xfId="48565" xr:uid="{00000000-0005-0000-0000-0000B5BD0000}"/>
    <cellStyle name="Total 2 2 8 2 4" xfId="48566" xr:uid="{00000000-0005-0000-0000-0000B6BD0000}"/>
    <cellStyle name="Total 2 2 8 2 5" xfId="48567" xr:uid="{00000000-0005-0000-0000-0000B7BD0000}"/>
    <cellStyle name="Total 2 2 8 2 6" xfId="48568" xr:uid="{00000000-0005-0000-0000-0000B8BD0000}"/>
    <cellStyle name="Total 2 2 8 3" xfId="48569" xr:uid="{00000000-0005-0000-0000-0000B9BD0000}"/>
    <cellStyle name="Total 2 2 8 4" xfId="48570" xr:uid="{00000000-0005-0000-0000-0000BABD0000}"/>
    <cellStyle name="Total 2 2 8 5" xfId="48571" xr:uid="{00000000-0005-0000-0000-0000BBBD0000}"/>
    <cellStyle name="Total 2 2 8 6" xfId="48572" xr:uid="{00000000-0005-0000-0000-0000BCBD0000}"/>
    <cellStyle name="Total 2 2 8 7" xfId="48573" xr:uid="{00000000-0005-0000-0000-0000BDBD0000}"/>
    <cellStyle name="Total 2 2 9" xfId="48574" xr:uid="{00000000-0005-0000-0000-0000BEBD0000}"/>
    <cellStyle name="Total 2 2 9 2" xfId="48575" xr:uid="{00000000-0005-0000-0000-0000BFBD0000}"/>
    <cellStyle name="Total 2 2 9 2 2" xfId="48576" xr:uid="{00000000-0005-0000-0000-0000C0BD0000}"/>
    <cellStyle name="Total 2 2 9 2 3" xfId="48577" xr:uid="{00000000-0005-0000-0000-0000C1BD0000}"/>
    <cellStyle name="Total 2 2 9 2 4" xfId="48578" xr:uid="{00000000-0005-0000-0000-0000C2BD0000}"/>
    <cellStyle name="Total 2 2 9 2 5" xfId="48579" xr:uid="{00000000-0005-0000-0000-0000C3BD0000}"/>
    <cellStyle name="Total 2 2 9 2 6" xfId="48580" xr:uid="{00000000-0005-0000-0000-0000C4BD0000}"/>
    <cellStyle name="Total 2 2 9 3" xfId="48581" xr:uid="{00000000-0005-0000-0000-0000C5BD0000}"/>
    <cellStyle name="Total 2 2 9 4" xfId="48582" xr:uid="{00000000-0005-0000-0000-0000C6BD0000}"/>
    <cellStyle name="Total 2 2 9 5" xfId="48583" xr:uid="{00000000-0005-0000-0000-0000C7BD0000}"/>
    <cellStyle name="Total 2 2 9 6" xfId="48584" xr:uid="{00000000-0005-0000-0000-0000C8BD0000}"/>
    <cellStyle name="Total 2 2 9 7" xfId="48585" xr:uid="{00000000-0005-0000-0000-0000C9BD0000}"/>
    <cellStyle name="Total 2 20" xfId="48586" xr:uid="{00000000-0005-0000-0000-0000CABD0000}"/>
    <cellStyle name="Total 2 20 2" xfId="48587" xr:uid="{00000000-0005-0000-0000-0000CBBD0000}"/>
    <cellStyle name="Total 2 20 2 2" xfId="48588" xr:uid="{00000000-0005-0000-0000-0000CCBD0000}"/>
    <cellStyle name="Total 2 20 2 3" xfId="48589" xr:uid="{00000000-0005-0000-0000-0000CDBD0000}"/>
    <cellStyle name="Total 2 20 2 4" xfId="48590" xr:uid="{00000000-0005-0000-0000-0000CEBD0000}"/>
    <cellStyle name="Total 2 20 2 5" xfId="48591" xr:uid="{00000000-0005-0000-0000-0000CFBD0000}"/>
    <cellStyle name="Total 2 20 3" xfId="48592" xr:uid="{00000000-0005-0000-0000-0000D0BD0000}"/>
    <cellStyle name="Total 2 20 4" xfId="48593" xr:uid="{00000000-0005-0000-0000-0000D1BD0000}"/>
    <cellStyle name="Total 2 20 5" xfId="48594" xr:uid="{00000000-0005-0000-0000-0000D2BD0000}"/>
    <cellStyle name="Total 2 20 6" xfId="48595" xr:uid="{00000000-0005-0000-0000-0000D3BD0000}"/>
    <cellStyle name="Total 2 21" xfId="48596" xr:uid="{00000000-0005-0000-0000-0000D4BD0000}"/>
    <cellStyle name="Total 2 21 2" xfId="48597" xr:uid="{00000000-0005-0000-0000-0000D5BD0000}"/>
    <cellStyle name="Total 2 21 2 2" xfId="48598" xr:uid="{00000000-0005-0000-0000-0000D6BD0000}"/>
    <cellStyle name="Total 2 21 2 3" xfId="48599" xr:uid="{00000000-0005-0000-0000-0000D7BD0000}"/>
    <cellStyle name="Total 2 21 2 4" xfId="48600" xr:uid="{00000000-0005-0000-0000-0000D8BD0000}"/>
    <cellStyle name="Total 2 21 2 5" xfId="48601" xr:uid="{00000000-0005-0000-0000-0000D9BD0000}"/>
    <cellStyle name="Total 2 21 3" xfId="48602" xr:uid="{00000000-0005-0000-0000-0000DABD0000}"/>
    <cellStyle name="Total 2 21 4" xfId="48603" xr:uid="{00000000-0005-0000-0000-0000DBBD0000}"/>
    <cellStyle name="Total 2 21 5" xfId="48604" xr:uid="{00000000-0005-0000-0000-0000DCBD0000}"/>
    <cellStyle name="Total 2 21 6" xfId="48605" xr:uid="{00000000-0005-0000-0000-0000DDBD0000}"/>
    <cellStyle name="Total 2 22" xfId="48606" xr:uid="{00000000-0005-0000-0000-0000DEBD0000}"/>
    <cellStyle name="Total 2 22 2" xfId="48607" xr:uid="{00000000-0005-0000-0000-0000DFBD0000}"/>
    <cellStyle name="Total 2 22 2 2" xfId="48608" xr:uid="{00000000-0005-0000-0000-0000E0BD0000}"/>
    <cellStyle name="Total 2 22 2 3" xfId="48609" xr:uid="{00000000-0005-0000-0000-0000E1BD0000}"/>
    <cellStyle name="Total 2 22 2 4" xfId="48610" xr:uid="{00000000-0005-0000-0000-0000E2BD0000}"/>
    <cellStyle name="Total 2 22 2 5" xfId="48611" xr:uid="{00000000-0005-0000-0000-0000E3BD0000}"/>
    <cellStyle name="Total 2 22 3" xfId="48612" xr:uid="{00000000-0005-0000-0000-0000E4BD0000}"/>
    <cellStyle name="Total 2 22 4" xfId="48613" xr:uid="{00000000-0005-0000-0000-0000E5BD0000}"/>
    <cellStyle name="Total 2 22 5" xfId="48614" xr:uid="{00000000-0005-0000-0000-0000E6BD0000}"/>
    <cellStyle name="Total 2 22 6" xfId="48615" xr:uid="{00000000-0005-0000-0000-0000E7BD0000}"/>
    <cellStyle name="Total 2 23" xfId="48616" xr:uid="{00000000-0005-0000-0000-0000E8BD0000}"/>
    <cellStyle name="Total 2 23 2" xfId="48617" xr:uid="{00000000-0005-0000-0000-0000E9BD0000}"/>
    <cellStyle name="Total 2 23 2 2" xfId="48618" xr:uid="{00000000-0005-0000-0000-0000EABD0000}"/>
    <cellStyle name="Total 2 23 2 3" xfId="48619" xr:uid="{00000000-0005-0000-0000-0000EBBD0000}"/>
    <cellStyle name="Total 2 23 2 4" xfId="48620" xr:uid="{00000000-0005-0000-0000-0000ECBD0000}"/>
    <cellStyle name="Total 2 23 2 5" xfId="48621" xr:uid="{00000000-0005-0000-0000-0000EDBD0000}"/>
    <cellStyle name="Total 2 23 3" xfId="48622" xr:uid="{00000000-0005-0000-0000-0000EEBD0000}"/>
    <cellStyle name="Total 2 23 4" xfId="48623" xr:uid="{00000000-0005-0000-0000-0000EFBD0000}"/>
    <cellStyle name="Total 2 23 5" xfId="48624" xr:uid="{00000000-0005-0000-0000-0000F0BD0000}"/>
    <cellStyle name="Total 2 23 6" xfId="48625" xr:uid="{00000000-0005-0000-0000-0000F1BD0000}"/>
    <cellStyle name="Total 2 24" xfId="48626" xr:uid="{00000000-0005-0000-0000-0000F2BD0000}"/>
    <cellStyle name="Total 2 24 2" xfId="48627" xr:uid="{00000000-0005-0000-0000-0000F3BD0000}"/>
    <cellStyle name="Total 2 24 2 2" xfId="48628" xr:uid="{00000000-0005-0000-0000-0000F4BD0000}"/>
    <cellStyle name="Total 2 24 2 3" xfId="48629" xr:uid="{00000000-0005-0000-0000-0000F5BD0000}"/>
    <cellStyle name="Total 2 24 2 4" xfId="48630" xr:uid="{00000000-0005-0000-0000-0000F6BD0000}"/>
    <cellStyle name="Total 2 24 2 5" xfId="48631" xr:uid="{00000000-0005-0000-0000-0000F7BD0000}"/>
    <cellStyle name="Total 2 24 3" xfId="48632" xr:uid="{00000000-0005-0000-0000-0000F8BD0000}"/>
    <cellStyle name="Total 2 24 4" xfId="48633" xr:uid="{00000000-0005-0000-0000-0000F9BD0000}"/>
    <cellStyle name="Total 2 24 5" xfId="48634" xr:uid="{00000000-0005-0000-0000-0000FABD0000}"/>
    <cellStyle name="Total 2 24 6" xfId="48635" xr:uid="{00000000-0005-0000-0000-0000FBBD0000}"/>
    <cellStyle name="Total 2 25" xfId="48636" xr:uid="{00000000-0005-0000-0000-0000FCBD0000}"/>
    <cellStyle name="Total 2 25 2" xfId="48637" xr:uid="{00000000-0005-0000-0000-0000FDBD0000}"/>
    <cellStyle name="Total 2 25 2 2" xfId="48638" xr:uid="{00000000-0005-0000-0000-0000FEBD0000}"/>
    <cellStyle name="Total 2 25 2 3" xfId="48639" xr:uid="{00000000-0005-0000-0000-0000FFBD0000}"/>
    <cellStyle name="Total 2 25 2 4" xfId="48640" xr:uid="{00000000-0005-0000-0000-000000BE0000}"/>
    <cellStyle name="Total 2 25 2 5" xfId="48641" xr:uid="{00000000-0005-0000-0000-000001BE0000}"/>
    <cellStyle name="Total 2 25 3" xfId="48642" xr:uid="{00000000-0005-0000-0000-000002BE0000}"/>
    <cellStyle name="Total 2 25 4" xfId="48643" xr:uid="{00000000-0005-0000-0000-000003BE0000}"/>
    <cellStyle name="Total 2 25 5" xfId="48644" xr:uid="{00000000-0005-0000-0000-000004BE0000}"/>
    <cellStyle name="Total 2 25 6" xfId="48645" xr:uid="{00000000-0005-0000-0000-000005BE0000}"/>
    <cellStyle name="Total 2 26" xfId="48646" xr:uid="{00000000-0005-0000-0000-000006BE0000}"/>
    <cellStyle name="Total 2 26 2" xfId="48647" xr:uid="{00000000-0005-0000-0000-000007BE0000}"/>
    <cellStyle name="Total 2 26 2 2" xfId="48648" xr:uid="{00000000-0005-0000-0000-000008BE0000}"/>
    <cellStyle name="Total 2 26 2 3" xfId="48649" xr:uid="{00000000-0005-0000-0000-000009BE0000}"/>
    <cellStyle name="Total 2 26 2 4" xfId="48650" xr:uid="{00000000-0005-0000-0000-00000ABE0000}"/>
    <cellStyle name="Total 2 26 2 5" xfId="48651" xr:uid="{00000000-0005-0000-0000-00000BBE0000}"/>
    <cellStyle name="Total 2 26 3" xfId="48652" xr:uid="{00000000-0005-0000-0000-00000CBE0000}"/>
    <cellStyle name="Total 2 26 4" xfId="48653" xr:uid="{00000000-0005-0000-0000-00000DBE0000}"/>
    <cellStyle name="Total 2 26 5" xfId="48654" xr:uid="{00000000-0005-0000-0000-00000EBE0000}"/>
    <cellStyle name="Total 2 26 6" xfId="48655" xr:uid="{00000000-0005-0000-0000-00000FBE0000}"/>
    <cellStyle name="Total 2 27" xfId="48656" xr:uid="{00000000-0005-0000-0000-000010BE0000}"/>
    <cellStyle name="Total 2 27 2" xfId="48657" xr:uid="{00000000-0005-0000-0000-000011BE0000}"/>
    <cellStyle name="Total 2 27 2 2" xfId="48658" xr:uid="{00000000-0005-0000-0000-000012BE0000}"/>
    <cellStyle name="Total 2 27 2 3" xfId="48659" xr:uid="{00000000-0005-0000-0000-000013BE0000}"/>
    <cellStyle name="Total 2 27 2 4" xfId="48660" xr:uid="{00000000-0005-0000-0000-000014BE0000}"/>
    <cellStyle name="Total 2 27 2 5" xfId="48661" xr:uid="{00000000-0005-0000-0000-000015BE0000}"/>
    <cellStyle name="Total 2 27 3" xfId="48662" xr:uid="{00000000-0005-0000-0000-000016BE0000}"/>
    <cellStyle name="Total 2 27 4" xfId="48663" xr:uid="{00000000-0005-0000-0000-000017BE0000}"/>
    <cellStyle name="Total 2 27 5" xfId="48664" xr:uid="{00000000-0005-0000-0000-000018BE0000}"/>
    <cellStyle name="Total 2 27 6" xfId="48665" xr:uid="{00000000-0005-0000-0000-000019BE0000}"/>
    <cellStyle name="Total 2 28" xfId="48666" xr:uid="{00000000-0005-0000-0000-00001ABE0000}"/>
    <cellStyle name="Total 2 28 2" xfId="48667" xr:uid="{00000000-0005-0000-0000-00001BBE0000}"/>
    <cellStyle name="Total 2 28 2 2" xfId="48668" xr:uid="{00000000-0005-0000-0000-00001CBE0000}"/>
    <cellStyle name="Total 2 28 2 3" xfId="48669" xr:uid="{00000000-0005-0000-0000-00001DBE0000}"/>
    <cellStyle name="Total 2 28 2 4" xfId="48670" xr:uid="{00000000-0005-0000-0000-00001EBE0000}"/>
    <cellStyle name="Total 2 28 2 5" xfId="48671" xr:uid="{00000000-0005-0000-0000-00001FBE0000}"/>
    <cellStyle name="Total 2 28 3" xfId="48672" xr:uid="{00000000-0005-0000-0000-000020BE0000}"/>
    <cellStyle name="Total 2 28 4" xfId="48673" xr:uid="{00000000-0005-0000-0000-000021BE0000}"/>
    <cellStyle name="Total 2 28 5" xfId="48674" xr:uid="{00000000-0005-0000-0000-000022BE0000}"/>
    <cellStyle name="Total 2 28 6" xfId="48675" xr:uid="{00000000-0005-0000-0000-000023BE0000}"/>
    <cellStyle name="Total 2 29" xfId="48676" xr:uid="{00000000-0005-0000-0000-000024BE0000}"/>
    <cellStyle name="Total 2 29 2" xfId="48677" xr:uid="{00000000-0005-0000-0000-000025BE0000}"/>
    <cellStyle name="Total 2 29 2 2" xfId="48678" xr:uid="{00000000-0005-0000-0000-000026BE0000}"/>
    <cellStyle name="Total 2 29 2 3" xfId="48679" xr:uid="{00000000-0005-0000-0000-000027BE0000}"/>
    <cellStyle name="Total 2 29 2 4" xfId="48680" xr:uid="{00000000-0005-0000-0000-000028BE0000}"/>
    <cellStyle name="Total 2 29 2 5" xfId="48681" xr:uid="{00000000-0005-0000-0000-000029BE0000}"/>
    <cellStyle name="Total 2 29 3" xfId="48682" xr:uid="{00000000-0005-0000-0000-00002ABE0000}"/>
    <cellStyle name="Total 2 29 4" xfId="48683" xr:uid="{00000000-0005-0000-0000-00002BBE0000}"/>
    <cellStyle name="Total 2 29 5" xfId="48684" xr:uid="{00000000-0005-0000-0000-00002CBE0000}"/>
    <cellStyle name="Total 2 29 6" xfId="48685" xr:uid="{00000000-0005-0000-0000-00002DBE0000}"/>
    <cellStyle name="Total 2 3" xfId="48686" xr:uid="{00000000-0005-0000-0000-00002EBE0000}"/>
    <cellStyle name="Total 2 3 10" xfId="48687" xr:uid="{00000000-0005-0000-0000-00002FBE0000}"/>
    <cellStyle name="Total 2 3 10 2" xfId="48688" xr:uid="{00000000-0005-0000-0000-000030BE0000}"/>
    <cellStyle name="Total 2 3 10 2 2" xfId="48689" xr:uid="{00000000-0005-0000-0000-000031BE0000}"/>
    <cellStyle name="Total 2 3 10 2 3" xfId="48690" xr:uid="{00000000-0005-0000-0000-000032BE0000}"/>
    <cellStyle name="Total 2 3 10 2 4" xfId="48691" xr:uid="{00000000-0005-0000-0000-000033BE0000}"/>
    <cellStyle name="Total 2 3 10 2 5" xfId="48692" xr:uid="{00000000-0005-0000-0000-000034BE0000}"/>
    <cellStyle name="Total 2 3 10 2 6" xfId="48693" xr:uid="{00000000-0005-0000-0000-000035BE0000}"/>
    <cellStyle name="Total 2 3 10 3" xfId="48694" xr:uid="{00000000-0005-0000-0000-000036BE0000}"/>
    <cellStyle name="Total 2 3 10 4" xfId="48695" xr:uid="{00000000-0005-0000-0000-000037BE0000}"/>
    <cellStyle name="Total 2 3 10 5" xfId="48696" xr:uid="{00000000-0005-0000-0000-000038BE0000}"/>
    <cellStyle name="Total 2 3 10 6" xfId="48697" xr:uid="{00000000-0005-0000-0000-000039BE0000}"/>
    <cellStyle name="Total 2 3 10 7" xfId="48698" xr:uid="{00000000-0005-0000-0000-00003ABE0000}"/>
    <cellStyle name="Total 2 3 11" xfId="48699" xr:uid="{00000000-0005-0000-0000-00003BBE0000}"/>
    <cellStyle name="Total 2 3 11 2" xfId="48700" xr:uid="{00000000-0005-0000-0000-00003CBE0000}"/>
    <cellStyle name="Total 2 3 11 2 2" xfId="48701" xr:uid="{00000000-0005-0000-0000-00003DBE0000}"/>
    <cellStyle name="Total 2 3 11 2 3" xfId="48702" xr:uid="{00000000-0005-0000-0000-00003EBE0000}"/>
    <cellStyle name="Total 2 3 11 2 4" xfId="48703" xr:uid="{00000000-0005-0000-0000-00003FBE0000}"/>
    <cellStyle name="Total 2 3 11 2 5" xfId="48704" xr:uid="{00000000-0005-0000-0000-000040BE0000}"/>
    <cellStyle name="Total 2 3 11 2 6" xfId="48705" xr:uid="{00000000-0005-0000-0000-000041BE0000}"/>
    <cellStyle name="Total 2 3 11 3" xfId="48706" xr:uid="{00000000-0005-0000-0000-000042BE0000}"/>
    <cellStyle name="Total 2 3 11 4" xfId="48707" xr:uid="{00000000-0005-0000-0000-000043BE0000}"/>
    <cellStyle name="Total 2 3 11 5" xfId="48708" xr:uid="{00000000-0005-0000-0000-000044BE0000}"/>
    <cellStyle name="Total 2 3 11 6" xfId="48709" xr:uid="{00000000-0005-0000-0000-000045BE0000}"/>
    <cellStyle name="Total 2 3 11 7" xfId="48710" xr:uid="{00000000-0005-0000-0000-000046BE0000}"/>
    <cellStyle name="Total 2 3 12" xfId="48711" xr:uid="{00000000-0005-0000-0000-000047BE0000}"/>
    <cellStyle name="Total 2 3 12 2" xfId="48712" xr:uid="{00000000-0005-0000-0000-000048BE0000}"/>
    <cellStyle name="Total 2 3 12 2 2" xfId="48713" xr:uid="{00000000-0005-0000-0000-000049BE0000}"/>
    <cellStyle name="Total 2 3 12 2 3" xfId="48714" xr:uid="{00000000-0005-0000-0000-00004ABE0000}"/>
    <cellStyle name="Total 2 3 12 2 4" xfId="48715" xr:uid="{00000000-0005-0000-0000-00004BBE0000}"/>
    <cellStyle name="Total 2 3 12 2 5" xfId="48716" xr:uid="{00000000-0005-0000-0000-00004CBE0000}"/>
    <cellStyle name="Total 2 3 12 2 6" xfId="48717" xr:uid="{00000000-0005-0000-0000-00004DBE0000}"/>
    <cellStyle name="Total 2 3 12 3" xfId="48718" xr:uid="{00000000-0005-0000-0000-00004EBE0000}"/>
    <cellStyle name="Total 2 3 12 4" xfId="48719" xr:uid="{00000000-0005-0000-0000-00004FBE0000}"/>
    <cellStyle name="Total 2 3 12 5" xfId="48720" xr:uid="{00000000-0005-0000-0000-000050BE0000}"/>
    <cellStyle name="Total 2 3 12 6" xfId="48721" xr:uid="{00000000-0005-0000-0000-000051BE0000}"/>
    <cellStyle name="Total 2 3 12 7" xfId="48722" xr:uid="{00000000-0005-0000-0000-000052BE0000}"/>
    <cellStyle name="Total 2 3 13" xfId="48723" xr:uid="{00000000-0005-0000-0000-000053BE0000}"/>
    <cellStyle name="Total 2 3 13 2" xfId="48724" xr:uid="{00000000-0005-0000-0000-000054BE0000}"/>
    <cellStyle name="Total 2 3 13 2 2" xfId="48725" xr:uid="{00000000-0005-0000-0000-000055BE0000}"/>
    <cellStyle name="Total 2 3 13 2 3" xfId="48726" xr:uid="{00000000-0005-0000-0000-000056BE0000}"/>
    <cellStyle name="Total 2 3 13 2 4" xfId="48727" xr:uid="{00000000-0005-0000-0000-000057BE0000}"/>
    <cellStyle name="Total 2 3 13 2 5" xfId="48728" xr:uid="{00000000-0005-0000-0000-000058BE0000}"/>
    <cellStyle name="Total 2 3 13 2 6" xfId="48729" xr:uid="{00000000-0005-0000-0000-000059BE0000}"/>
    <cellStyle name="Total 2 3 13 3" xfId="48730" xr:uid="{00000000-0005-0000-0000-00005ABE0000}"/>
    <cellStyle name="Total 2 3 13 4" xfId="48731" xr:uid="{00000000-0005-0000-0000-00005BBE0000}"/>
    <cellStyle name="Total 2 3 13 5" xfId="48732" xr:uid="{00000000-0005-0000-0000-00005CBE0000}"/>
    <cellStyle name="Total 2 3 13 6" xfId="48733" xr:uid="{00000000-0005-0000-0000-00005DBE0000}"/>
    <cellStyle name="Total 2 3 13 7" xfId="48734" xr:uid="{00000000-0005-0000-0000-00005EBE0000}"/>
    <cellStyle name="Total 2 3 14" xfId="48735" xr:uid="{00000000-0005-0000-0000-00005FBE0000}"/>
    <cellStyle name="Total 2 3 14 2" xfId="48736" xr:uid="{00000000-0005-0000-0000-000060BE0000}"/>
    <cellStyle name="Total 2 3 14 2 2" xfId="48737" xr:uid="{00000000-0005-0000-0000-000061BE0000}"/>
    <cellStyle name="Total 2 3 14 2 3" xfId="48738" xr:uid="{00000000-0005-0000-0000-000062BE0000}"/>
    <cellStyle name="Total 2 3 14 2 4" xfId="48739" xr:uid="{00000000-0005-0000-0000-000063BE0000}"/>
    <cellStyle name="Total 2 3 14 2 5" xfId="48740" xr:uid="{00000000-0005-0000-0000-000064BE0000}"/>
    <cellStyle name="Total 2 3 14 2 6" xfId="48741" xr:uid="{00000000-0005-0000-0000-000065BE0000}"/>
    <cellStyle name="Total 2 3 14 3" xfId="48742" xr:uid="{00000000-0005-0000-0000-000066BE0000}"/>
    <cellStyle name="Total 2 3 14 4" xfId="48743" xr:uid="{00000000-0005-0000-0000-000067BE0000}"/>
    <cellStyle name="Total 2 3 14 5" xfId="48744" xr:uid="{00000000-0005-0000-0000-000068BE0000}"/>
    <cellStyle name="Total 2 3 14 6" xfId="48745" xr:uid="{00000000-0005-0000-0000-000069BE0000}"/>
    <cellStyle name="Total 2 3 14 7" xfId="48746" xr:uid="{00000000-0005-0000-0000-00006ABE0000}"/>
    <cellStyle name="Total 2 3 15" xfId="48747" xr:uid="{00000000-0005-0000-0000-00006BBE0000}"/>
    <cellStyle name="Total 2 3 15 2" xfId="48748" xr:uid="{00000000-0005-0000-0000-00006CBE0000}"/>
    <cellStyle name="Total 2 3 15 2 2" xfId="48749" xr:uid="{00000000-0005-0000-0000-00006DBE0000}"/>
    <cellStyle name="Total 2 3 15 2 3" xfId="48750" xr:uid="{00000000-0005-0000-0000-00006EBE0000}"/>
    <cellStyle name="Total 2 3 15 2 4" xfId="48751" xr:uid="{00000000-0005-0000-0000-00006FBE0000}"/>
    <cellStyle name="Total 2 3 15 2 5" xfId="48752" xr:uid="{00000000-0005-0000-0000-000070BE0000}"/>
    <cellStyle name="Total 2 3 15 2 6" xfId="48753" xr:uid="{00000000-0005-0000-0000-000071BE0000}"/>
    <cellStyle name="Total 2 3 15 3" xfId="48754" xr:uid="{00000000-0005-0000-0000-000072BE0000}"/>
    <cellStyle name="Total 2 3 15 4" xfId="48755" xr:uid="{00000000-0005-0000-0000-000073BE0000}"/>
    <cellStyle name="Total 2 3 15 5" xfId="48756" xr:uid="{00000000-0005-0000-0000-000074BE0000}"/>
    <cellStyle name="Total 2 3 15 6" xfId="48757" xr:uid="{00000000-0005-0000-0000-000075BE0000}"/>
    <cellStyle name="Total 2 3 15 7" xfId="48758" xr:uid="{00000000-0005-0000-0000-000076BE0000}"/>
    <cellStyle name="Total 2 3 16" xfId="48759" xr:uid="{00000000-0005-0000-0000-000077BE0000}"/>
    <cellStyle name="Total 2 3 16 2" xfId="48760" xr:uid="{00000000-0005-0000-0000-000078BE0000}"/>
    <cellStyle name="Total 2 3 16 2 2" xfId="48761" xr:uid="{00000000-0005-0000-0000-000079BE0000}"/>
    <cellStyle name="Total 2 3 16 2 3" xfId="48762" xr:uid="{00000000-0005-0000-0000-00007ABE0000}"/>
    <cellStyle name="Total 2 3 16 2 4" xfId="48763" xr:uid="{00000000-0005-0000-0000-00007BBE0000}"/>
    <cellStyle name="Total 2 3 16 2 5" xfId="48764" xr:uid="{00000000-0005-0000-0000-00007CBE0000}"/>
    <cellStyle name="Total 2 3 16 2 6" xfId="48765" xr:uid="{00000000-0005-0000-0000-00007DBE0000}"/>
    <cellStyle name="Total 2 3 16 3" xfId="48766" xr:uid="{00000000-0005-0000-0000-00007EBE0000}"/>
    <cellStyle name="Total 2 3 16 4" xfId="48767" xr:uid="{00000000-0005-0000-0000-00007FBE0000}"/>
    <cellStyle name="Total 2 3 16 5" xfId="48768" xr:uid="{00000000-0005-0000-0000-000080BE0000}"/>
    <cellStyle name="Total 2 3 16 6" xfId="48769" xr:uid="{00000000-0005-0000-0000-000081BE0000}"/>
    <cellStyle name="Total 2 3 16 7" xfId="48770" xr:uid="{00000000-0005-0000-0000-000082BE0000}"/>
    <cellStyle name="Total 2 3 17" xfId="48771" xr:uid="{00000000-0005-0000-0000-000083BE0000}"/>
    <cellStyle name="Total 2 3 17 2" xfId="48772" xr:uid="{00000000-0005-0000-0000-000084BE0000}"/>
    <cellStyle name="Total 2 3 17 2 2" xfId="48773" xr:uid="{00000000-0005-0000-0000-000085BE0000}"/>
    <cellStyle name="Total 2 3 17 2 3" xfId="48774" xr:uid="{00000000-0005-0000-0000-000086BE0000}"/>
    <cellStyle name="Total 2 3 17 2 4" xfId="48775" xr:uid="{00000000-0005-0000-0000-000087BE0000}"/>
    <cellStyle name="Total 2 3 17 2 5" xfId="48776" xr:uid="{00000000-0005-0000-0000-000088BE0000}"/>
    <cellStyle name="Total 2 3 17 2 6" xfId="48777" xr:uid="{00000000-0005-0000-0000-000089BE0000}"/>
    <cellStyle name="Total 2 3 17 3" xfId="48778" xr:uid="{00000000-0005-0000-0000-00008ABE0000}"/>
    <cellStyle name="Total 2 3 17 4" xfId="48779" xr:uid="{00000000-0005-0000-0000-00008BBE0000}"/>
    <cellStyle name="Total 2 3 17 5" xfId="48780" xr:uid="{00000000-0005-0000-0000-00008CBE0000}"/>
    <cellStyle name="Total 2 3 17 6" xfId="48781" xr:uid="{00000000-0005-0000-0000-00008DBE0000}"/>
    <cellStyle name="Total 2 3 17 7" xfId="48782" xr:uid="{00000000-0005-0000-0000-00008EBE0000}"/>
    <cellStyle name="Total 2 3 18" xfId="48783" xr:uid="{00000000-0005-0000-0000-00008FBE0000}"/>
    <cellStyle name="Total 2 3 18 2" xfId="48784" xr:uid="{00000000-0005-0000-0000-000090BE0000}"/>
    <cellStyle name="Total 2 3 18 2 2" xfId="48785" xr:uid="{00000000-0005-0000-0000-000091BE0000}"/>
    <cellStyle name="Total 2 3 18 2 3" xfId="48786" xr:uid="{00000000-0005-0000-0000-000092BE0000}"/>
    <cellStyle name="Total 2 3 18 2 4" xfId="48787" xr:uid="{00000000-0005-0000-0000-000093BE0000}"/>
    <cellStyle name="Total 2 3 18 2 5" xfId="48788" xr:uid="{00000000-0005-0000-0000-000094BE0000}"/>
    <cellStyle name="Total 2 3 18 2 6" xfId="48789" xr:uid="{00000000-0005-0000-0000-000095BE0000}"/>
    <cellStyle name="Total 2 3 18 3" xfId="48790" xr:uid="{00000000-0005-0000-0000-000096BE0000}"/>
    <cellStyle name="Total 2 3 18 4" xfId="48791" xr:uid="{00000000-0005-0000-0000-000097BE0000}"/>
    <cellStyle name="Total 2 3 18 5" xfId="48792" xr:uid="{00000000-0005-0000-0000-000098BE0000}"/>
    <cellStyle name="Total 2 3 18 6" xfId="48793" xr:uid="{00000000-0005-0000-0000-000099BE0000}"/>
    <cellStyle name="Total 2 3 18 7" xfId="48794" xr:uid="{00000000-0005-0000-0000-00009ABE0000}"/>
    <cellStyle name="Total 2 3 19" xfId="48795" xr:uid="{00000000-0005-0000-0000-00009BBE0000}"/>
    <cellStyle name="Total 2 3 19 2" xfId="48796" xr:uid="{00000000-0005-0000-0000-00009CBE0000}"/>
    <cellStyle name="Total 2 3 19 2 2" xfId="48797" xr:uid="{00000000-0005-0000-0000-00009DBE0000}"/>
    <cellStyle name="Total 2 3 19 2 3" xfId="48798" xr:uid="{00000000-0005-0000-0000-00009EBE0000}"/>
    <cellStyle name="Total 2 3 19 2 4" xfId="48799" xr:uid="{00000000-0005-0000-0000-00009FBE0000}"/>
    <cellStyle name="Total 2 3 19 2 5" xfId="48800" xr:uid="{00000000-0005-0000-0000-0000A0BE0000}"/>
    <cellStyle name="Total 2 3 19 2 6" xfId="48801" xr:uid="{00000000-0005-0000-0000-0000A1BE0000}"/>
    <cellStyle name="Total 2 3 19 3" xfId="48802" xr:uid="{00000000-0005-0000-0000-0000A2BE0000}"/>
    <cellStyle name="Total 2 3 19 4" xfId="48803" xr:uid="{00000000-0005-0000-0000-0000A3BE0000}"/>
    <cellStyle name="Total 2 3 19 5" xfId="48804" xr:uid="{00000000-0005-0000-0000-0000A4BE0000}"/>
    <cellStyle name="Total 2 3 19 6" xfId="48805" xr:uid="{00000000-0005-0000-0000-0000A5BE0000}"/>
    <cellStyle name="Total 2 3 19 7" xfId="48806" xr:uid="{00000000-0005-0000-0000-0000A6BE0000}"/>
    <cellStyle name="Total 2 3 2" xfId="48807" xr:uid="{00000000-0005-0000-0000-0000A7BE0000}"/>
    <cellStyle name="Total 2 3 2 2" xfId="48808" xr:uid="{00000000-0005-0000-0000-0000A8BE0000}"/>
    <cellStyle name="Total 2 3 2 2 10" xfId="48809" xr:uid="{00000000-0005-0000-0000-0000A9BE0000}"/>
    <cellStyle name="Total 2 3 2 2 10 2" xfId="48810" xr:uid="{00000000-0005-0000-0000-0000AABE0000}"/>
    <cellStyle name="Total 2 3 2 2 10 3" xfId="48811" xr:uid="{00000000-0005-0000-0000-0000ABBE0000}"/>
    <cellStyle name="Total 2 3 2 2 10 4" xfId="48812" xr:uid="{00000000-0005-0000-0000-0000ACBE0000}"/>
    <cellStyle name="Total 2 3 2 2 10 5" xfId="48813" xr:uid="{00000000-0005-0000-0000-0000ADBE0000}"/>
    <cellStyle name="Total 2 3 2 2 10 6" xfId="48814" xr:uid="{00000000-0005-0000-0000-0000AEBE0000}"/>
    <cellStyle name="Total 2 3 2 2 11" xfId="48815" xr:uid="{00000000-0005-0000-0000-0000AFBE0000}"/>
    <cellStyle name="Total 2 3 2 2 12" xfId="48816" xr:uid="{00000000-0005-0000-0000-0000B0BE0000}"/>
    <cellStyle name="Total 2 3 2 2 13" xfId="48817" xr:uid="{00000000-0005-0000-0000-0000B1BE0000}"/>
    <cellStyle name="Total 2 3 2 2 14" xfId="48818" xr:uid="{00000000-0005-0000-0000-0000B2BE0000}"/>
    <cellStyle name="Total 2 3 2 2 2" xfId="48819" xr:uid="{00000000-0005-0000-0000-0000B3BE0000}"/>
    <cellStyle name="Total 2 3 2 2 2 2" xfId="48820" xr:uid="{00000000-0005-0000-0000-0000B4BE0000}"/>
    <cellStyle name="Total 2 3 2 2 2 2 2" xfId="48821" xr:uid="{00000000-0005-0000-0000-0000B5BE0000}"/>
    <cellStyle name="Total 2 3 2 2 2 2 2 2" xfId="48822" xr:uid="{00000000-0005-0000-0000-0000B6BE0000}"/>
    <cellStyle name="Total 2 3 2 2 2 2 2 3" xfId="48823" xr:uid="{00000000-0005-0000-0000-0000B7BE0000}"/>
    <cellStyle name="Total 2 3 2 2 2 2 2 4" xfId="48824" xr:uid="{00000000-0005-0000-0000-0000B8BE0000}"/>
    <cellStyle name="Total 2 3 2 2 2 2 2 5" xfId="48825" xr:uid="{00000000-0005-0000-0000-0000B9BE0000}"/>
    <cellStyle name="Total 2 3 2 2 2 2 2 6" xfId="48826" xr:uid="{00000000-0005-0000-0000-0000BABE0000}"/>
    <cellStyle name="Total 2 3 2 2 2 2 3" xfId="48827" xr:uid="{00000000-0005-0000-0000-0000BBBE0000}"/>
    <cellStyle name="Total 2 3 2 2 2 2 4" xfId="48828" xr:uid="{00000000-0005-0000-0000-0000BCBE0000}"/>
    <cellStyle name="Total 2 3 2 2 2 2 5" xfId="48829" xr:uid="{00000000-0005-0000-0000-0000BDBE0000}"/>
    <cellStyle name="Total 2 3 2 2 2 2 6" xfId="48830" xr:uid="{00000000-0005-0000-0000-0000BEBE0000}"/>
    <cellStyle name="Total 2 3 2 2 2 3" xfId="48831" xr:uid="{00000000-0005-0000-0000-0000BFBE0000}"/>
    <cellStyle name="Total 2 3 2 2 2 3 2" xfId="48832" xr:uid="{00000000-0005-0000-0000-0000C0BE0000}"/>
    <cellStyle name="Total 2 3 2 2 2 3 2 2" xfId="48833" xr:uid="{00000000-0005-0000-0000-0000C1BE0000}"/>
    <cellStyle name="Total 2 3 2 2 2 3 2 3" xfId="48834" xr:uid="{00000000-0005-0000-0000-0000C2BE0000}"/>
    <cellStyle name="Total 2 3 2 2 2 3 2 4" xfId="48835" xr:uid="{00000000-0005-0000-0000-0000C3BE0000}"/>
    <cellStyle name="Total 2 3 2 2 2 3 2 5" xfId="48836" xr:uid="{00000000-0005-0000-0000-0000C4BE0000}"/>
    <cellStyle name="Total 2 3 2 2 2 3 2 6" xfId="48837" xr:uid="{00000000-0005-0000-0000-0000C5BE0000}"/>
    <cellStyle name="Total 2 3 2 2 2 3 3" xfId="48838" xr:uid="{00000000-0005-0000-0000-0000C6BE0000}"/>
    <cellStyle name="Total 2 3 2 2 2 3 4" xfId="48839" xr:uid="{00000000-0005-0000-0000-0000C7BE0000}"/>
    <cellStyle name="Total 2 3 2 2 2 3 5" xfId="48840" xr:uid="{00000000-0005-0000-0000-0000C8BE0000}"/>
    <cellStyle name="Total 2 3 2 2 2 3 6" xfId="48841" xr:uid="{00000000-0005-0000-0000-0000C9BE0000}"/>
    <cellStyle name="Total 2 3 2 2 2 4" xfId="48842" xr:uid="{00000000-0005-0000-0000-0000CABE0000}"/>
    <cellStyle name="Total 2 3 2 2 2 4 2" xfId="48843" xr:uid="{00000000-0005-0000-0000-0000CBBE0000}"/>
    <cellStyle name="Total 2 3 2 2 2 4 3" xfId="48844" xr:uid="{00000000-0005-0000-0000-0000CCBE0000}"/>
    <cellStyle name="Total 2 3 2 2 2 4 4" xfId="48845" xr:uid="{00000000-0005-0000-0000-0000CDBE0000}"/>
    <cellStyle name="Total 2 3 2 2 2 4 5" xfId="48846" xr:uid="{00000000-0005-0000-0000-0000CEBE0000}"/>
    <cellStyle name="Total 2 3 2 2 2 4 6" xfId="48847" xr:uid="{00000000-0005-0000-0000-0000CFBE0000}"/>
    <cellStyle name="Total 2 3 2 2 2 5" xfId="48848" xr:uid="{00000000-0005-0000-0000-0000D0BE0000}"/>
    <cellStyle name="Total 2 3 2 2 2 6" xfId="48849" xr:uid="{00000000-0005-0000-0000-0000D1BE0000}"/>
    <cellStyle name="Total 2 3 2 2 2 7" xfId="48850" xr:uid="{00000000-0005-0000-0000-0000D2BE0000}"/>
    <cellStyle name="Total 2 3 2 2 2 8" xfId="48851" xr:uid="{00000000-0005-0000-0000-0000D3BE0000}"/>
    <cellStyle name="Total 2 3 2 2 3" xfId="48852" xr:uid="{00000000-0005-0000-0000-0000D4BE0000}"/>
    <cellStyle name="Total 2 3 2 2 3 2" xfId="48853" xr:uid="{00000000-0005-0000-0000-0000D5BE0000}"/>
    <cellStyle name="Total 2 3 2 2 3 2 2" xfId="48854" xr:uid="{00000000-0005-0000-0000-0000D6BE0000}"/>
    <cellStyle name="Total 2 3 2 2 3 2 2 2" xfId="48855" xr:uid="{00000000-0005-0000-0000-0000D7BE0000}"/>
    <cellStyle name="Total 2 3 2 2 3 2 2 3" xfId="48856" xr:uid="{00000000-0005-0000-0000-0000D8BE0000}"/>
    <cellStyle name="Total 2 3 2 2 3 2 2 4" xfId="48857" xr:uid="{00000000-0005-0000-0000-0000D9BE0000}"/>
    <cellStyle name="Total 2 3 2 2 3 2 2 5" xfId="48858" xr:uid="{00000000-0005-0000-0000-0000DABE0000}"/>
    <cellStyle name="Total 2 3 2 2 3 2 2 6" xfId="48859" xr:uid="{00000000-0005-0000-0000-0000DBBE0000}"/>
    <cellStyle name="Total 2 3 2 2 3 2 3" xfId="48860" xr:uid="{00000000-0005-0000-0000-0000DCBE0000}"/>
    <cellStyle name="Total 2 3 2 2 3 2 4" xfId="48861" xr:uid="{00000000-0005-0000-0000-0000DDBE0000}"/>
    <cellStyle name="Total 2 3 2 2 3 2 5" xfId="48862" xr:uid="{00000000-0005-0000-0000-0000DEBE0000}"/>
    <cellStyle name="Total 2 3 2 2 3 2 6" xfId="48863" xr:uid="{00000000-0005-0000-0000-0000DFBE0000}"/>
    <cellStyle name="Total 2 3 2 2 3 3" xfId="48864" xr:uid="{00000000-0005-0000-0000-0000E0BE0000}"/>
    <cellStyle name="Total 2 3 2 2 3 3 2" xfId="48865" xr:uid="{00000000-0005-0000-0000-0000E1BE0000}"/>
    <cellStyle name="Total 2 3 2 2 3 3 2 2" xfId="48866" xr:uid="{00000000-0005-0000-0000-0000E2BE0000}"/>
    <cellStyle name="Total 2 3 2 2 3 3 2 3" xfId="48867" xr:uid="{00000000-0005-0000-0000-0000E3BE0000}"/>
    <cellStyle name="Total 2 3 2 2 3 3 2 4" xfId="48868" xr:uid="{00000000-0005-0000-0000-0000E4BE0000}"/>
    <cellStyle name="Total 2 3 2 2 3 3 2 5" xfId="48869" xr:uid="{00000000-0005-0000-0000-0000E5BE0000}"/>
    <cellStyle name="Total 2 3 2 2 3 3 2 6" xfId="48870" xr:uid="{00000000-0005-0000-0000-0000E6BE0000}"/>
    <cellStyle name="Total 2 3 2 2 3 3 3" xfId="48871" xr:uid="{00000000-0005-0000-0000-0000E7BE0000}"/>
    <cellStyle name="Total 2 3 2 2 3 3 4" xfId="48872" xr:uid="{00000000-0005-0000-0000-0000E8BE0000}"/>
    <cellStyle name="Total 2 3 2 2 3 3 5" xfId="48873" xr:uid="{00000000-0005-0000-0000-0000E9BE0000}"/>
    <cellStyle name="Total 2 3 2 2 3 3 6" xfId="48874" xr:uid="{00000000-0005-0000-0000-0000EABE0000}"/>
    <cellStyle name="Total 2 3 2 2 3 4" xfId="48875" xr:uid="{00000000-0005-0000-0000-0000EBBE0000}"/>
    <cellStyle name="Total 2 3 2 2 3 4 2" xfId="48876" xr:uid="{00000000-0005-0000-0000-0000ECBE0000}"/>
    <cellStyle name="Total 2 3 2 2 3 4 3" xfId="48877" xr:uid="{00000000-0005-0000-0000-0000EDBE0000}"/>
    <cellStyle name="Total 2 3 2 2 3 4 4" xfId="48878" xr:uid="{00000000-0005-0000-0000-0000EEBE0000}"/>
    <cellStyle name="Total 2 3 2 2 3 4 5" xfId="48879" xr:uid="{00000000-0005-0000-0000-0000EFBE0000}"/>
    <cellStyle name="Total 2 3 2 2 3 4 6" xfId="48880" xr:uid="{00000000-0005-0000-0000-0000F0BE0000}"/>
    <cellStyle name="Total 2 3 2 2 3 5" xfId="48881" xr:uid="{00000000-0005-0000-0000-0000F1BE0000}"/>
    <cellStyle name="Total 2 3 2 2 3 6" xfId="48882" xr:uid="{00000000-0005-0000-0000-0000F2BE0000}"/>
    <cellStyle name="Total 2 3 2 2 3 7" xfId="48883" xr:uid="{00000000-0005-0000-0000-0000F3BE0000}"/>
    <cellStyle name="Total 2 3 2 2 3 8" xfId="48884" xr:uid="{00000000-0005-0000-0000-0000F4BE0000}"/>
    <cellStyle name="Total 2 3 2 2 4" xfId="48885" xr:uid="{00000000-0005-0000-0000-0000F5BE0000}"/>
    <cellStyle name="Total 2 3 2 2 4 2" xfId="48886" xr:uid="{00000000-0005-0000-0000-0000F6BE0000}"/>
    <cellStyle name="Total 2 3 2 2 4 2 2" xfId="48887" xr:uid="{00000000-0005-0000-0000-0000F7BE0000}"/>
    <cellStyle name="Total 2 3 2 2 4 2 2 2" xfId="48888" xr:uid="{00000000-0005-0000-0000-0000F8BE0000}"/>
    <cellStyle name="Total 2 3 2 2 4 2 2 3" xfId="48889" xr:uid="{00000000-0005-0000-0000-0000F9BE0000}"/>
    <cellStyle name="Total 2 3 2 2 4 2 2 4" xfId="48890" xr:uid="{00000000-0005-0000-0000-0000FABE0000}"/>
    <cellStyle name="Total 2 3 2 2 4 2 2 5" xfId="48891" xr:uid="{00000000-0005-0000-0000-0000FBBE0000}"/>
    <cellStyle name="Total 2 3 2 2 4 2 2 6" xfId="48892" xr:uid="{00000000-0005-0000-0000-0000FCBE0000}"/>
    <cellStyle name="Total 2 3 2 2 4 2 3" xfId="48893" xr:uid="{00000000-0005-0000-0000-0000FDBE0000}"/>
    <cellStyle name="Total 2 3 2 2 4 2 4" xfId="48894" xr:uid="{00000000-0005-0000-0000-0000FEBE0000}"/>
    <cellStyle name="Total 2 3 2 2 4 2 5" xfId="48895" xr:uid="{00000000-0005-0000-0000-0000FFBE0000}"/>
    <cellStyle name="Total 2 3 2 2 4 2 6" xfId="48896" xr:uid="{00000000-0005-0000-0000-000000BF0000}"/>
    <cellStyle name="Total 2 3 2 2 4 3" xfId="48897" xr:uid="{00000000-0005-0000-0000-000001BF0000}"/>
    <cellStyle name="Total 2 3 2 2 4 3 2" xfId="48898" xr:uid="{00000000-0005-0000-0000-000002BF0000}"/>
    <cellStyle name="Total 2 3 2 2 4 3 2 2" xfId="48899" xr:uid="{00000000-0005-0000-0000-000003BF0000}"/>
    <cellStyle name="Total 2 3 2 2 4 3 2 3" xfId="48900" xr:uid="{00000000-0005-0000-0000-000004BF0000}"/>
    <cellStyle name="Total 2 3 2 2 4 3 2 4" xfId="48901" xr:uid="{00000000-0005-0000-0000-000005BF0000}"/>
    <cellStyle name="Total 2 3 2 2 4 3 2 5" xfId="48902" xr:uid="{00000000-0005-0000-0000-000006BF0000}"/>
    <cellStyle name="Total 2 3 2 2 4 3 2 6" xfId="48903" xr:uid="{00000000-0005-0000-0000-000007BF0000}"/>
    <cellStyle name="Total 2 3 2 2 4 3 3" xfId="48904" xr:uid="{00000000-0005-0000-0000-000008BF0000}"/>
    <cellStyle name="Total 2 3 2 2 4 3 4" xfId="48905" xr:uid="{00000000-0005-0000-0000-000009BF0000}"/>
    <cellStyle name="Total 2 3 2 2 4 3 5" xfId="48906" xr:uid="{00000000-0005-0000-0000-00000ABF0000}"/>
    <cellStyle name="Total 2 3 2 2 4 3 6" xfId="48907" xr:uid="{00000000-0005-0000-0000-00000BBF0000}"/>
    <cellStyle name="Total 2 3 2 2 4 4" xfId="48908" xr:uid="{00000000-0005-0000-0000-00000CBF0000}"/>
    <cellStyle name="Total 2 3 2 2 4 4 2" xfId="48909" xr:uid="{00000000-0005-0000-0000-00000DBF0000}"/>
    <cellStyle name="Total 2 3 2 2 4 4 3" xfId="48910" xr:uid="{00000000-0005-0000-0000-00000EBF0000}"/>
    <cellStyle name="Total 2 3 2 2 4 4 4" xfId="48911" xr:uid="{00000000-0005-0000-0000-00000FBF0000}"/>
    <cellStyle name="Total 2 3 2 2 4 4 5" xfId="48912" xr:uid="{00000000-0005-0000-0000-000010BF0000}"/>
    <cellStyle name="Total 2 3 2 2 4 4 6" xfId="48913" xr:uid="{00000000-0005-0000-0000-000011BF0000}"/>
    <cellStyle name="Total 2 3 2 2 4 5" xfId="48914" xr:uid="{00000000-0005-0000-0000-000012BF0000}"/>
    <cellStyle name="Total 2 3 2 2 4 6" xfId="48915" xr:uid="{00000000-0005-0000-0000-000013BF0000}"/>
    <cellStyle name="Total 2 3 2 2 4 7" xfId="48916" xr:uid="{00000000-0005-0000-0000-000014BF0000}"/>
    <cellStyle name="Total 2 3 2 2 4 8" xfId="48917" xr:uid="{00000000-0005-0000-0000-000015BF0000}"/>
    <cellStyle name="Total 2 3 2 2 5" xfId="48918" xr:uid="{00000000-0005-0000-0000-000016BF0000}"/>
    <cellStyle name="Total 2 3 2 2 5 2" xfId="48919" xr:uid="{00000000-0005-0000-0000-000017BF0000}"/>
    <cellStyle name="Total 2 3 2 2 5 2 2" xfId="48920" xr:uid="{00000000-0005-0000-0000-000018BF0000}"/>
    <cellStyle name="Total 2 3 2 2 5 2 2 2" xfId="48921" xr:uid="{00000000-0005-0000-0000-000019BF0000}"/>
    <cellStyle name="Total 2 3 2 2 5 2 2 3" xfId="48922" xr:uid="{00000000-0005-0000-0000-00001ABF0000}"/>
    <cellStyle name="Total 2 3 2 2 5 2 2 4" xfId="48923" xr:uid="{00000000-0005-0000-0000-00001BBF0000}"/>
    <cellStyle name="Total 2 3 2 2 5 2 2 5" xfId="48924" xr:uid="{00000000-0005-0000-0000-00001CBF0000}"/>
    <cellStyle name="Total 2 3 2 2 5 2 2 6" xfId="48925" xr:uid="{00000000-0005-0000-0000-00001DBF0000}"/>
    <cellStyle name="Total 2 3 2 2 5 2 3" xfId="48926" xr:uid="{00000000-0005-0000-0000-00001EBF0000}"/>
    <cellStyle name="Total 2 3 2 2 5 2 4" xfId="48927" xr:uid="{00000000-0005-0000-0000-00001FBF0000}"/>
    <cellStyle name="Total 2 3 2 2 5 2 5" xfId="48928" xr:uid="{00000000-0005-0000-0000-000020BF0000}"/>
    <cellStyle name="Total 2 3 2 2 5 2 6" xfId="48929" xr:uid="{00000000-0005-0000-0000-000021BF0000}"/>
    <cellStyle name="Total 2 3 2 2 5 3" xfId="48930" xr:uid="{00000000-0005-0000-0000-000022BF0000}"/>
    <cellStyle name="Total 2 3 2 2 5 3 2" xfId="48931" xr:uid="{00000000-0005-0000-0000-000023BF0000}"/>
    <cellStyle name="Total 2 3 2 2 5 3 2 2" xfId="48932" xr:uid="{00000000-0005-0000-0000-000024BF0000}"/>
    <cellStyle name="Total 2 3 2 2 5 3 2 3" xfId="48933" xr:uid="{00000000-0005-0000-0000-000025BF0000}"/>
    <cellStyle name="Total 2 3 2 2 5 3 2 4" xfId="48934" xr:uid="{00000000-0005-0000-0000-000026BF0000}"/>
    <cellStyle name="Total 2 3 2 2 5 3 2 5" xfId="48935" xr:uid="{00000000-0005-0000-0000-000027BF0000}"/>
    <cellStyle name="Total 2 3 2 2 5 3 2 6" xfId="48936" xr:uid="{00000000-0005-0000-0000-000028BF0000}"/>
    <cellStyle name="Total 2 3 2 2 5 3 3" xfId="48937" xr:uid="{00000000-0005-0000-0000-000029BF0000}"/>
    <cellStyle name="Total 2 3 2 2 5 3 4" xfId="48938" xr:uid="{00000000-0005-0000-0000-00002ABF0000}"/>
    <cellStyle name="Total 2 3 2 2 5 3 5" xfId="48939" xr:uid="{00000000-0005-0000-0000-00002BBF0000}"/>
    <cellStyle name="Total 2 3 2 2 5 3 6" xfId="48940" xr:uid="{00000000-0005-0000-0000-00002CBF0000}"/>
    <cellStyle name="Total 2 3 2 2 5 4" xfId="48941" xr:uid="{00000000-0005-0000-0000-00002DBF0000}"/>
    <cellStyle name="Total 2 3 2 2 5 4 2" xfId="48942" xr:uid="{00000000-0005-0000-0000-00002EBF0000}"/>
    <cellStyle name="Total 2 3 2 2 5 4 3" xfId="48943" xr:uid="{00000000-0005-0000-0000-00002FBF0000}"/>
    <cellStyle name="Total 2 3 2 2 5 4 4" xfId="48944" xr:uid="{00000000-0005-0000-0000-000030BF0000}"/>
    <cellStyle name="Total 2 3 2 2 5 4 5" xfId="48945" xr:uid="{00000000-0005-0000-0000-000031BF0000}"/>
    <cellStyle name="Total 2 3 2 2 5 4 6" xfId="48946" xr:uid="{00000000-0005-0000-0000-000032BF0000}"/>
    <cellStyle name="Total 2 3 2 2 5 5" xfId="48947" xr:uid="{00000000-0005-0000-0000-000033BF0000}"/>
    <cellStyle name="Total 2 3 2 2 5 6" xfId="48948" xr:uid="{00000000-0005-0000-0000-000034BF0000}"/>
    <cellStyle name="Total 2 3 2 2 5 7" xfId="48949" xr:uid="{00000000-0005-0000-0000-000035BF0000}"/>
    <cellStyle name="Total 2 3 2 2 5 8" xfId="48950" xr:uid="{00000000-0005-0000-0000-000036BF0000}"/>
    <cellStyle name="Total 2 3 2 2 6" xfId="48951" xr:uid="{00000000-0005-0000-0000-000037BF0000}"/>
    <cellStyle name="Total 2 3 2 2 6 2" xfId="48952" xr:uid="{00000000-0005-0000-0000-000038BF0000}"/>
    <cellStyle name="Total 2 3 2 2 6 2 2" xfId="48953" xr:uid="{00000000-0005-0000-0000-000039BF0000}"/>
    <cellStyle name="Total 2 3 2 2 6 2 2 2" xfId="48954" xr:uid="{00000000-0005-0000-0000-00003ABF0000}"/>
    <cellStyle name="Total 2 3 2 2 6 2 2 3" xfId="48955" xr:uid="{00000000-0005-0000-0000-00003BBF0000}"/>
    <cellStyle name="Total 2 3 2 2 6 2 2 4" xfId="48956" xr:uid="{00000000-0005-0000-0000-00003CBF0000}"/>
    <cellStyle name="Total 2 3 2 2 6 2 2 5" xfId="48957" xr:uid="{00000000-0005-0000-0000-00003DBF0000}"/>
    <cellStyle name="Total 2 3 2 2 6 2 2 6" xfId="48958" xr:uid="{00000000-0005-0000-0000-00003EBF0000}"/>
    <cellStyle name="Total 2 3 2 2 6 2 3" xfId="48959" xr:uid="{00000000-0005-0000-0000-00003FBF0000}"/>
    <cellStyle name="Total 2 3 2 2 6 2 4" xfId="48960" xr:uid="{00000000-0005-0000-0000-000040BF0000}"/>
    <cellStyle name="Total 2 3 2 2 6 2 5" xfId="48961" xr:uid="{00000000-0005-0000-0000-000041BF0000}"/>
    <cellStyle name="Total 2 3 2 2 6 2 6" xfId="48962" xr:uid="{00000000-0005-0000-0000-000042BF0000}"/>
    <cellStyle name="Total 2 3 2 2 6 3" xfId="48963" xr:uid="{00000000-0005-0000-0000-000043BF0000}"/>
    <cellStyle name="Total 2 3 2 2 6 3 2" xfId="48964" xr:uid="{00000000-0005-0000-0000-000044BF0000}"/>
    <cellStyle name="Total 2 3 2 2 6 3 2 2" xfId="48965" xr:uid="{00000000-0005-0000-0000-000045BF0000}"/>
    <cellStyle name="Total 2 3 2 2 6 3 2 3" xfId="48966" xr:uid="{00000000-0005-0000-0000-000046BF0000}"/>
    <cellStyle name="Total 2 3 2 2 6 3 2 4" xfId="48967" xr:uid="{00000000-0005-0000-0000-000047BF0000}"/>
    <cellStyle name="Total 2 3 2 2 6 3 2 5" xfId="48968" xr:uid="{00000000-0005-0000-0000-000048BF0000}"/>
    <cellStyle name="Total 2 3 2 2 6 3 2 6" xfId="48969" xr:uid="{00000000-0005-0000-0000-000049BF0000}"/>
    <cellStyle name="Total 2 3 2 2 6 3 3" xfId="48970" xr:uid="{00000000-0005-0000-0000-00004ABF0000}"/>
    <cellStyle name="Total 2 3 2 2 6 3 4" xfId="48971" xr:uid="{00000000-0005-0000-0000-00004BBF0000}"/>
    <cellStyle name="Total 2 3 2 2 6 3 5" xfId="48972" xr:uid="{00000000-0005-0000-0000-00004CBF0000}"/>
    <cellStyle name="Total 2 3 2 2 6 3 6" xfId="48973" xr:uid="{00000000-0005-0000-0000-00004DBF0000}"/>
    <cellStyle name="Total 2 3 2 2 6 4" xfId="48974" xr:uid="{00000000-0005-0000-0000-00004EBF0000}"/>
    <cellStyle name="Total 2 3 2 2 6 4 2" xfId="48975" xr:uid="{00000000-0005-0000-0000-00004FBF0000}"/>
    <cellStyle name="Total 2 3 2 2 6 4 3" xfId="48976" xr:uid="{00000000-0005-0000-0000-000050BF0000}"/>
    <cellStyle name="Total 2 3 2 2 6 4 4" xfId="48977" xr:uid="{00000000-0005-0000-0000-000051BF0000}"/>
    <cellStyle name="Total 2 3 2 2 6 4 5" xfId="48978" xr:uid="{00000000-0005-0000-0000-000052BF0000}"/>
    <cellStyle name="Total 2 3 2 2 6 4 6" xfId="48979" xr:uid="{00000000-0005-0000-0000-000053BF0000}"/>
    <cellStyle name="Total 2 3 2 2 6 5" xfId="48980" xr:uid="{00000000-0005-0000-0000-000054BF0000}"/>
    <cellStyle name="Total 2 3 2 2 6 6" xfId="48981" xr:uid="{00000000-0005-0000-0000-000055BF0000}"/>
    <cellStyle name="Total 2 3 2 2 6 7" xfId="48982" xr:uid="{00000000-0005-0000-0000-000056BF0000}"/>
    <cellStyle name="Total 2 3 2 2 6 8" xfId="48983" xr:uid="{00000000-0005-0000-0000-000057BF0000}"/>
    <cellStyle name="Total 2 3 2 2 7" xfId="48984" xr:uid="{00000000-0005-0000-0000-000058BF0000}"/>
    <cellStyle name="Total 2 3 2 2 7 2" xfId="48985" xr:uid="{00000000-0005-0000-0000-000059BF0000}"/>
    <cellStyle name="Total 2 3 2 2 7 2 2" xfId="48986" xr:uid="{00000000-0005-0000-0000-00005ABF0000}"/>
    <cellStyle name="Total 2 3 2 2 7 2 3" xfId="48987" xr:uid="{00000000-0005-0000-0000-00005BBF0000}"/>
    <cellStyle name="Total 2 3 2 2 7 2 4" xfId="48988" xr:uid="{00000000-0005-0000-0000-00005CBF0000}"/>
    <cellStyle name="Total 2 3 2 2 7 2 5" xfId="48989" xr:uid="{00000000-0005-0000-0000-00005DBF0000}"/>
    <cellStyle name="Total 2 3 2 2 7 2 6" xfId="48990" xr:uid="{00000000-0005-0000-0000-00005EBF0000}"/>
    <cellStyle name="Total 2 3 2 2 7 3" xfId="48991" xr:uid="{00000000-0005-0000-0000-00005FBF0000}"/>
    <cellStyle name="Total 2 3 2 2 7 4" xfId="48992" xr:uid="{00000000-0005-0000-0000-000060BF0000}"/>
    <cellStyle name="Total 2 3 2 2 7 5" xfId="48993" xr:uid="{00000000-0005-0000-0000-000061BF0000}"/>
    <cellStyle name="Total 2 3 2 2 7 6" xfId="48994" xr:uid="{00000000-0005-0000-0000-000062BF0000}"/>
    <cellStyle name="Total 2 3 2 2 8" xfId="48995" xr:uid="{00000000-0005-0000-0000-000063BF0000}"/>
    <cellStyle name="Total 2 3 2 2 8 2" xfId="48996" xr:uid="{00000000-0005-0000-0000-000064BF0000}"/>
    <cellStyle name="Total 2 3 2 2 8 2 2" xfId="48997" xr:uid="{00000000-0005-0000-0000-000065BF0000}"/>
    <cellStyle name="Total 2 3 2 2 8 2 3" xfId="48998" xr:uid="{00000000-0005-0000-0000-000066BF0000}"/>
    <cellStyle name="Total 2 3 2 2 8 2 4" xfId="48999" xr:uid="{00000000-0005-0000-0000-000067BF0000}"/>
    <cellStyle name="Total 2 3 2 2 8 2 5" xfId="49000" xr:uid="{00000000-0005-0000-0000-000068BF0000}"/>
    <cellStyle name="Total 2 3 2 2 8 2 6" xfId="49001" xr:uid="{00000000-0005-0000-0000-000069BF0000}"/>
    <cellStyle name="Total 2 3 2 2 8 3" xfId="49002" xr:uid="{00000000-0005-0000-0000-00006ABF0000}"/>
    <cellStyle name="Total 2 3 2 2 8 4" xfId="49003" xr:uid="{00000000-0005-0000-0000-00006BBF0000}"/>
    <cellStyle name="Total 2 3 2 2 8 5" xfId="49004" xr:uid="{00000000-0005-0000-0000-00006CBF0000}"/>
    <cellStyle name="Total 2 3 2 2 8 6" xfId="49005" xr:uid="{00000000-0005-0000-0000-00006DBF0000}"/>
    <cellStyle name="Total 2 3 2 2 9" xfId="49006" xr:uid="{00000000-0005-0000-0000-00006EBF0000}"/>
    <cellStyle name="Total 2 3 2 2 9 2" xfId="49007" xr:uid="{00000000-0005-0000-0000-00006FBF0000}"/>
    <cellStyle name="Total 2 3 2 2 9 3" xfId="49008" xr:uid="{00000000-0005-0000-0000-000070BF0000}"/>
    <cellStyle name="Total 2 3 2 2 9 4" xfId="49009" xr:uid="{00000000-0005-0000-0000-000071BF0000}"/>
    <cellStyle name="Total 2 3 2 2 9 5" xfId="49010" xr:uid="{00000000-0005-0000-0000-000072BF0000}"/>
    <cellStyle name="Total 2 3 2 2 9 6" xfId="49011" xr:uid="{00000000-0005-0000-0000-000073BF0000}"/>
    <cellStyle name="Total 2 3 2 3" xfId="49012" xr:uid="{00000000-0005-0000-0000-000074BF0000}"/>
    <cellStyle name="Total 2 3 2 3 2" xfId="49013" xr:uid="{00000000-0005-0000-0000-000075BF0000}"/>
    <cellStyle name="Total 2 3 2 3 3" xfId="49014" xr:uid="{00000000-0005-0000-0000-000076BF0000}"/>
    <cellStyle name="Total 2 3 2 3 4" xfId="49015" xr:uid="{00000000-0005-0000-0000-000077BF0000}"/>
    <cellStyle name="Total 2 3 2 3 5" xfId="49016" xr:uid="{00000000-0005-0000-0000-000078BF0000}"/>
    <cellStyle name="Total 2 3 2 3 6" xfId="49017" xr:uid="{00000000-0005-0000-0000-000079BF0000}"/>
    <cellStyle name="Total 2 3 2 4" xfId="49018" xr:uid="{00000000-0005-0000-0000-00007ABF0000}"/>
    <cellStyle name="Total 2 3 2 4 2" xfId="49019" xr:uid="{00000000-0005-0000-0000-00007BBF0000}"/>
    <cellStyle name="Total 2 3 2 4 3" xfId="49020" xr:uid="{00000000-0005-0000-0000-00007CBF0000}"/>
    <cellStyle name="Total 2 3 2 4 4" xfId="49021" xr:uid="{00000000-0005-0000-0000-00007DBF0000}"/>
    <cellStyle name="Total 2 3 2 4 5" xfId="49022" xr:uid="{00000000-0005-0000-0000-00007EBF0000}"/>
    <cellStyle name="Total 2 3 2 4 6" xfId="49023" xr:uid="{00000000-0005-0000-0000-00007FBF0000}"/>
    <cellStyle name="Total 2 3 2 5" xfId="49024" xr:uid="{00000000-0005-0000-0000-000080BF0000}"/>
    <cellStyle name="Total 2 3 2 6" xfId="49025" xr:uid="{00000000-0005-0000-0000-000081BF0000}"/>
    <cellStyle name="Total 2 3 2 7" xfId="49026" xr:uid="{00000000-0005-0000-0000-000082BF0000}"/>
    <cellStyle name="Total 2 3 2 8" xfId="49027" xr:uid="{00000000-0005-0000-0000-000083BF0000}"/>
    <cellStyle name="Total 2 3 20" xfId="49028" xr:uid="{00000000-0005-0000-0000-000084BF0000}"/>
    <cellStyle name="Total 2 3 20 2" xfId="49029" xr:uid="{00000000-0005-0000-0000-000085BF0000}"/>
    <cellStyle name="Total 2 3 20 2 2" xfId="49030" xr:uid="{00000000-0005-0000-0000-000086BF0000}"/>
    <cellStyle name="Total 2 3 20 2 3" xfId="49031" xr:uid="{00000000-0005-0000-0000-000087BF0000}"/>
    <cellStyle name="Total 2 3 20 2 4" xfId="49032" xr:uid="{00000000-0005-0000-0000-000088BF0000}"/>
    <cellStyle name="Total 2 3 20 2 5" xfId="49033" xr:uid="{00000000-0005-0000-0000-000089BF0000}"/>
    <cellStyle name="Total 2 3 20 2 6" xfId="49034" xr:uid="{00000000-0005-0000-0000-00008ABF0000}"/>
    <cellStyle name="Total 2 3 20 3" xfId="49035" xr:uid="{00000000-0005-0000-0000-00008BBF0000}"/>
    <cellStyle name="Total 2 3 20 4" xfId="49036" xr:uid="{00000000-0005-0000-0000-00008CBF0000}"/>
    <cellStyle name="Total 2 3 20 5" xfId="49037" xr:uid="{00000000-0005-0000-0000-00008DBF0000}"/>
    <cellStyle name="Total 2 3 20 6" xfId="49038" xr:uid="{00000000-0005-0000-0000-00008EBF0000}"/>
    <cellStyle name="Total 2 3 20 7" xfId="49039" xr:uid="{00000000-0005-0000-0000-00008FBF0000}"/>
    <cellStyle name="Total 2 3 21" xfId="49040" xr:uid="{00000000-0005-0000-0000-000090BF0000}"/>
    <cellStyle name="Total 2 3 21 2" xfId="49041" xr:uid="{00000000-0005-0000-0000-000091BF0000}"/>
    <cellStyle name="Total 2 3 21 2 2" xfId="49042" xr:uid="{00000000-0005-0000-0000-000092BF0000}"/>
    <cellStyle name="Total 2 3 21 2 3" xfId="49043" xr:uid="{00000000-0005-0000-0000-000093BF0000}"/>
    <cellStyle name="Total 2 3 21 2 4" xfId="49044" xr:uid="{00000000-0005-0000-0000-000094BF0000}"/>
    <cellStyle name="Total 2 3 21 2 5" xfId="49045" xr:uid="{00000000-0005-0000-0000-000095BF0000}"/>
    <cellStyle name="Total 2 3 21 2 6" xfId="49046" xr:uid="{00000000-0005-0000-0000-000096BF0000}"/>
    <cellStyle name="Total 2 3 21 3" xfId="49047" xr:uid="{00000000-0005-0000-0000-000097BF0000}"/>
    <cellStyle name="Total 2 3 21 4" xfId="49048" xr:uid="{00000000-0005-0000-0000-000098BF0000}"/>
    <cellStyle name="Total 2 3 21 5" xfId="49049" xr:uid="{00000000-0005-0000-0000-000099BF0000}"/>
    <cellStyle name="Total 2 3 21 6" xfId="49050" xr:uid="{00000000-0005-0000-0000-00009ABF0000}"/>
    <cellStyle name="Total 2 3 21 7" xfId="49051" xr:uid="{00000000-0005-0000-0000-00009BBF0000}"/>
    <cellStyle name="Total 2 3 22" xfId="49052" xr:uid="{00000000-0005-0000-0000-00009CBF0000}"/>
    <cellStyle name="Total 2 3 22 2" xfId="49053" xr:uid="{00000000-0005-0000-0000-00009DBF0000}"/>
    <cellStyle name="Total 2 3 22 2 2" xfId="49054" xr:uid="{00000000-0005-0000-0000-00009EBF0000}"/>
    <cellStyle name="Total 2 3 22 2 3" xfId="49055" xr:uid="{00000000-0005-0000-0000-00009FBF0000}"/>
    <cellStyle name="Total 2 3 22 2 4" xfId="49056" xr:uid="{00000000-0005-0000-0000-0000A0BF0000}"/>
    <cellStyle name="Total 2 3 22 2 5" xfId="49057" xr:uid="{00000000-0005-0000-0000-0000A1BF0000}"/>
    <cellStyle name="Total 2 3 22 2 6" xfId="49058" xr:uid="{00000000-0005-0000-0000-0000A2BF0000}"/>
    <cellStyle name="Total 2 3 22 3" xfId="49059" xr:uid="{00000000-0005-0000-0000-0000A3BF0000}"/>
    <cellStyle name="Total 2 3 22 4" xfId="49060" xr:uid="{00000000-0005-0000-0000-0000A4BF0000}"/>
    <cellStyle name="Total 2 3 22 5" xfId="49061" xr:uid="{00000000-0005-0000-0000-0000A5BF0000}"/>
    <cellStyle name="Total 2 3 22 6" xfId="49062" xr:uid="{00000000-0005-0000-0000-0000A6BF0000}"/>
    <cellStyle name="Total 2 3 22 7" xfId="49063" xr:uid="{00000000-0005-0000-0000-0000A7BF0000}"/>
    <cellStyle name="Total 2 3 23" xfId="49064" xr:uid="{00000000-0005-0000-0000-0000A8BF0000}"/>
    <cellStyle name="Total 2 3 23 2" xfId="49065" xr:uid="{00000000-0005-0000-0000-0000A9BF0000}"/>
    <cellStyle name="Total 2 3 23 2 2" xfId="49066" xr:uid="{00000000-0005-0000-0000-0000AABF0000}"/>
    <cellStyle name="Total 2 3 23 2 3" xfId="49067" xr:uid="{00000000-0005-0000-0000-0000ABBF0000}"/>
    <cellStyle name="Total 2 3 23 2 4" xfId="49068" xr:uid="{00000000-0005-0000-0000-0000ACBF0000}"/>
    <cellStyle name="Total 2 3 23 2 5" xfId="49069" xr:uid="{00000000-0005-0000-0000-0000ADBF0000}"/>
    <cellStyle name="Total 2 3 23 2 6" xfId="49070" xr:uid="{00000000-0005-0000-0000-0000AEBF0000}"/>
    <cellStyle name="Total 2 3 23 3" xfId="49071" xr:uid="{00000000-0005-0000-0000-0000AFBF0000}"/>
    <cellStyle name="Total 2 3 23 4" xfId="49072" xr:uid="{00000000-0005-0000-0000-0000B0BF0000}"/>
    <cellStyle name="Total 2 3 23 5" xfId="49073" xr:uid="{00000000-0005-0000-0000-0000B1BF0000}"/>
    <cellStyle name="Total 2 3 23 6" xfId="49074" xr:uid="{00000000-0005-0000-0000-0000B2BF0000}"/>
    <cellStyle name="Total 2 3 23 7" xfId="49075" xr:uid="{00000000-0005-0000-0000-0000B3BF0000}"/>
    <cellStyle name="Total 2 3 24" xfId="49076" xr:uid="{00000000-0005-0000-0000-0000B4BF0000}"/>
    <cellStyle name="Total 2 3 24 2" xfId="49077" xr:uid="{00000000-0005-0000-0000-0000B5BF0000}"/>
    <cellStyle name="Total 2 3 24 2 2" xfId="49078" xr:uid="{00000000-0005-0000-0000-0000B6BF0000}"/>
    <cellStyle name="Total 2 3 24 2 3" xfId="49079" xr:uid="{00000000-0005-0000-0000-0000B7BF0000}"/>
    <cellStyle name="Total 2 3 24 2 4" xfId="49080" xr:uid="{00000000-0005-0000-0000-0000B8BF0000}"/>
    <cellStyle name="Total 2 3 24 2 5" xfId="49081" xr:uid="{00000000-0005-0000-0000-0000B9BF0000}"/>
    <cellStyle name="Total 2 3 24 2 6" xfId="49082" xr:uid="{00000000-0005-0000-0000-0000BABF0000}"/>
    <cellStyle name="Total 2 3 24 3" xfId="49083" xr:uid="{00000000-0005-0000-0000-0000BBBF0000}"/>
    <cellStyle name="Total 2 3 24 4" xfId="49084" xr:uid="{00000000-0005-0000-0000-0000BCBF0000}"/>
    <cellStyle name="Total 2 3 24 5" xfId="49085" xr:uid="{00000000-0005-0000-0000-0000BDBF0000}"/>
    <cellStyle name="Total 2 3 24 6" xfId="49086" xr:uid="{00000000-0005-0000-0000-0000BEBF0000}"/>
    <cellStyle name="Total 2 3 24 7" xfId="49087" xr:uid="{00000000-0005-0000-0000-0000BFBF0000}"/>
    <cellStyle name="Total 2 3 25" xfId="49088" xr:uid="{00000000-0005-0000-0000-0000C0BF0000}"/>
    <cellStyle name="Total 2 3 25 2" xfId="49089" xr:uid="{00000000-0005-0000-0000-0000C1BF0000}"/>
    <cellStyle name="Total 2 3 25 2 2" xfId="49090" xr:uid="{00000000-0005-0000-0000-0000C2BF0000}"/>
    <cellStyle name="Total 2 3 25 2 3" xfId="49091" xr:uid="{00000000-0005-0000-0000-0000C3BF0000}"/>
    <cellStyle name="Total 2 3 25 2 4" xfId="49092" xr:uid="{00000000-0005-0000-0000-0000C4BF0000}"/>
    <cellStyle name="Total 2 3 25 2 5" xfId="49093" xr:uid="{00000000-0005-0000-0000-0000C5BF0000}"/>
    <cellStyle name="Total 2 3 25 2 6" xfId="49094" xr:uid="{00000000-0005-0000-0000-0000C6BF0000}"/>
    <cellStyle name="Total 2 3 25 3" xfId="49095" xr:uid="{00000000-0005-0000-0000-0000C7BF0000}"/>
    <cellStyle name="Total 2 3 25 4" xfId="49096" xr:uid="{00000000-0005-0000-0000-0000C8BF0000}"/>
    <cellStyle name="Total 2 3 25 5" xfId="49097" xr:uid="{00000000-0005-0000-0000-0000C9BF0000}"/>
    <cellStyle name="Total 2 3 25 6" xfId="49098" xr:uid="{00000000-0005-0000-0000-0000CABF0000}"/>
    <cellStyle name="Total 2 3 25 7" xfId="49099" xr:uid="{00000000-0005-0000-0000-0000CBBF0000}"/>
    <cellStyle name="Total 2 3 26" xfId="49100" xr:uid="{00000000-0005-0000-0000-0000CCBF0000}"/>
    <cellStyle name="Total 2 3 26 2" xfId="49101" xr:uid="{00000000-0005-0000-0000-0000CDBF0000}"/>
    <cellStyle name="Total 2 3 26 2 2" xfId="49102" xr:uid="{00000000-0005-0000-0000-0000CEBF0000}"/>
    <cellStyle name="Total 2 3 26 2 3" xfId="49103" xr:uid="{00000000-0005-0000-0000-0000CFBF0000}"/>
    <cellStyle name="Total 2 3 26 2 4" xfId="49104" xr:uid="{00000000-0005-0000-0000-0000D0BF0000}"/>
    <cellStyle name="Total 2 3 26 2 5" xfId="49105" xr:uid="{00000000-0005-0000-0000-0000D1BF0000}"/>
    <cellStyle name="Total 2 3 26 2 6" xfId="49106" xr:uid="{00000000-0005-0000-0000-0000D2BF0000}"/>
    <cellStyle name="Total 2 3 26 3" xfId="49107" xr:uid="{00000000-0005-0000-0000-0000D3BF0000}"/>
    <cellStyle name="Total 2 3 26 4" xfId="49108" xr:uid="{00000000-0005-0000-0000-0000D4BF0000}"/>
    <cellStyle name="Total 2 3 26 5" xfId="49109" xr:uid="{00000000-0005-0000-0000-0000D5BF0000}"/>
    <cellStyle name="Total 2 3 26 6" xfId="49110" xr:uid="{00000000-0005-0000-0000-0000D6BF0000}"/>
    <cellStyle name="Total 2 3 26 7" xfId="49111" xr:uid="{00000000-0005-0000-0000-0000D7BF0000}"/>
    <cellStyle name="Total 2 3 27" xfId="49112" xr:uid="{00000000-0005-0000-0000-0000D8BF0000}"/>
    <cellStyle name="Total 2 3 27 2" xfId="49113" xr:uid="{00000000-0005-0000-0000-0000D9BF0000}"/>
    <cellStyle name="Total 2 3 27 2 2" xfId="49114" xr:uid="{00000000-0005-0000-0000-0000DABF0000}"/>
    <cellStyle name="Total 2 3 27 2 3" xfId="49115" xr:uid="{00000000-0005-0000-0000-0000DBBF0000}"/>
    <cellStyle name="Total 2 3 27 2 4" xfId="49116" xr:uid="{00000000-0005-0000-0000-0000DCBF0000}"/>
    <cellStyle name="Total 2 3 27 2 5" xfId="49117" xr:uid="{00000000-0005-0000-0000-0000DDBF0000}"/>
    <cellStyle name="Total 2 3 27 2 6" xfId="49118" xr:uid="{00000000-0005-0000-0000-0000DEBF0000}"/>
    <cellStyle name="Total 2 3 27 3" xfId="49119" xr:uid="{00000000-0005-0000-0000-0000DFBF0000}"/>
    <cellStyle name="Total 2 3 27 4" xfId="49120" xr:uid="{00000000-0005-0000-0000-0000E0BF0000}"/>
    <cellStyle name="Total 2 3 27 5" xfId="49121" xr:uid="{00000000-0005-0000-0000-0000E1BF0000}"/>
    <cellStyle name="Total 2 3 27 6" xfId="49122" xr:uid="{00000000-0005-0000-0000-0000E2BF0000}"/>
    <cellStyle name="Total 2 3 27 7" xfId="49123" xr:uid="{00000000-0005-0000-0000-0000E3BF0000}"/>
    <cellStyle name="Total 2 3 28" xfId="49124" xr:uid="{00000000-0005-0000-0000-0000E4BF0000}"/>
    <cellStyle name="Total 2 3 28 2" xfId="49125" xr:uid="{00000000-0005-0000-0000-0000E5BF0000}"/>
    <cellStyle name="Total 2 3 28 2 2" xfId="49126" xr:uid="{00000000-0005-0000-0000-0000E6BF0000}"/>
    <cellStyle name="Total 2 3 28 2 3" xfId="49127" xr:uid="{00000000-0005-0000-0000-0000E7BF0000}"/>
    <cellStyle name="Total 2 3 28 2 4" xfId="49128" xr:uid="{00000000-0005-0000-0000-0000E8BF0000}"/>
    <cellStyle name="Total 2 3 28 2 5" xfId="49129" xr:uid="{00000000-0005-0000-0000-0000E9BF0000}"/>
    <cellStyle name="Total 2 3 28 2 6" xfId="49130" xr:uid="{00000000-0005-0000-0000-0000EABF0000}"/>
    <cellStyle name="Total 2 3 28 3" xfId="49131" xr:uid="{00000000-0005-0000-0000-0000EBBF0000}"/>
    <cellStyle name="Total 2 3 28 4" xfId="49132" xr:uid="{00000000-0005-0000-0000-0000ECBF0000}"/>
    <cellStyle name="Total 2 3 28 5" xfId="49133" xr:uid="{00000000-0005-0000-0000-0000EDBF0000}"/>
    <cellStyle name="Total 2 3 28 6" xfId="49134" xr:uid="{00000000-0005-0000-0000-0000EEBF0000}"/>
    <cellStyle name="Total 2 3 28 7" xfId="49135" xr:uid="{00000000-0005-0000-0000-0000EFBF0000}"/>
    <cellStyle name="Total 2 3 29" xfId="49136" xr:uid="{00000000-0005-0000-0000-0000F0BF0000}"/>
    <cellStyle name="Total 2 3 29 2" xfId="49137" xr:uid="{00000000-0005-0000-0000-0000F1BF0000}"/>
    <cellStyle name="Total 2 3 29 2 2" xfId="49138" xr:uid="{00000000-0005-0000-0000-0000F2BF0000}"/>
    <cellStyle name="Total 2 3 29 2 3" xfId="49139" xr:uid="{00000000-0005-0000-0000-0000F3BF0000}"/>
    <cellStyle name="Total 2 3 29 2 4" xfId="49140" xr:uid="{00000000-0005-0000-0000-0000F4BF0000}"/>
    <cellStyle name="Total 2 3 29 2 5" xfId="49141" xr:uid="{00000000-0005-0000-0000-0000F5BF0000}"/>
    <cellStyle name="Total 2 3 29 2 6" xfId="49142" xr:uid="{00000000-0005-0000-0000-0000F6BF0000}"/>
    <cellStyle name="Total 2 3 29 3" xfId="49143" xr:uid="{00000000-0005-0000-0000-0000F7BF0000}"/>
    <cellStyle name="Total 2 3 29 4" xfId="49144" xr:uid="{00000000-0005-0000-0000-0000F8BF0000}"/>
    <cellStyle name="Total 2 3 29 5" xfId="49145" xr:uid="{00000000-0005-0000-0000-0000F9BF0000}"/>
    <cellStyle name="Total 2 3 29 6" xfId="49146" xr:uid="{00000000-0005-0000-0000-0000FABF0000}"/>
    <cellStyle name="Total 2 3 29 7" xfId="49147" xr:uid="{00000000-0005-0000-0000-0000FBBF0000}"/>
    <cellStyle name="Total 2 3 3" xfId="49148" xr:uid="{00000000-0005-0000-0000-0000FCBF0000}"/>
    <cellStyle name="Total 2 3 3 10" xfId="49149" xr:uid="{00000000-0005-0000-0000-0000FDBF0000}"/>
    <cellStyle name="Total 2 3 3 11" xfId="49150" xr:uid="{00000000-0005-0000-0000-0000FEBF0000}"/>
    <cellStyle name="Total 2 3 3 2" xfId="49151" xr:uid="{00000000-0005-0000-0000-0000FFBF0000}"/>
    <cellStyle name="Total 2 3 3 2 2" xfId="49152" xr:uid="{00000000-0005-0000-0000-000000C00000}"/>
    <cellStyle name="Total 2 3 3 2 2 2" xfId="49153" xr:uid="{00000000-0005-0000-0000-000001C00000}"/>
    <cellStyle name="Total 2 3 3 2 2 2 2" xfId="49154" xr:uid="{00000000-0005-0000-0000-000002C00000}"/>
    <cellStyle name="Total 2 3 3 2 2 2 3" xfId="49155" xr:uid="{00000000-0005-0000-0000-000003C00000}"/>
    <cellStyle name="Total 2 3 3 2 2 2 4" xfId="49156" xr:uid="{00000000-0005-0000-0000-000004C00000}"/>
    <cellStyle name="Total 2 3 3 2 2 2 5" xfId="49157" xr:uid="{00000000-0005-0000-0000-000005C00000}"/>
    <cellStyle name="Total 2 3 3 2 2 2 6" xfId="49158" xr:uid="{00000000-0005-0000-0000-000006C00000}"/>
    <cellStyle name="Total 2 3 3 2 2 3" xfId="49159" xr:uid="{00000000-0005-0000-0000-000007C00000}"/>
    <cellStyle name="Total 2 3 3 2 2 4" xfId="49160" xr:uid="{00000000-0005-0000-0000-000008C00000}"/>
    <cellStyle name="Total 2 3 3 2 2 5" xfId="49161" xr:uid="{00000000-0005-0000-0000-000009C00000}"/>
    <cellStyle name="Total 2 3 3 2 2 6" xfId="49162" xr:uid="{00000000-0005-0000-0000-00000AC00000}"/>
    <cellStyle name="Total 2 3 3 2 3" xfId="49163" xr:uid="{00000000-0005-0000-0000-00000BC00000}"/>
    <cellStyle name="Total 2 3 3 2 3 2" xfId="49164" xr:uid="{00000000-0005-0000-0000-00000CC00000}"/>
    <cellStyle name="Total 2 3 3 2 3 2 2" xfId="49165" xr:uid="{00000000-0005-0000-0000-00000DC00000}"/>
    <cellStyle name="Total 2 3 3 2 3 2 3" xfId="49166" xr:uid="{00000000-0005-0000-0000-00000EC00000}"/>
    <cellStyle name="Total 2 3 3 2 3 2 4" xfId="49167" xr:uid="{00000000-0005-0000-0000-00000FC00000}"/>
    <cellStyle name="Total 2 3 3 2 3 2 5" xfId="49168" xr:uid="{00000000-0005-0000-0000-000010C00000}"/>
    <cellStyle name="Total 2 3 3 2 3 2 6" xfId="49169" xr:uid="{00000000-0005-0000-0000-000011C00000}"/>
    <cellStyle name="Total 2 3 3 2 3 3" xfId="49170" xr:uid="{00000000-0005-0000-0000-000012C00000}"/>
    <cellStyle name="Total 2 3 3 2 3 4" xfId="49171" xr:uid="{00000000-0005-0000-0000-000013C00000}"/>
    <cellStyle name="Total 2 3 3 2 3 5" xfId="49172" xr:uid="{00000000-0005-0000-0000-000014C00000}"/>
    <cellStyle name="Total 2 3 3 2 3 6" xfId="49173" xr:uid="{00000000-0005-0000-0000-000015C00000}"/>
    <cellStyle name="Total 2 3 3 2 4" xfId="49174" xr:uid="{00000000-0005-0000-0000-000016C00000}"/>
    <cellStyle name="Total 2 3 3 2 4 2" xfId="49175" xr:uid="{00000000-0005-0000-0000-000017C00000}"/>
    <cellStyle name="Total 2 3 3 2 4 3" xfId="49176" xr:uid="{00000000-0005-0000-0000-000018C00000}"/>
    <cellStyle name="Total 2 3 3 2 4 4" xfId="49177" xr:uid="{00000000-0005-0000-0000-000019C00000}"/>
    <cellStyle name="Total 2 3 3 2 4 5" xfId="49178" xr:uid="{00000000-0005-0000-0000-00001AC00000}"/>
    <cellStyle name="Total 2 3 3 2 4 6" xfId="49179" xr:uid="{00000000-0005-0000-0000-00001BC00000}"/>
    <cellStyle name="Total 2 3 3 2 5" xfId="49180" xr:uid="{00000000-0005-0000-0000-00001CC00000}"/>
    <cellStyle name="Total 2 3 3 2 5 2" xfId="49181" xr:uid="{00000000-0005-0000-0000-00001DC00000}"/>
    <cellStyle name="Total 2 3 3 2 5 3" xfId="49182" xr:uid="{00000000-0005-0000-0000-00001EC00000}"/>
    <cellStyle name="Total 2 3 3 2 5 4" xfId="49183" xr:uid="{00000000-0005-0000-0000-00001FC00000}"/>
    <cellStyle name="Total 2 3 3 2 5 5" xfId="49184" xr:uid="{00000000-0005-0000-0000-000020C00000}"/>
    <cellStyle name="Total 2 3 3 2 5 6" xfId="49185" xr:uid="{00000000-0005-0000-0000-000021C00000}"/>
    <cellStyle name="Total 2 3 3 2 6" xfId="49186" xr:uid="{00000000-0005-0000-0000-000022C00000}"/>
    <cellStyle name="Total 2 3 3 2 7" xfId="49187" xr:uid="{00000000-0005-0000-0000-000023C00000}"/>
    <cellStyle name="Total 2 3 3 2 8" xfId="49188" xr:uid="{00000000-0005-0000-0000-000024C00000}"/>
    <cellStyle name="Total 2 3 3 2 9" xfId="49189" xr:uid="{00000000-0005-0000-0000-000025C00000}"/>
    <cellStyle name="Total 2 3 3 3" xfId="49190" xr:uid="{00000000-0005-0000-0000-000026C00000}"/>
    <cellStyle name="Total 2 3 3 3 2" xfId="49191" xr:uid="{00000000-0005-0000-0000-000027C00000}"/>
    <cellStyle name="Total 2 3 3 3 2 2" xfId="49192" xr:uid="{00000000-0005-0000-0000-000028C00000}"/>
    <cellStyle name="Total 2 3 3 3 2 2 2" xfId="49193" xr:uid="{00000000-0005-0000-0000-000029C00000}"/>
    <cellStyle name="Total 2 3 3 3 2 2 3" xfId="49194" xr:uid="{00000000-0005-0000-0000-00002AC00000}"/>
    <cellStyle name="Total 2 3 3 3 2 2 4" xfId="49195" xr:uid="{00000000-0005-0000-0000-00002BC00000}"/>
    <cellStyle name="Total 2 3 3 3 2 2 5" xfId="49196" xr:uid="{00000000-0005-0000-0000-00002CC00000}"/>
    <cellStyle name="Total 2 3 3 3 2 2 6" xfId="49197" xr:uid="{00000000-0005-0000-0000-00002DC00000}"/>
    <cellStyle name="Total 2 3 3 3 2 3" xfId="49198" xr:uid="{00000000-0005-0000-0000-00002EC00000}"/>
    <cellStyle name="Total 2 3 3 3 2 4" xfId="49199" xr:uid="{00000000-0005-0000-0000-00002FC00000}"/>
    <cellStyle name="Total 2 3 3 3 2 5" xfId="49200" xr:uid="{00000000-0005-0000-0000-000030C00000}"/>
    <cellStyle name="Total 2 3 3 3 2 6" xfId="49201" xr:uid="{00000000-0005-0000-0000-000031C00000}"/>
    <cellStyle name="Total 2 3 3 3 3" xfId="49202" xr:uid="{00000000-0005-0000-0000-000032C00000}"/>
    <cellStyle name="Total 2 3 3 3 3 2" xfId="49203" xr:uid="{00000000-0005-0000-0000-000033C00000}"/>
    <cellStyle name="Total 2 3 3 3 3 2 2" xfId="49204" xr:uid="{00000000-0005-0000-0000-000034C00000}"/>
    <cellStyle name="Total 2 3 3 3 3 2 3" xfId="49205" xr:uid="{00000000-0005-0000-0000-000035C00000}"/>
    <cellStyle name="Total 2 3 3 3 3 2 4" xfId="49206" xr:uid="{00000000-0005-0000-0000-000036C00000}"/>
    <cellStyle name="Total 2 3 3 3 3 2 5" xfId="49207" xr:uid="{00000000-0005-0000-0000-000037C00000}"/>
    <cellStyle name="Total 2 3 3 3 3 2 6" xfId="49208" xr:uid="{00000000-0005-0000-0000-000038C00000}"/>
    <cellStyle name="Total 2 3 3 3 3 3" xfId="49209" xr:uid="{00000000-0005-0000-0000-000039C00000}"/>
    <cellStyle name="Total 2 3 3 3 3 4" xfId="49210" xr:uid="{00000000-0005-0000-0000-00003AC00000}"/>
    <cellStyle name="Total 2 3 3 3 3 5" xfId="49211" xr:uid="{00000000-0005-0000-0000-00003BC00000}"/>
    <cellStyle name="Total 2 3 3 3 3 6" xfId="49212" xr:uid="{00000000-0005-0000-0000-00003CC00000}"/>
    <cellStyle name="Total 2 3 3 3 4" xfId="49213" xr:uid="{00000000-0005-0000-0000-00003DC00000}"/>
    <cellStyle name="Total 2 3 3 3 4 2" xfId="49214" xr:uid="{00000000-0005-0000-0000-00003EC00000}"/>
    <cellStyle name="Total 2 3 3 3 4 3" xfId="49215" xr:uid="{00000000-0005-0000-0000-00003FC00000}"/>
    <cellStyle name="Total 2 3 3 3 4 4" xfId="49216" xr:uid="{00000000-0005-0000-0000-000040C00000}"/>
    <cellStyle name="Total 2 3 3 3 4 5" xfId="49217" xr:uid="{00000000-0005-0000-0000-000041C00000}"/>
    <cellStyle name="Total 2 3 3 3 4 6" xfId="49218" xr:uid="{00000000-0005-0000-0000-000042C00000}"/>
    <cellStyle name="Total 2 3 3 3 5" xfId="49219" xr:uid="{00000000-0005-0000-0000-000043C00000}"/>
    <cellStyle name="Total 2 3 3 3 6" xfId="49220" xr:uid="{00000000-0005-0000-0000-000044C00000}"/>
    <cellStyle name="Total 2 3 3 3 7" xfId="49221" xr:uid="{00000000-0005-0000-0000-000045C00000}"/>
    <cellStyle name="Total 2 3 3 3 8" xfId="49222" xr:uid="{00000000-0005-0000-0000-000046C00000}"/>
    <cellStyle name="Total 2 3 3 4" xfId="49223" xr:uid="{00000000-0005-0000-0000-000047C00000}"/>
    <cellStyle name="Total 2 3 3 4 2" xfId="49224" xr:uid="{00000000-0005-0000-0000-000048C00000}"/>
    <cellStyle name="Total 2 3 3 4 2 2" xfId="49225" xr:uid="{00000000-0005-0000-0000-000049C00000}"/>
    <cellStyle name="Total 2 3 3 4 2 3" xfId="49226" xr:uid="{00000000-0005-0000-0000-00004AC00000}"/>
    <cellStyle name="Total 2 3 3 4 2 4" xfId="49227" xr:uid="{00000000-0005-0000-0000-00004BC00000}"/>
    <cellStyle name="Total 2 3 3 4 2 5" xfId="49228" xr:uid="{00000000-0005-0000-0000-00004CC00000}"/>
    <cellStyle name="Total 2 3 3 4 2 6" xfId="49229" xr:uid="{00000000-0005-0000-0000-00004DC00000}"/>
    <cellStyle name="Total 2 3 3 4 3" xfId="49230" xr:uid="{00000000-0005-0000-0000-00004EC00000}"/>
    <cellStyle name="Total 2 3 3 4 4" xfId="49231" xr:uid="{00000000-0005-0000-0000-00004FC00000}"/>
    <cellStyle name="Total 2 3 3 4 5" xfId="49232" xr:uid="{00000000-0005-0000-0000-000050C00000}"/>
    <cellStyle name="Total 2 3 3 4 6" xfId="49233" xr:uid="{00000000-0005-0000-0000-000051C00000}"/>
    <cellStyle name="Total 2 3 3 5" xfId="49234" xr:uid="{00000000-0005-0000-0000-000052C00000}"/>
    <cellStyle name="Total 2 3 3 5 2" xfId="49235" xr:uid="{00000000-0005-0000-0000-000053C00000}"/>
    <cellStyle name="Total 2 3 3 5 2 2" xfId="49236" xr:uid="{00000000-0005-0000-0000-000054C00000}"/>
    <cellStyle name="Total 2 3 3 5 2 3" xfId="49237" xr:uid="{00000000-0005-0000-0000-000055C00000}"/>
    <cellStyle name="Total 2 3 3 5 2 4" xfId="49238" xr:uid="{00000000-0005-0000-0000-000056C00000}"/>
    <cellStyle name="Total 2 3 3 5 2 5" xfId="49239" xr:uid="{00000000-0005-0000-0000-000057C00000}"/>
    <cellStyle name="Total 2 3 3 5 2 6" xfId="49240" xr:uid="{00000000-0005-0000-0000-000058C00000}"/>
    <cellStyle name="Total 2 3 3 5 3" xfId="49241" xr:uid="{00000000-0005-0000-0000-000059C00000}"/>
    <cellStyle name="Total 2 3 3 5 4" xfId="49242" xr:uid="{00000000-0005-0000-0000-00005AC00000}"/>
    <cellStyle name="Total 2 3 3 5 5" xfId="49243" xr:uid="{00000000-0005-0000-0000-00005BC00000}"/>
    <cellStyle name="Total 2 3 3 5 6" xfId="49244" xr:uid="{00000000-0005-0000-0000-00005CC00000}"/>
    <cellStyle name="Total 2 3 3 6" xfId="49245" xr:uid="{00000000-0005-0000-0000-00005DC00000}"/>
    <cellStyle name="Total 2 3 3 6 2" xfId="49246" xr:uid="{00000000-0005-0000-0000-00005EC00000}"/>
    <cellStyle name="Total 2 3 3 6 3" xfId="49247" xr:uid="{00000000-0005-0000-0000-00005FC00000}"/>
    <cellStyle name="Total 2 3 3 6 4" xfId="49248" xr:uid="{00000000-0005-0000-0000-000060C00000}"/>
    <cellStyle name="Total 2 3 3 6 5" xfId="49249" xr:uid="{00000000-0005-0000-0000-000061C00000}"/>
    <cellStyle name="Total 2 3 3 6 6" xfId="49250" xr:uid="{00000000-0005-0000-0000-000062C00000}"/>
    <cellStyle name="Total 2 3 3 7" xfId="49251" xr:uid="{00000000-0005-0000-0000-000063C00000}"/>
    <cellStyle name="Total 2 3 3 7 2" xfId="49252" xr:uid="{00000000-0005-0000-0000-000064C00000}"/>
    <cellStyle name="Total 2 3 3 7 3" xfId="49253" xr:uid="{00000000-0005-0000-0000-000065C00000}"/>
    <cellStyle name="Total 2 3 3 7 4" xfId="49254" xr:uid="{00000000-0005-0000-0000-000066C00000}"/>
    <cellStyle name="Total 2 3 3 7 5" xfId="49255" xr:uid="{00000000-0005-0000-0000-000067C00000}"/>
    <cellStyle name="Total 2 3 3 7 6" xfId="49256" xr:uid="{00000000-0005-0000-0000-000068C00000}"/>
    <cellStyle name="Total 2 3 3 8" xfId="49257" xr:uid="{00000000-0005-0000-0000-000069C00000}"/>
    <cellStyle name="Total 2 3 3 9" xfId="49258" xr:uid="{00000000-0005-0000-0000-00006AC00000}"/>
    <cellStyle name="Total 2 3 30" xfId="49259" xr:uid="{00000000-0005-0000-0000-00006BC00000}"/>
    <cellStyle name="Total 2 3 30 2" xfId="49260" xr:uid="{00000000-0005-0000-0000-00006CC00000}"/>
    <cellStyle name="Total 2 3 30 2 2" xfId="49261" xr:uid="{00000000-0005-0000-0000-00006DC00000}"/>
    <cellStyle name="Total 2 3 30 2 3" xfId="49262" xr:uid="{00000000-0005-0000-0000-00006EC00000}"/>
    <cellStyle name="Total 2 3 30 2 4" xfId="49263" xr:uid="{00000000-0005-0000-0000-00006FC00000}"/>
    <cellStyle name="Total 2 3 30 2 5" xfId="49264" xr:uid="{00000000-0005-0000-0000-000070C00000}"/>
    <cellStyle name="Total 2 3 30 2 6" xfId="49265" xr:uid="{00000000-0005-0000-0000-000071C00000}"/>
    <cellStyle name="Total 2 3 30 3" xfId="49266" xr:uid="{00000000-0005-0000-0000-000072C00000}"/>
    <cellStyle name="Total 2 3 30 4" xfId="49267" xr:uid="{00000000-0005-0000-0000-000073C00000}"/>
    <cellStyle name="Total 2 3 30 5" xfId="49268" xr:uid="{00000000-0005-0000-0000-000074C00000}"/>
    <cellStyle name="Total 2 3 30 6" xfId="49269" xr:uid="{00000000-0005-0000-0000-000075C00000}"/>
    <cellStyle name="Total 2 3 30 7" xfId="49270" xr:uid="{00000000-0005-0000-0000-000076C00000}"/>
    <cellStyle name="Total 2 3 31" xfId="49271" xr:uid="{00000000-0005-0000-0000-000077C00000}"/>
    <cellStyle name="Total 2 3 31 2" xfId="49272" xr:uid="{00000000-0005-0000-0000-000078C00000}"/>
    <cellStyle name="Total 2 3 31 2 2" xfId="49273" xr:uid="{00000000-0005-0000-0000-000079C00000}"/>
    <cellStyle name="Total 2 3 31 2 3" xfId="49274" xr:uid="{00000000-0005-0000-0000-00007AC00000}"/>
    <cellStyle name="Total 2 3 31 2 4" xfId="49275" xr:uid="{00000000-0005-0000-0000-00007BC00000}"/>
    <cellStyle name="Total 2 3 31 2 5" xfId="49276" xr:uid="{00000000-0005-0000-0000-00007CC00000}"/>
    <cellStyle name="Total 2 3 31 2 6" xfId="49277" xr:uid="{00000000-0005-0000-0000-00007DC00000}"/>
    <cellStyle name="Total 2 3 31 3" xfId="49278" xr:uid="{00000000-0005-0000-0000-00007EC00000}"/>
    <cellStyle name="Total 2 3 31 4" xfId="49279" xr:uid="{00000000-0005-0000-0000-00007FC00000}"/>
    <cellStyle name="Total 2 3 31 5" xfId="49280" xr:uid="{00000000-0005-0000-0000-000080C00000}"/>
    <cellStyle name="Total 2 3 31 6" xfId="49281" xr:uid="{00000000-0005-0000-0000-000081C00000}"/>
    <cellStyle name="Total 2 3 31 7" xfId="49282" xr:uid="{00000000-0005-0000-0000-000082C00000}"/>
    <cellStyle name="Total 2 3 32" xfId="49283" xr:uid="{00000000-0005-0000-0000-000083C00000}"/>
    <cellStyle name="Total 2 3 32 2" xfId="49284" xr:uid="{00000000-0005-0000-0000-000084C00000}"/>
    <cellStyle name="Total 2 3 32 2 2" xfId="49285" xr:uid="{00000000-0005-0000-0000-000085C00000}"/>
    <cellStyle name="Total 2 3 32 2 3" xfId="49286" xr:uid="{00000000-0005-0000-0000-000086C00000}"/>
    <cellStyle name="Total 2 3 32 2 4" xfId="49287" xr:uid="{00000000-0005-0000-0000-000087C00000}"/>
    <cellStyle name="Total 2 3 32 2 5" xfId="49288" xr:uid="{00000000-0005-0000-0000-000088C00000}"/>
    <cellStyle name="Total 2 3 32 2 6" xfId="49289" xr:uid="{00000000-0005-0000-0000-000089C00000}"/>
    <cellStyle name="Total 2 3 32 3" xfId="49290" xr:uid="{00000000-0005-0000-0000-00008AC00000}"/>
    <cellStyle name="Total 2 3 32 4" xfId="49291" xr:uid="{00000000-0005-0000-0000-00008BC00000}"/>
    <cellStyle name="Total 2 3 32 5" xfId="49292" xr:uid="{00000000-0005-0000-0000-00008CC00000}"/>
    <cellStyle name="Total 2 3 32 6" xfId="49293" xr:uid="{00000000-0005-0000-0000-00008DC00000}"/>
    <cellStyle name="Total 2 3 32 7" xfId="49294" xr:uid="{00000000-0005-0000-0000-00008EC00000}"/>
    <cellStyle name="Total 2 3 33" xfId="49295" xr:uid="{00000000-0005-0000-0000-00008FC00000}"/>
    <cellStyle name="Total 2 3 33 2" xfId="49296" xr:uid="{00000000-0005-0000-0000-000090C00000}"/>
    <cellStyle name="Total 2 3 33 2 2" xfId="49297" xr:uid="{00000000-0005-0000-0000-000091C00000}"/>
    <cellStyle name="Total 2 3 33 2 3" xfId="49298" xr:uid="{00000000-0005-0000-0000-000092C00000}"/>
    <cellStyle name="Total 2 3 33 2 4" xfId="49299" xr:uid="{00000000-0005-0000-0000-000093C00000}"/>
    <cellStyle name="Total 2 3 33 2 5" xfId="49300" xr:uid="{00000000-0005-0000-0000-000094C00000}"/>
    <cellStyle name="Total 2 3 33 2 6" xfId="49301" xr:uid="{00000000-0005-0000-0000-000095C00000}"/>
    <cellStyle name="Total 2 3 33 3" xfId="49302" xr:uid="{00000000-0005-0000-0000-000096C00000}"/>
    <cellStyle name="Total 2 3 33 4" xfId="49303" xr:uid="{00000000-0005-0000-0000-000097C00000}"/>
    <cellStyle name="Total 2 3 33 5" xfId="49304" xr:uid="{00000000-0005-0000-0000-000098C00000}"/>
    <cellStyle name="Total 2 3 33 6" xfId="49305" xr:uid="{00000000-0005-0000-0000-000099C00000}"/>
    <cellStyle name="Total 2 3 33 7" xfId="49306" xr:uid="{00000000-0005-0000-0000-00009AC00000}"/>
    <cellStyle name="Total 2 3 34" xfId="49307" xr:uid="{00000000-0005-0000-0000-00009BC00000}"/>
    <cellStyle name="Total 2 3 34 2" xfId="49308" xr:uid="{00000000-0005-0000-0000-00009CC00000}"/>
    <cellStyle name="Total 2 3 34 2 2" xfId="49309" xr:uid="{00000000-0005-0000-0000-00009DC00000}"/>
    <cellStyle name="Total 2 3 34 2 3" xfId="49310" xr:uid="{00000000-0005-0000-0000-00009EC00000}"/>
    <cellStyle name="Total 2 3 34 2 4" xfId="49311" xr:uid="{00000000-0005-0000-0000-00009FC00000}"/>
    <cellStyle name="Total 2 3 34 2 5" xfId="49312" xr:uid="{00000000-0005-0000-0000-0000A0C00000}"/>
    <cellStyle name="Total 2 3 34 2 6" xfId="49313" xr:uid="{00000000-0005-0000-0000-0000A1C00000}"/>
    <cellStyle name="Total 2 3 34 3" xfId="49314" xr:uid="{00000000-0005-0000-0000-0000A2C00000}"/>
    <cellStyle name="Total 2 3 34 4" xfId="49315" xr:uid="{00000000-0005-0000-0000-0000A3C00000}"/>
    <cellStyle name="Total 2 3 34 5" xfId="49316" xr:uid="{00000000-0005-0000-0000-0000A4C00000}"/>
    <cellStyle name="Total 2 3 34 6" xfId="49317" xr:uid="{00000000-0005-0000-0000-0000A5C00000}"/>
    <cellStyle name="Total 2 3 34 7" xfId="49318" xr:uid="{00000000-0005-0000-0000-0000A6C00000}"/>
    <cellStyle name="Total 2 3 35" xfId="49319" xr:uid="{00000000-0005-0000-0000-0000A7C00000}"/>
    <cellStyle name="Total 2 3 35 2" xfId="49320" xr:uid="{00000000-0005-0000-0000-0000A8C00000}"/>
    <cellStyle name="Total 2 3 35 2 2" xfId="49321" xr:uid="{00000000-0005-0000-0000-0000A9C00000}"/>
    <cellStyle name="Total 2 3 35 2 3" xfId="49322" xr:uid="{00000000-0005-0000-0000-0000AAC00000}"/>
    <cellStyle name="Total 2 3 35 2 4" xfId="49323" xr:uid="{00000000-0005-0000-0000-0000ABC00000}"/>
    <cellStyle name="Total 2 3 35 2 5" xfId="49324" xr:uid="{00000000-0005-0000-0000-0000ACC00000}"/>
    <cellStyle name="Total 2 3 35 2 6" xfId="49325" xr:uid="{00000000-0005-0000-0000-0000ADC00000}"/>
    <cellStyle name="Total 2 3 35 3" xfId="49326" xr:uid="{00000000-0005-0000-0000-0000AEC00000}"/>
    <cellStyle name="Total 2 3 35 4" xfId="49327" xr:uid="{00000000-0005-0000-0000-0000AFC00000}"/>
    <cellStyle name="Total 2 3 35 5" xfId="49328" xr:uid="{00000000-0005-0000-0000-0000B0C00000}"/>
    <cellStyle name="Total 2 3 35 6" xfId="49329" xr:uid="{00000000-0005-0000-0000-0000B1C00000}"/>
    <cellStyle name="Total 2 3 35 7" xfId="49330" xr:uid="{00000000-0005-0000-0000-0000B2C00000}"/>
    <cellStyle name="Total 2 3 36" xfId="49331" xr:uid="{00000000-0005-0000-0000-0000B3C00000}"/>
    <cellStyle name="Total 2 3 36 2" xfId="49332" xr:uid="{00000000-0005-0000-0000-0000B4C00000}"/>
    <cellStyle name="Total 2 3 36 2 2" xfId="49333" xr:uid="{00000000-0005-0000-0000-0000B5C00000}"/>
    <cellStyle name="Total 2 3 36 2 3" xfId="49334" xr:uid="{00000000-0005-0000-0000-0000B6C00000}"/>
    <cellStyle name="Total 2 3 36 2 4" xfId="49335" xr:uid="{00000000-0005-0000-0000-0000B7C00000}"/>
    <cellStyle name="Total 2 3 36 2 5" xfId="49336" xr:uid="{00000000-0005-0000-0000-0000B8C00000}"/>
    <cellStyle name="Total 2 3 36 2 6" xfId="49337" xr:uid="{00000000-0005-0000-0000-0000B9C00000}"/>
    <cellStyle name="Total 2 3 36 3" xfId="49338" xr:uid="{00000000-0005-0000-0000-0000BAC00000}"/>
    <cellStyle name="Total 2 3 36 4" xfId="49339" xr:uid="{00000000-0005-0000-0000-0000BBC00000}"/>
    <cellStyle name="Total 2 3 36 5" xfId="49340" xr:uid="{00000000-0005-0000-0000-0000BCC00000}"/>
    <cellStyle name="Total 2 3 36 6" xfId="49341" xr:uid="{00000000-0005-0000-0000-0000BDC00000}"/>
    <cellStyle name="Total 2 3 36 7" xfId="49342" xr:uid="{00000000-0005-0000-0000-0000BEC00000}"/>
    <cellStyle name="Total 2 3 37" xfId="49343" xr:uid="{00000000-0005-0000-0000-0000BFC00000}"/>
    <cellStyle name="Total 2 3 37 2" xfId="49344" xr:uid="{00000000-0005-0000-0000-0000C0C00000}"/>
    <cellStyle name="Total 2 3 37 2 2" xfId="49345" xr:uid="{00000000-0005-0000-0000-0000C1C00000}"/>
    <cellStyle name="Total 2 3 37 2 3" xfId="49346" xr:uid="{00000000-0005-0000-0000-0000C2C00000}"/>
    <cellStyle name="Total 2 3 37 2 4" xfId="49347" xr:uid="{00000000-0005-0000-0000-0000C3C00000}"/>
    <cellStyle name="Total 2 3 37 2 5" xfId="49348" xr:uid="{00000000-0005-0000-0000-0000C4C00000}"/>
    <cellStyle name="Total 2 3 37 2 6" xfId="49349" xr:uid="{00000000-0005-0000-0000-0000C5C00000}"/>
    <cellStyle name="Total 2 3 37 3" xfId="49350" xr:uid="{00000000-0005-0000-0000-0000C6C00000}"/>
    <cellStyle name="Total 2 3 37 4" xfId="49351" xr:uid="{00000000-0005-0000-0000-0000C7C00000}"/>
    <cellStyle name="Total 2 3 37 5" xfId="49352" xr:uid="{00000000-0005-0000-0000-0000C8C00000}"/>
    <cellStyle name="Total 2 3 37 6" xfId="49353" xr:uid="{00000000-0005-0000-0000-0000C9C00000}"/>
    <cellStyle name="Total 2 3 37 7" xfId="49354" xr:uid="{00000000-0005-0000-0000-0000CAC00000}"/>
    <cellStyle name="Total 2 3 38" xfId="49355" xr:uid="{00000000-0005-0000-0000-0000CBC00000}"/>
    <cellStyle name="Total 2 3 38 2" xfId="49356" xr:uid="{00000000-0005-0000-0000-0000CCC00000}"/>
    <cellStyle name="Total 2 3 38 2 2" xfId="49357" xr:uid="{00000000-0005-0000-0000-0000CDC00000}"/>
    <cellStyle name="Total 2 3 38 2 3" xfId="49358" xr:uid="{00000000-0005-0000-0000-0000CEC00000}"/>
    <cellStyle name="Total 2 3 38 2 4" xfId="49359" xr:uid="{00000000-0005-0000-0000-0000CFC00000}"/>
    <cellStyle name="Total 2 3 38 2 5" xfId="49360" xr:uid="{00000000-0005-0000-0000-0000D0C00000}"/>
    <cellStyle name="Total 2 3 38 2 6" xfId="49361" xr:uid="{00000000-0005-0000-0000-0000D1C00000}"/>
    <cellStyle name="Total 2 3 38 3" xfId="49362" xr:uid="{00000000-0005-0000-0000-0000D2C00000}"/>
    <cellStyle name="Total 2 3 38 4" xfId="49363" xr:uid="{00000000-0005-0000-0000-0000D3C00000}"/>
    <cellStyle name="Total 2 3 38 5" xfId="49364" xr:uid="{00000000-0005-0000-0000-0000D4C00000}"/>
    <cellStyle name="Total 2 3 38 6" xfId="49365" xr:uid="{00000000-0005-0000-0000-0000D5C00000}"/>
    <cellStyle name="Total 2 3 38 7" xfId="49366" xr:uid="{00000000-0005-0000-0000-0000D6C00000}"/>
    <cellStyle name="Total 2 3 39" xfId="49367" xr:uid="{00000000-0005-0000-0000-0000D7C00000}"/>
    <cellStyle name="Total 2 3 39 2" xfId="49368" xr:uid="{00000000-0005-0000-0000-0000D8C00000}"/>
    <cellStyle name="Total 2 3 39 2 2" xfId="49369" xr:uid="{00000000-0005-0000-0000-0000D9C00000}"/>
    <cellStyle name="Total 2 3 39 2 3" xfId="49370" xr:uid="{00000000-0005-0000-0000-0000DAC00000}"/>
    <cellStyle name="Total 2 3 39 2 4" xfId="49371" xr:uid="{00000000-0005-0000-0000-0000DBC00000}"/>
    <cellStyle name="Total 2 3 39 2 5" xfId="49372" xr:uid="{00000000-0005-0000-0000-0000DCC00000}"/>
    <cellStyle name="Total 2 3 39 2 6" xfId="49373" xr:uid="{00000000-0005-0000-0000-0000DDC00000}"/>
    <cellStyle name="Total 2 3 39 3" xfId="49374" xr:uid="{00000000-0005-0000-0000-0000DEC00000}"/>
    <cellStyle name="Total 2 3 39 4" xfId="49375" xr:uid="{00000000-0005-0000-0000-0000DFC00000}"/>
    <cellStyle name="Total 2 3 39 5" xfId="49376" xr:uid="{00000000-0005-0000-0000-0000E0C00000}"/>
    <cellStyle name="Total 2 3 39 6" xfId="49377" xr:uid="{00000000-0005-0000-0000-0000E1C00000}"/>
    <cellStyle name="Total 2 3 39 7" xfId="49378" xr:uid="{00000000-0005-0000-0000-0000E2C00000}"/>
    <cellStyle name="Total 2 3 4" xfId="49379" xr:uid="{00000000-0005-0000-0000-0000E3C00000}"/>
    <cellStyle name="Total 2 3 4 2" xfId="49380" xr:uid="{00000000-0005-0000-0000-0000E4C00000}"/>
    <cellStyle name="Total 2 3 4 2 2" xfId="49381" xr:uid="{00000000-0005-0000-0000-0000E5C00000}"/>
    <cellStyle name="Total 2 3 4 2 3" xfId="49382" xr:uid="{00000000-0005-0000-0000-0000E6C00000}"/>
    <cellStyle name="Total 2 3 4 2 4" xfId="49383" xr:uid="{00000000-0005-0000-0000-0000E7C00000}"/>
    <cellStyle name="Total 2 3 4 2 5" xfId="49384" xr:uid="{00000000-0005-0000-0000-0000E8C00000}"/>
    <cellStyle name="Total 2 3 4 2 6" xfId="49385" xr:uid="{00000000-0005-0000-0000-0000E9C00000}"/>
    <cellStyle name="Total 2 3 4 3" xfId="49386" xr:uid="{00000000-0005-0000-0000-0000EAC00000}"/>
    <cellStyle name="Total 2 3 4 3 2" xfId="49387" xr:uid="{00000000-0005-0000-0000-0000EBC00000}"/>
    <cellStyle name="Total 2 3 4 3 3" xfId="49388" xr:uid="{00000000-0005-0000-0000-0000ECC00000}"/>
    <cellStyle name="Total 2 3 4 3 4" xfId="49389" xr:uid="{00000000-0005-0000-0000-0000EDC00000}"/>
    <cellStyle name="Total 2 3 4 3 5" xfId="49390" xr:uid="{00000000-0005-0000-0000-0000EEC00000}"/>
    <cellStyle name="Total 2 3 4 3 6" xfId="49391" xr:uid="{00000000-0005-0000-0000-0000EFC00000}"/>
    <cellStyle name="Total 2 3 4 4" xfId="49392" xr:uid="{00000000-0005-0000-0000-0000F0C00000}"/>
    <cellStyle name="Total 2 3 4 5" xfId="49393" xr:uid="{00000000-0005-0000-0000-0000F1C00000}"/>
    <cellStyle name="Total 2 3 4 6" xfId="49394" xr:uid="{00000000-0005-0000-0000-0000F2C00000}"/>
    <cellStyle name="Total 2 3 4 7" xfId="49395" xr:uid="{00000000-0005-0000-0000-0000F3C00000}"/>
    <cellStyle name="Total 2 3 4 8" xfId="49396" xr:uid="{00000000-0005-0000-0000-0000F4C00000}"/>
    <cellStyle name="Total 2 3 40" xfId="49397" xr:uid="{00000000-0005-0000-0000-0000F5C00000}"/>
    <cellStyle name="Total 2 3 40 2" xfId="49398" xr:uid="{00000000-0005-0000-0000-0000F6C00000}"/>
    <cellStyle name="Total 2 3 40 2 2" xfId="49399" xr:uid="{00000000-0005-0000-0000-0000F7C00000}"/>
    <cellStyle name="Total 2 3 40 2 3" xfId="49400" xr:uid="{00000000-0005-0000-0000-0000F8C00000}"/>
    <cellStyle name="Total 2 3 40 2 4" xfId="49401" xr:uid="{00000000-0005-0000-0000-0000F9C00000}"/>
    <cellStyle name="Total 2 3 40 2 5" xfId="49402" xr:uid="{00000000-0005-0000-0000-0000FAC00000}"/>
    <cellStyle name="Total 2 3 40 2 6" xfId="49403" xr:uid="{00000000-0005-0000-0000-0000FBC00000}"/>
    <cellStyle name="Total 2 3 40 3" xfId="49404" xr:uid="{00000000-0005-0000-0000-0000FCC00000}"/>
    <cellStyle name="Total 2 3 40 4" xfId="49405" xr:uid="{00000000-0005-0000-0000-0000FDC00000}"/>
    <cellStyle name="Total 2 3 40 5" xfId="49406" xr:uid="{00000000-0005-0000-0000-0000FEC00000}"/>
    <cellStyle name="Total 2 3 40 6" xfId="49407" xr:uid="{00000000-0005-0000-0000-0000FFC00000}"/>
    <cellStyle name="Total 2 3 40 7" xfId="49408" xr:uid="{00000000-0005-0000-0000-000000C10000}"/>
    <cellStyle name="Total 2 3 41" xfId="49409" xr:uid="{00000000-0005-0000-0000-000001C10000}"/>
    <cellStyle name="Total 2 3 41 2" xfId="49410" xr:uid="{00000000-0005-0000-0000-000002C10000}"/>
    <cellStyle name="Total 2 3 41 2 2" xfId="49411" xr:uid="{00000000-0005-0000-0000-000003C10000}"/>
    <cellStyle name="Total 2 3 41 2 3" xfId="49412" xr:uid="{00000000-0005-0000-0000-000004C10000}"/>
    <cellStyle name="Total 2 3 41 2 4" xfId="49413" xr:uid="{00000000-0005-0000-0000-000005C10000}"/>
    <cellStyle name="Total 2 3 41 2 5" xfId="49414" xr:uid="{00000000-0005-0000-0000-000006C10000}"/>
    <cellStyle name="Total 2 3 41 2 6" xfId="49415" xr:uid="{00000000-0005-0000-0000-000007C10000}"/>
    <cellStyle name="Total 2 3 41 3" xfId="49416" xr:uid="{00000000-0005-0000-0000-000008C10000}"/>
    <cellStyle name="Total 2 3 41 4" xfId="49417" xr:uid="{00000000-0005-0000-0000-000009C10000}"/>
    <cellStyle name="Total 2 3 41 5" xfId="49418" xr:uid="{00000000-0005-0000-0000-00000AC10000}"/>
    <cellStyle name="Total 2 3 41 6" xfId="49419" xr:uid="{00000000-0005-0000-0000-00000BC10000}"/>
    <cellStyle name="Total 2 3 41 7" xfId="49420" xr:uid="{00000000-0005-0000-0000-00000CC10000}"/>
    <cellStyle name="Total 2 3 42" xfId="49421" xr:uid="{00000000-0005-0000-0000-00000DC10000}"/>
    <cellStyle name="Total 2 3 42 2" xfId="49422" xr:uid="{00000000-0005-0000-0000-00000EC10000}"/>
    <cellStyle name="Total 2 3 42 3" xfId="49423" xr:uid="{00000000-0005-0000-0000-00000FC10000}"/>
    <cellStyle name="Total 2 3 42 4" xfId="49424" xr:uid="{00000000-0005-0000-0000-000010C10000}"/>
    <cellStyle name="Total 2 3 42 5" xfId="49425" xr:uid="{00000000-0005-0000-0000-000011C10000}"/>
    <cellStyle name="Total 2 3 42 6" xfId="49426" xr:uid="{00000000-0005-0000-0000-000012C10000}"/>
    <cellStyle name="Total 2 3 43" xfId="49427" xr:uid="{00000000-0005-0000-0000-000013C10000}"/>
    <cellStyle name="Total 2 3 43 2" xfId="49428" xr:uid="{00000000-0005-0000-0000-000014C10000}"/>
    <cellStyle name="Total 2 3 43 3" xfId="49429" xr:uid="{00000000-0005-0000-0000-000015C10000}"/>
    <cellStyle name="Total 2 3 43 4" xfId="49430" xr:uid="{00000000-0005-0000-0000-000016C10000}"/>
    <cellStyle name="Total 2 3 43 5" xfId="49431" xr:uid="{00000000-0005-0000-0000-000017C10000}"/>
    <cellStyle name="Total 2 3 43 6" xfId="49432" xr:uid="{00000000-0005-0000-0000-000018C10000}"/>
    <cellStyle name="Total 2 3 44" xfId="49433" xr:uid="{00000000-0005-0000-0000-000019C10000}"/>
    <cellStyle name="Total 2 3 45" xfId="49434" xr:uid="{00000000-0005-0000-0000-00001AC10000}"/>
    <cellStyle name="Total 2 3 46" xfId="49435" xr:uid="{00000000-0005-0000-0000-00001BC10000}"/>
    <cellStyle name="Total 2 3 47" xfId="49436" xr:uid="{00000000-0005-0000-0000-00001CC10000}"/>
    <cellStyle name="Total 2 3 5" xfId="49437" xr:uid="{00000000-0005-0000-0000-00001DC10000}"/>
    <cellStyle name="Total 2 3 5 2" xfId="49438" xr:uid="{00000000-0005-0000-0000-00001EC10000}"/>
    <cellStyle name="Total 2 3 5 2 2" xfId="49439" xr:uid="{00000000-0005-0000-0000-00001FC10000}"/>
    <cellStyle name="Total 2 3 5 2 3" xfId="49440" xr:uid="{00000000-0005-0000-0000-000020C10000}"/>
    <cellStyle name="Total 2 3 5 2 4" xfId="49441" xr:uid="{00000000-0005-0000-0000-000021C10000}"/>
    <cellStyle name="Total 2 3 5 2 5" xfId="49442" xr:uid="{00000000-0005-0000-0000-000022C10000}"/>
    <cellStyle name="Total 2 3 5 2 6" xfId="49443" xr:uid="{00000000-0005-0000-0000-000023C10000}"/>
    <cellStyle name="Total 2 3 5 3" xfId="49444" xr:uid="{00000000-0005-0000-0000-000024C10000}"/>
    <cellStyle name="Total 2 3 5 4" xfId="49445" xr:uid="{00000000-0005-0000-0000-000025C10000}"/>
    <cellStyle name="Total 2 3 5 5" xfId="49446" xr:uid="{00000000-0005-0000-0000-000026C10000}"/>
    <cellStyle name="Total 2 3 5 6" xfId="49447" xr:uid="{00000000-0005-0000-0000-000027C10000}"/>
    <cellStyle name="Total 2 3 5 7" xfId="49448" xr:uid="{00000000-0005-0000-0000-000028C10000}"/>
    <cellStyle name="Total 2 3 6" xfId="49449" xr:uid="{00000000-0005-0000-0000-000029C10000}"/>
    <cellStyle name="Total 2 3 6 2" xfId="49450" xr:uid="{00000000-0005-0000-0000-00002AC10000}"/>
    <cellStyle name="Total 2 3 6 2 2" xfId="49451" xr:uid="{00000000-0005-0000-0000-00002BC10000}"/>
    <cellStyle name="Total 2 3 6 2 3" xfId="49452" xr:uid="{00000000-0005-0000-0000-00002CC10000}"/>
    <cellStyle name="Total 2 3 6 2 4" xfId="49453" xr:uid="{00000000-0005-0000-0000-00002DC10000}"/>
    <cellStyle name="Total 2 3 6 2 5" xfId="49454" xr:uid="{00000000-0005-0000-0000-00002EC10000}"/>
    <cellStyle name="Total 2 3 6 2 6" xfId="49455" xr:uid="{00000000-0005-0000-0000-00002FC10000}"/>
    <cellStyle name="Total 2 3 6 3" xfId="49456" xr:uid="{00000000-0005-0000-0000-000030C10000}"/>
    <cellStyle name="Total 2 3 6 4" xfId="49457" xr:uid="{00000000-0005-0000-0000-000031C10000}"/>
    <cellStyle name="Total 2 3 6 5" xfId="49458" xr:uid="{00000000-0005-0000-0000-000032C10000}"/>
    <cellStyle name="Total 2 3 6 6" xfId="49459" xr:uid="{00000000-0005-0000-0000-000033C10000}"/>
    <cellStyle name="Total 2 3 6 7" xfId="49460" xr:uid="{00000000-0005-0000-0000-000034C10000}"/>
    <cellStyle name="Total 2 3 7" xfId="49461" xr:uid="{00000000-0005-0000-0000-000035C10000}"/>
    <cellStyle name="Total 2 3 7 2" xfId="49462" xr:uid="{00000000-0005-0000-0000-000036C10000}"/>
    <cellStyle name="Total 2 3 7 2 2" xfId="49463" xr:uid="{00000000-0005-0000-0000-000037C10000}"/>
    <cellStyle name="Total 2 3 7 2 3" xfId="49464" xr:uid="{00000000-0005-0000-0000-000038C10000}"/>
    <cellStyle name="Total 2 3 7 2 4" xfId="49465" xr:uid="{00000000-0005-0000-0000-000039C10000}"/>
    <cellStyle name="Total 2 3 7 2 5" xfId="49466" xr:uid="{00000000-0005-0000-0000-00003AC10000}"/>
    <cellStyle name="Total 2 3 7 2 6" xfId="49467" xr:uid="{00000000-0005-0000-0000-00003BC10000}"/>
    <cellStyle name="Total 2 3 7 3" xfId="49468" xr:uid="{00000000-0005-0000-0000-00003CC10000}"/>
    <cellStyle name="Total 2 3 7 4" xfId="49469" xr:uid="{00000000-0005-0000-0000-00003DC10000}"/>
    <cellStyle name="Total 2 3 7 5" xfId="49470" xr:uid="{00000000-0005-0000-0000-00003EC10000}"/>
    <cellStyle name="Total 2 3 7 6" xfId="49471" xr:uid="{00000000-0005-0000-0000-00003FC10000}"/>
    <cellStyle name="Total 2 3 7 7" xfId="49472" xr:uid="{00000000-0005-0000-0000-000040C10000}"/>
    <cellStyle name="Total 2 3 8" xfId="49473" xr:uid="{00000000-0005-0000-0000-000041C10000}"/>
    <cellStyle name="Total 2 3 8 2" xfId="49474" xr:uid="{00000000-0005-0000-0000-000042C10000}"/>
    <cellStyle name="Total 2 3 8 2 2" xfId="49475" xr:uid="{00000000-0005-0000-0000-000043C10000}"/>
    <cellStyle name="Total 2 3 8 2 3" xfId="49476" xr:uid="{00000000-0005-0000-0000-000044C10000}"/>
    <cellStyle name="Total 2 3 8 2 4" xfId="49477" xr:uid="{00000000-0005-0000-0000-000045C10000}"/>
    <cellStyle name="Total 2 3 8 2 5" xfId="49478" xr:uid="{00000000-0005-0000-0000-000046C10000}"/>
    <cellStyle name="Total 2 3 8 2 6" xfId="49479" xr:uid="{00000000-0005-0000-0000-000047C10000}"/>
    <cellStyle name="Total 2 3 8 3" xfId="49480" xr:uid="{00000000-0005-0000-0000-000048C10000}"/>
    <cellStyle name="Total 2 3 8 4" xfId="49481" xr:uid="{00000000-0005-0000-0000-000049C10000}"/>
    <cellStyle name="Total 2 3 8 5" xfId="49482" xr:uid="{00000000-0005-0000-0000-00004AC10000}"/>
    <cellStyle name="Total 2 3 8 6" xfId="49483" xr:uid="{00000000-0005-0000-0000-00004BC10000}"/>
    <cellStyle name="Total 2 3 8 7" xfId="49484" xr:uid="{00000000-0005-0000-0000-00004CC10000}"/>
    <cellStyle name="Total 2 3 9" xfId="49485" xr:uid="{00000000-0005-0000-0000-00004DC10000}"/>
    <cellStyle name="Total 2 3 9 2" xfId="49486" xr:uid="{00000000-0005-0000-0000-00004EC10000}"/>
    <cellStyle name="Total 2 3 9 2 2" xfId="49487" xr:uid="{00000000-0005-0000-0000-00004FC10000}"/>
    <cellStyle name="Total 2 3 9 2 3" xfId="49488" xr:uid="{00000000-0005-0000-0000-000050C10000}"/>
    <cellStyle name="Total 2 3 9 2 4" xfId="49489" xr:uid="{00000000-0005-0000-0000-000051C10000}"/>
    <cellStyle name="Total 2 3 9 2 5" xfId="49490" xr:uid="{00000000-0005-0000-0000-000052C10000}"/>
    <cellStyle name="Total 2 3 9 2 6" xfId="49491" xr:uid="{00000000-0005-0000-0000-000053C10000}"/>
    <cellStyle name="Total 2 3 9 3" xfId="49492" xr:uid="{00000000-0005-0000-0000-000054C10000}"/>
    <cellStyle name="Total 2 3 9 4" xfId="49493" xr:uid="{00000000-0005-0000-0000-000055C10000}"/>
    <cellStyle name="Total 2 3 9 5" xfId="49494" xr:uid="{00000000-0005-0000-0000-000056C10000}"/>
    <cellStyle name="Total 2 3 9 6" xfId="49495" xr:uid="{00000000-0005-0000-0000-000057C10000}"/>
    <cellStyle name="Total 2 3 9 7" xfId="49496" xr:uid="{00000000-0005-0000-0000-000058C10000}"/>
    <cellStyle name="Total 2 30" xfId="49497" xr:uid="{00000000-0005-0000-0000-000059C10000}"/>
    <cellStyle name="Total 2 30 2" xfId="49498" xr:uid="{00000000-0005-0000-0000-00005AC10000}"/>
    <cellStyle name="Total 2 30 2 2" xfId="49499" xr:uid="{00000000-0005-0000-0000-00005BC10000}"/>
    <cellStyle name="Total 2 30 2 3" xfId="49500" xr:uid="{00000000-0005-0000-0000-00005CC10000}"/>
    <cellStyle name="Total 2 30 2 4" xfId="49501" xr:uid="{00000000-0005-0000-0000-00005DC10000}"/>
    <cellStyle name="Total 2 30 2 5" xfId="49502" xr:uid="{00000000-0005-0000-0000-00005EC10000}"/>
    <cellStyle name="Total 2 30 3" xfId="49503" xr:uid="{00000000-0005-0000-0000-00005FC10000}"/>
    <cellStyle name="Total 2 30 4" xfId="49504" xr:uid="{00000000-0005-0000-0000-000060C10000}"/>
    <cellStyle name="Total 2 30 5" xfId="49505" xr:uid="{00000000-0005-0000-0000-000061C10000}"/>
    <cellStyle name="Total 2 30 6" xfId="49506" xr:uid="{00000000-0005-0000-0000-000062C10000}"/>
    <cellStyle name="Total 2 31" xfId="49507" xr:uid="{00000000-0005-0000-0000-000063C10000}"/>
    <cellStyle name="Total 2 31 2" xfId="49508" xr:uid="{00000000-0005-0000-0000-000064C10000}"/>
    <cellStyle name="Total 2 31 2 2" xfId="49509" xr:uid="{00000000-0005-0000-0000-000065C10000}"/>
    <cellStyle name="Total 2 31 2 3" xfId="49510" xr:uid="{00000000-0005-0000-0000-000066C10000}"/>
    <cellStyle name="Total 2 31 2 4" xfId="49511" xr:uid="{00000000-0005-0000-0000-000067C10000}"/>
    <cellStyle name="Total 2 31 2 5" xfId="49512" xr:uid="{00000000-0005-0000-0000-000068C10000}"/>
    <cellStyle name="Total 2 31 3" xfId="49513" xr:uid="{00000000-0005-0000-0000-000069C10000}"/>
    <cellStyle name="Total 2 31 4" xfId="49514" xr:uid="{00000000-0005-0000-0000-00006AC10000}"/>
    <cellStyle name="Total 2 31 5" xfId="49515" xr:uid="{00000000-0005-0000-0000-00006BC10000}"/>
    <cellStyle name="Total 2 31 6" xfId="49516" xr:uid="{00000000-0005-0000-0000-00006CC10000}"/>
    <cellStyle name="Total 2 32" xfId="49517" xr:uid="{00000000-0005-0000-0000-00006DC10000}"/>
    <cellStyle name="Total 2 32 2" xfId="49518" xr:uid="{00000000-0005-0000-0000-00006EC10000}"/>
    <cellStyle name="Total 2 32 2 2" xfId="49519" xr:uid="{00000000-0005-0000-0000-00006FC10000}"/>
    <cellStyle name="Total 2 32 2 3" xfId="49520" xr:uid="{00000000-0005-0000-0000-000070C10000}"/>
    <cellStyle name="Total 2 32 2 4" xfId="49521" xr:uid="{00000000-0005-0000-0000-000071C10000}"/>
    <cellStyle name="Total 2 32 2 5" xfId="49522" xr:uid="{00000000-0005-0000-0000-000072C10000}"/>
    <cellStyle name="Total 2 32 3" xfId="49523" xr:uid="{00000000-0005-0000-0000-000073C10000}"/>
    <cellStyle name="Total 2 32 4" xfId="49524" xr:uid="{00000000-0005-0000-0000-000074C10000}"/>
    <cellStyle name="Total 2 32 5" xfId="49525" xr:uid="{00000000-0005-0000-0000-000075C10000}"/>
    <cellStyle name="Total 2 32 6" xfId="49526" xr:uid="{00000000-0005-0000-0000-000076C10000}"/>
    <cellStyle name="Total 2 33" xfId="49527" xr:uid="{00000000-0005-0000-0000-000077C10000}"/>
    <cellStyle name="Total 2 33 2" xfId="49528" xr:uid="{00000000-0005-0000-0000-000078C10000}"/>
    <cellStyle name="Total 2 33 2 2" xfId="49529" xr:uid="{00000000-0005-0000-0000-000079C10000}"/>
    <cellStyle name="Total 2 33 2 3" xfId="49530" xr:uid="{00000000-0005-0000-0000-00007AC10000}"/>
    <cellStyle name="Total 2 33 2 4" xfId="49531" xr:uid="{00000000-0005-0000-0000-00007BC10000}"/>
    <cellStyle name="Total 2 33 2 5" xfId="49532" xr:uid="{00000000-0005-0000-0000-00007CC10000}"/>
    <cellStyle name="Total 2 33 3" xfId="49533" xr:uid="{00000000-0005-0000-0000-00007DC10000}"/>
    <cellStyle name="Total 2 33 4" xfId="49534" xr:uid="{00000000-0005-0000-0000-00007EC10000}"/>
    <cellStyle name="Total 2 33 5" xfId="49535" xr:uid="{00000000-0005-0000-0000-00007FC10000}"/>
    <cellStyle name="Total 2 33 6" xfId="49536" xr:uid="{00000000-0005-0000-0000-000080C10000}"/>
    <cellStyle name="Total 2 34" xfId="49537" xr:uid="{00000000-0005-0000-0000-000081C10000}"/>
    <cellStyle name="Total 2 34 2" xfId="49538" xr:uid="{00000000-0005-0000-0000-000082C10000}"/>
    <cellStyle name="Total 2 34 2 2" xfId="49539" xr:uid="{00000000-0005-0000-0000-000083C10000}"/>
    <cellStyle name="Total 2 34 2 3" xfId="49540" xr:uid="{00000000-0005-0000-0000-000084C10000}"/>
    <cellStyle name="Total 2 34 2 4" xfId="49541" xr:uid="{00000000-0005-0000-0000-000085C10000}"/>
    <cellStyle name="Total 2 34 2 5" xfId="49542" xr:uid="{00000000-0005-0000-0000-000086C10000}"/>
    <cellStyle name="Total 2 34 3" xfId="49543" xr:uid="{00000000-0005-0000-0000-000087C10000}"/>
    <cellStyle name="Total 2 34 4" xfId="49544" xr:uid="{00000000-0005-0000-0000-000088C10000}"/>
    <cellStyle name="Total 2 34 5" xfId="49545" xr:uid="{00000000-0005-0000-0000-000089C10000}"/>
    <cellStyle name="Total 2 34 6" xfId="49546" xr:uid="{00000000-0005-0000-0000-00008AC10000}"/>
    <cellStyle name="Total 2 35" xfId="49547" xr:uid="{00000000-0005-0000-0000-00008BC10000}"/>
    <cellStyle name="Total 2 35 2" xfId="49548" xr:uid="{00000000-0005-0000-0000-00008CC10000}"/>
    <cellStyle name="Total 2 35 2 2" xfId="49549" xr:uid="{00000000-0005-0000-0000-00008DC10000}"/>
    <cellStyle name="Total 2 35 2 3" xfId="49550" xr:uid="{00000000-0005-0000-0000-00008EC10000}"/>
    <cellStyle name="Total 2 35 2 4" xfId="49551" xr:uid="{00000000-0005-0000-0000-00008FC10000}"/>
    <cellStyle name="Total 2 35 2 5" xfId="49552" xr:uid="{00000000-0005-0000-0000-000090C10000}"/>
    <cellStyle name="Total 2 35 3" xfId="49553" xr:uid="{00000000-0005-0000-0000-000091C10000}"/>
    <cellStyle name="Total 2 35 4" xfId="49554" xr:uid="{00000000-0005-0000-0000-000092C10000}"/>
    <cellStyle name="Total 2 35 5" xfId="49555" xr:uid="{00000000-0005-0000-0000-000093C10000}"/>
    <cellStyle name="Total 2 35 6" xfId="49556" xr:uid="{00000000-0005-0000-0000-000094C10000}"/>
    <cellStyle name="Total 2 36" xfId="49557" xr:uid="{00000000-0005-0000-0000-000095C10000}"/>
    <cellStyle name="Total 2 36 2" xfId="49558" xr:uid="{00000000-0005-0000-0000-000096C10000}"/>
    <cellStyle name="Total 2 36 2 2" xfId="49559" xr:uid="{00000000-0005-0000-0000-000097C10000}"/>
    <cellStyle name="Total 2 36 2 3" xfId="49560" xr:uid="{00000000-0005-0000-0000-000098C10000}"/>
    <cellStyle name="Total 2 36 2 4" xfId="49561" xr:uid="{00000000-0005-0000-0000-000099C10000}"/>
    <cellStyle name="Total 2 36 2 5" xfId="49562" xr:uid="{00000000-0005-0000-0000-00009AC10000}"/>
    <cellStyle name="Total 2 36 3" xfId="49563" xr:uid="{00000000-0005-0000-0000-00009BC10000}"/>
    <cellStyle name="Total 2 36 4" xfId="49564" xr:uid="{00000000-0005-0000-0000-00009CC10000}"/>
    <cellStyle name="Total 2 36 5" xfId="49565" xr:uid="{00000000-0005-0000-0000-00009DC10000}"/>
    <cellStyle name="Total 2 36 6" xfId="49566" xr:uid="{00000000-0005-0000-0000-00009EC10000}"/>
    <cellStyle name="Total 2 37" xfId="49567" xr:uid="{00000000-0005-0000-0000-00009FC10000}"/>
    <cellStyle name="Total 2 37 2" xfId="49568" xr:uid="{00000000-0005-0000-0000-0000A0C10000}"/>
    <cellStyle name="Total 2 37 2 2" xfId="49569" xr:uid="{00000000-0005-0000-0000-0000A1C10000}"/>
    <cellStyle name="Total 2 37 2 3" xfId="49570" xr:uid="{00000000-0005-0000-0000-0000A2C10000}"/>
    <cellStyle name="Total 2 37 2 4" xfId="49571" xr:uid="{00000000-0005-0000-0000-0000A3C10000}"/>
    <cellStyle name="Total 2 37 2 5" xfId="49572" xr:uid="{00000000-0005-0000-0000-0000A4C10000}"/>
    <cellStyle name="Total 2 37 3" xfId="49573" xr:uid="{00000000-0005-0000-0000-0000A5C10000}"/>
    <cellStyle name="Total 2 37 4" xfId="49574" xr:uid="{00000000-0005-0000-0000-0000A6C10000}"/>
    <cellStyle name="Total 2 37 5" xfId="49575" xr:uid="{00000000-0005-0000-0000-0000A7C10000}"/>
    <cellStyle name="Total 2 37 6" xfId="49576" xr:uid="{00000000-0005-0000-0000-0000A8C10000}"/>
    <cellStyle name="Total 2 38" xfId="49577" xr:uid="{00000000-0005-0000-0000-0000A9C10000}"/>
    <cellStyle name="Total 2 38 2" xfId="49578" xr:uid="{00000000-0005-0000-0000-0000AAC10000}"/>
    <cellStyle name="Total 2 38 2 2" xfId="49579" xr:uid="{00000000-0005-0000-0000-0000ABC10000}"/>
    <cellStyle name="Total 2 38 2 3" xfId="49580" xr:uid="{00000000-0005-0000-0000-0000ACC10000}"/>
    <cellStyle name="Total 2 38 2 4" xfId="49581" xr:uid="{00000000-0005-0000-0000-0000ADC10000}"/>
    <cellStyle name="Total 2 38 2 5" xfId="49582" xr:uid="{00000000-0005-0000-0000-0000AEC10000}"/>
    <cellStyle name="Total 2 38 3" xfId="49583" xr:uid="{00000000-0005-0000-0000-0000AFC10000}"/>
    <cellStyle name="Total 2 38 4" xfId="49584" xr:uid="{00000000-0005-0000-0000-0000B0C10000}"/>
    <cellStyle name="Total 2 38 5" xfId="49585" xr:uid="{00000000-0005-0000-0000-0000B1C10000}"/>
    <cellStyle name="Total 2 38 6" xfId="49586" xr:uid="{00000000-0005-0000-0000-0000B2C10000}"/>
    <cellStyle name="Total 2 39" xfId="49587" xr:uid="{00000000-0005-0000-0000-0000B3C10000}"/>
    <cellStyle name="Total 2 39 2" xfId="49588" xr:uid="{00000000-0005-0000-0000-0000B4C10000}"/>
    <cellStyle name="Total 2 39 2 2" xfId="49589" xr:uid="{00000000-0005-0000-0000-0000B5C10000}"/>
    <cellStyle name="Total 2 39 2 3" xfId="49590" xr:uid="{00000000-0005-0000-0000-0000B6C10000}"/>
    <cellStyle name="Total 2 39 2 4" xfId="49591" xr:uid="{00000000-0005-0000-0000-0000B7C10000}"/>
    <cellStyle name="Total 2 39 2 5" xfId="49592" xr:uid="{00000000-0005-0000-0000-0000B8C10000}"/>
    <cellStyle name="Total 2 39 3" xfId="49593" xr:uid="{00000000-0005-0000-0000-0000B9C10000}"/>
    <cellStyle name="Total 2 39 4" xfId="49594" xr:uid="{00000000-0005-0000-0000-0000BAC10000}"/>
    <cellStyle name="Total 2 39 5" xfId="49595" xr:uid="{00000000-0005-0000-0000-0000BBC10000}"/>
    <cellStyle name="Total 2 39 6" xfId="49596" xr:uid="{00000000-0005-0000-0000-0000BCC10000}"/>
    <cellStyle name="Total 2 4" xfId="49597" xr:uid="{00000000-0005-0000-0000-0000BDC10000}"/>
    <cellStyle name="Total 2 4 2" xfId="49598" xr:uid="{00000000-0005-0000-0000-0000BEC10000}"/>
    <cellStyle name="Total 2 4 2 10" xfId="49599" xr:uid="{00000000-0005-0000-0000-0000BFC10000}"/>
    <cellStyle name="Total 2 4 2 10 2" xfId="49600" xr:uid="{00000000-0005-0000-0000-0000C0C10000}"/>
    <cellStyle name="Total 2 4 2 10 3" xfId="49601" xr:uid="{00000000-0005-0000-0000-0000C1C10000}"/>
    <cellStyle name="Total 2 4 2 10 4" xfId="49602" xr:uid="{00000000-0005-0000-0000-0000C2C10000}"/>
    <cellStyle name="Total 2 4 2 10 5" xfId="49603" xr:uid="{00000000-0005-0000-0000-0000C3C10000}"/>
    <cellStyle name="Total 2 4 2 11" xfId="49604" xr:uid="{00000000-0005-0000-0000-0000C4C10000}"/>
    <cellStyle name="Total 2 4 2 12" xfId="49605" xr:uid="{00000000-0005-0000-0000-0000C5C10000}"/>
    <cellStyle name="Total 2 4 2 13" xfId="49606" xr:uid="{00000000-0005-0000-0000-0000C6C10000}"/>
    <cellStyle name="Total 2 4 2 14" xfId="49607" xr:uid="{00000000-0005-0000-0000-0000C7C10000}"/>
    <cellStyle name="Total 2 4 2 2" xfId="49608" xr:uid="{00000000-0005-0000-0000-0000C8C10000}"/>
    <cellStyle name="Total 2 4 2 2 2" xfId="49609" xr:uid="{00000000-0005-0000-0000-0000C9C10000}"/>
    <cellStyle name="Total 2 4 2 2 2 2" xfId="49610" xr:uid="{00000000-0005-0000-0000-0000CAC10000}"/>
    <cellStyle name="Total 2 4 2 2 2 2 2" xfId="49611" xr:uid="{00000000-0005-0000-0000-0000CBC10000}"/>
    <cellStyle name="Total 2 4 2 2 2 2 3" xfId="49612" xr:uid="{00000000-0005-0000-0000-0000CCC10000}"/>
    <cellStyle name="Total 2 4 2 2 2 2 4" xfId="49613" xr:uid="{00000000-0005-0000-0000-0000CDC10000}"/>
    <cellStyle name="Total 2 4 2 2 2 2 5" xfId="49614" xr:uid="{00000000-0005-0000-0000-0000CEC10000}"/>
    <cellStyle name="Total 2 4 2 2 2 2 6" xfId="49615" xr:uid="{00000000-0005-0000-0000-0000CFC10000}"/>
    <cellStyle name="Total 2 4 2 2 2 3" xfId="49616" xr:uid="{00000000-0005-0000-0000-0000D0C10000}"/>
    <cellStyle name="Total 2 4 2 2 2 4" xfId="49617" xr:uid="{00000000-0005-0000-0000-0000D1C10000}"/>
    <cellStyle name="Total 2 4 2 2 2 5" xfId="49618" xr:uid="{00000000-0005-0000-0000-0000D2C10000}"/>
    <cellStyle name="Total 2 4 2 2 2 6" xfId="49619" xr:uid="{00000000-0005-0000-0000-0000D3C10000}"/>
    <cellStyle name="Total 2 4 2 2 3" xfId="49620" xr:uid="{00000000-0005-0000-0000-0000D4C10000}"/>
    <cellStyle name="Total 2 4 2 2 3 2" xfId="49621" xr:uid="{00000000-0005-0000-0000-0000D5C10000}"/>
    <cellStyle name="Total 2 4 2 2 3 2 2" xfId="49622" xr:uid="{00000000-0005-0000-0000-0000D6C10000}"/>
    <cellStyle name="Total 2 4 2 2 3 2 3" xfId="49623" xr:uid="{00000000-0005-0000-0000-0000D7C10000}"/>
    <cellStyle name="Total 2 4 2 2 3 2 4" xfId="49624" xr:uid="{00000000-0005-0000-0000-0000D8C10000}"/>
    <cellStyle name="Total 2 4 2 2 3 2 5" xfId="49625" xr:uid="{00000000-0005-0000-0000-0000D9C10000}"/>
    <cellStyle name="Total 2 4 2 2 3 2 6" xfId="49626" xr:uid="{00000000-0005-0000-0000-0000DAC10000}"/>
    <cellStyle name="Total 2 4 2 2 3 3" xfId="49627" xr:uid="{00000000-0005-0000-0000-0000DBC10000}"/>
    <cellStyle name="Total 2 4 2 2 3 4" xfId="49628" xr:uid="{00000000-0005-0000-0000-0000DCC10000}"/>
    <cellStyle name="Total 2 4 2 2 3 5" xfId="49629" xr:uid="{00000000-0005-0000-0000-0000DDC10000}"/>
    <cellStyle name="Total 2 4 2 2 3 6" xfId="49630" xr:uid="{00000000-0005-0000-0000-0000DEC10000}"/>
    <cellStyle name="Total 2 4 2 2 4" xfId="49631" xr:uid="{00000000-0005-0000-0000-0000DFC10000}"/>
    <cellStyle name="Total 2 4 2 2 4 2" xfId="49632" xr:uid="{00000000-0005-0000-0000-0000E0C10000}"/>
    <cellStyle name="Total 2 4 2 2 4 3" xfId="49633" xr:uid="{00000000-0005-0000-0000-0000E1C10000}"/>
    <cellStyle name="Total 2 4 2 2 4 4" xfId="49634" xr:uid="{00000000-0005-0000-0000-0000E2C10000}"/>
    <cellStyle name="Total 2 4 2 2 4 5" xfId="49635" xr:uid="{00000000-0005-0000-0000-0000E3C10000}"/>
    <cellStyle name="Total 2 4 2 2 4 6" xfId="49636" xr:uid="{00000000-0005-0000-0000-0000E4C10000}"/>
    <cellStyle name="Total 2 4 2 2 5" xfId="49637" xr:uid="{00000000-0005-0000-0000-0000E5C10000}"/>
    <cellStyle name="Total 2 4 2 2 6" xfId="49638" xr:uid="{00000000-0005-0000-0000-0000E6C10000}"/>
    <cellStyle name="Total 2 4 2 2 7" xfId="49639" xr:uid="{00000000-0005-0000-0000-0000E7C10000}"/>
    <cellStyle name="Total 2 4 2 2 8" xfId="49640" xr:uid="{00000000-0005-0000-0000-0000E8C10000}"/>
    <cellStyle name="Total 2 4 2 3" xfId="49641" xr:uid="{00000000-0005-0000-0000-0000E9C10000}"/>
    <cellStyle name="Total 2 4 2 3 2" xfId="49642" xr:uid="{00000000-0005-0000-0000-0000EAC10000}"/>
    <cellStyle name="Total 2 4 2 3 2 2" xfId="49643" xr:uid="{00000000-0005-0000-0000-0000EBC10000}"/>
    <cellStyle name="Total 2 4 2 3 2 2 2" xfId="49644" xr:uid="{00000000-0005-0000-0000-0000ECC10000}"/>
    <cellStyle name="Total 2 4 2 3 2 2 3" xfId="49645" xr:uid="{00000000-0005-0000-0000-0000EDC10000}"/>
    <cellStyle name="Total 2 4 2 3 2 2 4" xfId="49646" xr:uid="{00000000-0005-0000-0000-0000EEC10000}"/>
    <cellStyle name="Total 2 4 2 3 2 2 5" xfId="49647" xr:uid="{00000000-0005-0000-0000-0000EFC10000}"/>
    <cellStyle name="Total 2 4 2 3 2 2 6" xfId="49648" xr:uid="{00000000-0005-0000-0000-0000F0C10000}"/>
    <cellStyle name="Total 2 4 2 3 2 3" xfId="49649" xr:uid="{00000000-0005-0000-0000-0000F1C10000}"/>
    <cellStyle name="Total 2 4 2 3 2 4" xfId="49650" xr:uid="{00000000-0005-0000-0000-0000F2C10000}"/>
    <cellStyle name="Total 2 4 2 3 2 5" xfId="49651" xr:uid="{00000000-0005-0000-0000-0000F3C10000}"/>
    <cellStyle name="Total 2 4 2 3 2 6" xfId="49652" xr:uid="{00000000-0005-0000-0000-0000F4C10000}"/>
    <cellStyle name="Total 2 4 2 3 3" xfId="49653" xr:uid="{00000000-0005-0000-0000-0000F5C10000}"/>
    <cellStyle name="Total 2 4 2 3 3 2" xfId="49654" xr:uid="{00000000-0005-0000-0000-0000F6C10000}"/>
    <cellStyle name="Total 2 4 2 3 3 2 2" xfId="49655" xr:uid="{00000000-0005-0000-0000-0000F7C10000}"/>
    <cellStyle name="Total 2 4 2 3 3 2 3" xfId="49656" xr:uid="{00000000-0005-0000-0000-0000F8C10000}"/>
    <cellStyle name="Total 2 4 2 3 3 2 4" xfId="49657" xr:uid="{00000000-0005-0000-0000-0000F9C10000}"/>
    <cellStyle name="Total 2 4 2 3 3 2 5" xfId="49658" xr:uid="{00000000-0005-0000-0000-0000FAC10000}"/>
    <cellStyle name="Total 2 4 2 3 3 2 6" xfId="49659" xr:uid="{00000000-0005-0000-0000-0000FBC10000}"/>
    <cellStyle name="Total 2 4 2 3 3 3" xfId="49660" xr:uid="{00000000-0005-0000-0000-0000FCC10000}"/>
    <cellStyle name="Total 2 4 2 3 3 4" xfId="49661" xr:uid="{00000000-0005-0000-0000-0000FDC10000}"/>
    <cellStyle name="Total 2 4 2 3 3 5" xfId="49662" xr:uid="{00000000-0005-0000-0000-0000FEC10000}"/>
    <cellStyle name="Total 2 4 2 3 3 6" xfId="49663" xr:uid="{00000000-0005-0000-0000-0000FFC10000}"/>
    <cellStyle name="Total 2 4 2 3 4" xfId="49664" xr:uid="{00000000-0005-0000-0000-000000C20000}"/>
    <cellStyle name="Total 2 4 2 3 4 2" xfId="49665" xr:uid="{00000000-0005-0000-0000-000001C20000}"/>
    <cellStyle name="Total 2 4 2 3 4 3" xfId="49666" xr:uid="{00000000-0005-0000-0000-000002C20000}"/>
    <cellStyle name="Total 2 4 2 3 4 4" xfId="49667" xr:uid="{00000000-0005-0000-0000-000003C20000}"/>
    <cellStyle name="Total 2 4 2 3 4 5" xfId="49668" xr:uid="{00000000-0005-0000-0000-000004C20000}"/>
    <cellStyle name="Total 2 4 2 3 4 6" xfId="49669" xr:uid="{00000000-0005-0000-0000-000005C20000}"/>
    <cellStyle name="Total 2 4 2 3 5" xfId="49670" xr:uid="{00000000-0005-0000-0000-000006C20000}"/>
    <cellStyle name="Total 2 4 2 3 6" xfId="49671" xr:uid="{00000000-0005-0000-0000-000007C20000}"/>
    <cellStyle name="Total 2 4 2 3 7" xfId="49672" xr:uid="{00000000-0005-0000-0000-000008C20000}"/>
    <cellStyle name="Total 2 4 2 3 8" xfId="49673" xr:uid="{00000000-0005-0000-0000-000009C20000}"/>
    <cellStyle name="Total 2 4 2 4" xfId="49674" xr:uid="{00000000-0005-0000-0000-00000AC20000}"/>
    <cellStyle name="Total 2 4 2 4 2" xfId="49675" xr:uid="{00000000-0005-0000-0000-00000BC20000}"/>
    <cellStyle name="Total 2 4 2 4 2 2" xfId="49676" xr:uid="{00000000-0005-0000-0000-00000CC20000}"/>
    <cellStyle name="Total 2 4 2 4 2 2 2" xfId="49677" xr:uid="{00000000-0005-0000-0000-00000DC20000}"/>
    <cellStyle name="Total 2 4 2 4 2 2 3" xfId="49678" xr:uid="{00000000-0005-0000-0000-00000EC20000}"/>
    <cellStyle name="Total 2 4 2 4 2 2 4" xfId="49679" xr:uid="{00000000-0005-0000-0000-00000FC20000}"/>
    <cellStyle name="Total 2 4 2 4 2 2 5" xfId="49680" xr:uid="{00000000-0005-0000-0000-000010C20000}"/>
    <cellStyle name="Total 2 4 2 4 2 2 6" xfId="49681" xr:uid="{00000000-0005-0000-0000-000011C20000}"/>
    <cellStyle name="Total 2 4 2 4 2 3" xfId="49682" xr:uid="{00000000-0005-0000-0000-000012C20000}"/>
    <cellStyle name="Total 2 4 2 4 2 4" xfId="49683" xr:uid="{00000000-0005-0000-0000-000013C20000}"/>
    <cellStyle name="Total 2 4 2 4 2 5" xfId="49684" xr:uid="{00000000-0005-0000-0000-000014C20000}"/>
    <cellStyle name="Total 2 4 2 4 2 6" xfId="49685" xr:uid="{00000000-0005-0000-0000-000015C20000}"/>
    <cellStyle name="Total 2 4 2 4 3" xfId="49686" xr:uid="{00000000-0005-0000-0000-000016C20000}"/>
    <cellStyle name="Total 2 4 2 4 3 2" xfId="49687" xr:uid="{00000000-0005-0000-0000-000017C20000}"/>
    <cellStyle name="Total 2 4 2 4 3 2 2" xfId="49688" xr:uid="{00000000-0005-0000-0000-000018C20000}"/>
    <cellStyle name="Total 2 4 2 4 3 2 3" xfId="49689" xr:uid="{00000000-0005-0000-0000-000019C20000}"/>
    <cellStyle name="Total 2 4 2 4 3 2 4" xfId="49690" xr:uid="{00000000-0005-0000-0000-00001AC20000}"/>
    <cellStyle name="Total 2 4 2 4 3 2 5" xfId="49691" xr:uid="{00000000-0005-0000-0000-00001BC20000}"/>
    <cellStyle name="Total 2 4 2 4 3 2 6" xfId="49692" xr:uid="{00000000-0005-0000-0000-00001CC20000}"/>
    <cellStyle name="Total 2 4 2 4 3 3" xfId="49693" xr:uid="{00000000-0005-0000-0000-00001DC20000}"/>
    <cellStyle name="Total 2 4 2 4 3 4" xfId="49694" xr:uid="{00000000-0005-0000-0000-00001EC20000}"/>
    <cellStyle name="Total 2 4 2 4 3 5" xfId="49695" xr:uid="{00000000-0005-0000-0000-00001FC20000}"/>
    <cellStyle name="Total 2 4 2 4 3 6" xfId="49696" xr:uid="{00000000-0005-0000-0000-000020C20000}"/>
    <cellStyle name="Total 2 4 2 4 4" xfId="49697" xr:uid="{00000000-0005-0000-0000-000021C20000}"/>
    <cellStyle name="Total 2 4 2 4 4 2" xfId="49698" xr:uid="{00000000-0005-0000-0000-000022C20000}"/>
    <cellStyle name="Total 2 4 2 4 4 3" xfId="49699" xr:uid="{00000000-0005-0000-0000-000023C20000}"/>
    <cellStyle name="Total 2 4 2 4 4 4" xfId="49700" xr:uid="{00000000-0005-0000-0000-000024C20000}"/>
    <cellStyle name="Total 2 4 2 4 4 5" xfId="49701" xr:uid="{00000000-0005-0000-0000-000025C20000}"/>
    <cellStyle name="Total 2 4 2 4 4 6" xfId="49702" xr:uid="{00000000-0005-0000-0000-000026C20000}"/>
    <cellStyle name="Total 2 4 2 4 5" xfId="49703" xr:uid="{00000000-0005-0000-0000-000027C20000}"/>
    <cellStyle name="Total 2 4 2 4 6" xfId="49704" xr:uid="{00000000-0005-0000-0000-000028C20000}"/>
    <cellStyle name="Total 2 4 2 4 7" xfId="49705" xr:uid="{00000000-0005-0000-0000-000029C20000}"/>
    <cellStyle name="Total 2 4 2 4 8" xfId="49706" xr:uid="{00000000-0005-0000-0000-00002AC20000}"/>
    <cellStyle name="Total 2 4 2 5" xfId="49707" xr:uid="{00000000-0005-0000-0000-00002BC20000}"/>
    <cellStyle name="Total 2 4 2 5 2" xfId="49708" xr:uid="{00000000-0005-0000-0000-00002CC20000}"/>
    <cellStyle name="Total 2 4 2 5 2 2" xfId="49709" xr:uid="{00000000-0005-0000-0000-00002DC20000}"/>
    <cellStyle name="Total 2 4 2 5 2 2 2" xfId="49710" xr:uid="{00000000-0005-0000-0000-00002EC20000}"/>
    <cellStyle name="Total 2 4 2 5 2 2 3" xfId="49711" xr:uid="{00000000-0005-0000-0000-00002FC20000}"/>
    <cellStyle name="Total 2 4 2 5 2 2 4" xfId="49712" xr:uid="{00000000-0005-0000-0000-000030C20000}"/>
    <cellStyle name="Total 2 4 2 5 2 2 5" xfId="49713" xr:uid="{00000000-0005-0000-0000-000031C20000}"/>
    <cellStyle name="Total 2 4 2 5 2 2 6" xfId="49714" xr:uid="{00000000-0005-0000-0000-000032C20000}"/>
    <cellStyle name="Total 2 4 2 5 2 3" xfId="49715" xr:uid="{00000000-0005-0000-0000-000033C20000}"/>
    <cellStyle name="Total 2 4 2 5 2 4" xfId="49716" xr:uid="{00000000-0005-0000-0000-000034C20000}"/>
    <cellStyle name="Total 2 4 2 5 2 5" xfId="49717" xr:uid="{00000000-0005-0000-0000-000035C20000}"/>
    <cellStyle name="Total 2 4 2 5 2 6" xfId="49718" xr:uid="{00000000-0005-0000-0000-000036C20000}"/>
    <cellStyle name="Total 2 4 2 5 3" xfId="49719" xr:uid="{00000000-0005-0000-0000-000037C20000}"/>
    <cellStyle name="Total 2 4 2 5 3 2" xfId="49720" xr:uid="{00000000-0005-0000-0000-000038C20000}"/>
    <cellStyle name="Total 2 4 2 5 3 2 2" xfId="49721" xr:uid="{00000000-0005-0000-0000-000039C20000}"/>
    <cellStyle name="Total 2 4 2 5 3 2 3" xfId="49722" xr:uid="{00000000-0005-0000-0000-00003AC20000}"/>
    <cellStyle name="Total 2 4 2 5 3 2 4" xfId="49723" xr:uid="{00000000-0005-0000-0000-00003BC20000}"/>
    <cellStyle name="Total 2 4 2 5 3 2 5" xfId="49724" xr:uid="{00000000-0005-0000-0000-00003CC20000}"/>
    <cellStyle name="Total 2 4 2 5 3 2 6" xfId="49725" xr:uid="{00000000-0005-0000-0000-00003DC20000}"/>
    <cellStyle name="Total 2 4 2 5 3 3" xfId="49726" xr:uid="{00000000-0005-0000-0000-00003EC20000}"/>
    <cellStyle name="Total 2 4 2 5 3 4" xfId="49727" xr:uid="{00000000-0005-0000-0000-00003FC20000}"/>
    <cellStyle name="Total 2 4 2 5 3 5" xfId="49728" xr:uid="{00000000-0005-0000-0000-000040C20000}"/>
    <cellStyle name="Total 2 4 2 5 3 6" xfId="49729" xr:uid="{00000000-0005-0000-0000-000041C20000}"/>
    <cellStyle name="Total 2 4 2 5 4" xfId="49730" xr:uid="{00000000-0005-0000-0000-000042C20000}"/>
    <cellStyle name="Total 2 4 2 5 4 2" xfId="49731" xr:uid="{00000000-0005-0000-0000-000043C20000}"/>
    <cellStyle name="Total 2 4 2 5 4 3" xfId="49732" xr:uid="{00000000-0005-0000-0000-000044C20000}"/>
    <cellStyle name="Total 2 4 2 5 4 4" xfId="49733" xr:uid="{00000000-0005-0000-0000-000045C20000}"/>
    <cellStyle name="Total 2 4 2 5 4 5" xfId="49734" xr:uid="{00000000-0005-0000-0000-000046C20000}"/>
    <cellStyle name="Total 2 4 2 5 4 6" xfId="49735" xr:uid="{00000000-0005-0000-0000-000047C20000}"/>
    <cellStyle name="Total 2 4 2 5 5" xfId="49736" xr:uid="{00000000-0005-0000-0000-000048C20000}"/>
    <cellStyle name="Total 2 4 2 5 6" xfId="49737" xr:uid="{00000000-0005-0000-0000-000049C20000}"/>
    <cellStyle name="Total 2 4 2 5 7" xfId="49738" xr:uid="{00000000-0005-0000-0000-00004AC20000}"/>
    <cellStyle name="Total 2 4 2 5 8" xfId="49739" xr:uid="{00000000-0005-0000-0000-00004BC20000}"/>
    <cellStyle name="Total 2 4 2 6" xfId="49740" xr:uid="{00000000-0005-0000-0000-00004CC20000}"/>
    <cellStyle name="Total 2 4 2 6 2" xfId="49741" xr:uid="{00000000-0005-0000-0000-00004DC20000}"/>
    <cellStyle name="Total 2 4 2 6 2 2" xfId="49742" xr:uid="{00000000-0005-0000-0000-00004EC20000}"/>
    <cellStyle name="Total 2 4 2 6 2 2 2" xfId="49743" xr:uid="{00000000-0005-0000-0000-00004FC20000}"/>
    <cellStyle name="Total 2 4 2 6 2 2 3" xfId="49744" xr:uid="{00000000-0005-0000-0000-000050C20000}"/>
    <cellStyle name="Total 2 4 2 6 2 2 4" xfId="49745" xr:uid="{00000000-0005-0000-0000-000051C20000}"/>
    <cellStyle name="Total 2 4 2 6 2 2 5" xfId="49746" xr:uid="{00000000-0005-0000-0000-000052C20000}"/>
    <cellStyle name="Total 2 4 2 6 2 2 6" xfId="49747" xr:uid="{00000000-0005-0000-0000-000053C20000}"/>
    <cellStyle name="Total 2 4 2 6 2 3" xfId="49748" xr:uid="{00000000-0005-0000-0000-000054C20000}"/>
    <cellStyle name="Total 2 4 2 6 2 4" xfId="49749" xr:uid="{00000000-0005-0000-0000-000055C20000}"/>
    <cellStyle name="Total 2 4 2 6 2 5" xfId="49750" xr:uid="{00000000-0005-0000-0000-000056C20000}"/>
    <cellStyle name="Total 2 4 2 6 2 6" xfId="49751" xr:uid="{00000000-0005-0000-0000-000057C20000}"/>
    <cellStyle name="Total 2 4 2 6 3" xfId="49752" xr:uid="{00000000-0005-0000-0000-000058C20000}"/>
    <cellStyle name="Total 2 4 2 6 3 2" xfId="49753" xr:uid="{00000000-0005-0000-0000-000059C20000}"/>
    <cellStyle name="Total 2 4 2 6 3 2 2" xfId="49754" xr:uid="{00000000-0005-0000-0000-00005AC20000}"/>
    <cellStyle name="Total 2 4 2 6 3 2 3" xfId="49755" xr:uid="{00000000-0005-0000-0000-00005BC20000}"/>
    <cellStyle name="Total 2 4 2 6 3 2 4" xfId="49756" xr:uid="{00000000-0005-0000-0000-00005CC20000}"/>
    <cellStyle name="Total 2 4 2 6 3 2 5" xfId="49757" xr:uid="{00000000-0005-0000-0000-00005DC20000}"/>
    <cellStyle name="Total 2 4 2 6 3 2 6" xfId="49758" xr:uid="{00000000-0005-0000-0000-00005EC20000}"/>
    <cellStyle name="Total 2 4 2 6 3 3" xfId="49759" xr:uid="{00000000-0005-0000-0000-00005FC20000}"/>
    <cellStyle name="Total 2 4 2 6 3 4" xfId="49760" xr:uid="{00000000-0005-0000-0000-000060C20000}"/>
    <cellStyle name="Total 2 4 2 6 3 5" xfId="49761" xr:uid="{00000000-0005-0000-0000-000061C20000}"/>
    <cellStyle name="Total 2 4 2 6 3 6" xfId="49762" xr:uid="{00000000-0005-0000-0000-000062C20000}"/>
    <cellStyle name="Total 2 4 2 6 4" xfId="49763" xr:uid="{00000000-0005-0000-0000-000063C20000}"/>
    <cellStyle name="Total 2 4 2 6 4 2" xfId="49764" xr:uid="{00000000-0005-0000-0000-000064C20000}"/>
    <cellStyle name="Total 2 4 2 6 4 3" xfId="49765" xr:uid="{00000000-0005-0000-0000-000065C20000}"/>
    <cellStyle name="Total 2 4 2 6 4 4" xfId="49766" xr:uid="{00000000-0005-0000-0000-000066C20000}"/>
    <cellStyle name="Total 2 4 2 6 4 5" xfId="49767" xr:uid="{00000000-0005-0000-0000-000067C20000}"/>
    <cellStyle name="Total 2 4 2 6 4 6" xfId="49768" xr:uid="{00000000-0005-0000-0000-000068C20000}"/>
    <cellStyle name="Total 2 4 2 6 5" xfId="49769" xr:uid="{00000000-0005-0000-0000-000069C20000}"/>
    <cellStyle name="Total 2 4 2 6 6" xfId="49770" xr:uid="{00000000-0005-0000-0000-00006AC20000}"/>
    <cellStyle name="Total 2 4 2 6 7" xfId="49771" xr:uid="{00000000-0005-0000-0000-00006BC20000}"/>
    <cellStyle name="Total 2 4 2 6 8" xfId="49772" xr:uid="{00000000-0005-0000-0000-00006CC20000}"/>
    <cellStyle name="Total 2 4 2 7" xfId="49773" xr:uid="{00000000-0005-0000-0000-00006DC20000}"/>
    <cellStyle name="Total 2 4 2 7 2" xfId="49774" xr:uid="{00000000-0005-0000-0000-00006EC20000}"/>
    <cellStyle name="Total 2 4 2 7 2 2" xfId="49775" xr:uid="{00000000-0005-0000-0000-00006FC20000}"/>
    <cellStyle name="Total 2 4 2 7 2 3" xfId="49776" xr:uid="{00000000-0005-0000-0000-000070C20000}"/>
    <cellStyle name="Total 2 4 2 7 2 4" xfId="49777" xr:uid="{00000000-0005-0000-0000-000071C20000}"/>
    <cellStyle name="Total 2 4 2 7 2 5" xfId="49778" xr:uid="{00000000-0005-0000-0000-000072C20000}"/>
    <cellStyle name="Total 2 4 2 7 2 6" xfId="49779" xr:uid="{00000000-0005-0000-0000-000073C20000}"/>
    <cellStyle name="Total 2 4 2 7 3" xfId="49780" xr:uid="{00000000-0005-0000-0000-000074C20000}"/>
    <cellStyle name="Total 2 4 2 7 4" xfId="49781" xr:uid="{00000000-0005-0000-0000-000075C20000}"/>
    <cellStyle name="Total 2 4 2 7 5" xfId="49782" xr:uid="{00000000-0005-0000-0000-000076C20000}"/>
    <cellStyle name="Total 2 4 2 7 6" xfId="49783" xr:uid="{00000000-0005-0000-0000-000077C20000}"/>
    <cellStyle name="Total 2 4 2 8" xfId="49784" xr:uid="{00000000-0005-0000-0000-000078C20000}"/>
    <cellStyle name="Total 2 4 2 8 2" xfId="49785" xr:uid="{00000000-0005-0000-0000-000079C20000}"/>
    <cellStyle name="Total 2 4 2 8 2 2" xfId="49786" xr:uid="{00000000-0005-0000-0000-00007AC20000}"/>
    <cellStyle name="Total 2 4 2 8 2 3" xfId="49787" xr:uid="{00000000-0005-0000-0000-00007BC20000}"/>
    <cellStyle name="Total 2 4 2 8 2 4" xfId="49788" xr:uid="{00000000-0005-0000-0000-00007CC20000}"/>
    <cellStyle name="Total 2 4 2 8 2 5" xfId="49789" xr:uid="{00000000-0005-0000-0000-00007DC20000}"/>
    <cellStyle name="Total 2 4 2 8 2 6" xfId="49790" xr:uid="{00000000-0005-0000-0000-00007EC20000}"/>
    <cellStyle name="Total 2 4 2 8 3" xfId="49791" xr:uid="{00000000-0005-0000-0000-00007FC20000}"/>
    <cellStyle name="Total 2 4 2 8 4" xfId="49792" xr:uid="{00000000-0005-0000-0000-000080C20000}"/>
    <cellStyle name="Total 2 4 2 8 5" xfId="49793" xr:uid="{00000000-0005-0000-0000-000081C20000}"/>
    <cellStyle name="Total 2 4 2 8 6" xfId="49794" xr:uid="{00000000-0005-0000-0000-000082C20000}"/>
    <cellStyle name="Total 2 4 2 9" xfId="49795" xr:uid="{00000000-0005-0000-0000-000083C20000}"/>
    <cellStyle name="Total 2 4 2 9 2" xfId="49796" xr:uid="{00000000-0005-0000-0000-000084C20000}"/>
    <cellStyle name="Total 2 4 2 9 3" xfId="49797" xr:uid="{00000000-0005-0000-0000-000085C20000}"/>
    <cellStyle name="Total 2 4 2 9 4" xfId="49798" xr:uid="{00000000-0005-0000-0000-000086C20000}"/>
    <cellStyle name="Total 2 4 2 9 5" xfId="49799" xr:uid="{00000000-0005-0000-0000-000087C20000}"/>
    <cellStyle name="Total 2 4 2 9 6" xfId="49800" xr:uid="{00000000-0005-0000-0000-000088C20000}"/>
    <cellStyle name="Total 2 4 3" xfId="49801" xr:uid="{00000000-0005-0000-0000-000089C20000}"/>
    <cellStyle name="Total 2 4 3 2" xfId="49802" xr:uid="{00000000-0005-0000-0000-00008AC20000}"/>
    <cellStyle name="Total 2 4 3 3" xfId="49803" xr:uid="{00000000-0005-0000-0000-00008BC20000}"/>
    <cellStyle name="Total 2 4 3 4" xfId="49804" xr:uid="{00000000-0005-0000-0000-00008CC20000}"/>
    <cellStyle name="Total 2 4 3 5" xfId="49805" xr:uid="{00000000-0005-0000-0000-00008DC20000}"/>
    <cellStyle name="Total 2 4 3 6" xfId="49806" xr:uid="{00000000-0005-0000-0000-00008EC20000}"/>
    <cellStyle name="Total 2 4 4" xfId="49807" xr:uid="{00000000-0005-0000-0000-00008FC20000}"/>
    <cellStyle name="Total 2 4 4 2" xfId="49808" xr:uid="{00000000-0005-0000-0000-000090C20000}"/>
    <cellStyle name="Total 2 4 4 3" xfId="49809" xr:uid="{00000000-0005-0000-0000-000091C20000}"/>
    <cellStyle name="Total 2 4 4 4" xfId="49810" xr:uid="{00000000-0005-0000-0000-000092C20000}"/>
    <cellStyle name="Total 2 4 4 5" xfId="49811" xr:uid="{00000000-0005-0000-0000-000093C20000}"/>
    <cellStyle name="Total 2 4 5" xfId="49812" xr:uid="{00000000-0005-0000-0000-000094C20000}"/>
    <cellStyle name="Total 2 4 6" xfId="49813" xr:uid="{00000000-0005-0000-0000-000095C20000}"/>
    <cellStyle name="Total 2 4 7" xfId="49814" xr:uid="{00000000-0005-0000-0000-000096C20000}"/>
    <cellStyle name="Total 2 4 8" xfId="49815" xr:uid="{00000000-0005-0000-0000-000097C20000}"/>
    <cellStyle name="Total 2 40" xfId="49816" xr:uid="{00000000-0005-0000-0000-000098C20000}"/>
    <cellStyle name="Total 2 40 2" xfId="49817" xr:uid="{00000000-0005-0000-0000-000099C20000}"/>
    <cellStyle name="Total 2 40 2 2" xfId="49818" xr:uid="{00000000-0005-0000-0000-00009AC20000}"/>
    <cellStyle name="Total 2 40 2 3" xfId="49819" xr:uid="{00000000-0005-0000-0000-00009BC20000}"/>
    <cellStyle name="Total 2 40 2 4" xfId="49820" xr:uid="{00000000-0005-0000-0000-00009CC20000}"/>
    <cellStyle name="Total 2 40 2 5" xfId="49821" xr:uid="{00000000-0005-0000-0000-00009DC20000}"/>
    <cellStyle name="Total 2 40 3" xfId="49822" xr:uid="{00000000-0005-0000-0000-00009EC20000}"/>
    <cellStyle name="Total 2 40 4" xfId="49823" xr:uid="{00000000-0005-0000-0000-00009FC20000}"/>
    <cellStyle name="Total 2 40 5" xfId="49824" xr:uid="{00000000-0005-0000-0000-0000A0C20000}"/>
    <cellStyle name="Total 2 40 6" xfId="49825" xr:uid="{00000000-0005-0000-0000-0000A1C20000}"/>
    <cellStyle name="Total 2 41" xfId="49826" xr:uid="{00000000-0005-0000-0000-0000A2C20000}"/>
    <cellStyle name="Total 2 41 2" xfId="49827" xr:uid="{00000000-0005-0000-0000-0000A3C20000}"/>
    <cellStyle name="Total 2 41 2 2" xfId="49828" xr:uid="{00000000-0005-0000-0000-0000A4C20000}"/>
    <cellStyle name="Total 2 41 2 3" xfId="49829" xr:uid="{00000000-0005-0000-0000-0000A5C20000}"/>
    <cellStyle name="Total 2 41 2 4" xfId="49830" xr:uid="{00000000-0005-0000-0000-0000A6C20000}"/>
    <cellStyle name="Total 2 41 2 5" xfId="49831" xr:uid="{00000000-0005-0000-0000-0000A7C20000}"/>
    <cellStyle name="Total 2 41 3" xfId="49832" xr:uid="{00000000-0005-0000-0000-0000A8C20000}"/>
    <cellStyle name="Total 2 41 4" xfId="49833" xr:uid="{00000000-0005-0000-0000-0000A9C20000}"/>
    <cellStyle name="Total 2 41 5" xfId="49834" xr:uid="{00000000-0005-0000-0000-0000AAC20000}"/>
    <cellStyle name="Total 2 41 6" xfId="49835" xr:uid="{00000000-0005-0000-0000-0000ABC20000}"/>
    <cellStyle name="Total 2 42" xfId="49836" xr:uid="{00000000-0005-0000-0000-0000ACC20000}"/>
    <cellStyle name="Total 2 42 2" xfId="49837" xr:uid="{00000000-0005-0000-0000-0000ADC20000}"/>
    <cellStyle name="Total 2 42 2 2" xfId="49838" xr:uid="{00000000-0005-0000-0000-0000AEC20000}"/>
    <cellStyle name="Total 2 42 2 3" xfId="49839" xr:uid="{00000000-0005-0000-0000-0000AFC20000}"/>
    <cellStyle name="Total 2 42 2 4" xfId="49840" xr:uid="{00000000-0005-0000-0000-0000B0C20000}"/>
    <cellStyle name="Total 2 42 2 5" xfId="49841" xr:uid="{00000000-0005-0000-0000-0000B1C20000}"/>
    <cellStyle name="Total 2 42 3" xfId="49842" xr:uid="{00000000-0005-0000-0000-0000B2C20000}"/>
    <cellStyle name="Total 2 42 4" xfId="49843" xr:uid="{00000000-0005-0000-0000-0000B3C20000}"/>
    <cellStyle name="Total 2 42 5" xfId="49844" xr:uid="{00000000-0005-0000-0000-0000B4C20000}"/>
    <cellStyle name="Total 2 42 6" xfId="49845" xr:uid="{00000000-0005-0000-0000-0000B5C20000}"/>
    <cellStyle name="Total 2 43" xfId="49846" xr:uid="{00000000-0005-0000-0000-0000B6C20000}"/>
    <cellStyle name="Total 2 43 2" xfId="49847" xr:uid="{00000000-0005-0000-0000-0000B7C20000}"/>
    <cellStyle name="Total 2 43 2 2" xfId="49848" xr:uid="{00000000-0005-0000-0000-0000B8C20000}"/>
    <cellStyle name="Total 2 43 2 3" xfId="49849" xr:uid="{00000000-0005-0000-0000-0000B9C20000}"/>
    <cellStyle name="Total 2 43 2 4" xfId="49850" xr:uid="{00000000-0005-0000-0000-0000BAC20000}"/>
    <cellStyle name="Total 2 43 2 5" xfId="49851" xr:uid="{00000000-0005-0000-0000-0000BBC20000}"/>
    <cellStyle name="Total 2 43 3" xfId="49852" xr:uid="{00000000-0005-0000-0000-0000BCC20000}"/>
    <cellStyle name="Total 2 43 4" xfId="49853" xr:uid="{00000000-0005-0000-0000-0000BDC20000}"/>
    <cellStyle name="Total 2 43 5" xfId="49854" xr:uid="{00000000-0005-0000-0000-0000BEC20000}"/>
    <cellStyle name="Total 2 43 6" xfId="49855" xr:uid="{00000000-0005-0000-0000-0000BFC20000}"/>
    <cellStyle name="Total 2 44" xfId="49856" xr:uid="{00000000-0005-0000-0000-0000C0C20000}"/>
    <cellStyle name="Total 2 44 2" xfId="49857" xr:uid="{00000000-0005-0000-0000-0000C1C20000}"/>
    <cellStyle name="Total 2 44 3" xfId="49858" xr:uid="{00000000-0005-0000-0000-0000C2C20000}"/>
    <cellStyle name="Total 2 44 4" xfId="49859" xr:uid="{00000000-0005-0000-0000-0000C3C20000}"/>
    <cellStyle name="Total 2 44 5" xfId="49860" xr:uid="{00000000-0005-0000-0000-0000C4C20000}"/>
    <cellStyle name="Total 2 45" xfId="49861" xr:uid="{00000000-0005-0000-0000-0000C5C20000}"/>
    <cellStyle name="Total 2 46" xfId="49862" xr:uid="{00000000-0005-0000-0000-0000C6C20000}"/>
    <cellStyle name="Total 2 47" xfId="49863" xr:uid="{00000000-0005-0000-0000-0000C7C20000}"/>
    <cellStyle name="Total 2 48" xfId="49864" xr:uid="{00000000-0005-0000-0000-0000C8C20000}"/>
    <cellStyle name="Total 2 5" xfId="49865" xr:uid="{00000000-0005-0000-0000-0000C9C20000}"/>
    <cellStyle name="Total 2 5 10" xfId="49866" xr:uid="{00000000-0005-0000-0000-0000CAC20000}"/>
    <cellStyle name="Total 2 5 11" xfId="49867" xr:uid="{00000000-0005-0000-0000-0000CBC20000}"/>
    <cellStyle name="Total 2 5 2" xfId="49868" xr:uid="{00000000-0005-0000-0000-0000CCC20000}"/>
    <cellStyle name="Total 2 5 2 2" xfId="49869" xr:uid="{00000000-0005-0000-0000-0000CDC20000}"/>
    <cellStyle name="Total 2 5 2 2 2" xfId="49870" xr:uid="{00000000-0005-0000-0000-0000CEC20000}"/>
    <cellStyle name="Total 2 5 2 2 2 2" xfId="49871" xr:uid="{00000000-0005-0000-0000-0000CFC20000}"/>
    <cellStyle name="Total 2 5 2 2 2 3" xfId="49872" xr:uid="{00000000-0005-0000-0000-0000D0C20000}"/>
    <cellStyle name="Total 2 5 2 2 2 4" xfId="49873" xr:uid="{00000000-0005-0000-0000-0000D1C20000}"/>
    <cellStyle name="Total 2 5 2 2 2 5" xfId="49874" xr:uid="{00000000-0005-0000-0000-0000D2C20000}"/>
    <cellStyle name="Total 2 5 2 2 2 6" xfId="49875" xr:uid="{00000000-0005-0000-0000-0000D3C20000}"/>
    <cellStyle name="Total 2 5 2 2 3" xfId="49876" xr:uid="{00000000-0005-0000-0000-0000D4C20000}"/>
    <cellStyle name="Total 2 5 2 2 4" xfId="49877" xr:uid="{00000000-0005-0000-0000-0000D5C20000}"/>
    <cellStyle name="Total 2 5 2 2 5" xfId="49878" xr:uid="{00000000-0005-0000-0000-0000D6C20000}"/>
    <cellStyle name="Total 2 5 2 2 6" xfId="49879" xr:uid="{00000000-0005-0000-0000-0000D7C20000}"/>
    <cellStyle name="Total 2 5 2 3" xfId="49880" xr:uid="{00000000-0005-0000-0000-0000D8C20000}"/>
    <cellStyle name="Total 2 5 2 3 2" xfId="49881" xr:uid="{00000000-0005-0000-0000-0000D9C20000}"/>
    <cellStyle name="Total 2 5 2 3 2 2" xfId="49882" xr:uid="{00000000-0005-0000-0000-0000DAC20000}"/>
    <cellStyle name="Total 2 5 2 3 2 3" xfId="49883" xr:uid="{00000000-0005-0000-0000-0000DBC20000}"/>
    <cellStyle name="Total 2 5 2 3 2 4" xfId="49884" xr:uid="{00000000-0005-0000-0000-0000DCC20000}"/>
    <cellStyle name="Total 2 5 2 3 2 5" xfId="49885" xr:uid="{00000000-0005-0000-0000-0000DDC20000}"/>
    <cellStyle name="Total 2 5 2 3 2 6" xfId="49886" xr:uid="{00000000-0005-0000-0000-0000DEC20000}"/>
    <cellStyle name="Total 2 5 2 3 3" xfId="49887" xr:uid="{00000000-0005-0000-0000-0000DFC20000}"/>
    <cellStyle name="Total 2 5 2 3 4" xfId="49888" xr:uid="{00000000-0005-0000-0000-0000E0C20000}"/>
    <cellStyle name="Total 2 5 2 3 5" xfId="49889" xr:uid="{00000000-0005-0000-0000-0000E1C20000}"/>
    <cellStyle name="Total 2 5 2 3 6" xfId="49890" xr:uid="{00000000-0005-0000-0000-0000E2C20000}"/>
    <cellStyle name="Total 2 5 2 4" xfId="49891" xr:uid="{00000000-0005-0000-0000-0000E3C20000}"/>
    <cellStyle name="Total 2 5 2 4 2" xfId="49892" xr:uid="{00000000-0005-0000-0000-0000E4C20000}"/>
    <cellStyle name="Total 2 5 2 4 3" xfId="49893" xr:uid="{00000000-0005-0000-0000-0000E5C20000}"/>
    <cellStyle name="Total 2 5 2 4 4" xfId="49894" xr:uid="{00000000-0005-0000-0000-0000E6C20000}"/>
    <cellStyle name="Total 2 5 2 4 5" xfId="49895" xr:uid="{00000000-0005-0000-0000-0000E7C20000}"/>
    <cellStyle name="Total 2 5 2 4 6" xfId="49896" xr:uid="{00000000-0005-0000-0000-0000E8C20000}"/>
    <cellStyle name="Total 2 5 2 5" xfId="49897" xr:uid="{00000000-0005-0000-0000-0000E9C20000}"/>
    <cellStyle name="Total 2 5 2 5 2" xfId="49898" xr:uid="{00000000-0005-0000-0000-0000EAC20000}"/>
    <cellStyle name="Total 2 5 2 5 3" xfId="49899" xr:uid="{00000000-0005-0000-0000-0000EBC20000}"/>
    <cellStyle name="Total 2 5 2 5 4" xfId="49900" xr:uid="{00000000-0005-0000-0000-0000ECC20000}"/>
    <cellStyle name="Total 2 5 2 5 5" xfId="49901" xr:uid="{00000000-0005-0000-0000-0000EDC20000}"/>
    <cellStyle name="Total 2 5 2 6" xfId="49902" xr:uid="{00000000-0005-0000-0000-0000EEC20000}"/>
    <cellStyle name="Total 2 5 2 7" xfId="49903" xr:uid="{00000000-0005-0000-0000-0000EFC20000}"/>
    <cellStyle name="Total 2 5 2 8" xfId="49904" xr:uid="{00000000-0005-0000-0000-0000F0C20000}"/>
    <cellStyle name="Total 2 5 2 9" xfId="49905" xr:uid="{00000000-0005-0000-0000-0000F1C20000}"/>
    <cellStyle name="Total 2 5 3" xfId="49906" xr:uid="{00000000-0005-0000-0000-0000F2C20000}"/>
    <cellStyle name="Total 2 5 3 2" xfId="49907" xr:uid="{00000000-0005-0000-0000-0000F3C20000}"/>
    <cellStyle name="Total 2 5 3 2 2" xfId="49908" xr:uid="{00000000-0005-0000-0000-0000F4C20000}"/>
    <cellStyle name="Total 2 5 3 2 2 2" xfId="49909" xr:uid="{00000000-0005-0000-0000-0000F5C20000}"/>
    <cellStyle name="Total 2 5 3 2 2 3" xfId="49910" xr:uid="{00000000-0005-0000-0000-0000F6C20000}"/>
    <cellStyle name="Total 2 5 3 2 2 4" xfId="49911" xr:uid="{00000000-0005-0000-0000-0000F7C20000}"/>
    <cellStyle name="Total 2 5 3 2 2 5" xfId="49912" xr:uid="{00000000-0005-0000-0000-0000F8C20000}"/>
    <cellStyle name="Total 2 5 3 2 2 6" xfId="49913" xr:uid="{00000000-0005-0000-0000-0000F9C20000}"/>
    <cellStyle name="Total 2 5 3 2 3" xfId="49914" xr:uid="{00000000-0005-0000-0000-0000FAC20000}"/>
    <cellStyle name="Total 2 5 3 2 4" xfId="49915" xr:uid="{00000000-0005-0000-0000-0000FBC20000}"/>
    <cellStyle name="Total 2 5 3 2 5" xfId="49916" xr:uid="{00000000-0005-0000-0000-0000FCC20000}"/>
    <cellStyle name="Total 2 5 3 2 6" xfId="49917" xr:uid="{00000000-0005-0000-0000-0000FDC20000}"/>
    <cellStyle name="Total 2 5 3 3" xfId="49918" xr:uid="{00000000-0005-0000-0000-0000FEC20000}"/>
    <cellStyle name="Total 2 5 3 3 2" xfId="49919" xr:uid="{00000000-0005-0000-0000-0000FFC20000}"/>
    <cellStyle name="Total 2 5 3 3 2 2" xfId="49920" xr:uid="{00000000-0005-0000-0000-000000C30000}"/>
    <cellStyle name="Total 2 5 3 3 2 3" xfId="49921" xr:uid="{00000000-0005-0000-0000-000001C30000}"/>
    <cellStyle name="Total 2 5 3 3 2 4" xfId="49922" xr:uid="{00000000-0005-0000-0000-000002C30000}"/>
    <cellStyle name="Total 2 5 3 3 2 5" xfId="49923" xr:uid="{00000000-0005-0000-0000-000003C30000}"/>
    <cellStyle name="Total 2 5 3 3 2 6" xfId="49924" xr:uid="{00000000-0005-0000-0000-000004C30000}"/>
    <cellStyle name="Total 2 5 3 3 3" xfId="49925" xr:uid="{00000000-0005-0000-0000-000005C30000}"/>
    <cellStyle name="Total 2 5 3 3 4" xfId="49926" xr:uid="{00000000-0005-0000-0000-000006C30000}"/>
    <cellStyle name="Total 2 5 3 3 5" xfId="49927" xr:uid="{00000000-0005-0000-0000-000007C30000}"/>
    <cellStyle name="Total 2 5 3 3 6" xfId="49928" xr:uid="{00000000-0005-0000-0000-000008C30000}"/>
    <cellStyle name="Total 2 5 3 4" xfId="49929" xr:uid="{00000000-0005-0000-0000-000009C30000}"/>
    <cellStyle name="Total 2 5 3 4 2" xfId="49930" xr:uid="{00000000-0005-0000-0000-00000AC30000}"/>
    <cellStyle name="Total 2 5 3 4 3" xfId="49931" xr:uid="{00000000-0005-0000-0000-00000BC30000}"/>
    <cellStyle name="Total 2 5 3 4 4" xfId="49932" xr:uid="{00000000-0005-0000-0000-00000CC30000}"/>
    <cellStyle name="Total 2 5 3 4 5" xfId="49933" xr:uid="{00000000-0005-0000-0000-00000DC30000}"/>
    <cellStyle name="Total 2 5 3 4 6" xfId="49934" xr:uid="{00000000-0005-0000-0000-00000EC30000}"/>
    <cellStyle name="Total 2 5 3 5" xfId="49935" xr:uid="{00000000-0005-0000-0000-00000FC30000}"/>
    <cellStyle name="Total 2 5 3 6" xfId="49936" xr:uid="{00000000-0005-0000-0000-000010C30000}"/>
    <cellStyle name="Total 2 5 3 7" xfId="49937" xr:uid="{00000000-0005-0000-0000-000011C30000}"/>
    <cellStyle name="Total 2 5 3 8" xfId="49938" xr:uid="{00000000-0005-0000-0000-000012C30000}"/>
    <cellStyle name="Total 2 5 4" xfId="49939" xr:uid="{00000000-0005-0000-0000-000013C30000}"/>
    <cellStyle name="Total 2 5 4 2" xfId="49940" xr:uid="{00000000-0005-0000-0000-000014C30000}"/>
    <cellStyle name="Total 2 5 4 2 2" xfId="49941" xr:uid="{00000000-0005-0000-0000-000015C30000}"/>
    <cellStyle name="Total 2 5 4 2 3" xfId="49942" xr:uid="{00000000-0005-0000-0000-000016C30000}"/>
    <cellStyle name="Total 2 5 4 2 4" xfId="49943" xr:uid="{00000000-0005-0000-0000-000017C30000}"/>
    <cellStyle name="Total 2 5 4 2 5" xfId="49944" xr:uid="{00000000-0005-0000-0000-000018C30000}"/>
    <cellStyle name="Total 2 5 4 2 6" xfId="49945" xr:uid="{00000000-0005-0000-0000-000019C30000}"/>
    <cellStyle name="Total 2 5 4 3" xfId="49946" xr:uid="{00000000-0005-0000-0000-00001AC30000}"/>
    <cellStyle name="Total 2 5 4 4" xfId="49947" xr:uid="{00000000-0005-0000-0000-00001BC30000}"/>
    <cellStyle name="Total 2 5 4 5" xfId="49948" xr:uid="{00000000-0005-0000-0000-00001CC30000}"/>
    <cellStyle name="Total 2 5 4 6" xfId="49949" xr:uid="{00000000-0005-0000-0000-00001DC30000}"/>
    <cellStyle name="Total 2 5 5" xfId="49950" xr:uid="{00000000-0005-0000-0000-00001EC30000}"/>
    <cellStyle name="Total 2 5 5 2" xfId="49951" xr:uid="{00000000-0005-0000-0000-00001FC30000}"/>
    <cellStyle name="Total 2 5 5 2 2" xfId="49952" xr:uid="{00000000-0005-0000-0000-000020C30000}"/>
    <cellStyle name="Total 2 5 5 2 3" xfId="49953" xr:uid="{00000000-0005-0000-0000-000021C30000}"/>
    <cellStyle name="Total 2 5 5 2 4" xfId="49954" xr:uid="{00000000-0005-0000-0000-000022C30000}"/>
    <cellStyle name="Total 2 5 5 2 5" xfId="49955" xr:uid="{00000000-0005-0000-0000-000023C30000}"/>
    <cellStyle name="Total 2 5 5 2 6" xfId="49956" xr:uid="{00000000-0005-0000-0000-000024C30000}"/>
    <cellStyle name="Total 2 5 5 3" xfId="49957" xr:uid="{00000000-0005-0000-0000-000025C30000}"/>
    <cellStyle name="Total 2 5 5 4" xfId="49958" xr:uid="{00000000-0005-0000-0000-000026C30000}"/>
    <cellStyle name="Total 2 5 5 5" xfId="49959" xr:uid="{00000000-0005-0000-0000-000027C30000}"/>
    <cellStyle name="Total 2 5 5 6" xfId="49960" xr:uid="{00000000-0005-0000-0000-000028C30000}"/>
    <cellStyle name="Total 2 5 6" xfId="49961" xr:uid="{00000000-0005-0000-0000-000029C30000}"/>
    <cellStyle name="Total 2 5 6 2" xfId="49962" xr:uid="{00000000-0005-0000-0000-00002AC30000}"/>
    <cellStyle name="Total 2 5 6 3" xfId="49963" xr:uid="{00000000-0005-0000-0000-00002BC30000}"/>
    <cellStyle name="Total 2 5 6 4" xfId="49964" xr:uid="{00000000-0005-0000-0000-00002CC30000}"/>
    <cellStyle name="Total 2 5 6 5" xfId="49965" xr:uid="{00000000-0005-0000-0000-00002DC30000}"/>
    <cellStyle name="Total 2 5 6 6" xfId="49966" xr:uid="{00000000-0005-0000-0000-00002EC30000}"/>
    <cellStyle name="Total 2 5 7" xfId="49967" xr:uid="{00000000-0005-0000-0000-00002FC30000}"/>
    <cellStyle name="Total 2 5 7 2" xfId="49968" xr:uid="{00000000-0005-0000-0000-000030C30000}"/>
    <cellStyle name="Total 2 5 7 3" xfId="49969" xr:uid="{00000000-0005-0000-0000-000031C30000}"/>
    <cellStyle name="Total 2 5 7 4" xfId="49970" xr:uid="{00000000-0005-0000-0000-000032C30000}"/>
    <cellStyle name="Total 2 5 7 5" xfId="49971" xr:uid="{00000000-0005-0000-0000-000033C30000}"/>
    <cellStyle name="Total 2 5 8" xfId="49972" xr:uid="{00000000-0005-0000-0000-000034C30000}"/>
    <cellStyle name="Total 2 5 9" xfId="49973" xr:uid="{00000000-0005-0000-0000-000035C30000}"/>
    <cellStyle name="Total 2 6" xfId="49974" xr:uid="{00000000-0005-0000-0000-000036C30000}"/>
    <cellStyle name="Total 2 6 2" xfId="49975" xr:uid="{00000000-0005-0000-0000-000037C30000}"/>
    <cellStyle name="Total 2 6 2 2" xfId="49976" xr:uid="{00000000-0005-0000-0000-000038C30000}"/>
    <cellStyle name="Total 2 6 2 3" xfId="49977" xr:uid="{00000000-0005-0000-0000-000039C30000}"/>
    <cellStyle name="Total 2 6 2 4" xfId="49978" xr:uid="{00000000-0005-0000-0000-00003AC30000}"/>
    <cellStyle name="Total 2 6 2 5" xfId="49979" xr:uid="{00000000-0005-0000-0000-00003BC30000}"/>
    <cellStyle name="Total 2 6 3" xfId="49980" xr:uid="{00000000-0005-0000-0000-00003CC30000}"/>
    <cellStyle name="Total 2 6 3 2" xfId="49981" xr:uid="{00000000-0005-0000-0000-00003DC30000}"/>
    <cellStyle name="Total 2 6 3 3" xfId="49982" xr:uid="{00000000-0005-0000-0000-00003EC30000}"/>
    <cellStyle name="Total 2 6 3 4" xfId="49983" xr:uid="{00000000-0005-0000-0000-00003FC30000}"/>
    <cellStyle name="Total 2 6 3 5" xfId="49984" xr:uid="{00000000-0005-0000-0000-000040C30000}"/>
    <cellStyle name="Total 2 6 4" xfId="49985" xr:uid="{00000000-0005-0000-0000-000041C30000}"/>
    <cellStyle name="Total 2 6 5" xfId="49986" xr:uid="{00000000-0005-0000-0000-000042C30000}"/>
    <cellStyle name="Total 2 6 6" xfId="49987" xr:uid="{00000000-0005-0000-0000-000043C30000}"/>
    <cellStyle name="Total 2 6 7" xfId="49988" xr:uid="{00000000-0005-0000-0000-000044C30000}"/>
    <cellStyle name="Total 2 6 8" xfId="49989" xr:uid="{00000000-0005-0000-0000-000045C30000}"/>
    <cellStyle name="Total 2 7" xfId="49990" xr:uid="{00000000-0005-0000-0000-000046C30000}"/>
    <cellStyle name="Total 2 7 2" xfId="49991" xr:uid="{00000000-0005-0000-0000-000047C30000}"/>
    <cellStyle name="Total 2 7 2 2" xfId="49992" xr:uid="{00000000-0005-0000-0000-000048C30000}"/>
    <cellStyle name="Total 2 7 2 3" xfId="49993" xr:uid="{00000000-0005-0000-0000-000049C30000}"/>
    <cellStyle name="Total 2 7 2 4" xfId="49994" xr:uid="{00000000-0005-0000-0000-00004AC30000}"/>
    <cellStyle name="Total 2 7 2 5" xfId="49995" xr:uid="{00000000-0005-0000-0000-00004BC30000}"/>
    <cellStyle name="Total 2 7 3" xfId="49996" xr:uid="{00000000-0005-0000-0000-00004CC30000}"/>
    <cellStyle name="Total 2 7 4" xfId="49997" xr:uid="{00000000-0005-0000-0000-00004DC30000}"/>
    <cellStyle name="Total 2 7 5" xfId="49998" xr:uid="{00000000-0005-0000-0000-00004EC30000}"/>
    <cellStyle name="Total 2 7 6" xfId="49999" xr:uid="{00000000-0005-0000-0000-00004FC30000}"/>
    <cellStyle name="Total 2 8" xfId="50000" xr:uid="{00000000-0005-0000-0000-000050C30000}"/>
    <cellStyle name="Total 2 8 2" xfId="50001" xr:uid="{00000000-0005-0000-0000-000051C30000}"/>
    <cellStyle name="Total 2 8 2 2" xfId="50002" xr:uid="{00000000-0005-0000-0000-000052C30000}"/>
    <cellStyle name="Total 2 8 2 3" xfId="50003" xr:uid="{00000000-0005-0000-0000-000053C30000}"/>
    <cellStyle name="Total 2 8 2 4" xfId="50004" xr:uid="{00000000-0005-0000-0000-000054C30000}"/>
    <cellStyle name="Total 2 8 2 5" xfId="50005" xr:uid="{00000000-0005-0000-0000-000055C30000}"/>
    <cellStyle name="Total 2 8 3" xfId="50006" xr:uid="{00000000-0005-0000-0000-000056C30000}"/>
    <cellStyle name="Total 2 8 4" xfId="50007" xr:uid="{00000000-0005-0000-0000-000057C30000}"/>
    <cellStyle name="Total 2 8 5" xfId="50008" xr:uid="{00000000-0005-0000-0000-000058C30000}"/>
    <cellStyle name="Total 2 8 6" xfId="50009" xr:uid="{00000000-0005-0000-0000-000059C30000}"/>
    <cellStyle name="Total 2 9" xfId="50010" xr:uid="{00000000-0005-0000-0000-00005AC30000}"/>
    <cellStyle name="Total 2 9 2" xfId="50011" xr:uid="{00000000-0005-0000-0000-00005BC30000}"/>
    <cellStyle name="Total 2 9 2 2" xfId="50012" xr:uid="{00000000-0005-0000-0000-00005CC30000}"/>
    <cellStyle name="Total 2 9 2 3" xfId="50013" xr:uid="{00000000-0005-0000-0000-00005DC30000}"/>
    <cellStyle name="Total 2 9 2 4" xfId="50014" xr:uid="{00000000-0005-0000-0000-00005EC30000}"/>
    <cellStyle name="Total 2 9 2 5" xfId="50015" xr:uid="{00000000-0005-0000-0000-00005FC30000}"/>
    <cellStyle name="Total 2 9 3" xfId="50016" xr:uid="{00000000-0005-0000-0000-000060C30000}"/>
    <cellStyle name="Total 2 9 4" xfId="50017" xr:uid="{00000000-0005-0000-0000-000061C30000}"/>
    <cellStyle name="Total 2 9 5" xfId="50018" xr:uid="{00000000-0005-0000-0000-000062C30000}"/>
    <cellStyle name="Total 2 9 6" xfId="50019" xr:uid="{00000000-0005-0000-0000-000063C30000}"/>
    <cellStyle name="Total 3" xfId="50020" xr:uid="{00000000-0005-0000-0000-000064C30000}"/>
    <cellStyle name="Total 3 10" xfId="50021" xr:uid="{00000000-0005-0000-0000-000065C30000}"/>
    <cellStyle name="Total 3 10 2" xfId="50022" xr:uid="{00000000-0005-0000-0000-000066C30000}"/>
    <cellStyle name="Total 3 10 2 2" xfId="50023" xr:uid="{00000000-0005-0000-0000-000067C30000}"/>
    <cellStyle name="Total 3 10 2 3" xfId="50024" xr:uid="{00000000-0005-0000-0000-000068C30000}"/>
    <cellStyle name="Total 3 10 2 4" xfId="50025" xr:uid="{00000000-0005-0000-0000-000069C30000}"/>
    <cellStyle name="Total 3 10 2 5" xfId="50026" xr:uid="{00000000-0005-0000-0000-00006AC30000}"/>
    <cellStyle name="Total 3 10 2 6" xfId="50027" xr:uid="{00000000-0005-0000-0000-00006BC30000}"/>
    <cellStyle name="Total 3 10 3" xfId="50028" xr:uid="{00000000-0005-0000-0000-00006CC30000}"/>
    <cellStyle name="Total 3 10 4" xfId="50029" xr:uid="{00000000-0005-0000-0000-00006DC30000}"/>
    <cellStyle name="Total 3 10 5" xfId="50030" xr:uid="{00000000-0005-0000-0000-00006EC30000}"/>
    <cellStyle name="Total 3 10 6" xfId="50031" xr:uid="{00000000-0005-0000-0000-00006FC30000}"/>
    <cellStyle name="Total 3 10 7" xfId="50032" xr:uid="{00000000-0005-0000-0000-000070C30000}"/>
    <cellStyle name="Total 3 11" xfId="50033" xr:uid="{00000000-0005-0000-0000-000071C30000}"/>
    <cellStyle name="Total 3 11 2" xfId="50034" xr:uid="{00000000-0005-0000-0000-000072C30000}"/>
    <cellStyle name="Total 3 11 2 2" xfId="50035" xr:uid="{00000000-0005-0000-0000-000073C30000}"/>
    <cellStyle name="Total 3 11 2 3" xfId="50036" xr:uid="{00000000-0005-0000-0000-000074C30000}"/>
    <cellStyle name="Total 3 11 2 4" xfId="50037" xr:uid="{00000000-0005-0000-0000-000075C30000}"/>
    <cellStyle name="Total 3 11 2 5" xfId="50038" xr:uid="{00000000-0005-0000-0000-000076C30000}"/>
    <cellStyle name="Total 3 11 2 6" xfId="50039" xr:uid="{00000000-0005-0000-0000-000077C30000}"/>
    <cellStyle name="Total 3 11 3" xfId="50040" xr:uid="{00000000-0005-0000-0000-000078C30000}"/>
    <cellStyle name="Total 3 11 4" xfId="50041" xr:uid="{00000000-0005-0000-0000-000079C30000}"/>
    <cellStyle name="Total 3 11 5" xfId="50042" xr:uid="{00000000-0005-0000-0000-00007AC30000}"/>
    <cellStyle name="Total 3 11 6" xfId="50043" xr:uid="{00000000-0005-0000-0000-00007BC30000}"/>
    <cellStyle name="Total 3 11 7" xfId="50044" xr:uid="{00000000-0005-0000-0000-00007CC30000}"/>
    <cellStyle name="Total 3 12" xfId="50045" xr:uid="{00000000-0005-0000-0000-00007DC30000}"/>
    <cellStyle name="Total 3 12 2" xfId="50046" xr:uid="{00000000-0005-0000-0000-00007EC30000}"/>
    <cellStyle name="Total 3 12 2 2" xfId="50047" xr:uid="{00000000-0005-0000-0000-00007FC30000}"/>
    <cellStyle name="Total 3 12 2 3" xfId="50048" xr:uid="{00000000-0005-0000-0000-000080C30000}"/>
    <cellStyle name="Total 3 12 2 4" xfId="50049" xr:uid="{00000000-0005-0000-0000-000081C30000}"/>
    <cellStyle name="Total 3 12 2 5" xfId="50050" xr:uid="{00000000-0005-0000-0000-000082C30000}"/>
    <cellStyle name="Total 3 12 2 6" xfId="50051" xr:uid="{00000000-0005-0000-0000-000083C30000}"/>
    <cellStyle name="Total 3 12 3" xfId="50052" xr:uid="{00000000-0005-0000-0000-000084C30000}"/>
    <cellStyle name="Total 3 12 4" xfId="50053" xr:uid="{00000000-0005-0000-0000-000085C30000}"/>
    <cellStyle name="Total 3 12 5" xfId="50054" xr:uid="{00000000-0005-0000-0000-000086C30000}"/>
    <cellStyle name="Total 3 12 6" xfId="50055" xr:uid="{00000000-0005-0000-0000-000087C30000}"/>
    <cellStyle name="Total 3 12 7" xfId="50056" xr:uid="{00000000-0005-0000-0000-000088C30000}"/>
    <cellStyle name="Total 3 13" xfId="50057" xr:uid="{00000000-0005-0000-0000-000089C30000}"/>
    <cellStyle name="Total 3 13 2" xfId="50058" xr:uid="{00000000-0005-0000-0000-00008AC30000}"/>
    <cellStyle name="Total 3 13 2 2" xfId="50059" xr:uid="{00000000-0005-0000-0000-00008BC30000}"/>
    <cellStyle name="Total 3 13 2 3" xfId="50060" xr:uid="{00000000-0005-0000-0000-00008CC30000}"/>
    <cellStyle name="Total 3 13 2 4" xfId="50061" xr:uid="{00000000-0005-0000-0000-00008DC30000}"/>
    <cellStyle name="Total 3 13 2 5" xfId="50062" xr:uid="{00000000-0005-0000-0000-00008EC30000}"/>
    <cellStyle name="Total 3 13 2 6" xfId="50063" xr:uid="{00000000-0005-0000-0000-00008FC30000}"/>
    <cellStyle name="Total 3 13 3" xfId="50064" xr:uid="{00000000-0005-0000-0000-000090C30000}"/>
    <cellStyle name="Total 3 13 4" xfId="50065" xr:uid="{00000000-0005-0000-0000-000091C30000}"/>
    <cellStyle name="Total 3 13 5" xfId="50066" xr:uid="{00000000-0005-0000-0000-000092C30000}"/>
    <cellStyle name="Total 3 13 6" xfId="50067" xr:uid="{00000000-0005-0000-0000-000093C30000}"/>
    <cellStyle name="Total 3 13 7" xfId="50068" xr:uid="{00000000-0005-0000-0000-000094C30000}"/>
    <cellStyle name="Total 3 14" xfId="50069" xr:uid="{00000000-0005-0000-0000-000095C30000}"/>
    <cellStyle name="Total 3 14 2" xfId="50070" xr:uid="{00000000-0005-0000-0000-000096C30000}"/>
    <cellStyle name="Total 3 14 2 2" xfId="50071" xr:uid="{00000000-0005-0000-0000-000097C30000}"/>
    <cellStyle name="Total 3 14 2 3" xfId="50072" xr:uid="{00000000-0005-0000-0000-000098C30000}"/>
    <cellStyle name="Total 3 14 2 4" xfId="50073" xr:uid="{00000000-0005-0000-0000-000099C30000}"/>
    <cellStyle name="Total 3 14 2 5" xfId="50074" xr:uid="{00000000-0005-0000-0000-00009AC30000}"/>
    <cellStyle name="Total 3 14 2 6" xfId="50075" xr:uid="{00000000-0005-0000-0000-00009BC30000}"/>
    <cellStyle name="Total 3 14 3" xfId="50076" xr:uid="{00000000-0005-0000-0000-00009CC30000}"/>
    <cellStyle name="Total 3 14 4" xfId="50077" xr:uid="{00000000-0005-0000-0000-00009DC30000}"/>
    <cellStyle name="Total 3 14 5" xfId="50078" xr:uid="{00000000-0005-0000-0000-00009EC30000}"/>
    <cellStyle name="Total 3 14 6" xfId="50079" xr:uid="{00000000-0005-0000-0000-00009FC30000}"/>
    <cellStyle name="Total 3 14 7" xfId="50080" xr:uid="{00000000-0005-0000-0000-0000A0C30000}"/>
    <cellStyle name="Total 3 15" xfId="50081" xr:uid="{00000000-0005-0000-0000-0000A1C30000}"/>
    <cellStyle name="Total 3 15 2" xfId="50082" xr:uid="{00000000-0005-0000-0000-0000A2C30000}"/>
    <cellStyle name="Total 3 15 2 2" xfId="50083" xr:uid="{00000000-0005-0000-0000-0000A3C30000}"/>
    <cellStyle name="Total 3 15 2 3" xfId="50084" xr:uid="{00000000-0005-0000-0000-0000A4C30000}"/>
    <cellStyle name="Total 3 15 2 4" xfId="50085" xr:uid="{00000000-0005-0000-0000-0000A5C30000}"/>
    <cellStyle name="Total 3 15 2 5" xfId="50086" xr:uid="{00000000-0005-0000-0000-0000A6C30000}"/>
    <cellStyle name="Total 3 15 2 6" xfId="50087" xr:uid="{00000000-0005-0000-0000-0000A7C30000}"/>
    <cellStyle name="Total 3 15 3" xfId="50088" xr:uid="{00000000-0005-0000-0000-0000A8C30000}"/>
    <cellStyle name="Total 3 15 4" xfId="50089" xr:uid="{00000000-0005-0000-0000-0000A9C30000}"/>
    <cellStyle name="Total 3 15 5" xfId="50090" xr:uid="{00000000-0005-0000-0000-0000AAC30000}"/>
    <cellStyle name="Total 3 15 6" xfId="50091" xr:uid="{00000000-0005-0000-0000-0000ABC30000}"/>
    <cellStyle name="Total 3 15 7" xfId="50092" xr:uid="{00000000-0005-0000-0000-0000ACC30000}"/>
    <cellStyle name="Total 3 16" xfId="50093" xr:uid="{00000000-0005-0000-0000-0000ADC30000}"/>
    <cellStyle name="Total 3 16 2" xfId="50094" xr:uid="{00000000-0005-0000-0000-0000AEC30000}"/>
    <cellStyle name="Total 3 16 2 2" xfId="50095" xr:uid="{00000000-0005-0000-0000-0000AFC30000}"/>
    <cellStyle name="Total 3 16 2 3" xfId="50096" xr:uid="{00000000-0005-0000-0000-0000B0C30000}"/>
    <cellStyle name="Total 3 16 2 4" xfId="50097" xr:uid="{00000000-0005-0000-0000-0000B1C30000}"/>
    <cellStyle name="Total 3 16 2 5" xfId="50098" xr:uid="{00000000-0005-0000-0000-0000B2C30000}"/>
    <cellStyle name="Total 3 16 2 6" xfId="50099" xr:uid="{00000000-0005-0000-0000-0000B3C30000}"/>
    <cellStyle name="Total 3 16 3" xfId="50100" xr:uid="{00000000-0005-0000-0000-0000B4C30000}"/>
    <cellStyle name="Total 3 16 4" xfId="50101" xr:uid="{00000000-0005-0000-0000-0000B5C30000}"/>
    <cellStyle name="Total 3 16 5" xfId="50102" xr:uid="{00000000-0005-0000-0000-0000B6C30000}"/>
    <cellStyle name="Total 3 16 6" xfId="50103" xr:uid="{00000000-0005-0000-0000-0000B7C30000}"/>
    <cellStyle name="Total 3 16 7" xfId="50104" xr:uid="{00000000-0005-0000-0000-0000B8C30000}"/>
    <cellStyle name="Total 3 17" xfId="50105" xr:uid="{00000000-0005-0000-0000-0000B9C30000}"/>
    <cellStyle name="Total 3 17 2" xfId="50106" xr:uid="{00000000-0005-0000-0000-0000BAC30000}"/>
    <cellStyle name="Total 3 17 2 2" xfId="50107" xr:uid="{00000000-0005-0000-0000-0000BBC30000}"/>
    <cellStyle name="Total 3 17 2 3" xfId="50108" xr:uid="{00000000-0005-0000-0000-0000BCC30000}"/>
    <cellStyle name="Total 3 17 2 4" xfId="50109" xr:uid="{00000000-0005-0000-0000-0000BDC30000}"/>
    <cellStyle name="Total 3 17 2 5" xfId="50110" xr:uid="{00000000-0005-0000-0000-0000BEC30000}"/>
    <cellStyle name="Total 3 17 2 6" xfId="50111" xr:uid="{00000000-0005-0000-0000-0000BFC30000}"/>
    <cellStyle name="Total 3 17 3" xfId="50112" xr:uid="{00000000-0005-0000-0000-0000C0C30000}"/>
    <cellStyle name="Total 3 17 4" xfId="50113" xr:uid="{00000000-0005-0000-0000-0000C1C30000}"/>
    <cellStyle name="Total 3 17 5" xfId="50114" xr:uid="{00000000-0005-0000-0000-0000C2C30000}"/>
    <cellStyle name="Total 3 17 6" xfId="50115" xr:uid="{00000000-0005-0000-0000-0000C3C30000}"/>
    <cellStyle name="Total 3 17 7" xfId="50116" xr:uid="{00000000-0005-0000-0000-0000C4C30000}"/>
    <cellStyle name="Total 3 18" xfId="50117" xr:uid="{00000000-0005-0000-0000-0000C5C30000}"/>
    <cellStyle name="Total 3 18 2" xfId="50118" xr:uid="{00000000-0005-0000-0000-0000C6C30000}"/>
    <cellStyle name="Total 3 18 2 2" xfId="50119" xr:uid="{00000000-0005-0000-0000-0000C7C30000}"/>
    <cellStyle name="Total 3 18 2 3" xfId="50120" xr:uid="{00000000-0005-0000-0000-0000C8C30000}"/>
    <cellStyle name="Total 3 18 2 4" xfId="50121" xr:uid="{00000000-0005-0000-0000-0000C9C30000}"/>
    <cellStyle name="Total 3 18 2 5" xfId="50122" xr:uid="{00000000-0005-0000-0000-0000CAC30000}"/>
    <cellStyle name="Total 3 18 2 6" xfId="50123" xr:uid="{00000000-0005-0000-0000-0000CBC30000}"/>
    <cellStyle name="Total 3 18 3" xfId="50124" xr:uid="{00000000-0005-0000-0000-0000CCC30000}"/>
    <cellStyle name="Total 3 18 4" xfId="50125" xr:uid="{00000000-0005-0000-0000-0000CDC30000}"/>
    <cellStyle name="Total 3 18 5" xfId="50126" xr:uid="{00000000-0005-0000-0000-0000CEC30000}"/>
    <cellStyle name="Total 3 18 6" xfId="50127" xr:uid="{00000000-0005-0000-0000-0000CFC30000}"/>
    <cellStyle name="Total 3 18 7" xfId="50128" xr:uid="{00000000-0005-0000-0000-0000D0C30000}"/>
    <cellStyle name="Total 3 19" xfId="50129" xr:uid="{00000000-0005-0000-0000-0000D1C30000}"/>
    <cellStyle name="Total 3 19 2" xfId="50130" xr:uid="{00000000-0005-0000-0000-0000D2C30000}"/>
    <cellStyle name="Total 3 19 2 2" xfId="50131" xr:uid="{00000000-0005-0000-0000-0000D3C30000}"/>
    <cellStyle name="Total 3 19 2 3" xfId="50132" xr:uid="{00000000-0005-0000-0000-0000D4C30000}"/>
    <cellStyle name="Total 3 19 2 4" xfId="50133" xr:uid="{00000000-0005-0000-0000-0000D5C30000}"/>
    <cellStyle name="Total 3 19 2 5" xfId="50134" xr:uid="{00000000-0005-0000-0000-0000D6C30000}"/>
    <cellStyle name="Total 3 19 2 6" xfId="50135" xr:uid="{00000000-0005-0000-0000-0000D7C30000}"/>
    <cellStyle name="Total 3 19 3" xfId="50136" xr:uid="{00000000-0005-0000-0000-0000D8C30000}"/>
    <cellStyle name="Total 3 19 4" xfId="50137" xr:uid="{00000000-0005-0000-0000-0000D9C30000}"/>
    <cellStyle name="Total 3 19 5" xfId="50138" xr:uid="{00000000-0005-0000-0000-0000DAC30000}"/>
    <cellStyle name="Total 3 19 6" xfId="50139" xr:uid="{00000000-0005-0000-0000-0000DBC30000}"/>
    <cellStyle name="Total 3 19 7" xfId="50140" xr:uid="{00000000-0005-0000-0000-0000DCC30000}"/>
    <cellStyle name="Total 3 2" xfId="50141" xr:uid="{00000000-0005-0000-0000-0000DDC30000}"/>
    <cellStyle name="Total 3 2 10" xfId="50142" xr:uid="{00000000-0005-0000-0000-0000DEC30000}"/>
    <cellStyle name="Total 3 2 10 2" xfId="50143" xr:uid="{00000000-0005-0000-0000-0000DFC30000}"/>
    <cellStyle name="Total 3 2 10 2 2" xfId="50144" xr:uid="{00000000-0005-0000-0000-0000E0C30000}"/>
    <cellStyle name="Total 3 2 10 2 3" xfId="50145" xr:uid="{00000000-0005-0000-0000-0000E1C30000}"/>
    <cellStyle name="Total 3 2 10 2 4" xfId="50146" xr:uid="{00000000-0005-0000-0000-0000E2C30000}"/>
    <cellStyle name="Total 3 2 10 2 5" xfId="50147" xr:uid="{00000000-0005-0000-0000-0000E3C30000}"/>
    <cellStyle name="Total 3 2 10 2 6" xfId="50148" xr:uid="{00000000-0005-0000-0000-0000E4C30000}"/>
    <cellStyle name="Total 3 2 10 3" xfId="50149" xr:uid="{00000000-0005-0000-0000-0000E5C30000}"/>
    <cellStyle name="Total 3 2 10 4" xfId="50150" xr:uid="{00000000-0005-0000-0000-0000E6C30000}"/>
    <cellStyle name="Total 3 2 10 5" xfId="50151" xr:uid="{00000000-0005-0000-0000-0000E7C30000}"/>
    <cellStyle name="Total 3 2 10 6" xfId="50152" xr:uid="{00000000-0005-0000-0000-0000E8C30000}"/>
    <cellStyle name="Total 3 2 10 7" xfId="50153" xr:uid="{00000000-0005-0000-0000-0000E9C30000}"/>
    <cellStyle name="Total 3 2 11" xfId="50154" xr:uid="{00000000-0005-0000-0000-0000EAC30000}"/>
    <cellStyle name="Total 3 2 11 2" xfId="50155" xr:uid="{00000000-0005-0000-0000-0000EBC30000}"/>
    <cellStyle name="Total 3 2 11 2 2" xfId="50156" xr:uid="{00000000-0005-0000-0000-0000ECC30000}"/>
    <cellStyle name="Total 3 2 11 2 3" xfId="50157" xr:uid="{00000000-0005-0000-0000-0000EDC30000}"/>
    <cellStyle name="Total 3 2 11 2 4" xfId="50158" xr:uid="{00000000-0005-0000-0000-0000EEC30000}"/>
    <cellStyle name="Total 3 2 11 2 5" xfId="50159" xr:uid="{00000000-0005-0000-0000-0000EFC30000}"/>
    <cellStyle name="Total 3 2 11 2 6" xfId="50160" xr:uid="{00000000-0005-0000-0000-0000F0C30000}"/>
    <cellStyle name="Total 3 2 11 3" xfId="50161" xr:uid="{00000000-0005-0000-0000-0000F1C30000}"/>
    <cellStyle name="Total 3 2 11 4" xfId="50162" xr:uid="{00000000-0005-0000-0000-0000F2C30000}"/>
    <cellStyle name="Total 3 2 11 5" xfId="50163" xr:uid="{00000000-0005-0000-0000-0000F3C30000}"/>
    <cellStyle name="Total 3 2 11 6" xfId="50164" xr:uid="{00000000-0005-0000-0000-0000F4C30000}"/>
    <cellStyle name="Total 3 2 11 7" xfId="50165" xr:uid="{00000000-0005-0000-0000-0000F5C30000}"/>
    <cellStyle name="Total 3 2 12" xfId="50166" xr:uid="{00000000-0005-0000-0000-0000F6C30000}"/>
    <cellStyle name="Total 3 2 12 2" xfId="50167" xr:uid="{00000000-0005-0000-0000-0000F7C30000}"/>
    <cellStyle name="Total 3 2 12 2 2" xfId="50168" xr:uid="{00000000-0005-0000-0000-0000F8C30000}"/>
    <cellStyle name="Total 3 2 12 2 3" xfId="50169" xr:uid="{00000000-0005-0000-0000-0000F9C30000}"/>
    <cellStyle name="Total 3 2 12 2 4" xfId="50170" xr:uid="{00000000-0005-0000-0000-0000FAC30000}"/>
    <cellStyle name="Total 3 2 12 2 5" xfId="50171" xr:uid="{00000000-0005-0000-0000-0000FBC30000}"/>
    <cellStyle name="Total 3 2 12 2 6" xfId="50172" xr:uid="{00000000-0005-0000-0000-0000FCC30000}"/>
    <cellStyle name="Total 3 2 12 3" xfId="50173" xr:uid="{00000000-0005-0000-0000-0000FDC30000}"/>
    <cellStyle name="Total 3 2 12 4" xfId="50174" xr:uid="{00000000-0005-0000-0000-0000FEC30000}"/>
    <cellStyle name="Total 3 2 12 5" xfId="50175" xr:uid="{00000000-0005-0000-0000-0000FFC30000}"/>
    <cellStyle name="Total 3 2 12 6" xfId="50176" xr:uid="{00000000-0005-0000-0000-000000C40000}"/>
    <cellStyle name="Total 3 2 12 7" xfId="50177" xr:uid="{00000000-0005-0000-0000-000001C40000}"/>
    <cellStyle name="Total 3 2 13" xfId="50178" xr:uid="{00000000-0005-0000-0000-000002C40000}"/>
    <cellStyle name="Total 3 2 13 2" xfId="50179" xr:uid="{00000000-0005-0000-0000-000003C40000}"/>
    <cellStyle name="Total 3 2 13 2 2" xfId="50180" xr:uid="{00000000-0005-0000-0000-000004C40000}"/>
    <cellStyle name="Total 3 2 13 2 3" xfId="50181" xr:uid="{00000000-0005-0000-0000-000005C40000}"/>
    <cellStyle name="Total 3 2 13 2 4" xfId="50182" xr:uid="{00000000-0005-0000-0000-000006C40000}"/>
    <cellStyle name="Total 3 2 13 2 5" xfId="50183" xr:uid="{00000000-0005-0000-0000-000007C40000}"/>
    <cellStyle name="Total 3 2 13 2 6" xfId="50184" xr:uid="{00000000-0005-0000-0000-000008C40000}"/>
    <cellStyle name="Total 3 2 13 3" xfId="50185" xr:uid="{00000000-0005-0000-0000-000009C40000}"/>
    <cellStyle name="Total 3 2 13 4" xfId="50186" xr:uid="{00000000-0005-0000-0000-00000AC40000}"/>
    <cellStyle name="Total 3 2 13 5" xfId="50187" xr:uid="{00000000-0005-0000-0000-00000BC40000}"/>
    <cellStyle name="Total 3 2 13 6" xfId="50188" xr:uid="{00000000-0005-0000-0000-00000CC40000}"/>
    <cellStyle name="Total 3 2 13 7" xfId="50189" xr:uid="{00000000-0005-0000-0000-00000DC40000}"/>
    <cellStyle name="Total 3 2 14" xfId="50190" xr:uid="{00000000-0005-0000-0000-00000EC40000}"/>
    <cellStyle name="Total 3 2 14 2" xfId="50191" xr:uid="{00000000-0005-0000-0000-00000FC40000}"/>
    <cellStyle name="Total 3 2 14 2 2" xfId="50192" xr:uid="{00000000-0005-0000-0000-000010C40000}"/>
    <cellStyle name="Total 3 2 14 2 3" xfId="50193" xr:uid="{00000000-0005-0000-0000-000011C40000}"/>
    <cellStyle name="Total 3 2 14 2 4" xfId="50194" xr:uid="{00000000-0005-0000-0000-000012C40000}"/>
    <cellStyle name="Total 3 2 14 2 5" xfId="50195" xr:uid="{00000000-0005-0000-0000-000013C40000}"/>
    <cellStyle name="Total 3 2 14 2 6" xfId="50196" xr:uid="{00000000-0005-0000-0000-000014C40000}"/>
    <cellStyle name="Total 3 2 14 3" xfId="50197" xr:uid="{00000000-0005-0000-0000-000015C40000}"/>
    <cellStyle name="Total 3 2 14 4" xfId="50198" xr:uid="{00000000-0005-0000-0000-000016C40000}"/>
    <cellStyle name="Total 3 2 14 5" xfId="50199" xr:uid="{00000000-0005-0000-0000-000017C40000}"/>
    <cellStyle name="Total 3 2 14 6" xfId="50200" xr:uid="{00000000-0005-0000-0000-000018C40000}"/>
    <cellStyle name="Total 3 2 14 7" xfId="50201" xr:uid="{00000000-0005-0000-0000-000019C40000}"/>
    <cellStyle name="Total 3 2 15" xfId="50202" xr:uid="{00000000-0005-0000-0000-00001AC40000}"/>
    <cellStyle name="Total 3 2 15 2" xfId="50203" xr:uid="{00000000-0005-0000-0000-00001BC40000}"/>
    <cellStyle name="Total 3 2 15 2 2" xfId="50204" xr:uid="{00000000-0005-0000-0000-00001CC40000}"/>
    <cellStyle name="Total 3 2 15 2 3" xfId="50205" xr:uid="{00000000-0005-0000-0000-00001DC40000}"/>
    <cellStyle name="Total 3 2 15 2 4" xfId="50206" xr:uid="{00000000-0005-0000-0000-00001EC40000}"/>
    <cellStyle name="Total 3 2 15 2 5" xfId="50207" xr:uid="{00000000-0005-0000-0000-00001FC40000}"/>
    <cellStyle name="Total 3 2 15 2 6" xfId="50208" xr:uid="{00000000-0005-0000-0000-000020C40000}"/>
    <cellStyle name="Total 3 2 15 3" xfId="50209" xr:uid="{00000000-0005-0000-0000-000021C40000}"/>
    <cellStyle name="Total 3 2 15 4" xfId="50210" xr:uid="{00000000-0005-0000-0000-000022C40000}"/>
    <cellStyle name="Total 3 2 15 5" xfId="50211" xr:uid="{00000000-0005-0000-0000-000023C40000}"/>
    <cellStyle name="Total 3 2 15 6" xfId="50212" xr:uid="{00000000-0005-0000-0000-000024C40000}"/>
    <cellStyle name="Total 3 2 15 7" xfId="50213" xr:uid="{00000000-0005-0000-0000-000025C40000}"/>
    <cellStyle name="Total 3 2 16" xfId="50214" xr:uid="{00000000-0005-0000-0000-000026C40000}"/>
    <cellStyle name="Total 3 2 16 2" xfId="50215" xr:uid="{00000000-0005-0000-0000-000027C40000}"/>
    <cellStyle name="Total 3 2 16 2 2" xfId="50216" xr:uid="{00000000-0005-0000-0000-000028C40000}"/>
    <cellStyle name="Total 3 2 16 2 3" xfId="50217" xr:uid="{00000000-0005-0000-0000-000029C40000}"/>
    <cellStyle name="Total 3 2 16 2 4" xfId="50218" xr:uid="{00000000-0005-0000-0000-00002AC40000}"/>
    <cellStyle name="Total 3 2 16 2 5" xfId="50219" xr:uid="{00000000-0005-0000-0000-00002BC40000}"/>
    <cellStyle name="Total 3 2 16 2 6" xfId="50220" xr:uid="{00000000-0005-0000-0000-00002CC40000}"/>
    <cellStyle name="Total 3 2 16 3" xfId="50221" xr:uid="{00000000-0005-0000-0000-00002DC40000}"/>
    <cellStyle name="Total 3 2 16 4" xfId="50222" xr:uid="{00000000-0005-0000-0000-00002EC40000}"/>
    <cellStyle name="Total 3 2 16 5" xfId="50223" xr:uid="{00000000-0005-0000-0000-00002FC40000}"/>
    <cellStyle name="Total 3 2 16 6" xfId="50224" xr:uid="{00000000-0005-0000-0000-000030C40000}"/>
    <cellStyle name="Total 3 2 16 7" xfId="50225" xr:uid="{00000000-0005-0000-0000-000031C40000}"/>
    <cellStyle name="Total 3 2 17" xfId="50226" xr:uid="{00000000-0005-0000-0000-000032C40000}"/>
    <cellStyle name="Total 3 2 17 2" xfId="50227" xr:uid="{00000000-0005-0000-0000-000033C40000}"/>
    <cellStyle name="Total 3 2 17 2 2" xfId="50228" xr:uid="{00000000-0005-0000-0000-000034C40000}"/>
    <cellStyle name="Total 3 2 17 2 3" xfId="50229" xr:uid="{00000000-0005-0000-0000-000035C40000}"/>
    <cellStyle name="Total 3 2 17 2 4" xfId="50230" xr:uid="{00000000-0005-0000-0000-000036C40000}"/>
    <cellStyle name="Total 3 2 17 2 5" xfId="50231" xr:uid="{00000000-0005-0000-0000-000037C40000}"/>
    <cellStyle name="Total 3 2 17 2 6" xfId="50232" xr:uid="{00000000-0005-0000-0000-000038C40000}"/>
    <cellStyle name="Total 3 2 17 3" xfId="50233" xr:uid="{00000000-0005-0000-0000-000039C40000}"/>
    <cellStyle name="Total 3 2 17 4" xfId="50234" xr:uid="{00000000-0005-0000-0000-00003AC40000}"/>
    <cellStyle name="Total 3 2 17 5" xfId="50235" xr:uid="{00000000-0005-0000-0000-00003BC40000}"/>
    <cellStyle name="Total 3 2 17 6" xfId="50236" xr:uid="{00000000-0005-0000-0000-00003CC40000}"/>
    <cellStyle name="Total 3 2 17 7" xfId="50237" xr:uid="{00000000-0005-0000-0000-00003DC40000}"/>
    <cellStyle name="Total 3 2 18" xfId="50238" xr:uid="{00000000-0005-0000-0000-00003EC40000}"/>
    <cellStyle name="Total 3 2 18 2" xfId="50239" xr:uid="{00000000-0005-0000-0000-00003FC40000}"/>
    <cellStyle name="Total 3 2 18 2 2" xfId="50240" xr:uid="{00000000-0005-0000-0000-000040C40000}"/>
    <cellStyle name="Total 3 2 18 2 3" xfId="50241" xr:uid="{00000000-0005-0000-0000-000041C40000}"/>
    <cellStyle name="Total 3 2 18 2 4" xfId="50242" xr:uid="{00000000-0005-0000-0000-000042C40000}"/>
    <cellStyle name="Total 3 2 18 2 5" xfId="50243" xr:uid="{00000000-0005-0000-0000-000043C40000}"/>
    <cellStyle name="Total 3 2 18 2 6" xfId="50244" xr:uid="{00000000-0005-0000-0000-000044C40000}"/>
    <cellStyle name="Total 3 2 18 3" xfId="50245" xr:uid="{00000000-0005-0000-0000-000045C40000}"/>
    <cellStyle name="Total 3 2 18 4" xfId="50246" xr:uid="{00000000-0005-0000-0000-000046C40000}"/>
    <cellStyle name="Total 3 2 18 5" xfId="50247" xr:uid="{00000000-0005-0000-0000-000047C40000}"/>
    <cellStyle name="Total 3 2 18 6" xfId="50248" xr:uid="{00000000-0005-0000-0000-000048C40000}"/>
    <cellStyle name="Total 3 2 18 7" xfId="50249" xr:uid="{00000000-0005-0000-0000-000049C40000}"/>
    <cellStyle name="Total 3 2 19" xfId="50250" xr:uid="{00000000-0005-0000-0000-00004AC40000}"/>
    <cellStyle name="Total 3 2 19 2" xfId="50251" xr:uid="{00000000-0005-0000-0000-00004BC40000}"/>
    <cellStyle name="Total 3 2 19 2 2" xfId="50252" xr:uid="{00000000-0005-0000-0000-00004CC40000}"/>
    <cellStyle name="Total 3 2 19 2 3" xfId="50253" xr:uid="{00000000-0005-0000-0000-00004DC40000}"/>
    <cellStyle name="Total 3 2 19 2 4" xfId="50254" xr:uid="{00000000-0005-0000-0000-00004EC40000}"/>
    <cellStyle name="Total 3 2 19 2 5" xfId="50255" xr:uid="{00000000-0005-0000-0000-00004FC40000}"/>
    <cellStyle name="Total 3 2 19 2 6" xfId="50256" xr:uid="{00000000-0005-0000-0000-000050C40000}"/>
    <cellStyle name="Total 3 2 19 3" xfId="50257" xr:uid="{00000000-0005-0000-0000-000051C40000}"/>
    <cellStyle name="Total 3 2 19 4" xfId="50258" xr:uid="{00000000-0005-0000-0000-000052C40000}"/>
    <cellStyle name="Total 3 2 19 5" xfId="50259" xr:uid="{00000000-0005-0000-0000-000053C40000}"/>
    <cellStyle name="Total 3 2 19 6" xfId="50260" xr:uid="{00000000-0005-0000-0000-000054C40000}"/>
    <cellStyle name="Total 3 2 19 7" xfId="50261" xr:uid="{00000000-0005-0000-0000-000055C40000}"/>
    <cellStyle name="Total 3 2 2" xfId="50262" xr:uid="{00000000-0005-0000-0000-000056C40000}"/>
    <cellStyle name="Total 3 2 2 2" xfId="50263" xr:uid="{00000000-0005-0000-0000-000057C40000}"/>
    <cellStyle name="Total 3 2 2 2 2" xfId="50264" xr:uid="{00000000-0005-0000-0000-000058C40000}"/>
    <cellStyle name="Total 3 2 2 2 3" xfId="50265" xr:uid="{00000000-0005-0000-0000-000059C40000}"/>
    <cellStyle name="Total 3 2 2 2 4" xfId="50266" xr:uid="{00000000-0005-0000-0000-00005AC40000}"/>
    <cellStyle name="Total 3 2 2 2 5" xfId="50267" xr:uid="{00000000-0005-0000-0000-00005BC40000}"/>
    <cellStyle name="Total 3 2 2 2 6" xfId="50268" xr:uid="{00000000-0005-0000-0000-00005CC40000}"/>
    <cellStyle name="Total 3 2 2 3" xfId="50269" xr:uid="{00000000-0005-0000-0000-00005DC40000}"/>
    <cellStyle name="Total 3 2 2 4" xfId="50270" xr:uid="{00000000-0005-0000-0000-00005EC40000}"/>
    <cellStyle name="Total 3 2 2 5" xfId="50271" xr:uid="{00000000-0005-0000-0000-00005FC40000}"/>
    <cellStyle name="Total 3 2 2 6" xfId="50272" xr:uid="{00000000-0005-0000-0000-000060C40000}"/>
    <cellStyle name="Total 3 2 2 7" xfId="50273" xr:uid="{00000000-0005-0000-0000-000061C40000}"/>
    <cellStyle name="Total 3 2 20" xfId="50274" xr:uid="{00000000-0005-0000-0000-000062C40000}"/>
    <cellStyle name="Total 3 2 20 2" xfId="50275" xr:uid="{00000000-0005-0000-0000-000063C40000}"/>
    <cellStyle name="Total 3 2 20 2 2" xfId="50276" xr:uid="{00000000-0005-0000-0000-000064C40000}"/>
    <cellStyle name="Total 3 2 20 2 3" xfId="50277" xr:uid="{00000000-0005-0000-0000-000065C40000}"/>
    <cellStyle name="Total 3 2 20 2 4" xfId="50278" xr:uid="{00000000-0005-0000-0000-000066C40000}"/>
    <cellStyle name="Total 3 2 20 2 5" xfId="50279" xr:uid="{00000000-0005-0000-0000-000067C40000}"/>
    <cellStyle name="Total 3 2 20 2 6" xfId="50280" xr:uid="{00000000-0005-0000-0000-000068C40000}"/>
    <cellStyle name="Total 3 2 20 3" xfId="50281" xr:uid="{00000000-0005-0000-0000-000069C40000}"/>
    <cellStyle name="Total 3 2 20 4" xfId="50282" xr:uid="{00000000-0005-0000-0000-00006AC40000}"/>
    <cellStyle name="Total 3 2 20 5" xfId="50283" xr:uid="{00000000-0005-0000-0000-00006BC40000}"/>
    <cellStyle name="Total 3 2 20 6" xfId="50284" xr:uid="{00000000-0005-0000-0000-00006CC40000}"/>
    <cellStyle name="Total 3 2 20 7" xfId="50285" xr:uid="{00000000-0005-0000-0000-00006DC40000}"/>
    <cellStyle name="Total 3 2 21" xfId="50286" xr:uid="{00000000-0005-0000-0000-00006EC40000}"/>
    <cellStyle name="Total 3 2 21 2" xfId="50287" xr:uid="{00000000-0005-0000-0000-00006FC40000}"/>
    <cellStyle name="Total 3 2 21 2 2" xfId="50288" xr:uid="{00000000-0005-0000-0000-000070C40000}"/>
    <cellStyle name="Total 3 2 21 2 3" xfId="50289" xr:uid="{00000000-0005-0000-0000-000071C40000}"/>
    <cellStyle name="Total 3 2 21 2 4" xfId="50290" xr:uid="{00000000-0005-0000-0000-000072C40000}"/>
    <cellStyle name="Total 3 2 21 2 5" xfId="50291" xr:uid="{00000000-0005-0000-0000-000073C40000}"/>
    <cellStyle name="Total 3 2 21 2 6" xfId="50292" xr:uid="{00000000-0005-0000-0000-000074C40000}"/>
    <cellStyle name="Total 3 2 21 3" xfId="50293" xr:uid="{00000000-0005-0000-0000-000075C40000}"/>
    <cellStyle name="Total 3 2 21 4" xfId="50294" xr:uid="{00000000-0005-0000-0000-000076C40000}"/>
    <cellStyle name="Total 3 2 21 5" xfId="50295" xr:uid="{00000000-0005-0000-0000-000077C40000}"/>
    <cellStyle name="Total 3 2 21 6" xfId="50296" xr:uid="{00000000-0005-0000-0000-000078C40000}"/>
    <cellStyle name="Total 3 2 21 7" xfId="50297" xr:uid="{00000000-0005-0000-0000-000079C40000}"/>
    <cellStyle name="Total 3 2 22" xfId="50298" xr:uid="{00000000-0005-0000-0000-00007AC40000}"/>
    <cellStyle name="Total 3 2 22 2" xfId="50299" xr:uid="{00000000-0005-0000-0000-00007BC40000}"/>
    <cellStyle name="Total 3 2 22 2 2" xfId="50300" xr:uid="{00000000-0005-0000-0000-00007CC40000}"/>
    <cellStyle name="Total 3 2 22 2 3" xfId="50301" xr:uid="{00000000-0005-0000-0000-00007DC40000}"/>
    <cellStyle name="Total 3 2 22 2 4" xfId="50302" xr:uid="{00000000-0005-0000-0000-00007EC40000}"/>
    <cellStyle name="Total 3 2 22 2 5" xfId="50303" xr:uid="{00000000-0005-0000-0000-00007FC40000}"/>
    <cellStyle name="Total 3 2 22 2 6" xfId="50304" xr:uid="{00000000-0005-0000-0000-000080C40000}"/>
    <cellStyle name="Total 3 2 22 3" xfId="50305" xr:uid="{00000000-0005-0000-0000-000081C40000}"/>
    <cellStyle name="Total 3 2 22 4" xfId="50306" xr:uid="{00000000-0005-0000-0000-000082C40000}"/>
    <cellStyle name="Total 3 2 22 5" xfId="50307" xr:uid="{00000000-0005-0000-0000-000083C40000}"/>
    <cellStyle name="Total 3 2 22 6" xfId="50308" xr:uid="{00000000-0005-0000-0000-000084C40000}"/>
    <cellStyle name="Total 3 2 22 7" xfId="50309" xr:uid="{00000000-0005-0000-0000-000085C40000}"/>
    <cellStyle name="Total 3 2 23" xfId="50310" xr:uid="{00000000-0005-0000-0000-000086C40000}"/>
    <cellStyle name="Total 3 2 23 2" xfId="50311" xr:uid="{00000000-0005-0000-0000-000087C40000}"/>
    <cellStyle name="Total 3 2 23 2 2" xfId="50312" xr:uid="{00000000-0005-0000-0000-000088C40000}"/>
    <cellStyle name="Total 3 2 23 2 3" xfId="50313" xr:uid="{00000000-0005-0000-0000-000089C40000}"/>
    <cellStyle name="Total 3 2 23 2 4" xfId="50314" xr:uid="{00000000-0005-0000-0000-00008AC40000}"/>
    <cellStyle name="Total 3 2 23 2 5" xfId="50315" xr:uid="{00000000-0005-0000-0000-00008BC40000}"/>
    <cellStyle name="Total 3 2 23 2 6" xfId="50316" xr:uid="{00000000-0005-0000-0000-00008CC40000}"/>
    <cellStyle name="Total 3 2 23 3" xfId="50317" xr:uid="{00000000-0005-0000-0000-00008DC40000}"/>
    <cellStyle name="Total 3 2 23 4" xfId="50318" xr:uid="{00000000-0005-0000-0000-00008EC40000}"/>
    <cellStyle name="Total 3 2 23 5" xfId="50319" xr:uid="{00000000-0005-0000-0000-00008FC40000}"/>
    <cellStyle name="Total 3 2 23 6" xfId="50320" xr:uid="{00000000-0005-0000-0000-000090C40000}"/>
    <cellStyle name="Total 3 2 23 7" xfId="50321" xr:uid="{00000000-0005-0000-0000-000091C40000}"/>
    <cellStyle name="Total 3 2 24" xfId="50322" xr:uid="{00000000-0005-0000-0000-000092C40000}"/>
    <cellStyle name="Total 3 2 24 2" xfId="50323" xr:uid="{00000000-0005-0000-0000-000093C40000}"/>
    <cellStyle name="Total 3 2 24 2 2" xfId="50324" xr:uid="{00000000-0005-0000-0000-000094C40000}"/>
    <cellStyle name="Total 3 2 24 2 3" xfId="50325" xr:uid="{00000000-0005-0000-0000-000095C40000}"/>
    <cellStyle name="Total 3 2 24 2 4" xfId="50326" xr:uid="{00000000-0005-0000-0000-000096C40000}"/>
    <cellStyle name="Total 3 2 24 2 5" xfId="50327" xr:uid="{00000000-0005-0000-0000-000097C40000}"/>
    <cellStyle name="Total 3 2 24 2 6" xfId="50328" xr:uid="{00000000-0005-0000-0000-000098C40000}"/>
    <cellStyle name="Total 3 2 24 3" xfId="50329" xr:uid="{00000000-0005-0000-0000-000099C40000}"/>
    <cellStyle name="Total 3 2 24 4" xfId="50330" xr:uid="{00000000-0005-0000-0000-00009AC40000}"/>
    <cellStyle name="Total 3 2 24 5" xfId="50331" xr:uid="{00000000-0005-0000-0000-00009BC40000}"/>
    <cellStyle name="Total 3 2 24 6" xfId="50332" xr:uid="{00000000-0005-0000-0000-00009CC40000}"/>
    <cellStyle name="Total 3 2 24 7" xfId="50333" xr:uid="{00000000-0005-0000-0000-00009DC40000}"/>
    <cellStyle name="Total 3 2 25" xfId="50334" xr:uid="{00000000-0005-0000-0000-00009EC40000}"/>
    <cellStyle name="Total 3 2 25 2" xfId="50335" xr:uid="{00000000-0005-0000-0000-00009FC40000}"/>
    <cellStyle name="Total 3 2 25 2 2" xfId="50336" xr:uid="{00000000-0005-0000-0000-0000A0C40000}"/>
    <cellStyle name="Total 3 2 25 2 3" xfId="50337" xr:uid="{00000000-0005-0000-0000-0000A1C40000}"/>
    <cellStyle name="Total 3 2 25 2 4" xfId="50338" xr:uid="{00000000-0005-0000-0000-0000A2C40000}"/>
    <cellStyle name="Total 3 2 25 2 5" xfId="50339" xr:uid="{00000000-0005-0000-0000-0000A3C40000}"/>
    <cellStyle name="Total 3 2 25 2 6" xfId="50340" xr:uid="{00000000-0005-0000-0000-0000A4C40000}"/>
    <cellStyle name="Total 3 2 25 3" xfId="50341" xr:uid="{00000000-0005-0000-0000-0000A5C40000}"/>
    <cellStyle name="Total 3 2 25 4" xfId="50342" xr:uid="{00000000-0005-0000-0000-0000A6C40000}"/>
    <cellStyle name="Total 3 2 25 5" xfId="50343" xr:uid="{00000000-0005-0000-0000-0000A7C40000}"/>
    <cellStyle name="Total 3 2 25 6" xfId="50344" xr:uid="{00000000-0005-0000-0000-0000A8C40000}"/>
    <cellStyle name="Total 3 2 25 7" xfId="50345" xr:uid="{00000000-0005-0000-0000-0000A9C40000}"/>
    <cellStyle name="Total 3 2 26" xfId="50346" xr:uid="{00000000-0005-0000-0000-0000AAC40000}"/>
    <cellStyle name="Total 3 2 26 2" xfId="50347" xr:uid="{00000000-0005-0000-0000-0000ABC40000}"/>
    <cellStyle name="Total 3 2 26 2 2" xfId="50348" xr:uid="{00000000-0005-0000-0000-0000ACC40000}"/>
    <cellStyle name="Total 3 2 26 2 3" xfId="50349" xr:uid="{00000000-0005-0000-0000-0000ADC40000}"/>
    <cellStyle name="Total 3 2 26 2 4" xfId="50350" xr:uid="{00000000-0005-0000-0000-0000AEC40000}"/>
    <cellStyle name="Total 3 2 26 2 5" xfId="50351" xr:uid="{00000000-0005-0000-0000-0000AFC40000}"/>
    <cellStyle name="Total 3 2 26 2 6" xfId="50352" xr:uid="{00000000-0005-0000-0000-0000B0C40000}"/>
    <cellStyle name="Total 3 2 26 3" xfId="50353" xr:uid="{00000000-0005-0000-0000-0000B1C40000}"/>
    <cellStyle name="Total 3 2 26 4" xfId="50354" xr:uid="{00000000-0005-0000-0000-0000B2C40000}"/>
    <cellStyle name="Total 3 2 26 5" xfId="50355" xr:uid="{00000000-0005-0000-0000-0000B3C40000}"/>
    <cellStyle name="Total 3 2 26 6" xfId="50356" xr:uid="{00000000-0005-0000-0000-0000B4C40000}"/>
    <cellStyle name="Total 3 2 26 7" xfId="50357" xr:uid="{00000000-0005-0000-0000-0000B5C40000}"/>
    <cellStyle name="Total 3 2 27" xfId="50358" xr:uid="{00000000-0005-0000-0000-0000B6C40000}"/>
    <cellStyle name="Total 3 2 27 2" xfId="50359" xr:uid="{00000000-0005-0000-0000-0000B7C40000}"/>
    <cellStyle name="Total 3 2 27 2 2" xfId="50360" xr:uid="{00000000-0005-0000-0000-0000B8C40000}"/>
    <cellStyle name="Total 3 2 27 2 3" xfId="50361" xr:uid="{00000000-0005-0000-0000-0000B9C40000}"/>
    <cellStyle name="Total 3 2 27 2 4" xfId="50362" xr:uid="{00000000-0005-0000-0000-0000BAC40000}"/>
    <cellStyle name="Total 3 2 27 2 5" xfId="50363" xr:uid="{00000000-0005-0000-0000-0000BBC40000}"/>
    <cellStyle name="Total 3 2 27 2 6" xfId="50364" xr:uid="{00000000-0005-0000-0000-0000BCC40000}"/>
    <cellStyle name="Total 3 2 27 3" xfId="50365" xr:uid="{00000000-0005-0000-0000-0000BDC40000}"/>
    <cellStyle name="Total 3 2 27 4" xfId="50366" xr:uid="{00000000-0005-0000-0000-0000BEC40000}"/>
    <cellStyle name="Total 3 2 27 5" xfId="50367" xr:uid="{00000000-0005-0000-0000-0000BFC40000}"/>
    <cellStyle name="Total 3 2 27 6" xfId="50368" xr:uid="{00000000-0005-0000-0000-0000C0C40000}"/>
    <cellStyle name="Total 3 2 27 7" xfId="50369" xr:uid="{00000000-0005-0000-0000-0000C1C40000}"/>
    <cellStyle name="Total 3 2 28" xfId="50370" xr:uid="{00000000-0005-0000-0000-0000C2C40000}"/>
    <cellStyle name="Total 3 2 28 2" xfId="50371" xr:uid="{00000000-0005-0000-0000-0000C3C40000}"/>
    <cellStyle name="Total 3 2 28 2 2" xfId="50372" xr:uid="{00000000-0005-0000-0000-0000C4C40000}"/>
    <cellStyle name="Total 3 2 28 2 3" xfId="50373" xr:uid="{00000000-0005-0000-0000-0000C5C40000}"/>
    <cellStyle name="Total 3 2 28 2 4" xfId="50374" xr:uid="{00000000-0005-0000-0000-0000C6C40000}"/>
    <cellStyle name="Total 3 2 28 2 5" xfId="50375" xr:uid="{00000000-0005-0000-0000-0000C7C40000}"/>
    <cellStyle name="Total 3 2 28 2 6" xfId="50376" xr:uid="{00000000-0005-0000-0000-0000C8C40000}"/>
    <cellStyle name="Total 3 2 28 3" xfId="50377" xr:uid="{00000000-0005-0000-0000-0000C9C40000}"/>
    <cellStyle name="Total 3 2 28 4" xfId="50378" xr:uid="{00000000-0005-0000-0000-0000CAC40000}"/>
    <cellStyle name="Total 3 2 28 5" xfId="50379" xr:uid="{00000000-0005-0000-0000-0000CBC40000}"/>
    <cellStyle name="Total 3 2 28 6" xfId="50380" xr:uid="{00000000-0005-0000-0000-0000CCC40000}"/>
    <cellStyle name="Total 3 2 28 7" xfId="50381" xr:uid="{00000000-0005-0000-0000-0000CDC40000}"/>
    <cellStyle name="Total 3 2 29" xfId="50382" xr:uid="{00000000-0005-0000-0000-0000CEC40000}"/>
    <cellStyle name="Total 3 2 29 2" xfId="50383" xr:uid="{00000000-0005-0000-0000-0000CFC40000}"/>
    <cellStyle name="Total 3 2 29 2 2" xfId="50384" xr:uid="{00000000-0005-0000-0000-0000D0C40000}"/>
    <cellStyle name="Total 3 2 29 2 3" xfId="50385" xr:uid="{00000000-0005-0000-0000-0000D1C40000}"/>
    <cellStyle name="Total 3 2 29 2 4" xfId="50386" xr:uid="{00000000-0005-0000-0000-0000D2C40000}"/>
    <cellStyle name="Total 3 2 29 2 5" xfId="50387" xr:uid="{00000000-0005-0000-0000-0000D3C40000}"/>
    <cellStyle name="Total 3 2 29 2 6" xfId="50388" xr:uid="{00000000-0005-0000-0000-0000D4C40000}"/>
    <cellStyle name="Total 3 2 29 3" xfId="50389" xr:uid="{00000000-0005-0000-0000-0000D5C40000}"/>
    <cellStyle name="Total 3 2 29 4" xfId="50390" xr:uid="{00000000-0005-0000-0000-0000D6C40000}"/>
    <cellStyle name="Total 3 2 29 5" xfId="50391" xr:uid="{00000000-0005-0000-0000-0000D7C40000}"/>
    <cellStyle name="Total 3 2 29 6" xfId="50392" xr:uid="{00000000-0005-0000-0000-0000D8C40000}"/>
    <cellStyle name="Total 3 2 29 7" xfId="50393" xr:uid="{00000000-0005-0000-0000-0000D9C40000}"/>
    <cellStyle name="Total 3 2 3" xfId="50394" xr:uid="{00000000-0005-0000-0000-0000DAC40000}"/>
    <cellStyle name="Total 3 2 3 2" xfId="50395" xr:uid="{00000000-0005-0000-0000-0000DBC40000}"/>
    <cellStyle name="Total 3 2 3 2 2" xfId="50396" xr:uid="{00000000-0005-0000-0000-0000DCC40000}"/>
    <cellStyle name="Total 3 2 3 2 3" xfId="50397" xr:uid="{00000000-0005-0000-0000-0000DDC40000}"/>
    <cellStyle name="Total 3 2 3 2 4" xfId="50398" xr:uid="{00000000-0005-0000-0000-0000DEC40000}"/>
    <cellStyle name="Total 3 2 3 2 5" xfId="50399" xr:uid="{00000000-0005-0000-0000-0000DFC40000}"/>
    <cellStyle name="Total 3 2 3 2 6" xfId="50400" xr:uid="{00000000-0005-0000-0000-0000E0C40000}"/>
    <cellStyle name="Total 3 2 3 3" xfId="50401" xr:uid="{00000000-0005-0000-0000-0000E1C40000}"/>
    <cellStyle name="Total 3 2 3 4" xfId="50402" xr:uid="{00000000-0005-0000-0000-0000E2C40000}"/>
    <cellStyle name="Total 3 2 3 5" xfId="50403" xr:uid="{00000000-0005-0000-0000-0000E3C40000}"/>
    <cellStyle name="Total 3 2 3 6" xfId="50404" xr:uid="{00000000-0005-0000-0000-0000E4C40000}"/>
    <cellStyle name="Total 3 2 3 7" xfId="50405" xr:uid="{00000000-0005-0000-0000-0000E5C40000}"/>
    <cellStyle name="Total 3 2 30" xfId="50406" xr:uid="{00000000-0005-0000-0000-0000E6C40000}"/>
    <cellStyle name="Total 3 2 30 2" xfId="50407" xr:uid="{00000000-0005-0000-0000-0000E7C40000}"/>
    <cellStyle name="Total 3 2 30 2 2" xfId="50408" xr:uid="{00000000-0005-0000-0000-0000E8C40000}"/>
    <cellStyle name="Total 3 2 30 2 3" xfId="50409" xr:uid="{00000000-0005-0000-0000-0000E9C40000}"/>
    <cellStyle name="Total 3 2 30 2 4" xfId="50410" xr:uid="{00000000-0005-0000-0000-0000EAC40000}"/>
    <cellStyle name="Total 3 2 30 2 5" xfId="50411" xr:uid="{00000000-0005-0000-0000-0000EBC40000}"/>
    <cellStyle name="Total 3 2 30 2 6" xfId="50412" xr:uid="{00000000-0005-0000-0000-0000ECC40000}"/>
    <cellStyle name="Total 3 2 30 3" xfId="50413" xr:uid="{00000000-0005-0000-0000-0000EDC40000}"/>
    <cellStyle name="Total 3 2 30 4" xfId="50414" xr:uid="{00000000-0005-0000-0000-0000EEC40000}"/>
    <cellStyle name="Total 3 2 30 5" xfId="50415" xr:uid="{00000000-0005-0000-0000-0000EFC40000}"/>
    <cellStyle name="Total 3 2 30 6" xfId="50416" xr:uid="{00000000-0005-0000-0000-0000F0C40000}"/>
    <cellStyle name="Total 3 2 30 7" xfId="50417" xr:uid="{00000000-0005-0000-0000-0000F1C40000}"/>
    <cellStyle name="Total 3 2 31" xfId="50418" xr:uid="{00000000-0005-0000-0000-0000F2C40000}"/>
    <cellStyle name="Total 3 2 31 2" xfId="50419" xr:uid="{00000000-0005-0000-0000-0000F3C40000}"/>
    <cellStyle name="Total 3 2 31 2 2" xfId="50420" xr:uid="{00000000-0005-0000-0000-0000F4C40000}"/>
    <cellStyle name="Total 3 2 31 2 3" xfId="50421" xr:uid="{00000000-0005-0000-0000-0000F5C40000}"/>
    <cellStyle name="Total 3 2 31 2 4" xfId="50422" xr:uid="{00000000-0005-0000-0000-0000F6C40000}"/>
    <cellStyle name="Total 3 2 31 2 5" xfId="50423" xr:uid="{00000000-0005-0000-0000-0000F7C40000}"/>
    <cellStyle name="Total 3 2 31 2 6" xfId="50424" xr:uid="{00000000-0005-0000-0000-0000F8C40000}"/>
    <cellStyle name="Total 3 2 31 3" xfId="50425" xr:uid="{00000000-0005-0000-0000-0000F9C40000}"/>
    <cellStyle name="Total 3 2 31 4" xfId="50426" xr:uid="{00000000-0005-0000-0000-0000FAC40000}"/>
    <cellStyle name="Total 3 2 31 5" xfId="50427" xr:uid="{00000000-0005-0000-0000-0000FBC40000}"/>
    <cellStyle name="Total 3 2 31 6" xfId="50428" xr:uid="{00000000-0005-0000-0000-0000FCC40000}"/>
    <cellStyle name="Total 3 2 31 7" xfId="50429" xr:uid="{00000000-0005-0000-0000-0000FDC40000}"/>
    <cellStyle name="Total 3 2 32" xfId="50430" xr:uid="{00000000-0005-0000-0000-0000FEC40000}"/>
    <cellStyle name="Total 3 2 32 2" xfId="50431" xr:uid="{00000000-0005-0000-0000-0000FFC40000}"/>
    <cellStyle name="Total 3 2 32 2 2" xfId="50432" xr:uid="{00000000-0005-0000-0000-000000C50000}"/>
    <cellStyle name="Total 3 2 32 2 3" xfId="50433" xr:uid="{00000000-0005-0000-0000-000001C50000}"/>
    <cellStyle name="Total 3 2 32 2 4" xfId="50434" xr:uid="{00000000-0005-0000-0000-000002C50000}"/>
    <cellStyle name="Total 3 2 32 2 5" xfId="50435" xr:uid="{00000000-0005-0000-0000-000003C50000}"/>
    <cellStyle name="Total 3 2 32 2 6" xfId="50436" xr:uid="{00000000-0005-0000-0000-000004C50000}"/>
    <cellStyle name="Total 3 2 32 3" xfId="50437" xr:uid="{00000000-0005-0000-0000-000005C50000}"/>
    <cellStyle name="Total 3 2 32 4" xfId="50438" xr:uid="{00000000-0005-0000-0000-000006C50000}"/>
    <cellStyle name="Total 3 2 32 5" xfId="50439" xr:uid="{00000000-0005-0000-0000-000007C50000}"/>
    <cellStyle name="Total 3 2 32 6" xfId="50440" xr:uid="{00000000-0005-0000-0000-000008C50000}"/>
    <cellStyle name="Total 3 2 32 7" xfId="50441" xr:uid="{00000000-0005-0000-0000-000009C50000}"/>
    <cellStyle name="Total 3 2 33" xfId="50442" xr:uid="{00000000-0005-0000-0000-00000AC50000}"/>
    <cellStyle name="Total 3 2 33 2" xfId="50443" xr:uid="{00000000-0005-0000-0000-00000BC50000}"/>
    <cellStyle name="Total 3 2 33 2 2" xfId="50444" xr:uid="{00000000-0005-0000-0000-00000CC50000}"/>
    <cellStyle name="Total 3 2 33 2 3" xfId="50445" xr:uid="{00000000-0005-0000-0000-00000DC50000}"/>
    <cellStyle name="Total 3 2 33 2 4" xfId="50446" xr:uid="{00000000-0005-0000-0000-00000EC50000}"/>
    <cellStyle name="Total 3 2 33 2 5" xfId="50447" xr:uid="{00000000-0005-0000-0000-00000FC50000}"/>
    <cellStyle name="Total 3 2 33 2 6" xfId="50448" xr:uid="{00000000-0005-0000-0000-000010C50000}"/>
    <cellStyle name="Total 3 2 33 3" xfId="50449" xr:uid="{00000000-0005-0000-0000-000011C50000}"/>
    <cellStyle name="Total 3 2 33 4" xfId="50450" xr:uid="{00000000-0005-0000-0000-000012C50000}"/>
    <cellStyle name="Total 3 2 33 5" xfId="50451" xr:uid="{00000000-0005-0000-0000-000013C50000}"/>
    <cellStyle name="Total 3 2 33 6" xfId="50452" xr:uid="{00000000-0005-0000-0000-000014C50000}"/>
    <cellStyle name="Total 3 2 33 7" xfId="50453" xr:uid="{00000000-0005-0000-0000-000015C50000}"/>
    <cellStyle name="Total 3 2 34" xfId="50454" xr:uid="{00000000-0005-0000-0000-000016C50000}"/>
    <cellStyle name="Total 3 2 34 2" xfId="50455" xr:uid="{00000000-0005-0000-0000-000017C50000}"/>
    <cellStyle name="Total 3 2 34 2 2" xfId="50456" xr:uid="{00000000-0005-0000-0000-000018C50000}"/>
    <cellStyle name="Total 3 2 34 2 3" xfId="50457" xr:uid="{00000000-0005-0000-0000-000019C50000}"/>
    <cellStyle name="Total 3 2 34 2 4" xfId="50458" xr:uid="{00000000-0005-0000-0000-00001AC50000}"/>
    <cellStyle name="Total 3 2 34 2 5" xfId="50459" xr:uid="{00000000-0005-0000-0000-00001BC50000}"/>
    <cellStyle name="Total 3 2 34 2 6" xfId="50460" xr:uid="{00000000-0005-0000-0000-00001CC50000}"/>
    <cellStyle name="Total 3 2 34 3" xfId="50461" xr:uid="{00000000-0005-0000-0000-00001DC50000}"/>
    <cellStyle name="Total 3 2 34 4" xfId="50462" xr:uid="{00000000-0005-0000-0000-00001EC50000}"/>
    <cellStyle name="Total 3 2 34 5" xfId="50463" xr:uid="{00000000-0005-0000-0000-00001FC50000}"/>
    <cellStyle name="Total 3 2 34 6" xfId="50464" xr:uid="{00000000-0005-0000-0000-000020C50000}"/>
    <cellStyle name="Total 3 2 34 7" xfId="50465" xr:uid="{00000000-0005-0000-0000-000021C50000}"/>
    <cellStyle name="Total 3 2 35" xfId="50466" xr:uid="{00000000-0005-0000-0000-000022C50000}"/>
    <cellStyle name="Total 3 2 35 2" xfId="50467" xr:uid="{00000000-0005-0000-0000-000023C50000}"/>
    <cellStyle name="Total 3 2 35 2 2" xfId="50468" xr:uid="{00000000-0005-0000-0000-000024C50000}"/>
    <cellStyle name="Total 3 2 35 2 3" xfId="50469" xr:uid="{00000000-0005-0000-0000-000025C50000}"/>
    <cellStyle name="Total 3 2 35 2 4" xfId="50470" xr:uid="{00000000-0005-0000-0000-000026C50000}"/>
    <cellStyle name="Total 3 2 35 2 5" xfId="50471" xr:uid="{00000000-0005-0000-0000-000027C50000}"/>
    <cellStyle name="Total 3 2 35 2 6" xfId="50472" xr:uid="{00000000-0005-0000-0000-000028C50000}"/>
    <cellStyle name="Total 3 2 35 3" xfId="50473" xr:uid="{00000000-0005-0000-0000-000029C50000}"/>
    <cellStyle name="Total 3 2 35 4" xfId="50474" xr:uid="{00000000-0005-0000-0000-00002AC50000}"/>
    <cellStyle name="Total 3 2 35 5" xfId="50475" xr:uid="{00000000-0005-0000-0000-00002BC50000}"/>
    <cellStyle name="Total 3 2 35 6" xfId="50476" xr:uid="{00000000-0005-0000-0000-00002CC50000}"/>
    <cellStyle name="Total 3 2 35 7" xfId="50477" xr:uid="{00000000-0005-0000-0000-00002DC50000}"/>
    <cellStyle name="Total 3 2 36" xfId="50478" xr:uid="{00000000-0005-0000-0000-00002EC50000}"/>
    <cellStyle name="Total 3 2 36 2" xfId="50479" xr:uid="{00000000-0005-0000-0000-00002FC50000}"/>
    <cellStyle name="Total 3 2 36 2 2" xfId="50480" xr:uid="{00000000-0005-0000-0000-000030C50000}"/>
    <cellStyle name="Total 3 2 36 2 3" xfId="50481" xr:uid="{00000000-0005-0000-0000-000031C50000}"/>
    <cellStyle name="Total 3 2 36 2 4" xfId="50482" xr:uid="{00000000-0005-0000-0000-000032C50000}"/>
    <cellStyle name="Total 3 2 36 2 5" xfId="50483" xr:uid="{00000000-0005-0000-0000-000033C50000}"/>
    <cellStyle name="Total 3 2 36 2 6" xfId="50484" xr:uid="{00000000-0005-0000-0000-000034C50000}"/>
    <cellStyle name="Total 3 2 36 3" xfId="50485" xr:uid="{00000000-0005-0000-0000-000035C50000}"/>
    <cellStyle name="Total 3 2 36 4" xfId="50486" xr:uid="{00000000-0005-0000-0000-000036C50000}"/>
    <cellStyle name="Total 3 2 36 5" xfId="50487" xr:uid="{00000000-0005-0000-0000-000037C50000}"/>
    <cellStyle name="Total 3 2 36 6" xfId="50488" xr:uid="{00000000-0005-0000-0000-000038C50000}"/>
    <cellStyle name="Total 3 2 36 7" xfId="50489" xr:uid="{00000000-0005-0000-0000-000039C50000}"/>
    <cellStyle name="Total 3 2 37" xfId="50490" xr:uid="{00000000-0005-0000-0000-00003AC50000}"/>
    <cellStyle name="Total 3 2 37 2" xfId="50491" xr:uid="{00000000-0005-0000-0000-00003BC50000}"/>
    <cellStyle name="Total 3 2 37 2 2" xfId="50492" xr:uid="{00000000-0005-0000-0000-00003CC50000}"/>
    <cellStyle name="Total 3 2 37 2 3" xfId="50493" xr:uid="{00000000-0005-0000-0000-00003DC50000}"/>
    <cellStyle name="Total 3 2 37 2 4" xfId="50494" xr:uid="{00000000-0005-0000-0000-00003EC50000}"/>
    <cellStyle name="Total 3 2 37 2 5" xfId="50495" xr:uid="{00000000-0005-0000-0000-00003FC50000}"/>
    <cellStyle name="Total 3 2 37 2 6" xfId="50496" xr:uid="{00000000-0005-0000-0000-000040C50000}"/>
    <cellStyle name="Total 3 2 37 3" xfId="50497" xr:uid="{00000000-0005-0000-0000-000041C50000}"/>
    <cellStyle name="Total 3 2 37 4" xfId="50498" xr:uid="{00000000-0005-0000-0000-000042C50000}"/>
    <cellStyle name="Total 3 2 37 5" xfId="50499" xr:uid="{00000000-0005-0000-0000-000043C50000}"/>
    <cellStyle name="Total 3 2 37 6" xfId="50500" xr:uid="{00000000-0005-0000-0000-000044C50000}"/>
    <cellStyle name="Total 3 2 37 7" xfId="50501" xr:uid="{00000000-0005-0000-0000-000045C50000}"/>
    <cellStyle name="Total 3 2 38" xfId="50502" xr:uid="{00000000-0005-0000-0000-000046C50000}"/>
    <cellStyle name="Total 3 2 38 2" xfId="50503" xr:uid="{00000000-0005-0000-0000-000047C50000}"/>
    <cellStyle name="Total 3 2 38 2 2" xfId="50504" xr:uid="{00000000-0005-0000-0000-000048C50000}"/>
    <cellStyle name="Total 3 2 38 2 3" xfId="50505" xr:uid="{00000000-0005-0000-0000-000049C50000}"/>
    <cellStyle name="Total 3 2 38 2 4" xfId="50506" xr:uid="{00000000-0005-0000-0000-00004AC50000}"/>
    <cellStyle name="Total 3 2 38 2 5" xfId="50507" xr:uid="{00000000-0005-0000-0000-00004BC50000}"/>
    <cellStyle name="Total 3 2 38 2 6" xfId="50508" xr:uid="{00000000-0005-0000-0000-00004CC50000}"/>
    <cellStyle name="Total 3 2 38 3" xfId="50509" xr:uid="{00000000-0005-0000-0000-00004DC50000}"/>
    <cellStyle name="Total 3 2 38 4" xfId="50510" xr:uid="{00000000-0005-0000-0000-00004EC50000}"/>
    <cellStyle name="Total 3 2 38 5" xfId="50511" xr:uid="{00000000-0005-0000-0000-00004FC50000}"/>
    <cellStyle name="Total 3 2 38 6" xfId="50512" xr:uid="{00000000-0005-0000-0000-000050C50000}"/>
    <cellStyle name="Total 3 2 38 7" xfId="50513" xr:uid="{00000000-0005-0000-0000-000051C50000}"/>
    <cellStyle name="Total 3 2 39" xfId="50514" xr:uid="{00000000-0005-0000-0000-000052C50000}"/>
    <cellStyle name="Total 3 2 39 2" xfId="50515" xr:uid="{00000000-0005-0000-0000-000053C50000}"/>
    <cellStyle name="Total 3 2 39 2 2" xfId="50516" xr:uid="{00000000-0005-0000-0000-000054C50000}"/>
    <cellStyle name="Total 3 2 39 2 3" xfId="50517" xr:uid="{00000000-0005-0000-0000-000055C50000}"/>
    <cellStyle name="Total 3 2 39 2 4" xfId="50518" xr:uid="{00000000-0005-0000-0000-000056C50000}"/>
    <cellStyle name="Total 3 2 39 2 5" xfId="50519" xr:uid="{00000000-0005-0000-0000-000057C50000}"/>
    <cellStyle name="Total 3 2 39 2 6" xfId="50520" xr:uid="{00000000-0005-0000-0000-000058C50000}"/>
    <cellStyle name="Total 3 2 39 3" xfId="50521" xr:uid="{00000000-0005-0000-0000-000059C50000}"/>
    <cellStyle name="Total 3 2 39 4" xfId="50522" xr:uid="{00000000-0005-0000-0000-00005AC50000}"/>
    <cellStyle name="Total 3 2 39 5" xfId="50523" xr:uid="{00000000-0005-0000-0000-00005BC50000}"/>
    <cellStyle name="Total 3 2 39 6" xfId="50524" xr:uid="{00000000-0005-0000-0000-00005CC50000}"/>
    <cellStyle name="Total 3 2 39 7" xfId="50525" xr:uid="{00000000-0005-0000-0000-00005DC50000}"/>
    <cellStyle name="Total 3 2 4" xfId="50526" xr:uid="{00000000-0005-0000-0000-00005EC50000}"/>
    <cellStyle name="Total 3 2 4 2" xfId="50527" xr:uid="{00000000-0005-0000-0000-00005FC50000}"/>
    <cellStyle name="Total 3 2 4 2 2" xfId="50528" xr:uid="{00000000-0005-0000-0000-000060C50000}"/>
    <cellStyle name="Total 3 2 4 2 3" xfId="50529" xr:uid="{00000000-0005-0000-0000-000061C50000}"/>
    <cellStyle name="Total 3 2 4 2 4" xfId="50530" xr:uid="{00000000-0005-0000-0000-000062C50000}"/>
    <cellStyle name="Total 3 2 4 2 5" xfId="50531" xr:uid="{00000000-0005-0000-0000-000063C50000}"/>
    <cellStyle name="Total 3 2 4 2 6" xfId="50532" xr:uid="{00000000-0005-0000-0000-000064C50000}"/>
    <cellStyle name="Total 3 2 4 3" xfId="50533" xr:uid="{00000000-0005-0000-0000-000065C50000}"/>
    <cellStyle name="Total 3 2 4 4" xfId="50534" xr:uid="{00000000-0005-0000-0000-000066C50000}"/>
    <cellStyle name="Total 3 2 4 5" xfId="50535" xr:uid="{00000000-0005-0000-0000-000067C50000}"/>
    <cellStyle name="Total 3 2 4 6" xfId="50536" xr:uid="{00000000-0005-0000-0000-000068C50000}"/>
    <cellStyle name="Total 3 2 4 7" xfId="50537" xr:uid="{00000000-0005-0000-0000-000069C50000}"/>
    <cellStyle name="Total 3 2 40" xfId="50538" xr:uid="{00000000-0005-0000-0000-00006AC50000}"/>
    <cellStyle name="Total 3 2 40 2" xfId="50539" xr:uid="{00000000-0005-0000-0000-00006BC50000}"/>
    <cellStyle name="Total 3 2 40 2 2" xfId="50540" xr:uid="{00000000-0005-0000-0000-00006CC50000}"/>
    <cellStyle name="Total 3 2 40 2 3" xfId="50541" xr:uid="{00000000-0005-0000-0000-00006DC50000}"/>
    <cellStyle name="Total 3 2 40 2 4" xfId="50542" xr:uid="{00000000-0005-0000-0000-00006EC50000}"/>
    <cellStyle name="Total 3 2 40 2 5" xfId="50543" xr:uid="{00000000-0005-0000-0000-00006FC50000}"/>
    <cellStyle name="Total 3 2 40 2 6" xfId="50544" xr:uid="{00000000-0005-0000-0000-000070C50000}"/>
    <cellStyle name="Total 3 2 40 3" xfId="50545" xr:uid="{00000000-0005-0000-0000-000071C50000}"/>
    <cellStyle name="Total 3 2 40 4" xfId="50546" xr:uid="{00000000-0005-0000-0000-000072C50000}"/>
    <cellStyle name="Total 3 2 40 5" xfId="50547" xr:uid="{00000000-0005-0000-0000-000073C50000}"/>
    <cellStyle name="Total 3 2 40 6" xfId="50548" xr:uid="{00000000-0005-0000-0000-000074C50000}"/>
    <cellStyle name="Total 3 2 40 7" xfId="50549" xr:uid="{00000000-0005-0000-0000-000075C50000}"/>
    <cellStyle name="Total 3 2 41" xfId="50550" xr:uid="{00000000-0005-0000-0000-000076C50000}"/>
    <cellStyle name="Total 3 2 41 2" xfId="50551" xr:uid="{00000000-0005-0000-0000-000077C50000}"/>
    <cellStyle name="Total 3 2 41 2 2" xfId="50552" xr:uid="{00000000-0005-0000-0000-000078C50000}"/>
    <cellStyle name="Total 3 2 41 2 3" xfId="50553" xr:uid="{00000000-0005-0000-0000-000079C50000}"/>
    <cellStyle name="Total 3 2 41 2 4" xfId="50554" xr:uid="{00000000-0005-0000-0000-00007AC50000}"/>
    <cellStyle name="Total 3 2 41 2 5" xfId="50555" xr:uid="{00000000-0005-0000-0000-00007BC50000}"/>
    <cellStyle name="Total 3 2 41 2 6" xfId="50556" xr:uid="{00000000-0005-0000-0000-00007CC50000}"/>
    <cellStyle name="Total 3 2 41 3" xfId="50557" xr:uid="{00000000-0005-0000-0000-00007DC50000}"/>
    <cellStyle name="Total 3 2 41 4" xfId="50558" xr:uid="{00000000-0005-0000-0000-00007EC50000}"/>
    <cellStyle name="Total 3 2 41 5" xfId="50559" xr:uid="{00000000-0005-0000-0000-00007FC50000}"/>
    <cellStyle name="Total 3 2 41 6" xfId="50560" xr:uid="{00000000-0005-0000-0000-000080C50000}"/>
    <cellStyle name="Total 3 2 41 7" xfId="50561" xr:uid="{00000000-0005-0000-0000-000081C50000}"/>
    <cellStyle name="Total 3 2 42" xfId="50562" xr:uid="{00000000-0005-0000-0000-000082C50000}"/>
    <cellStyle name="Total 3 2 42 2" xfId="50563" xr:uid="{00000000-0005-0000-0000-000083C50000}"/>
    <cellStyle name="Total 3 2 42 3" xfId="50564" xr:uid="{00000000-0005-0000-0000-000084C50000}"/>
    <cellStyle name="Total 3 2 42 4" xfId="50565" xr:uid="{00000000-0005-0000-0000-000085C50000}"/>
    <cellStyle name="Total 3 2 42 5" xfId="50566" xr:uid="{00000000-0005-0000-0000-000086C50000}"/>
    <cellStyle name="Total 3 2 42 6" xfId="50567" xr:uid="{00000000-0005-0000-0000-000087C50000}"/>
    <cellStyle name="Total 3 2 43" xfId="50568" xr:uid="{00000000-0005-0000-0000-000088C50000}"/>
    <cellStyle name="Total 3 2 43 2" xfId="50569" xr:uid="{00000000-0005-0000-0000-000089C50000}"/>
    <cellStyle name="Total 3 2 43 3" xfId="50570" xr:uid="{00000000-0005-0000-0000-00008AC50000}"/>
    <cellStyle name="Total 3 2 43 4" xfId="50571" xr:uid="{00000000-0005-0000-0000-00008BC50000}"/>
    <cellStyle name="Total 3 2 43 5" xfId="50572" xr:uid="{00000000-0005-0000-0000-00008CC50000}"/>
    <cellStyle name="Total 3 2 43 6" xfId="50573" xr:uid="{00000000-0005-0000-0000-00008DC50000}"/>
    <cellStyle name="Total 3 2 5" xfId="50574" xr:uid="{00000000-0005-0000-0000-00008EC50000}"/>
    <cellStyle name="Total 3 2 5 2" xfId="50575" xr:uid="{00000000-0005-0000-0000-00008FC50000}"/>
    <cellStyle name="Total 3 2 5 2 2" xfId="50576" xr:uid="{00000000-0005-0000-0000-000090C50000}"/>
    <cellStyle name="Total 3 2 5 2 3" xfId="50577" xr:uid="{00000000-0005-0000-0000-000091C50000}"/>
    <cellStyle name="Total 3 2 5 2 4" xfId="50578" xr:uid="{00000000-0005-0000-0000-000092C50000}"/>
    <cellStyle name="Total 3 2 5 2 5" xfId="50579" xr:uid="{00000000-0005-0000-0000-000093C50000}"/>
    <cellStyle name="Total 3 2 5 2 6" xfId="50580" xr:uid="{00000000-0005-0000-0000-000094C50000}"/>
    <cellStyle name="Total 3 2 5 3" xfId="50581" xr:uid="{00000000-0005-0000-0000-000095C50000}"/>
    <cellStyle name="Total 3 2 5 4" xfId="50582" xr:uid="{00000000-0005-0000-0000-000096C50000}"/>
    <cellStyle name="Total 3 2 5 5" xfId="50583" xr:uid="{00000000-0005-0000-0000-000097C50000}"/>
    <cellStyle name="Total 3 2 5 6" xfId="50584" xr:uid="{00000000-0005-0000-0000-000098C50000}"/>
    <cellStyle name="Total 3 2 5 7" xfId="50585" xr:uid="{00000000-0005-0000-0000-000099C50000}"/>
    <cellStyle name="Total 3 2 6" xfId="50586" xr:uid="{00000000-0005-0000-0000-00009AC50000}"/>
    <cellStyle name="Total 3 2 6 2" xfId="50587" xr:uid="{00000000-0005-0000-0000-00009BC50000}"/>
    <cellStyle name="Total 3 2 6 2 2" xfId="50588" xr:uid="{00000000-0005-0000-0000-00009CC50000}"/>
    <cellStyle name="Total 3 2 6 2 3" xfId="50589" xr:uid="{00000000-0005-0000-0000-00009DC50000}"/>
    <cellStyle name="Total 3 2 6 2 4" xfId="50590" xr:uid="{00000000-0005-0000-0000-00009EC50000}"/>
    <cellStyle name="Total 3 2 6 2 5" xfId="50591" xr:uid="{00000000-0005-0000-0000-00009FC50000}"/>
    <cellStyle name="Total 3 2 6 2 6" xfId="50592" xr:uid="{00000000-0005-0000-0000-0000A0C50000}"/>
    <cellStyle name="Total 3 2 6 3" xfId="50593" xr:uid="{00000000-0005-0000-0000-0000A1C50000}"/>
    <cellStyle name="Total 3 2 6 4" xfId="50594" xr:uid="{00000000-0005-0000-0000-0000A2C50000}"/>
    <cellStyle name="Total 3 2 6 5" xfId="50595" xr:uid="{00000000-0005-0000-0000-0000A3C50000}"/>
    <cellStyle name="Total 3 2 6 6" xfId="50596" xr:uid="{00000000-0005-0000-0000-0000A4C50000}"/>
    <cellStyle name="Total 3 2 6 7" xfId="50597" xr:uid="{00000000-0005-0000-0000-0000A5C50000}"/>
    <cellStyle name="Total 3 2 7" xfId="50598" xr:uid="{00000000-0005-0000-0000-0000A6C50000}"/>
    <cellStyle name="Total 3 2 7 2" xfId="50599" xr:uid="{00000000-0005-0000-0000-0000A7C50000}"/>
    <cellStyle name="Total 3 2 7 2 2" xfId="50600" xr:uid="{00000000-0005-0000-0000-0000A8C50000}"/>
    <cellStyle name="Total 3 2 7 2 3" xfId="50601" xr:uid="{00000000-0005-0000-0000-0000A9C50000}"/>
    <cellStyle name="Total 3 2 7 2 4" xfId="50602" xr:uid="{00000000-0005-0000-0000-0000AAC50000}"/>
    <cellStyle name="Total 3 2 7 2 5" xfId="50603" xr:uid="{00000000-0005-0000-0000-0000ABC50000}"/>
    <cellStyle name="Total 3 2 7 2 6" xfId="50604" xr:uid="{00000000-0005-0000-0000-0000ACC50000}"/>
    <cellStyle name="Total 3 2 7 3" xfId="50605" xr:uid="{00000000-0005-0000-0000-0000ADC50000}"/>
    <cellStyle name="Total 3 2 7 4" xfId="50606" xr:uid="{00000000-0005-0000-0000-0000AEC50000}"/>
    <cellStyle name="Total 3 2 7 5" xfId="50607" xr:uid="{00000000-0005-0000-0000-0000AFC50000}"/>
    <cellStyle name="Total 3 2 7 6" xfId="50608" xr:uid="{00000000-0005-0000-0000-0000B0C50000}"/>
    <cellStyle name="Total 3 2 7 7" xfId="50609" xr:uid="{00000000-0005-0000-0000-0000B1C50000}"/>
    <cellStyle name="Total 3 2 8" xfId="50610" xr:uid="{00000000-0005-0000-0000-0000B2C50000}"/>
    <cellStyle name="Total 3 2 8 2" xfId="50611" xr:uid="{00000000-0005-0000-0000-0000B3C50000}"/>
    <cellStyle name="Total 3 2 8 2 2" xfId="50612" xr:uid="{00000000-0005-0000-0000-0000B4C50000}"/>
    <cellStyle name="Total 3 2 8 2 3" xfId="50613" xr:uid="{00000000-0005-0000-0000-0000B5C50000}"/>
    <cellStyle name="Total 3 2 8 2 4" xfId="50614" xr:uid="{00000000-0005-0000-0000-0000B6C50000}"/>
    <cellStyle name="Total 3 2 8 2 5" xfId="50615" xr:uid="{00000000-0005-0000-0000-0000B7C50000}"/>
    <cellStyle name="Total 3 2 8 2 6" xfId="50616" xr:uid="{00000000-0005-0000-0000-0000B8C50000}"/>
    <cellStyle name="Total 3 2 8 3" xfId="50617" xr:uid="{00000000-0005-0000-0000-0000B9C50000}"/>
    <cellStyle name="Total 3 2 8 4" xfId="50618" xr:uid="{00000000-0005-0000-0000-0000BAC50000}"/>
    <cellStyle name="Total 3 2 8 5" xfId="50619" xr:uid="{00000000-0005-0000-0000-0000BBC50000}"/>
    <cellStyle name="Total 3 2 8 6" xfId="50620" xr:uid="{00000000-0005-0000-0000-0000BCC50000}"/>
    <cellStyle name="Total 3 2 8 7" xfId="50621" xr:uid="{00000000-0005-0000-0000-0000BDC50000}"/>
    <cellStyle name="Total 3 2 9" xfId="50622" xr:uid="{00000000-0005-0000-0000-0000BEC50000}"/>
    <cellStyle name="Total 3 2 9 2" xfId="50623" xr:uid="{00000000-0005-0000-0000-0000BFC50000}"/>
    <cellStyle name="Total 3 2 9 2 2" xfId="50624" xr:uid="{00000000-0005-0000-0000-0000C0C50000}"/>
    <cellStyle name="Total 3 2 9 2 3" xfId="50625" xr:uid="{00000000-0005-0000-0000-0000C1C50000}"/>
    <cellStyle name="Total 3 2 9 2 4" xfId="50626" xr:uid="{00000000-0005-0000-0000-0000C2C50000}"/>
    <cellStyle name="Total 3 2 9 2 5" xfId="50627" xr:uid="{00000000-0005-0000-0000-0000C3C50000}"/>
    <cellStyle name="Total 3 2 9 2 6" xfId="50628" xr:uid="{00000000-0005-0000-0000-0000C4C50000}"/>
    <cellStyle name="Total 3 2 9 3" xfId="50629" xr:uid="{00000000-0005-0000-0000-0000C5C50000}"/>
    <cellStyle name="Total 3 2 9 4" xfId="50630" xr:uid="{00000000-0005-0000-0000-0000C6C50000}"/>
    <cellStyle name="Total 3 2 9 5" xfId="50631" xr:uid="{00000000-0005-0000-0000-0000C7C50000}"/>
    <cellStyle name="Total 3 2 9 6" xfId="50632" xr:uid="{00000000-0005-0000-0000-0000C8C50000}"/>
    <cellStyle name="Total 3 2 9 7" xfId="50633" xr:uid="{00000000-0005-0000-0000-0000C9C50000}"/>
    <cellStyle name="Total 3 20" xfId="50634" xr:uid="{00000000-0005-0000-0000-0000CAC50000}"/>
    <cellStyle name="Total 3 20 2" xfId="50635" xr:uid="{00000000-0005-0000-0000-0000CBC50000}"/>
    <cellStyle name="Total 3 20 2 2" xfId="50636" xr:uid="{00000000-0005-0000-0000-0000CCC50000}"/>
    <cellStyle name="Total 3 20 2 3" xfId="50637" xr:uid="{00000000-0005-0000-0000-0000CDC50000}"/>
    <cellStyle name="Total 3 20 2 4" xfId="50638" xr:uid="{00000000-0005-0000-0000-0000CEC50000}"/>
    <cellStyle name="Total 3 20 2 5" xfId="50639" xr:uid="{00000000-0005-0000-0000-0000CFC50000}"/>
    <cellStyle name="Total 3 20 2 6" xfId="50640" xr:uid="{00000000-0005-0000-0000-0000D0C50000}"/>
    <cellStyle name="Total 3 20 3" xfId="50641" xr:uid="{00000000-0005-0000-0000-0000D1C50000}"/>
    <cellStyle name="Total 3 20 4" xfId="50642" xr:uid="{00000000-0005-0000-0000-0000D2C50000}"/>
    <cellStyle name="Total 3 20 5" xfId="50643" xr:uid="{00000000-0005-0000-0000-0000D3C50000}"/>
    <cellStyle name="Total 3 20 6" xfId="50644" xr:uid="{00000000-0005-0000-0000-0000D4C50000}"/>
    <cellStyle name="Total 3 20 7" xfId="50645" xr:uid="{00000000-0005-0000-0000-0000D5C50000}"/>
    <cellStyle name="Total 3 21" xfId="50646" xr:uid="{00000000-0005-0000-0000-0000D6C50000}"/>
    <cellStyle name="Total 3 21 2" xfId="50647" xr:uid="{00000000-0005-0000-0000-0000D7C50000}"/>
    <cellStyle name="Total 3 21 2 2" xfId="50648" xr:uid="{00000000-0005-0000-0000-0000D8C50000}"/>
    <cellStyle name="Total 3 21 2 3" xfId="50649" xr:uid="{00000000-0005-0000-0000-0000D9C50000}"/>
    <cellStyle name="Total 3 21 2 4" xfId="50650" xr:uid="{00000000-0005-0000-0000-0000DAC50000}"/>
    <cellStyle name="Total 3 21 2 5" xfId="50651" xr:uid="{00000000-0005-0000-0000-0000DBC50000}"/>
    <cellStyle name="Total 3 21 2 6" xfId="50652" xr:uid="{00000000-0005-0000-0000-0000DCC50000}"/>
    <cellStyle name="Total 3 21 3" xfId="50653" xr:uid="{00000000-0005-0000-0000-0000DDC50000}"/>
    <cellStyle name="Total 3 21 4" xfId="50654" xr:uid="{00000000-0005-0000-0000-0000DEC50000}"/>
    <cellStyle name="Total 3 21 5" xfId="50655" xr:uid="{00000000-0005-0000-0000-0000DFC50000}"/>
    <cellStyle name="Total 3 21 6" xfId="50656" xr:uid="{00000000-0005-0000-0000-0000E0C50000}"/>
    <cellStyle name="Total 3 21 7" xfId="50657" xr:uid="{00000000-0005-0000-0000-0000E1C50000}"/>
    <cellStyle name="Total 3 22" xfId="50658" xr:uid="{00000000-0005-0000-0000-0000E2C50000}"/>
    <cellStyle name="Total 3 22 2" xfId="50659" xr:uid="{00000000-0005-0000-0000-0000E3C50000}"/>
    <cellStyle name="Total 3 22 2 2" xfId="50660" xr:uid="{00000000-0005-0000-0000-0000E4C50000}"/>
    <cellStyle name="Total 3 22 2 3" xfId="50661" xr:uid="{00000000-0005-0000-0000-0000E5C50000}"/>
    <cellStyle name="Total 3 22 2 4" xfId="50662" xr:uid="{00000000-0005-0000-0000-0000E6C50000}"/>
    <cellStyle name="Total 3 22 2 5" xfId="50663" xr:uid="{00000000-0005-0000-0000-0000E7C50000}"/>
    <cellStyle name="Total 3 22 2 6" xfId="50664" xr:uid="{00000000-0005-0000-0000-0000E8C50000}"/>
    <cellStyle name="Total 3 22 3" xfId="50665" xr:uid="{00000000-0005-0000-0000-0000E9C50000}"/>
    <cellStyle name="Total 3 22 4" xfId="50666" xr:uid="{00000000-0005-0000-0000-0000EAC50000}"/>
    <cellStyle name="Total 3 22 5" xfId="50667" xr:uid="{00000000-0005-0000-0000-0000EBC50000}"/>
    <cellStyle name="Total 3 22 6" xfId="50668" xr:uid="{00000000-0005-0000-0000-0000ECC50000}"/>
    <cellStyle name="Total 3 22 7" xfId="50669" xr:uid="{00000000-0005-0000-0000-0000EDC50000}"/>
    <cellStyle name="Total 3 23" xfId="50670" xr:uid="{00000000-0005-0000-0000-0000EEC50000}"/>
    <cellStyle name="Total 3 23 2" xfId="50671" xr:uid="{00000000-0005-0000-0000-0000EFC50000}"/>
    <cellStyle name="Total 3 23 2 2" xfId="50672" xr:uid="{00000000-0005-0000-0000-0000F0C50000}"/>
    <cellStyle name="Total 3 23 2 3" xfId="50673" xr:uid="{00000000-0005-0000-0000-0000F1C50000}"/>
    <cellStyle name="Total 3 23 2 4" xfId="50674" xr:uid="{00000000-0005-0000-0000-0000F2C50000}"/>
    <cellStyle name="Total 3 23 2 5" xfId="50675" xr:uid="{00000000-0005-0000-0000-0000F3C50000}"/>
    <cellStyle name="Total 3 23 2 6" xfId="50676" xr:uid="{00000000-0005-0000-0000-0000F4C50000}"/>
    <cellStyle name="Total 3 23 3" xfId="50677" xr:uid="{00000000-0005-0000-0000-0000F5C50000}"/>
    <cellStyle name="Total 3 23 4" xfId="50678" xr:uid="{00000000-0005-0000-0000-0000F6C50000}"/>
    <cellStyle name="Total 3 23 5" xfId="50679" xr:uid="{00000000-0005-0000-0000-0000F7C50000}"/>
    <cellStyle name="Total 3 23 6" xfId="50680" xr:uid="{00000000-0005-0000-0000-0000F8C50000}"/>
    <cellStyle name="Total 3 23 7" xfId="50681" xr:uid="{00000000-0005-0000-0000-0000F9C50000}"/>
    <cellStyle name="Total 3 24" xfId="50682" xr:uid="{00000000-0005-0000-0000-0000FAC50000}"/>
    <cellStyle name="Total 3 24 2" xfId="50683" xr:uid="{00000000-0005-0000-0000-0000FBC50000}"/>
    <cellStyle name="Total 3 24 2 2" xfId="50684" xr:uid="{00000000-0005-0000-0000-0000FCC50000}"/>
    <cellStyle name="Total 3 24 2 3" xfId="50685" xr:uid="{00000000-0005-0000-0000-0000FDC50000}"/>
    <cellStyle name="Total 3 24 2 4" xfId="50686" xr:uid="{00000000-0005-0000-0000-0000FEC50000}"/>
    <cellStyle name="Total 3 24 2 5" xfId="50687" xr:uid="{00000000-0005-0000-0000-0000FFC50000}"/>
    <cellStyle name="Total 3 24 2 6" xfId="50688" xr:uid="{00000000-0005-0000-0000-000000C60000}"/>
    <cellStyle name="Total 3 24 3" xfId="50689" xr:uid="{00000000-0005-0000-0000-000001C60000}"/>
    <cellStyle name="Total 3 24 4" xfId="50690" xr:uid="{00000000-0005-0000-0000-000002C60000}"/>
    <cellStyle name="Total 3 24 5" xfId="50691" xr:uid="{00000000-0005-0000-0000-000003C60000}"/>
    <cellStyle name="Total 3 24 6" xfId="50692" xr:uid="{00000000-0005-0000-0000-000004C60000}"/>
    <cellStyle name="Total 3 24 7" xfId="50693" xr:uid="{00000000-0005-0000-0000-000005C60000}"/>
    <cellStyle name="Total 3 25" xfId="50694" xr:uid="{00000000-0005-0000-0000-000006C60000}"/>
    <cellStyle name="Total 3 25 2" xfId="50695" xr:uid="{00000000-0005-0000-0000-000007C60000}"/>
    <cellStyle name="Total 3 25 2 2" xfId="50696" xr:uid="{00000000-0005-0000-0000-000008C60000}"/>
    <cellStyle name="Total 3 25 2 3" xfId="50697" xr:uid="{00000000-0005-0000-0000-000009C60000}"/>
    <cellStyle name="Total 3 25 2 4" xfId="50698" xr:uid="{00000000-0005-0000-0000-00000AC60000}"/>
    <cellStyle name="Total 3 25 2 5" xfId="50699" xr:uid="{00000000-0005-0000-0000-00000BC60000}"/>
    <cellStyle name="Total 3 25 2 6" xfId="50700" xr:uid="{00000000-0005-0000-0000-00000CC60000}"/>
    <cellStyle name="Total 3 25 3" xfId="50701" xr:uid="{00000000-0005-0000-0000-00000DC60000}"/>
    <cellStyle name="Total 3 25 4" xfId="50702" xr:uid="{00000000-0005-0000-0000-00000EC60000}"/>
    <cellStyle name="Total 3 25 5" xfId="50703" xr:uid="{00000000-0005-0000-0000-00000FC60000}"/>
    <cellStyle name="Total 3 25 6" xfId="50704" xr:uid="{00000000-0005-0000-0000-000010C60000}"/>
    <cellStyle name="Total 3 25 7" xfId="50705" xr:uid="{00000000-0005-0000-0000-000011C60000}"/>
    <cellStyle name="Total 3 26" xfId="50706" xr:uid="{00000000-0005-0000-0000-000012C60000}"/>
    <cellStyle name="Total 3 26 2" xfId="50707" xr:uid="{00000000-0005-0000-0000-000013C60000}"/>
    <cellStyle name="Total 3 26 2 2" xfId="50708" xr:uid="{00000000-0005-0000-0000-000014C60000}"/>
    <cellStyle name="Total 3 26 2 3" xfId="50709" xr:uid="{00000000-0005-0000-0000-000015C60000}"/>
    <cellStyle name="Total 3 26 2 4" xfId="50710" xr:uid="{00000000-0005-0000-0000-000016C60000}"/>
    <cellStyle name="Total 3 26 2 5" xfId="50711" xr:uid="{00000000-0005-0000-0000-000017C60000}"/>
    <cellStyle name="Total 3 26 2 6" xfId="50712" xr:uid="{00000000-0005-0000-0000-000018C60000}"/>
    <cellStyle name="Total 3 26 3" xfId="50713" xr:uid="{00000000-0005-0000-0000-000019C60000}"/>
    <cellStyle name="Total 3 26 4" xfId="50714" xr:uid="{00000000-0005-0000-0000-00001AC60000}"/>
    <cellStyle name="Total 3 26 5" xfId="50715" xr:uid="{00000000-0005-0000-0000-00001BC60000}"/>
    <cellStyle name="Total 3 26 6" xfId="50716" xr:uid="{00000000-0005-0000-0000-00001CC60000}"/>
    <cellStyle name="Total 3 26 7" xfId="50717" xr:uid="{00000000-0005-0000-0000-00001DC60000}"/>
    <cellStyle name="Total 3 27" xfId="50718" xr:uid="{00000000-0005-0000-0000-00001EC60000}"/>
    <cellStyle name="Total 3 27 2" xfId="50719" xr:uid="{00000000-0005-0000-0000-00001FC60000}"/>
    <cellStyle name="Total 3 27 2 2" xfId="50720" xr:uid="{00000000-0005-0000-0000-000020C60000}"/>
    <cellStyle name="Total 3 27 2 3" xfId="50721" xr:uid="{00000000-0005-0000-0000-000021C60000}"/>
    <cellStyle name="Total 3 27 2 4" xfId="50722" xr:uid="{00000000-0005-0000-0000-000022C60000}"/>
    <cellStyle name="Total 3 27 2 5" xfId="50723" xr:uid="{00000000-0005-0000-0000-000023C60000}"/>
    <cellStyle name="Total 3 27 2 6" xfId="50724" xr:uid="{00000000-0005-0000-0000-000024C60000}"/>
    <cellStyle name="Total 3 27 3" xfId="50725" xr:uid="{00000000-0005-0000-0000-000025C60000}"/>
    <cellStyle name="Total 3 27 4" xfId="50726" xr:uid="{00000000-0005-0000-0000-000026C60000}"/>
    <cellStyle name="Total 3 27 5" xfId="50727" xr:uid="{00000000-0005-0000-0000-000027C60000}"/>
    <cellStyle name="Total 3 27 6" xfId="50728" xr:uid="{00000000-0005-0000-0000-000028C60000}"/>
    <cellStyle name="Total 3 27 7" xfId="50729" xr:uid="{00000000-0005-0000-0000-000029C60000}"/>
    <cellStyle name="Total 3 28" xfId="50730" xr:uid="{00000000-0005-0000-0000-00002AC60000}"/>
    <cellStyle name="Total 3 28 2" xfId="50731" xr:uid="{00000000-0005-0000-0000-00002BC60000}"/>
    <cellStyle name="Total 3 28 2 2" xfId="50732" xr:uid="{00000000-0005-0000-0000-00002CC60000}"/>
    <cellStyle name="Total 3 28 2 3" xfId="50733" xr:uid="{00000000-0005-0000-0000-00002DC60000}"/>
    <cellStyle name="Total 3 28 2 4" xfId="50734" xr:uid="{00000000-0005-0000-0000-00002EC60000}"/>
    <cellStyle name="Total 3 28 2 5" xfId="50735" xr:uid="{00000000-0005-0000-0000-00002FC60000}"/>
    <cellStyle name="Total 3 28 2 6" xfId="50736" xr:uid="{00000000-0005-0000-0000-000030C60000}"/>
    <cellStyle name="Total 3 28 3" xfId="50737" xr:uid="{00000000-0005-0000-0000-000031C60000}"/>
    <cellStyle name="Total 3 28 4" xfId="50738" xr:uid="{00000000-0005-0000-0000-000032C60000}"/>
    <cellStyle name="Total 3 28 5" xfId="50739" xr:uid="{00000000-0005-0000-0000-000033C60000}"/>
    <cellStyle name="Total 3 28 6" xfId="50740" xr:uid="{00000000-0005-0000-0000-000034C60000}"/>
    <cellStyle name="Total 3 28 7" xfId="50741" xr:uid="{00000000-0005-0000-0000-000035C60000}"/>
    <cellStyle name="Total 3 29" xfId="50742" xr:uid="{00000000-0005-0000-0000-000036C60000}"/>
    <cellStyle name="Total 3 29 2" xfId="50743" xr:uid="{00000000-0005-0000-0000-000037C60000}"/>
    <cellStyle name="Total 3 29 2 2" xfId="50744" xr:uid="{00000000-0005-0000-0000-000038C60000}"/>
    <cellStyle name="Total 3 29 2 3" xfId="50745" xr:uid="{00000000-0005-0000-0000-000039C60000}"/>
    <cellStyle name="Total 3 29 2 4" xfId="50746" xr:uid="{00000000-0005-0000-0000-00003AC60000}"/>
    <cellStyle name="Total 3 29 2 5" xfId="50747" xr:uid="{00000000-0005-0000-0000-00003BC60000}"/>
    <cellStyle name="Total 3 29 2 6" xfId="50748" xr:uid="{00000000-0005-0000-0000-00003CC60000}"/>
    <cellStyle name="Total 3 29 3" xfId="50749" xr:uid="{00000000-0005-0000-0000-00003DC60000}"/>
    <cellStyle name="Total 3 29 4" xfId="50750" xr:uid="{00000000-0005-0000-0000-00003EC60000}"/>
    <cellStyle name="Total 3 29 5" xfId="50751" xr:uid="{00000000-0005-0000-0000-00003FC60000}"/>
    <cellStyle name="Total 3 29 6" xfId="50752" xr:uid="{00000000-0005-0000-0000-000040C60000}"/>
    <cellStyle name="Total 3 29 7" xfId="50753" xr:uid="{00000000-0005-0000-0000-000041C60000}"/>
    <cellStyle name="Total 3 3" xfId="50754" xr:uid="{00000000-0005-0000-0000-000042C60000}"/>
    <cellStyle name="Total 3 3 10" xfId="50755" xr:uid="{00000000-0005-0000-0000-000043C60000}"/>
    <cellStyle name="Total 3 3 10 2" xfId="50756" xr:uid="{00000000-0005-0000-0000-000044C60000}"/>
    <cellStyle name="Total 3 3 10 2 2" xfId="50757" xr:uid="{00000000-0005-0000-0000-000045C60000}"/>
    <cellStyle name="Total 3 3 10 2 3" xfId="50758" xr:uid="{00000000-0005-0000-0000-000046C60000}"/>
    <cellStyle name="Total 3 3 10 2 4" xfId="50759" xr:uid="{00000000-0005-0000-0000-000047C60000}"/>
    <cellStyle name="Total 3 3 10 2 5" xfId="50760" xr:uid="{00000000-0005-0000-0000-000048C60000}"/>
    <cellStyle name="Total 3 3 10 2 6" xfId="50761" xr:uid="{00000000-0005-0000-0000-000049C60000}"/>
    <cellStyle name="Total 3 3 10 3" xfId="50762" xr:uid="{00000000-0005-0000-0000-00004AC60000}"/>
    <cellStyle name="Total 3 3 10 4" xfId="50763" xr:uid="{00000000-0005-0000-0000-00004BC60000}"/>
    <cellStyle name="Total 3 3 10 5" xfId="50764" xr:uid="{00000000-0005-0000-0000-00004CC60000}"/>
    <cellStyle name="Total 3 3 10 6" xfId="50765" xr:uid="{00000000-0005-0000-0000-00004DC60000}"/>
    <cellStyle name="Total 3 3 10 7" xfId="50766" xr:uid="{00000000-0005-0000-0000-00004EC60000}"/>
    <cellStyle name="Total 3 3 11" xfId="50767" xr:uid="{00000000-0005-0000-0000-00004FC60000}"/>
    <cellStyle name="Total 3 3 11 2" xfId="50768" xr:uid="{00000000-0005-0000-0000-000050C60000}"/>
    <cellStyle name="Total 3 3 11 2 2" xfId="50769" xr:uid="{00000000-0005-0000-0000-000051C60000}"/>
    <cellStyle name="Total 3 3 11 2 3" xfId="50770" xr:uid="{00000000-0005-0000-0000-000052C60000}"/>
    <cellStyle name="Total 3 3 11 2 4" xfId="50771" xr:uid="{00000000-0005-0000-0000-000053C60000}"/>
    <cellStyle name="Total 3 3 11 2 5" xfId="50772" xr:uid="{00000000-0005-0000-0000-000054C60000}"/>
    <cellStyle name="Total 3 3 11 2 6" xfId="50773" xr:uid="{00000000-0005-0000-0000-000055C60000}"/>
    <cellStyle name="Total 3 3 11 3" xfId="50774" xr:uid="{00000000-0005-0000-0000-000056C60000}"/>
    <cellStyle name="Total 3 3 11 4" xfId="50775" xr:uid="{00000000-0005-0000-0000-000057C60000}"/>
    <cellStyle name="Total 3 3 11 5" xfId="50776" xr:uid="{00000000-0005-0000-0000-000058C60000}"/>
    <cellStyle name="Total 3 3 11 6" xfId="50777" xr:uid="{00000000-0005-0000-0000-000059C60000}"/>
    <cellStyle name="Total 3 3 11 7" xfId="50778" xr:uid="{00000000-0005-0000-0000-00005AC60000}"/>
    <cellStyle name="Total 3 3 12" xfId="50779" xr:uid="{00000000-0005-0000-0000-00005BC60000}"/>
    <cellStyle name="Total 3 3 12 2" xfId="50780" xr:uid="{00000000-0005-0000-0000-00005CC60000}"/>
    <cellStyle name="Total 3 3 12 2 2" xfId="50781" xr:uid="{00000000-0005-0000-0000-00005DC60000}"/>
    <cellStyle name="Total 3 3 12 2 3" xfId="50782" xr:uid="{00000000-0005-0000-0000-00005EC60000}"/>
    <cellStyle name="Total 3 3 12 2 4" xfId="50783" xr:uid="{00000000-0005-0000-0000-00005FC60000}"/>
    <cellStyle name="Total 3 3 12 2 5" xfId="50784" xr:uid="{00000000-0005-0000-0000-000060C60000}"/>
    <cellStyle name="Total 3 3 12 2 6" xfId="50785" xr:uid="{00000000-0005-0000-0000-000061C60000}"/>
    <cellStyle name="Total 3 3 12 3" xfId="50786" xr:uid="{00000000-0005-0000-0000-000062C60000}"/>
    <cellStyle name="Total 3 3 12 4" xfId="50787" xr:uid="{00000000-0005-0000-0000-000063C60000}"/>
    <cellStyle name="Total 3 3 12 5" xfId="50788" xr:uid="{00000000-0005-0000-0000-000064C60000}"/>
    <cellStyle name="Total 3 3 12 6" xfId="50789" xr:uid="{00000000-0005-0000-0000-000065C60000}"/>
    <cellStyle name="Total 3 3 12 7" xfId="50790" xr:uid="{00000000-0005-0000-0000-000066C60000}"/>
    <cellStyle name="Total 3 3 13" xfId="50791" xr:uid="{00000000-0005-0000-0000-000067C60000}"/>
    <cellStyle name="Total 3 3 13 2" xfId="50792" xr:uid="{00000000-0005-0000-0000-000068C60000}"/>
    <cellStyle name="Total 3 3 13 2 2" xfId="50793" xr:uid="{00000000-0005-0000-0000-000069C60000}"/>
    <cellStyle name="Total 3 3 13 2 3" xfId="50794" xr:uid="{00000000-0005-0000-0000-00006AC60000}"/>
    <cellStyle name="Total 3 3 13 2 4" xfId="50795" xr:uid="{00000000-0005-0000-0000-00006BC60000}"/>
    <cellStyle name="Total 3 3 13 2 5" xfId="50796" xr:uid="{00000000-0005-0000-0000-00006CC60000}"/>
    <cellStyle name="Total 3 3 13 2 6" xfId="50797" xr:uid="{00000000-0005-0000-0000-00006DC60000}"/>
    <cellStyle name="Total 3 3 13 3" xfId="50798" xr:uid="{00000000-0005-0000-0000-00006EC60000}"/>
    <cellStyle name="Total 3 3 13 4" xfId="50799" xr:uid="{00000000-0005-0000-0000-00006FC60000}"/>
    <cellStyle name="Total 3 3 13 5" xfId="50800" xr:uid="{00000000-0005-0000-0000-000070C60000}"/>
    <cellStyle name="Total 3 3 13 6" xfId="50801" xr:uid="{00000000-0005-0000-0000-000071C60000}"/>
    <cellStyle name="Total 3 3 13 7" xfId="50802" xr:uid="{00000000-0005-0000-0000-000072C60000}"/>
    <cellStyle name="Total 3 3 14" xfId="50803" xr:uid="{00000000-0005-0000-0000-000073C60000}"/>
    <cellStyle name="Total 3 3 14 2" xfId="50804" xr:uid="{00000000-0005-0000-0000-000074C60000}"/>
    <cellStyle name="Total 3 3 14 2 2" xfId="50805" xr:uid="{00000000-0005-0000-0000-000075C60000}"/>
    <cellStyle name="Total 3 3 14 2 3" xfId="50806" xr:uid="{00000000-0005-0000-0000-000076C60000}"/>
    <cellStyle name="Total 3 3 14 2 4" xfId="50807" xr:uid="{00000000-0005-0000-0000-000077C60000}"/>
    <cellStyle name="Total 3 3 14 2 5" xfId="50808" xr:uid="{00000000-0005-0000-0000-000078C60000}"/>
    <cellStyle name="Total 3 3 14 2 6" xfId="50809" xr:uid="{00000000-0005-0000-0000-000079C60000}"/>
    <cellStyle name="Total 3 3 14 3" xfId="50810" xr:uid="{00000000-0005-0000-0000-00007AC60000}"/>
    <cellStyle name="Total 3 3 14 4" xfId="50811" xr:uid="{00000000-0005-0000-0000-00007BC60000}"/>
    <cellStyle name="Total 3 3 14 5" xfId="50812" xr:uid="{00000000-0005-0000-0000-00007CC60000}"/>
    <cellStyle name="Total 3 3 14 6" xfId="50813" xr:uid="{00000000-0005-0000-0000-00007DC60000}"/>
    <cellStyle name="Total 3 3 14 7" xfId="50814" xr:uid="{00000000-0005-0000-0000-00007EC60000}"/>
    <cellStyle name="Total 3 3 15" xfId="50815" xr:uid="{00000000-0005-0000-0000-00007FC60000}"/>
    <cellStyle name="Total 3 3 15 2" xfId="50816" xr:uid="{00000000-0005-0000-0000-000080C60000}"/>
    <cellStyle name="Total 3 3 15 2 2" xfId="50817" xr:uid="{00000000-0005-0000-0000-000081C60000}"/>
    <cellStyle name="Total 3 3 15 2 3" xfId="50818" xr:uid="{00000000-0005-0000-0000-000082C60000}"/>
    <cellStyle name="Total 3 3 15 2 4" xfId="50819" xr:uid="{00000000-0005-0000-0000-000083C60000}"/>
    <cellStyle name="Total 3 3 15 2 5" xfId="50820" xr:uid="{00000000-0005-0000-0000-000084C60000}"/>
    <cellStyle name="Total 3 3 15 2 6" xfId="50821" xr:uid="{00000000-0005-0000-0000-000085C60000}"/>
    <cellStyle name="Total 3 3 15 3" xfId="50822" xr:uid="{00000000-0005-0000-0000-000086C60000}"/>
    <cellStyle name="Total 3 3 15 4" xfId="50823" xr:uid="{00000000-0005-0000-0000-000087C60000}"/>
    <cellStyle name="Total 3 3 15 5" xfId="50824" xr:uid="{00000000-0005-0000-0000-000088C60000}"/>
    <cellStyle name="Total 3 3 15 6" xfId="50825" xr:uid="{00000000-0005-0000-0000-000089C60000}"/>
    <cellStyle name="Total 3 3 15 7" xfId="50826" xr:uid="{00000000-0005-0000-0000-00008AC60000}"/>
    <cellStyle name="Total 3 3 16" xfId="50827" xr:uid="{00000000-0005-0000-0000-00008BC60000}"/>
    <cellStyle name="Total 3 3 16 2" xfId="50828" xr:uid="{00000000-0005-0000-0000-00008CC60000}"/>
    <cellStyle name="Total 3 3 16 2 2" xfId="50829" xr:uid="{00000000-0005-0000-0000-00008DC60000}"/>
    <cellStyle name="Total 3 3 16 2 3" xfId="50830" xr:uid="{00000000-0005-0000-0000-00008EC60000}"/>
    <cellStyle name="Total 3 3 16 2 4" xfId="50831" xr:uid="{00000000-0005-0000-0000-00008FC60000}"/>
    <cellStyle name="Total 3 3 16 2 5" xfId="50832" xr:uid="{00000000-0005-0000-0000-000090C60000}"/>
    <cellStyle name="Total 3 3 16 2 6" xfId="50833" xr:uid="{00000000-0005-0000-0000-000091C60000}"/>
    <cellStyle name="Total 3 3 16 3" xfId="50834" xr:uid="{00000000-0005-0000-0000-000092C60000}"/>
    <cellStyle name="Total 3 3 16 4" xfId="50835" xr:uid="{00000000-0005-0000-0000-000093C60000}"/>
    <cellStyle name="Total 3 3 16 5" xfId="50836" xr:uid="{00000000-0005-0000-0000-000094C60000}"/>
    <cellStyle name="Total 3 3 16 6" xfId="50837" xr:uid="{00000000-0005-0000-0000-000095C60000}"/>
    <cellStyle name="Total 3 3 16 7" xfId="50838" xr:uid="{00000000-0005-0000-0000-000096C60000}"/>
    <cellStyle name="Total 3 3 17" xfId="50839" xr:uid="{00000000-0005-0000-0000-000097C60000}"/>
    <cellStyle name="Total 3 3 17 2" xfId="50840" xr:uid="{00000000-0005-0000-0000-000098C60000}"/>
    <cellStyle name="Total 3 3 17 2 2" xfId="50841" xr:uid="{00000000-0005-0000-0000-000099C60000}"/>
    <cellStyle name="Total 3 3 17 2 3" xfId="50842" xr:uid="{00000000-0005-0000-0000-00009AC60000}"/>
    <cellStyle name="Total 3 3 17 2 4" xfId="50843" xr:uid="{00000000-0005-0000-0000-00009BC60000}"/>
    <cellStyle name="Total 3 3 17 2 5" xfId="50844" xr:uid="{00000000-0005-0000-0000-00009CC60000}"/>
    <cellStyle name="Total 3 3 17 2 6" xfId="50845" xr:uid="{00000000-0005-0000-0000-00009DC60000}"/>
    <cellStyle name="Total 3 3 17 3" xfId="50846" xr:uid="{00000000-0005-0000-0000-00009EC60000}"/>
    <cellStyle name="Total 3 3 17 4" xfId="50847" xr:uid="{00000000-0005-0000-0000-00009FC60000}"/>
    <cellStyle name="Total 3 3 17 5" xfId="50848" xr:uid="{00000000-0005-0000-0000-0000A0C60000}"/>
    <cellStyle name="Total 3 3 17 6" xfId="50849" xr:uid="{00000000-0005-0000-0000-0000A1C60000}"/>
    <cellStyle name="Total 3 3 17 7" xfId="50850" xr:uid="{00000000-0005-0000-0000-0000A2C60000}"/>
    <cellStyle name="Total 3 3 18" xfId="50851" xr:uid="{00000000-0005-0000-0000-0000A3C60000}"/>
    <cellStyle name="Total 3 3 18 2" xfId="50852" xr:uid="{00000000-0005-0000-0000-0000A4C60000}"/>
    <cellStyle name="Total 3 3 18 2 2" xfId="50853" xr:uid="{00000000-0005-0000-0000-0000A5C60000}"/>
    <cellStyle name="Total 3 3 18 2 3" xfId="50854" xr:uid="{00000000-0005-0000-0000-0000A6C60000}"/>
    <cellStyle name="Total 3 3 18 2 4" xfId="50855" xr:uid="{00000000-0005-0000-0000-0000A7C60000}"/>
    <cellStyle name="Total 3 3 18 2 5" xfId="50856" xr:uid="{00000000-0005-0000-0000-0000A8C60000}"/>
    <cellStyle name="Total 3 3 18 2 6" xfId="50857" xr:uid="{00000000-0005-0000-0000-0000A9C60000}"/>
    <cellStyle name="Total 3 3 18 3" xfId="50858" xr:uid="{00000000-0005-0000-0000-0000AAC60000}"/>
    <cellStyle name="Total 3 3 18 4" xfId="50859" xr:uid="{00000000-0005-0000-0000-0000ABC60000}"/>
    <cellStyle name="Total 3 3 18 5" xfId="50860" xr:uid="{00000000-0005-0000-0000-0000ACC60000}"/>
    <cellStyle name="Total 3 3 18 6" xfId="50861" xr:uid="{00000000-0005-0000-0000-0000ADC60000}"/>
    <cellStyle name="Total 3 3 18 7" xfId="50862" xr:uid="{00000000-0005-0000-0000-0000AEC60000}"/>
    <cellStyle name="Total 3 3 19" xfId="50863" xr:uid="{00000000-0005-0000-0000-0000AFC60000}"/>
    <cellStyle name="Total 3 3 19 2" xfId="50864" xr:uid="{00000000-0005-0000-0000-0000B0C60000}"/>
    <cellStyle name="Total 3 3 19 2 2" xfId="50865" xr:uid="{00000000-0005-0000-0000-0000B1C60000}"/>
    <cellStyle name="Total 3 3 19 2 3" xfId="50866" xr:uid="{00000000-0005-0000-0000-0000B2C60000}"/>
    <cellStyle name="Total 3 3 19 2 4" xfId="50867" xr:uid="{00000000-0005-0000-0000-0000B3C60000}"/>
    <cellStyle name="Total 3 3 19 2 5" xfId="50868" xr:uid="{00000000-0005-0000-0000-0000B4C60000}"/>
    <cellStyle name="Total 3 3 19 2 6" xfId="50869" xr:uid="{00000000-0005-0000-0000-0000B5C60000}"/>
    <cellStyle name="Total 3 3 19 3" xfId="50870" xr:uid="{00000000-0005-0000-0000-0000B6C60000}"/>
    <cellStyle name="Total 3 3 19 4" xfId="50871" xr:uid="{00000000-0005-0000-0000-0000B7C60000}"/>
    <cellStyle name="Total 3 3 19 5" xfId="50872" xr:uid="{00000000-0005-0000-0000-0000B8C60000}"/>
    <cellStyle name="Total 3 3 19 6" xfId="50873" xr:uid="{00000000-0005-0000-0000-0000B9C60000}"/>
    <cellStyle name="Total 3 3 19 7" xfId="50874" xr:uid="{00000000-0005-0000-0000-0000BAC60000}"/>
    <cellStyle name="Total 3 3 2" xfId="50875" xr:uid="{00000000-0005-0000-0000-0000BBC60000}"/>
    <cellStyle name="Total 3 3 2 2" xfId="50876" xr:uid="{00000000-0005-0000-0000-0000BCC60000}"/>
    <cellStyle name="Total 3 3 2 2 10" xfId="50877" xr:uid="{00000000-0005-0000-0000-0000BDC60000}"/>
    <cellStyle name="Total 3 3 2 2 10 2" xfId="50878" xr:uid="{00000000-0005-0000-0000-0000BEC60000}"/>
    <cellStyle name="Total 3 3 2 2 10 3" xfId="50879" xr:uid="{00000000-0005-0000-0000-0000BFC60000}"/>
    <cellStyle name="Total 3 3 2 2 10 4" xfId="50880" xr:uid="{00000000-0005-0000-0000-0000C0C60000}"/>
    <cellStyle name="Total 3 3 2 2 10 5" xfId="50881" xr:uid="{00000000-0005-0000-0000-0000C1C60000}"/>
    <cellStyle name="Total 3 3 2 2 10 6" xfId="50882" xr:uid="{00000000-0005-0000-0000-0000C2C60000}"/>
    <cellStyle name="Total 3 3 2 2 11" xfId="50883" xr:uid="{00000000-0005-0000-0000-0000C3C60000}"/>
    <cellStyle name="Total 3 3 2 2 12" xfId="50884" xr:uid="{00000000-0005-0000-0000-0000C4C60000}"/>
    <cellStyle name="Total 3 3 2 2 13" xfId="50885" xr:uid="{00000000-0005-0000-0000-0000C5C60000}"/>
    <cellStyle name="Total 3 3 2 2 14" xfId="50886" xr:uid="{00000000-0005-0000-0000-0000C6C60000}"/>
    <cellStyle name="Total 3 3 2 2 2" xfId="50887" xr:uid="{00000000-0005-0000-0000-0000C7C60000}"/>
    <cellStyle name="Total 3 3 2 2 2 2" xfId="50888" xr:uid="{00000000-0005-0000-0000-0000C8C60000}"/>
    <cellStyle name="Total 3 3 2 2 2 2 2" xfId="50889" xr:uid="{00000000-0005-0000-0000-0000C9C60000}"/>
    <cellStyle name="Total 3 3 2 2 2 2 2 2" xfId="50890" xr:uid="{00000000-0005-0000-0000-0000CAC60000}"/>
    <cellStyle name="Total 3 3 2 2 2 2 2 3" xfId="50891" xr:uid="{00000000-0005-0000-0000-0000CBC60000}"/>
    <cellStyle name="Total 3 3 2 2 2 2 2 4" xfId="50892" xr:uid="{00000000-0005-0000-0000-0000CCC60000}"/>
    <cellStyle name="Total 3 3 2 2 2 2 2 5" xfId="50893" xr:uid="{00000000-0005-0000-0000-0000CDC60000}"/>
    <cellStyle name="Total 3 3 2 2 2 2 2 6" xfId="50894" xr:uid="{00000000-0005-0000-0000-0000CEC60000}"/>
    <cellStyle name="Total 3 3 2 2 2 2 3" xfId="50895" xr:uid="{00000000-0005-0000-0000-0000CFC60000}"/>
    <cellStyle name="Total 3 3 2 2 2 2 4" xfId="50896" xr:uid="{00000000-0005-0000-0000-0000D0C60000}"/>
    <cellStyle name="Total 3 3 2 2 2 2 5" xfId="50897" xr:uid="{00000000-0005-0000-0000-0000D1C60000}"/>
    <cellStyle name="Total 3 3 2 2 2 2 6" xfId="50898" xr:uid="{00000000-0005-0000-0000-0000D2C60000}"/>
    <cellStyle name="Total 3 3 2 2 2 3" xfId="50899" xr:uid="{00000000-0005-0000-0000-0000D3C60000}"/>
    <cellStyle name="Total 3 3 2 2 2 3 2" xfId="50900" xr:uid="{00000000-0005-0000-0000-0000D4C60000}"/>
    <cellStyle name="Total 3 3 2 2 2 3 2 2" xfId="50901" xr:uid="{00000000-0005-0000-0000-0000D5C60000}"/>
    <cellStyle name="Total 3 3 2 2 2 3 2 3" xfId="50902" xr:uid="{00000000-0005-0000-0000-0000D6C60000}"/>
    <cellStyle name="Total 3 3 2 2 2 3 2 4" xfId="50903" xr:uid="{00000000-0005-0000-0000-0000D7C60000}"/>
    <cellStyle name="Total 3 3 2 2 2 3 2 5" xfId="50904" xr:uid="{00000000-0005-0000-0000-0000D8C60000}"/>
    <cellStyle name="Total 3 3 2 2 2 3 2 6" xfId="50905" xr:uid="{00000000-0005-0000-0000-0000D9C60000}"/>
    <cellStyle name="Total 3 3 2 2 2 3 3" xfId="50906" xr:uid="{00000000-0005-0000-0000-0000DAC60000}"/>
    <cellStyle name="Total 3 3 2 2 2 3 4" xfId="50907" xr:uid="{00000000-0005-0000-0000-0000DBC60000}"/>
    <cellStyle name="Total 3 3 2 2 2 3 5" xfId="50908" xr:uid="{00000000-0005-0000-0000-0000DCC60000}"/>
    <cellStyle name="Total 3 3 2 2 2 3 6" xfId="50909" xr:uid="{00000000-0005-0000-0000-0000DDC60000}"/>
    <cellStyle name="Total 3 3 2 2 2 4" xfId="50910" xr:uid="{00000000-0005-0000-0000-0000DEC60000}"/>
    <cellStyle name="Total 3 3 2 2 2 4 2" xfId="50911" xr:uid="{00000000-0005-0000-0000-0000DFC60000}"/>
    <cellStyle name="Total 3 3 2 2 2 4 3" xfId="50912" xr:uid="{00000000-0005-0000-0000-0000E0C60000}"/>
    <cellStyle name="Total 3 3 2 2 2 4 4" xfId="50913" xr:uid="{00000000-0005-0000-0000-0000E1C60000}"/>
    <cellStyle name="Total 3 3 2 2 2 4 5" xfId="50914" xr:uid="{00000000-0005-0000-0000-0000E2C60000}"/>
    <cellStyle name="Total 3 3 2 2 2 4 6" xfId="50915" xr:uid="{00000000-0005-0000-0000-0000E3C60000}"/>
    <cellStyle name="Total 3 3 2 2 2 5" xfId="50916" xr:uid="{00000000-0005-0000-0000-0000E4C60000}"/>
    <cellStyle name="Total 3 3 2 2 2 6" xfId="50917" xr:uid="{00000000-0005-0000-0000-0000E5C60000}"/>
    <cellStyle name="Total 3 3 2 2 2 7" xfId="50918" xr:uid="{00000000-0005-0000-0000-0000E6C60000}"/>
    <cellStyle name="Total 3 3 2 2 2 8" xfId="50919" xr:uid="{00000000-0005-0000-0000-0000E7C60000}"/>
    <cellStyle name="Total 3 3 2 2 3" xfId="50920" xr:uid="{00000000-0005-0000-0000-0000E8C60000}"/>
    <cellStyle name="Total 3 3 2 2 3 2" xfId="50921" xr:uid="{00000000-0005-0000-0000-0000E9C60000}"/>
    <cellStyle name="Total 3 3 2 2 3 2 2" xfId="50922" xr:uid="{00000000-0005-0000-0000-0000EAC60000}"/>
    <cellStyle name="Total 3 3 2 2 3 2 2 2" xfId="50923" xr:uid="{00000000-0005-0000-0000-0000EBC60000}"/>
    <cellStyle name="Total 3 3 2 2 3 2 2 3" xfId="50924" xr:uid="{00000000-0005-0000-0000-0000ECC60000}"/>
    <cellStyle name="Total 3 3 2 2 3 2 2 4" xfId="50925" xr:uid="{00000000-0005-0000-0000-0000EDC60000}"/>
    <cellStyle name="Total 3 3 2 2 3 2 2 5" xfId="50926" xr:uid="{00000000-0005-0000-0000-0000EEC60000}"/>
    <cellStyle name="Total 3 3 2 2 3 2 2 6" xfId="50927" xr:uid="{00000000-0005-0000-0000-0000EFC60000}"/>
    <cellStyle name="Total 3 3 2 2 3 2 3" xfId="50928" xr:uid="{00000000-0005-0000-0000-0000F0C60000}"/>
    <cellStyle name="Total 3 3 2 2 3 2 4" xfId="50929" xr:uid="{00000000-0005-0000-0000-0000F1C60000}"/>
    <cellStyle name="Total 3 3 2 2 3 2 5" xfId="50930" xr:uid="{00000000-0005-0000-0000-0000F2C60000}"/>
    <cellStyle name="Total 3 3 2 2 3 2 6" xfId="50931" xr:uid="{00000000-0005-0000-0000-0000F3C60000}"/>
    <cellStyle name="Total 3 3 2 2 3 3" xfId="50932" xr:uid="{00000000-0005-0000-0000-0000F4C60000}"/>
    <cellStyle name="Total 3 3 2 2 3 3 2" xfId="50933" xr:uid="{00000000-0005-0000-0000-0000F5C60000}"/>
    <cellStyle name="Total 3 3 2 2 3 3 2 2" xfId="50934" xr:uid="{00000000-0005-0000-0000-0000F6C60000}"/>
    <cellStyle name="Total 3 3 2 2 3 3 2 3" xfId="50935" xr:uid="{00000000-0005-0000-0000-0000F7C60000}"/>
    <cellStyle name="Total 3 3 2 2 3 3 2 4" xfId="50936" xr:uid="{00000000-0005-0000-0000-0000F8C60000}"/>
    <cellStyle name="Total 3 3 2 2 3 3 2 5" xfId="50937" xr:uid="{00000000-0005-0000-0000-0000F9C60000}"/>
    <cellStyle name="Total 3 3 2 2 3 3 2 6" xfId="50938" xr:uid="{00000000-0005-0000-0000-0000FAC60000}"/>
    <cellStyle name="Total 3 3 2 2 3 3 3" xfId="50939" xr:uid="{00000000-0005-0000-0000-0000FBC60000}"/>
    <cellStyle name="Total 3 3 2 2 3 3 4" xfId="50940" xr:uid="{00000000-0005-0000-0000-0000FCC60000}"/>
    <cellStyle name="Total 3 3 2 2 3 3 5" xfId="50941" xr:uid="{00000000-0005-0000-0000-0000FDC60000}"/>
    <cellStyle name="Total 3 3 2 2 3 3 6" xfId="50942" xr:uid="{00000000-0005-0000-0000-0000FEC60000}"/>
    <cellStyle name="Total 3 3 2 2 3 4" xfId="50943" xr:uid="{00000000-0005-0000-0000-0000FFC60000}"/>
    <cellStyle name="Total 3 3 2 2 3 4 2" xfId="50944" xr:uid="{00000000-0005-0000-0000-000000C70000}"/>
    <cellStyle name="Total 3 3 2 2 3 4 3" xfId="50945" xr:uid="{00000000-0005-0000-0000-000001C70000}"/>
    <cellStyle name="Total 3 3 2 2 3 4 4" xfId="50946" xr:uid="{00000000-0005-0000-0000-000002C70000}"/>
    <cellStyle name="Total 3 3 2 2 3 4 5" xfId="50947" xr:uid="{00000000-0005-0000-0000-000003C70000}"/>
    <cellStyle name="Total 3 3 2 2 3 4 6" xfId="50948" xr:uid="{00000000-0005-0000-0000-000004C70000}"/>
    <cellStyle name="Total 3 3 2 2 3 5" xfId="50949" xr:uid="{00000000-0005-0000-0000-000005C70000}"/>
    <cellStyle name="Total 3 3 2 2 3 6" xfId="50950" xr:uid="{00000000-0005-0000-0000-000006C70000}"/>
    <cellStyle name="Total 3 3 2 2 3 7" xfId="50951" xr:uid="{00000000-0005-0000-0000-000007C70000}"/>
    <cellStyle name="Total 3 3 2 2 3 8" xfId="50952" xr:uid="{00000000-0005-0000-0000-000008C70000}"/>
    <cellStyle name="Total 3 3 2 2 4" xfId="50953" xr:uid="{00000000-0005-0000-0000-000009C70000}"/>
    <cellStyle name="Total 3 3 2 2 4 2" xfId="50954" xr:uid="{00000000-0005-0000-0000-00000AC70000}"/>
    <cellStyle name="Total 3 3 2 2 4 2 2" xfId="50955" xr:uid="{00000000-0005-0000-0000-00000BC70000}"/>
    <cellStyle name="Total 3 3 2 2 4 2 2 2" xfId="50956" xr:uid="{00000000-0005-0000-0000-00000CC70000}"/>
    <cellStyle name="Total 3 3 2 2 4 2 2 3" xfId="50957" xr:uid="{00000000-0005-0000-0000-00000DC70000}"/>
    <cellStyle name="Total 3 3 2 2 4 2 2 4" xfId="50958" xr:uid="{00000000-0005-0000-0000-00000EC70000}"/>
    <cellStyle name="Total 3 3 2 2 4 2 2 5" xfId="50959" xr:uid="{00000000-0005-0000-0000-00000FC70000}"/>
    <cellStyle name="Total 3 3 2 2 4 2 2 6" xfId="50960" xr:uid="{00000000-0005-0000-0000-000010C70000}"/>
    <cellStyle name="Total 3 3 2 2 4 2 3" xfId="50961" xr:uid="{00000000-0005-0000-0000-000011C70000}"/>
    <cellStyle name="Total 3 3 2 2 4 2 4" xfId="50962" xr:uid="{00000000-0005-0000-0000-000012C70000}"/>
    <cellStyle name="Total 3 3 2 2 4 2 5" xfId="50963" xr:uid="{00000000-0005-0000-0000-000013C70000}"/>
    <cellStyle name="Total 3 3 2 2 4 2 6" xfId="50964" xr:uid="{00000000-0005-0000-0000-000014C70000}"/>
    <cellStyle name="Total 3 3 2 2 4 3" xfId="50965" xr:uid="{00000000-0005-0000-0000-000015C70000}"/>
    <cellStyle name="Total 3 3 2 2 4 3 2" xfId="50966" xr:uid="{00000000-0005-0000-0000-000016C70000}"/>
    <cellStyle name="Total 3 3 2 2 4 3 2 2" xfId="50967" xr:uid="{00000000-0005-0000-0000-000017C70000}"/>
    <cellStyle name="Total 3 3 2 2 4 3 2 3" xfId="50968" xr:uid="{00000000-0005-0000-0000-000018C70000}"/>
    <cellStyle name="Total 3 3 2 2 4 3 2 4" xfId="50969" xr:uid="{00000000-0005-0000-0000-000019C70000}"/>
    <cellStyle name="Total 3 3 2 2 4 3 2 5" xfId="50970" xr:uid="{00000000-0005-0000-0000-00001AC70000}"/>
    <cellStyle name="Total 3 3 2 2 4 3 2 6" xfId="50971" xr:uid="{00000000-0005-0000-0000-00001BC70000}"/>
    <cellStyle name="Total 3 3 2 2 4 3 3" xfId="50972" xr:uid="{00000000-0005-0000-0000-00001CC70000}"/>
    <cellStyle name="Total 3 3 2 2 4 3 4" xfId="50973" xr:uid="{00000000-0005-0000-0000-00001DC70000}"/>
    <cellStyle name="Total 3 3 2 2 4 3 5" xfId="50974" xr:uid="{00000000-0005-0000-0000-00001EC70000}"/>
    <cellStyle name="Total 3 3 2 2 4 3 6" xfId="50975" xr:uid="{00000000-0005-0000-0000-00001FC70000}"/>
    <cellStyle name="Total 3 3 2 2 4 4" xfId="50976" xr:uid="{00000000-0005-0000-0000-000020C70000}"/>
    <cellStyle name="Total 3 3 2 2 4 4 2" xfId="50977" xr:uid="{00000000-0005-0000-0000-000021C70000}"/>
    <cellStyle name="Total 3 3 2 2 4 4 3" xfId="50978" xr:uid="{00000000-0005-0000-0000-000022C70000}"/>
    <cellStyle name="Total 3 3 2 2 4 4 4" xfId="50979" xr:uid="{00000000-0005-0000-0000-000023C70000}"/>
    <cellStyle name="Total 3 3 2 2 4 4 5" xfId="50980" xr:uid="{00000000-0005-0000-0000-000024C70000}"/>
    <cellStyle name="Total 3 3 2 2 4 4 6" xfId="50981" xr:uid="{00000000-0005-0000-0000-000025C70000}"/>
    <cellStyle name="Total 3 3 2 2 4 5" xfId="50982" xr:uid="{00000000-0005-0000-0000-000026C70000}"/>
    <cellStyle name="Total 3 3 2 2 4 6" xfId="50983" xr:uid="{00000000-0005-0000-0000-000027C70000}"/>
    <cellStyle name="Total 3 3 2 2 4 7" xfId="50984" xr:uid="{00000000-0005-0000-0000-000028C70000}"/>
    <cellStyle name="Total 3 3 2 2 4 8" xfId="50985" xr:uid="{00000000-0005-0000-0000-000029C70000}"/>
    <cellStyle name="Total 3 3 2 2 5" xfId="50986" xr:uid="{00000000-0005-0000-0000-00002AC70000}"/>
    <cellStyle name="Total 3 3 2 2 5 2" xfId="50987" xr:uid="{00000000-0005-0000-0000-00002BC70000}"/>
    <cellStyle name="Total 3 3 2 2 5 2 2" xfId="50988" xr:uid="{00000000-0005-0000-0000-00002CC70000}"/>
    <cellStyle name="Total 3 3 2 2 5 2 2 2" xfId="50989" xr:uid="{00000000-0005-0000-0000-00002DC70000}"/>
    <cellStyle name="Total 3 3 2 2 5 2 2 3" xfId="50990" xr:uid="{00000000-0005-0000-0000-00002EC70000}"/>
    <cellStyle name="Total 3 3 2 2 5 2 2 4" xfId="50991" xr:uid="{00000000-0005-0000-0000-00002FC70000}"/>
    <cellStyle name="Total 3 3 2 2 5 2 2 5" xfId="50992" xr:uid="{00000000-0005-0000-0000-000030C70000}"/>
    <cellStyle name="Total 3 3 2 2 5 2 2 6" xfId="50993" xr:uid="{00000000-0005-0000-0000-000031C70000}"/>
    <cellStyle name="Total 3 3 2 2 5 2 3" xfId="50994" xr:uid="{00000000-0005-0000-0000-000032C70000}"/>
    <cellStyle name="Total 3 3 2 2 5 2 4" xfId="50995" xr:uid="{00000000-0005-0000-0000-000033C70000}"/>
    <cellStyle name="Total 3 3 2 2 5 2 5" xfId="50996" xr:uid="{00000000-0005-0000-0000-000034C70000}"/>
    <cellStyle name="Total 3 3 2 2 5 2 6" xfId="50997" xr:uid="{00000000-0005-0000-0000-000035C70000}"/>
    <cellStyle name="Total 3 3 2 2 5 3" xfId="50998" xr:uid="{00000000-0005-0000-0000-000036C70000}"/>
    <cellStyle name="Total 3 3 2 2 5 3 2" xfId="50999" xr:uid="{00000000-0005-0000-0000-000037C70000}"/>
    <cellStyle name="Total 3 3 2 2 5 3 2 2" xfId="51000" xr:uid="{00000000-0005-0000-0000-000038C70000}"/>
    <cellStyle name="Total 3 3 2 2 5 3 2 3" xfId="51001" xr:uid="{00000000-0005-0000-0000-000039C70000}"/>
    <cellStyle name="Total 3 3 2 2 5 3 2 4" xfId="51002" xr:uid="{00000000-0005-0000-0000-00003AC70000}"/>
    <cellStyle name="Total 3 3 2 2 5 3 2 5" xfId="51003" xr:uid="{00000000-0005-0000-0000-00003BC70000}"/>
    <cellStyle name="Total 3 3 2 2 5 3 2 6" xfId="51004" xr:uid="{00000000-0005-0000-0000-00003CC70000}"/>
    <cellStyle name="Total 3 3 2 2 5 3 3" xfId="51005" xr:uid="{00000000-0005-0000-0000-00003DC70000}"/>
    <cellStyle name="Total 3 3 2 2 5 3 4" xfId="51006" xr:uid="{00000000-0005-0000-0000-00003EC70000}"/>
    <cellStyle name="Total 3 3 2 2 5 3 5" xfId="51007" xr:uid="{00000000-0005-0000-0000-00003FC70000}"/>
    <cellStyle name="Total 3 3 2 2 5 3 6" xfId="51008" xr:uid="{00000000-0005-0000-0000-000040C70000}"/>
    <cellStyle name="Total 3 3 2 2 5 4" xfId="51009" xr:uid="{00000000-0005-0000-0000-000041C70000}"/>
    <cellStyle name="Total 3 3 2 2 5 4 2" xfId="51010" xr:uid="{00000000-0005-0000-0000-000042C70000}"/>
    <cellStyle name="Total 3 3 2 2 5 4 3" xfId="51011" xr:uid="{00000000-0005-0000-0000-000043C70000}"/>
    <cellStyle name="Total 3 3 2 2 5 4 4" xfId="51012" xr:uid="{00000000-0005-0000-0000-000044C70000}"/>
    <cellStyle name="Total 3 3 2 2 5 4 5" xfId="51013" xr:uid="{00000000-0005-0000-0000-000045C70000}"/>
    <cellStyle name="Total 3 3 2 2 5 4 6" xfId="51014" xr:uid="{00000000-0005-0000-0000-000046C70000}"/>
    <cellStyle name="Total 3 3 2 2 5 5" xfId="51015" xr:uid="{00000000-0005-0000-0000-000047C70000}"/>
    <cellStyle name="Total 3 3 2 2 5 6" xfId="51016" xr:uid="{00000000-0005-0000-0000-000048C70000}"/>
    <cellStyle name="Total 3 3 2 2 5 7" xfId="51017" xr:uid="{00000000-0005-0000-0000-000049C70000}"/>
    <cellStyle name="Total 3 3 2 2 5 8" xfId="51018" xr:uid="{00000000-0005-0000-0000-00004AC70000}"/>
    <cellStyle name="Total 3 3 2 2 6" xfId="51019" xr:uid="{00000000-0005-0000-0000-00004BC70000}"/>
    <cellStyle name="Total 3 3 2 2 6 2" xfId="51020" xr:uid="{00000000-0005-0000-0000-00004CC70000}"/>
    <cellStyle name="Total 3 3 2 2 6 2 2" xfId="51021" xr:uid="{00000000-0005-0000-0000-00004DC70000}"/>
    <cellStyle name="Total 3 3 2 2 6 2 2 2" xfId="51022" xr:uid="{00000000-0005-0000-0000-00004EC70000}"/>
    <cellStyle name="Total 3 3 2 2 6 2 2 3" xfId="51023" xr:uid="{00000000-0005-0000-0000-00004FC70000}"/>
    <cellStyle name="Total 3 3 2 2 6 2 2 4" xfId="51024" xr:uid="{00000000-0005-0000-0000-000050C70000}"/>
    <cellStyle name="Total 3 3 2 2 6 2 2 5" xfId="51025" xr:uid="{00000000-0005-0000-0000-000051C70000}"/>
    <cellStyle name="Total 3 3 2 2 6 2 2 6" xfId="51026" xr:uid="{00000000-0005-0000-0000-000052C70000}"/>
    <cellStyle name="Total 3 3 2 2 6 2 3" xfId="51027" xr:uid="{00000000-0005-0000-0000-000053C70000}"/>
    <cellStyle name="Total 3 3 2 2 6 2 4" xfId="51028" xr:uid="{00000000-0005-0000-0000-000054C70000}"/>
    <cellStyle name="Total 3 3 2 2 6 2 5" xfId="51029" xr:uid="{00000000-0005-0000-0000-000055C70000}"/>
    <cellStyle name="Total 3 3 2 2 6 2 6" xfId="51030" xr:uid="{00000000-0005-0000-0000-000056C70000}"/>
    <cellStyle name="Total 3 3 2 2 6 3" xfId="51031" xr:uid="{00000000-0005-0000-0000-000057C70000}"/>
    <cellStyle name="Total 3 3 2 2 6 3 2" xfId="51032" xr:uid="{00000000-0005-0000-0000-000058C70000}"/>
    <cellStyle name="Total 3 3 2 2 6 3 2 2" xfId="51033" xr:uid="{00000000-0005-0000-0000-000059C70000}"/>
    <cellStyle name="Total 3 3 2 2 6 3 2 3" xfId="51034" xr:uid="{00000000-0005-0000-0000-00005AC70000}"/>
    <cellStyle name="Total 3 3 2 2 6 3 2 4" xfId="51035" xr:uid="{00000000-0005-0000-0000-00005BC70000}"/>
    <cellStyle name="Total 3 3 2 2 6 3 2 5" xfId="51036" xr:uid="{00000000-0005-0000-0000-00005CC70000}"/>
    <cellStyle name="Total 3 3 2 2 6 3 2 6" xfId="51037" xr:uid="{00000000-0005-0000-0000-00005DC70000}"/>
    <cellStyle name="Total 3 3 2 2 6 3 3" xfId="51038" xr:uid="{00000000-0005-0000-0000-00005EC70000}"/>
    <cellStyle name="Total 3 3 2 2 6 3 4" xfId="51039" xr:uid="{00000000-0005-0000-0000-00005FC70000}"/>
    <cellStyle name="Total 3 3 2 2 6 3 5" xfId="51040" xr:uid="{00000000-0005-0000-0000-000060C70000}"/>
    <cellStyle name="Total 3 3 2 2 6 3 6" xfId="51041" xr:uid="{00000000-0005-0000-0000-000061C70000}"/>
    <cellStyle name="Total 3 3 2 2 6 4" xfId="51042" xr:uid="{00000000-0005-0000-0000-000062C70000}"/>
    <cellStyle name="Total 3 3 2 2 6 4 2" xfId="51043" xr:uid="{00000000-0005-0000-0000-000063C70000}"/>
    <cellStyle name="Total 3 3 2 2 6 4 3" xfId="51044" xr:uid="{00000000-0005-0000-0000-000064C70000}"/>
    <cellStyle name="Total 3 3 2 2 6 4 4" xfId="51045" xr:uid="{00000000-0005-0000-0000-000065C70000}"/>
    <cellStyle name="Total 3 3 2 2 6 4 5" xfId="51046" xr:uid="{00000000-0005-0000-0000-000066C70000}"/>
    <cellStyle name="Total 3 3 2 2 6 4 6" xfId="51047" xr:uid="{00000000-0005-0000-0000-000067C70000}"/>
    <cellStyle name="Total 3 3 2 2 6 5" xfId="51048" xr:uid="{00000000-0005-0000-0000-000068C70000}"/>
    <cellStyle name="Total 3 3 2 2 6 6" xfId="51049" xr:uid="{00000000-0005-0000-0000-000069C70000}"/>
    <cellStyle name="Total 3 3 2 2 6 7" xfId="51050" xr:uid="{00000000-0005-0000-0000-00006AC70000}"/>
    <cellStyle name="Total 3 3 2 2 6 8" xfId="51051" xr:uid="{00000000-0005-0000-0000-00006BC70000}"/>
    <cellStyle name="Total 3 3 2 2 7" xfId="51052" xr:uid="{00000000-0005-0000-0000-00006CC70000}"/>
    <cellStyle name="Total 3 3 2 2 7 2" xfId="51053" xr:uid="{00000000-0005-0000-0000-00006DC70000}"/>
    <cellStyle name="Total 3 3 2 2 7 2 2" xfId="51054" xr:uid="{00000000-0005-0000-0000-00006EC70000}"/>
    <cellStyle name="Total 3 3 2 2 7 2 3" xfId="51055" xr:uid="{00000000-0005-0000-0000-00006FC70000}"/>
    <cellStyle name="Total 3 3 2 2 7 2 4" xfId="51056" xr:uid="{00000000-0005-0000-0000-000070C70000}"/>
    <cellStyle name="Total 3 3 2 2 7 2 5" xfId="51057" xr:uid="{00000000-0005-0000-0000-000071C70000}"/>
    <cellStyle name="Total 3 3 2 2 7 2 6" xfId="51058" xr:uid="{00000000-0005-0000-0000-000072C70000}"/>
    <cellStyle name="Total 3 3 2 2 7 3" xfId="51059" xr:uid="{00000000-0005-0000-0000-000073C70000}"/>
    <cellStyle name="Total 3 3 2 2 7 4" xfId="51060" xr:uid="{00000000-0005-0000-0000-000074C70000}"/>
    <cellStyle name="Total 3 3 2 2 7 5" xfId="51061" xr:uid="{00000000-0005-0000-0000-000075C70000}"/>
    <cellStyle name="Total 3 3 2 2 7 6" xfId="51062" xr:uid="{00000000-0005-0000-0000-000076C70000}"/>
    <cellStyle name="Total 3 3 2 2 8" xfId="51063" xr:uid="{00000000-0005-0000-0000-000077C70000}"/>
    <cellStyle name="Total 3 3 2 2 8 2" xfId="51064" xr:uid="{00000000-0005-0000-0000-000078C70000}"/>
    <cellStyle name="Total 3 3 2 2 8 2 2" xfId="51065" xr:uid="{00000000-0005-0000-0000-000079C70000}"/>
    <cellStyle name="Total 3 3 2 2 8 2 3" xfId="51066" xr:uid="{00000000-0005-0000-0000-00007AC70000}"/>
    <cellStyle name="Total 3 3 2 2 8 2 4" xfId="51067" xr:uid="{00000000-0005-0000-0000-00007BC70000}"/>
    <cellStyle name="Total 3 3 2 2 8 2 5" xfId="51068" xr:uid="{00000000-0005-0000-0000-00007CC70000}"/>
    <cellStyle name="Total 3 3 2 2 8 2 6" xfId="51069" xr:uid="{00000000-0005-0000-0000-00007DC70000}"/>
    <cellStyle name="Total 3 3 2 2 8 3" xfId="51070" xr:uid="{00000000-0005-0000-0000-00007EC70000}"/>
    <cellStyle name="Total 3 3 2 2 8 4" xfId="51071" xr:uid="{00000000-0005-0000-0000-00007FC70000}"/>
    <cellStyle name="Total 3 3 2 2 8 5" xfId="51072" xr:uid="{00000000-0005-0000-0000-000080C70000}"/>
    <cellStyle name="Total 3 3 2 2 8 6" xfId="51073" xr:uid="{00000000-0005-0000-0000-000081C70000}"/>
    <cellStyle name="Total 3 3 2 2 9" xfId="51074" xr:uid="{00000000-0005-0000-0000-000082C70000}"/>
    <cellStyle name="Total 3 3 2 2 9 2" xfId="51075" xr:uid="{00000000-0005-0000-0000-000083C70000}"/>
    <cellStyle name="Total 3 3 2 2 9 3" xfId="51076" xr:uid="{00000000-0005-0000-0000-000084C70000}"/>
    <cellStyle name="Total 3 3 2 2 9 4" xfId="51077" xr:uid="{00000000-0005-0000-0000-000085C70000}"/>
    <cellStyle name="Total 3 3 2 2 9 5" xfId="51078" xr:uid="{00000000-0005-0000-0000-000086C70000}"/>
    <cellStyle name="Total 3 3 2 2 9 6" xfId="51079" xr:uid="{00000000-0005-0000-0000-000087C70000}"/>
    <cellStyle name="Total 3 3 2 3" xfId="51080" xr:uid="{00000000-0005-0000-0000-000088C70000}"/>
    <cellStyle name="Total 3 3 2 3 2" xfId="51081" xr:uid="{00000000-0005-0000-0000-000089C70000}"/>
    <cellStyle name="Total 3 3 2 3 3" xfId="51082" xr:uid="{00000000-0005-0000-0000-00008AC70000}"/>
    <cellStyle name="Total 3 3 2 3 4" xfId="51083" xr:uid="{00000000-0005-0000-0000-00008BC70000}"/>
    <cellStyle name="Total 3 3 2 3 5" xfId="51084" xr:uid="{00000000-0005-0000-0000-00008CC70000}"/>
    <cellStyle name="Total 3 3 2 3 6" xfId="51085" xr:uid="{00000000-0005-0000-0000-00008DC70000}"/>
    <cellStyle name="Total 3 3 2 4" xfId="51086" xr:uid="{00000000-0005-0000-0000-00008EC70000}"/>
    <cellStyle name="Total 3 3 2 4 2" xfId="51087" xr:uid="{00000000-0005-0000-0000-00008FC70000}"/>
    <cellStyle name="Total 3 3 2 4 3" xfId="51088" xr:uid="{00000000-0005-0000-0000-000090C70000}"/>
    <cellStyle name="Total 3 3 2 4 4" xfId="51089" xr:uid="{00000000-0005-0000-0000-000091C70000}"/>
    <cellStyle name="Total 3 3 2 4 5" xfId="51090" xr:uid="{00000000-0005-0000-0000-000092C70000}"/>
    <cellStyle name="Total 3 3 2 4 6" xfId="51091" xr:uid="{00000000-0005-0000-0000-000093C70000}"/>
    <cellStyle name="Total 3 3 2 5" xfId="51092" xr:uid="{00000000-0005-0000-0000-000094C70000}"/>
    <cellStyle name="Total 3 3 2 6" xfId="51093" xr:uid="{00000000-0005-0000-0000-000095C70000}"/>
    <cellStyle name="Total 3 3 2 7" xfId="51094" xr:uid="{00000000-0005-0000-0000-000096C70000}"/>
    <cellStyle name="Total 3 3 2 8" xfId="51095" xr:uid="{00000000-0005-0000-0000-000097C70000}"/>
    <cellStyle name="Total 3 3 20" xfId="51096" xr:uid="{00000000-0005-0000-0000-000098C70000}"/>
    <cellStyle name="Total 3 3 20 2" xfId="51097" xr:uid="{00000000-0005-0000-0000-000099C70000}"/>
    <cellStyle name="Total 3 3 20 2 2" xfId="51098" xr:uid="{00000000-0005-0000-0000-00009AC70000}"/>
    <cellStyle name="Total 3 3 20 2 3" xfId="51099" xr:uid="{00000000-0005-0000-0000-00009BC70000}"/>
    <cellStyle name="Total 3 3 20 2 4" xfId="51100" xr:uid="{00000000-0005-0000-0000-00009CC70000}"/>
    <cellStyle name="Total 3 3 20 2 5" xfId="51101" xr:uid="{00000000-0005-0000-0000-00009DC70000}"/>
    <cellStyle name="Total 3 3 20 2 6" xfId="51102" xr:uid="{00000000-0005-0000-0000-00009EC70000}"/>
    <cellStyle name="Total 3 3 20 3" xfId="51103" xr:uid="{00000000-0005-0000-0000-00009FC70000}"/>
    <cellStyle name="Total 3 3 20 4" xfId="51104" xr:uid="{00000000-0005-0000-0000-0000A0C70000}"/>
    <cellStyle name="Total 3 3 20 5" xfId="51105" xr:uid="{00000000-0005-0000-0000-0000A1C70000}"/>
    <cellStyle name="Total 3 3 20 6" xfId="51106" xr:uid="{00000000-0005-0000-0000-0000A2C70000}"/>
    <cellStyle name="Total 3 3 20 7" xfId="51107" xr:uid="{00000000-0005-0000-0000-0000A3C70000}"/>
    <cellStyle name="Total 3 3 21" xfId="51108" xr:uid="{00000000-0005-0000-0000-0000A4C70000}"/>
    <cellStyle name="Total 3 3 21 2" xfId="51109" xr:uid="{00000000-0005-0000-0000-0000A5C70000}"/>
    <cellStyle name="Total 3 3 21 2 2" xfId="51110" xr:uid="{00000000-0005-0000-0000-0000A6C70000}"/>
    <cellStyle name="Total 3 3 21 2 3" xfId="51111" xr:uid="{00000000-0005-0000-0000-0000A7C70000}"/>
    <cellStyle name="Total 3 3 21 2 4" xfId="51112" xr:uid="{00000000-0005-0000-0000-0000A8C70000}"/>
    <cellStyle name="Total 3 3 21 2 5" xfId="51113" xr:uid="{00000000-0005-0000-0000-0000A9C70000}"/>
    <cellStyle name="Total 3 3 21 2 6" xfId="51114" xr:uid="{00000000-0005-0000-0000-0000AAC70000}"/>
    <cellStyle name="Total 3 3 21 3" xfId="51115" xr:uid="{00000000-0005-0000-0000-0000ABC70000}"/>
    <cellStyle name="Total 3 3 21 4" xfId="51116" xr:uid="{00000000-0005-0000-0000-0000ACC70000}"/>
    <cellStyle name="Total 3 3 21 5" xfId="51117" xr:uid="{00000000-0005-0000-0000-0000ADC70000}"/>
    <cellStyle name="Total 3 3 21 6" xfId="51118" xr:uid="{00000000-0005-0000-0000-0000AEC70000}"/>
    <cellStyle name="Total 3 3 21 7" xfId="51119" xr:uid="{00000000-0005-0000-0000-0000AFC70000}"/>
    <cellStyle name="Total 3 3 22" xfId="51120" xr:uid="{00000000-0005-0000-0000-0000B0C70000}"/>
    <cellStyle name="Total 3 3 22 2" xfId="51121" xr:uid="{00000000-0005-0000-0000-0000B1C70000}"/>
    <cellStyle name="Total 3 3 22 2 2" xfId="51122" xr:uid="{00000000-0005-0000-0000-0000B2C70000}"/>
    <cellStyle name="Total 3 3 22 2 3" xfId="51123" xr:uid="{00000000-0005-0000-0000-0000B3C70000}"/>
    <cellStyle name="Total 3 3 22 2 4" xfId="51124" xr:uid="{00000000-0005-0000-0000-0000B4C70000}"/>
    <cellStyle name="Total 3 3 22 2 5" xfId="51125" xr:uid="{00000000-0005-0000-0000-0000B5C70000}"/>
    <cellStyle name="Total 3 3 22 2 6" xfId="51126" xr:uid="{00000000-0005-0000-0000-0000B6C70000}"/>
    <cellStyle name="Total 3 3 22 3" xfId="51127" xr:uid="{00000000-0005-0000-0000-0000B7C70000}"/>
    <cellStyle name="Total 3 3 22 4" xfId="51128" xr:uid="{00000000-0005-0000-0000-0000B8C70000}"/>
    <cellStyle name="Total 3 3 22 5" xfId="51129" xr:uid="{00000000-0005-0000-0000-0000B9C70000}"/>
    <cellStyle name="Total 3 3 22 6" xfId="51130" xr:uid="{00000000-0005-0000-0000-0000BAC70000}"/>
    <cellStyle name="Total 3 3 22 7" xfId="51131" xr:uid="{00000000-0005-0000-0000-0000BBC70000}"/>
    <cellStyle name="Total 3 3 23" xfId="51132" xr:uid="{00000000-0005-0000-0000-0000BCC70000}"/>
    <cellStyle name="Total 3 3 23 2" xfId="51133" xr:uid="{00000000-0005-0000-0000-0000BDC70000}"/>
    <cellStyle name="Total 3 3 23 2 2" xfId="51134" xr:uid="{00000000-0005-0000-0000-0000BEC70000}"/>
    <cellStyle name="Total 3 3 23 2 3" xfId="51135" xr:uid="{00000000-0005-0000-0000-0000BFC70000}"/>
    <cellStyle name="Total 3 3 23 2 4" xfId="51136" xr:uid="{00000000-0005-0000-0000-0000C0C70000}"/>
    <cellStyle name="Total 3 3 23 2 5" xfId="51137" xr:uid="{00000000-0005-0000-0000-0000C1C70000}"/>
    <cellStyle name="Total 3 3 23 2 6" xfId="51138" xr:uid="{00000000-0005-0000-0000-0000C2C70000}"/>
    <cellStyle name="Total 3 3 23 3" xfId="51139" xr:uid="{00000000-0005-0000-0000-0000C3C70000}"/>
    <cellStyle name="Total 3 3 23 4" xfId="51140" xr:uid="{00000000-0005-0000-0000-0000C4C70000}"/>
    <cellStyle name="Total 3 3 23 5" xfId="51141" xr:uid="{00000000-0005-0000-0000-0000C5C70000}"/>
    <cellStyle name="Total 3 3 23 6" xfId="51142" xr:uid="{00000000-0005-0000-0000-0000C6C70000}"/>
    <cellStyle name="Total 3 3 23 7" xfId="51143" xr:uid="{00000000-0005-0000-0000-0000C7C70000}"/>
    <cellStyle name="Total 3 3 24" xfId="51144" xr:uid="{00000000-0005-0000-0000-0000C8C70000}"/>
    <cellStyle name="Total 3 3 24 2" xfId="51145" xr:uid="{00000000-0005-0000-0000-0000C9C70000}"/>
    <cellStyle name="Total 3 3 24 2 2" xfId="51146" xr:uid="{00000000-0005-0000-0000-0000CAC70000}"/>
    <cellStyle name="Total 3 3 24 2 3" xfId="51147" xr:uid="{00000000-0005-0000-0000-0000CBC70000}"/>
    <cellStyle name="Total 3 3 24 2 4" xfId="51148" xr:uid="{00000000-0005-0000-0000-0000CCC70000}"/>
    <cellStyle name="Total 3 3 24 2 5" xfId="51149" xr:uid="{00000000-0005-0000-0000-0000CDC70000}"/>
    <cellStyle name="Total 3 3 24 2 6" xfId="51150" xr:uid="{00000000-0005-0000-0000-0000CEC70000}"/>
    <cellStyle name="Total 3 3 24 3" xfId="51151" xr:uid="{00000000-0005-0000-0000-0000CFC70000}"/>
    <cellStyle name="Total 3 3 24 4" xfId="51152" xr:uid="{00000000-0005-0000-0000-0000D0C70000}"/>
    <cellStyle name="Total 3 3 24 5" xfId="51153" xr:uid="{00000000-0005-0000-0000-0000D1C70000}"/>
    <cellStyle name="Total 3 3 24 6" xfId="51154" xr:uid="{00000000-0005-0000-0000-0000D2C70000}"/>
    <cellStyle name="Total 3 3 24 7" xfId="51155" xr:uid="{00000000-0005-0000-0000-0000D3C70000}"/>
    <cellStyle name="Total 3 3 25" xfId="51156" xr:uid="{00000000-0005-0000-0000-0000D4C70000}"/>
    <cellStyle name="Total 3 3 25 2" xfId="51157" xr:uid="{00000000-0005-0000-0000-0000D5C70000}"/>
    <cellStyle name="Total 3 3 25 2 2" xfId="51158" xr:uid="{00000000-0005-0000-0000-0000D6C70000}"/>
    <cellStyle name="Total 3 3 25 2 3" xfId="51159" xr:uid="{00000000-0005-0000-0000-0000D7C70000}"/>
    <cellStyle name="Total 3 3 25 2 4" xfId="51160" xr:uid="{00000000-0005-0000-0000-0000D8C70000}"/>
    <cellStyle name="Total 3 3 25 2 5" xfId="51161" xr:uid="{00000000-0005-0000-0000-0000D9C70000}"/>
    <cellStyle name="Total 3 3 25 2 6" xfId="51162" xr:uid="{00000000-0005-0000-0000-0000DAC70000}"/>
    <cellStyle name="Total 3 3 25 3" xfId="51163" xr:uid="{00000000-0005-0000-0000-0000DBC70000}"/>
    <cellStyle name="Total 3 3 25 4" xfId="51164" xr:uid="{00000000-0005-0000-0000-0000DCC70000}"/>
    <cellStyle name="Total 3 3 25 5" xfId="51165" xr:uid="{00000000-0005-0000-0000-0000DDC70000}"/>
    <cellStyle name="Total 3 3 25 6" xfId="51166" xr:uid="{00000000-0005-0000-0000-0000DEC70000}"/>
    <cellStyle name="Total 3 3 25 7" xfId="51167" xr:uid="{00000000-0005-0000-0000-0000DFC70000}"/>
    <cellStyle name="Total 3 3 26" xfId="51168" xr:uid="{00000000-0005-0000-0000-0000E0C70000}"/>
    <cellStyle name="Total 3 3 26 2" xfId="51169" xr:uid="{00000000-0005-0000-0000-0000E1C70000}"/>
    <cellStyle name="Total 3 3 26 2 2" xfId="51170" xr:uid="{00000000-0005-0000-0000-0000E2C70000}"/>
    <cellStyle name="Total 3 3 26 2 3" xfId="51171" xr:uid="{00000000-0005-0000-0000-0000E3C70000}"/>
    <cellStyle name="Total 3 3 26 2 4" xfId="51172" xr:uid="{00000000-0005-0000-0000-0000E4C70000}"/>
    <cellStyle name="Total 3 3 26 2 5" xfId="51173" xr:uid="{00000000-0005-0000-0000-0000E5C70000}"/>
    <cellStyle name="Total 3 3 26 2 6" xfId="51174" xr:uid="{00000000-0005-0000-0000-0000E6C70000}"/>
    <cellStyle name="Total 3 3 26 3" xfId="51175" xr:uid="{00000000-0005-0000-0000-0000E7C70000}"/>
    <cellStyle name="Total 3 3 26 4" xfId="51176" xr:uid="{00000000-0005-0000-0000-0000E8C70000}"/>
    <cellStyle name="Total 3 3 26 5" xfId="51177" xr:uid="{00000000-0005-0000-0000-0000E9C70000}"/>
    <cellStyle name="Total 3 3 26 6" xfId="51178" xr:uid="{00000000-0005-0000-0000-0000EAC70000}"/>
    <cellStyle name="Total 3 3 26 7" xfId="51179" xr:uid="{00000000-0005-0000-0000-0000EBC70000}"/>
    <cellStyle name="Total 3 3 27" xfId="51180" xr:uid="{00000000-0005-0000-0000-0000ECC70000}"/>
    <cellStyle name="Total 3 3 27 2" xfId="51181" xr:uid="{00000000-0005-0000-0000-0000EDC70000}"/>
    <cellStyle name="Total 3 3 27 2 2" xfId="51182" xr:uid="{00000000-0005-0000-0000-0000EEC70000}"/>
    <cellStyle name="Total 3 3 27 2 3" xfId="51183" xr:uid="{00000000-0005-0000-0000-0000EFC70000}"/>
    <cellStyle name="Total 3 3 27 2 4" xfId="51184" xr:uid="{00000000-0005-0000-0000-0000F0C70000}"/>
    <cellStyle name="Total 3 3 27 2 5" xfId="51185" xr:uid="{00000000-0005-0000-0000-0000F1C70000}"/>
    <cellStyle name="Total 3 3 27 2 6" xfId="51186" xr:uid="{00000000-0005-0000-0000-0000F2C70000}"/>
    <cellStyle name="Total 3 3 27 3" xfId="51187" xr:uid="{00000000-0005-0000-0000-0000F3C70000}"/>
    <cellStyle name="Total 3 3 27 4" xfId="51188" xr:uid="{00000000-0005-0000-0000-0000F4C70000}"/>
    <cellStyle name="Total 3 3 27 5" xfId="51189" xr:uid="{00000000-0005-0000-0000-0000F5C70000}"/>
    <cellStyle name="Total 3 3 27 6" xfId="51190" xr:uid="{00000000-0005-0000-0000-0000F6C70000}"/>
    <cellStyle name="Total 3 3 27 7" xfId="51191" xr:uid="{00000000-0005-0000-0000-0000F7C70000}"/>
    <cellStyle name="Total 3 3 28" xfId="51192" xr:uid="{00000000-0005-0000-0000-0000F8C70000}"/>
    <cellStyle name="Total 3 3 28 2" xfId="51193" xr:uid="{00000000-0005-0000-0000-0000F9C70000}"/>
    <cellStyle name="Total 3 3 28 2 2" xfId="51194" xr:uid="{00000000-0005-0000-0000-0000FAC70000}"/>
    <cellStyle name="Total 3 3 28 2 3" xfId="51195" xr:uid="{00000000-0005-0000-0000-0000FBC70000}"/>
    <cellStyle name="Total 3 3 28 2 4" xfId="51196" xr:uid="{00000000-0005-0000-0000-0000FCC70000}"/>
    <cellStyle name="Total 3 3 28 2 5" xfId="51197" xr:uid="{00000000-0005-0000-0000-0000FDC70000}"/>
    <cellStyle name="Total 3 3 28 2 6" xfId="51198" xr:uid="{00000000-0005-0000-0000-0000FEC70000}"/>
    <cellStyle name="Total 3 3 28 3" xfId="51199" xr:uid="{00000000-0005-0000-0000-0000FFC70000}"/>
    <cellStyle name="Total 3 3 28 4" xfId="51200" xr:uid="{00000000-0005-0000-0000-000000C80000}"/>
    <cellStyle name="Total 3 3 28 5" xfId="51201" xr:uid="{00000000-0005-0000-0000-000001C80000}"/>
    <cellStyle name="Total 3 3 28 6" xfId="51202" xr:uid="{00000000-0005-0000-0000-000002C80000}"/>
    <cellStyle name="Total 3 3 28 7" xfId="51203" xr:uid="{00000000-0005-0000-0000-000003C80000}"/>
    <cellStyle name="Total 3 3 29" xfId="51204" xr:uid="{00000000-0005-0000-0000-000004C80000}"/>
    <cellStyle name="Total 3 3 29 2" xfId="51205" xr:uid="{00000000-0005-0000-0000-000005C80000}"/>
    <cellStyle name="Total 3 3 29 2 2" xfId="51206" xr:uid="{00000000-0005-0000-0000-000006C80000}"/>
    <cellStyle name="Total 3 3 29 2 3" xfId="51207" xr:uid="{00000000-0005-0000-0000-000007C80000}"/>
    <cellStyle name="Total 3 3 29 2 4" xfId="51208" xr:uid="{00000000-0005-0000-0000-000008C80000}"/>
    <cellStyle name="Total 3 3 29 2 5" xfId="51209" xr:uid="{00000000-0005-0000-0000-000009C80000}"/>
    <cellStyle name="Total 3 3 29 2 6" xfId="51210" xr:uid="{00000000-0005-0000-0000-00000AC80000}"/>
    <cellStyle name="Total 3 3 29 3" xfId="51211" xr:uid="{00000000-0005-0000-0000-00000BC80000}"/>
    <cellStyle name="Total 3 3 29 4" xfId="51212" xr:uid="{00000000-0005-0000-0000-00000CC80000}"/>
    <cellStyle name="Total 3 3 29 5" xfId="51213" xr:uid="{00000000-0005-0000-0000-00000DC80000}"/>
    <cellStyle name="Total 3 3 29 6" xfId="51214" xr:uid="{00000000-0005-0000-0000-00000EC80000}"/>
    <cellStyle name="Total 3 3 29 7" xfId="51215" xr:uid="{00000000-0005-0000-0000-00000FC80000}"/>
    <cellStyle name="Total 3 3 3" xfId="51216" xr:uid="{00000000-0005-0000-0000-000010C80000}"/>
    <cellStyle name="Total 3 3 3 10" xfId="51217" xr:uid="{00000000-0005-0000-0000-000011C80000}"/>
    <cellStyle name="Total 3 3 3 11" xfId="51218" xr:uid="{00000000-0005-0000-0000-000012C80000}"/>
    <cellStyle name="Total 3 3 3 2" xfId="51219" xr:uid="{00000000-0005-0000-0000-000013C80000}"/>
    <cellStyle name="Total 3 3 3 2 2" xfId="51220" xr:uid="{00000000-0005-0000-0000-000014C80000}"/>
    <cellStyle name="Total 3 3 3 2 2 2" xfId="51221" xr:uid="{00000000-0005-0000-0000-000015C80000}"/>
    <cellStyle name="Total 3 3 3 2 2 2 2" xfId="51222" xr:uid="{00000000-0005-0000-0000-000016C80000}"/>
    <cellStyle name="Total 3 3 3 2 2 2 3" xfId="51223" xr:uid="{00000000-0005-0000-0000-000017C80000}"/>
    <cellStyle name="Total 3 3 3 2 2 2 4" xfId="51224" xr:uid="{00000000-0005-0000-0000-000018C80000}"/>
    <cellStyle name="Total 3 3 3 2 2 2 5" xfId="51225" xr:uid="{00000000-0005-0000-0000-000019C80000}"/>
    <cellStyle name="Total 3 3 3 2 2 2 6" xfId="51226" xr:uid="{00000000-0005-0000-0000-00001AC80000}"/>
    <cellStyle name="Total 3 3 3 2 2 3" xfId="51227" xr:uid="{00000000-0005-0000-0000-00001BC80000}"/>
    <cellStyle name="Total 3 3 3 2 2 4" xfId="51228" xr:uid="{00000000-0005-0000-0000-00001CC80000}"/>
    <cellStyle name="Total 3 3 3 2 2 5" xfId="51229" xr:uid="{00000000-0005-0000-0000-00001DC80000}"/>
    <cellStyle name="Total 3 3 3 2 2 6" xfId="51230" xr:uid="{00000000-0005-0000-0000-00001EC80000}"/>
    <cellStyle name="Total 3 3 3 2 3" xfId="51231" xr:uid="{00000000-0005-0000-0000-00001FC80000}"/>
    <cellStyle name="Total 3 3 3 2 3 2" xfId="51232" xr:uid="{00000000-0005-0000-0000-000020C80000}"/>
    <cellStyle name="Total 3 3 3 2 3 2 2" xfId="51233" xr:uid="{00000000-0005-0000-0000-000021C80000}"/>
    <cellStyle name="Total 3 3 3 2 3 2 3" xfId="51234" xr:uid="{00000000-0005-0000-0000-000022C80000}"/>
    <cellStyle name="Total 3 3 3 2 3 2 4" xfId="51235" xr:uid="{00000000-0005-0000-0000-000023C80000}"/>
    <cellStyle name="Total 3 3 3 2 3 2 5" xfId="51236" xr:uid="{00000000-0005-0000-0000-000024C80000}"/>
    <cellStyle name="Total 3 3 3 2 3 2 6" xfId="51237" xr:uid="{00000000-0005-0000-0000-000025C80000}"/>
    <cellStyle name="Total 3 3 3 2 3 3" xfId="51238" xr:uid="{00000000-0005-0000-0000-000026C80000}"/>
    <cellStyle name="Total 3 3 3 2 3 4" xfId="51239" xr:uid="{00000000-0005-0000-0000-000027C80000}"/>
    <cellStyle name="Total 3 3 3 2 3 5" xfId="51240" xr:uid="{00000000-0005-0000-0000-000028C80000}"/>
    <cellStyle name="Total 3 3 3 2 3 6" xfId="51241" xr:uid="{00000000-0005-0000-0000-000029C80000}"/>
    <cellStyle name="Total 3 3 3 2 4" xfId="51242" xr:uid="{00000000-0005-0000-0000-00002AC80000}"/>
    <cellStyle name="Total 3 3 3 2 4 2" xfId="51243" xr:uid="{00000000-0005-0000-0000-00002BC80000}"/>
    <cellStyle name="Total 3 3 3 2 4 3" xfId="51244" xr:uid="{00000000-0005-0000-0000-00002CC80000}"/>
    <cellStyle name="Total 3 3 3 2 4 4" xfId="51245" xr:uid="{00000000-0005-0000-0000-00002DC80000}"/>
    <cellStyle name="Total 3 3 3 2 4 5" xfId="51246" xr:uid="{00000000-0005-0000-0000-00002EC80000}"/>
    <cellStyle name="Total 3 3 3 2 4 6" xfId="51247" xr:uid="{00000000-0005-0000-0000-00002FC80000}"/>
    <cellStyle name="Total 3 3 3 2 5" xfId="51248" xr:uid="{00000000-0005-0000-0000-000030C80000}"/>
    <cellStyle name="Total 3 3 3 2 5 2" xfId="51249" xr:uid="{00000000-0005-0000-0000-000031C80000}"/>
    <cellStyle name="Total 3 3 3 2 5 3" xfId="51250" xr:uid="{00000000-0005-0000-0000-000032C80000}"/>
    <cellStyle name="Total 3 3 3 2 5 4" xfId="51251" xr:uid="{00000000-0005-0000-0000-000033C80000}"/>
    <cellStyle name="Total 3 3 3 2 5 5" xfId="51252" xr:uid="{00000000-0005-0000-0000-000034C80000}"/>
    <cellStyle name="Total 3 3 3 2 5 6" xfId="51253" xr:uid="{00000000-0005-0000-0000-000035C80000}"/>
    <cellStyle name="Total 3 3 3 2 6" xfId="51254" xr:uid="{00000000-0005-0000-0000-000036C80000}"/>
    <cellStyle name="Total 3 3 3 2 7" xfId="51255" xr:uid="{00000000-0005-0000-0000-000037C80000}"/>
    <cellStyle name="Total 3 3 3 2 8" xfId="51256" xr:uid="{00000000-0005-0000-0000-000038C80000}"/>
    <cellStyle name="Total 3 3 3 2 9" xfId="51257" xr:uid="{00000000-0005-0000-0000-000039C80000}"/>
    <cellStyle name="Total 3 3 3 3" xfId="51258" xr:uid="{00000000-0005-0000-0000-00003AC80000}"/>
    <cellStyle name="Total 3 3 3 3 2" xfId="51259" xr:uid="{00000000-0005-0000-0000-00003BC80000}"/>
    <cellStyle name="Total 3 3 3 3 2 2" xfId="51260" xr:uid="{00000000-0005-0000-0000-00003CC80000}"/>
    <cellStyle name="Total 3 3 3 3 2 2 2" xfId="51261" xr:uid="{00000000-0005-0000-0000-00003DC80000}"/>
    <cellStyle name="Total 3 3 3 3 2 2 3" xfId="51262" xr:uid="{00000000-0005-0000-0000-00003EC80000}"/>
    <cellStyle name="Total 3 3 3 3 2 2 4" xfId="51263" xr:uid="{00000000-0005-0000-0000-00003FC80000}"/>
    <cellStyle name="Total 3 3 3 3 2 2 5" xfId="51264" xr:uid="{00000000-0005-0000-0000-000040C80000}"/>
    <cellStyle name="Total 3 3 3 3 2 2 6" xfId="51265" xr:uid="{00000000-0005-0000-0000-000041C80000}"/>
    <cellStyle name="Total 3 3 3 3 2 3" xfId="51266" xr:uid="{00000000-0005-0000-0000-000042C80000}"/>
    <cellStyle name="Total 3 3 3 3 2 4" xfId="51267" xr:uid="{00000000-0005-0000-0000-000043C80000}"/>
    <cellStyle name="Total 3 3 3 3 2 5" xfId="51268" xr:uid="{00000000-0005-0000-0000-000044C80000}"/>
    <cellStyle name="Total 3 3 3 3 2 6" xfId="51269" xr:uid="{00000000-0005-0000-0000-000045C80000}"/>
    <cellStyle name="Total 3 3 3 3 3" xfId="51270" xr:uid="{00000000-0005-0000-0000-000046C80000}"/>
    <cellStyle name="Total 3 3 3 3 3 2" xfId="51271" xr:uid="{00000000-0005-0000-0000-000047C80000}"/>
    <cellStyle name="Total 3 3 3 3 3 2 2" xfId="51272" xr:uid="{00000000-0005-0000-0000-000048C80000}"/>
    <cellStyle name="Total 3 3 3 3 3 2 3" xfId="51273" xr:uid="{00000000-0005-0000-0000-000049C80000}"/>
    <cellStyle name="Total 3 3 3 3 3 2 4" xfId="51274" xr:uid="{00000000-0005-0000-0000-00004AC80000}"/>
    <cellStyle name="Total 3 3 3 3 3 2 5" xfId="51275" xr:uid="{00000000-0005-0000-0000-00004BC80000}"/>
    <cellStyle name="Total 3 3 3 3 3 2 6" xfId="51276" xr:uid="{00000000-0005-0000-0000-00004CC80000}"/>
    <cellStyle name="Total 3 3 3 3 3 3" xfId="51277" xr:uid="{00000000-0005-0000-0000-00004DC80000}"/>
    <cellStyle name="Total 3 3 3 3 3 4" xfId="51278" xr:uid="{00000000-0005-0000-0000-00004EC80000}"/>
    <cellStyle name="Total 3 3 3 3 3 5" xfId="51279" xr:uid="{00000000-0005-0000-0000-00004FC80000}"/>
    <cellStyle name="Total 3 3 3 3 3 6" xfId="51280" xr:uid="{00000000-0005-0000-0000-000050C80000}"/>
    <cellStyle name="Total 3 3 3 3 4" xfId="51281" xr:uid="{00000000-0005-0000-0000-000051C80000}"/>
    <cellStyle name="Total 3 3 3 3 4 2" xfId="51282" xr:uid="{00000000-0005-0000-0000-000052C80000}"/>
    <cellStyle name="Total 3 3 3 3 4 3" xfId="51283" xr:uid="{00000000-0005-0000-0000-000053C80000}"/>
    <cellStyle name="Total 3 3 3 3 4 4" xfId="51284" xr:uid="{00000000-0005-0000-0000-000054C80000}"/>
    <cellStyle name="Total 3 3 3 3 4 5" xfId="51285" xr:uid="{00000000-0005-0000-0000-000055C80000}"/>
    <cellStyle name="Total 3 3 3 3 4 6" xfId="51286" xr:uid="{00000000-0005-0000-0000-000056C80000}"/>
    <cellStyle name="Total 3 3 3 3 5" xfId="51287" xr:uid="{00000000-0005-0000-0000-000057C80000}"/>
    <cellStyle name="Total 3 3 3 3 6" xfId="51288" xr:uid="{00000000-0005-0000-0000-000058C80000}"/>
    <cellStyle name="Total 3 3 3 3 7" xfId="51289" xr:uid="{00000000-0005-0000-0000-000059C80000}"/>
    <cellStyle name="Total 3 3 3 3 8" xfId="51290" xr:uid="{00000000-0005-0000-0000-00005AC80000}"/>
    <cellStyle name="Total 3 3 3 4" xfId="51291" xr:uid="{00000000-0005-0000-0000-00005BC80000}"/>
    <cellStyle name="Total 3 3 3 4 2" xfId="51292" xr:uid="{00000000-0005-0000-0000-00005CC80000}"/>
    <cellStyle name="Total 3 3 3 4 2 2" xfId="51293" xr:uid="{00000000-0005-0000-0000-00005DC80000}"/>
    <cellStyle name="Total 3 3 3 4 2 3" xfId="51294" xr:uid="{00000000-0005-0000-0000-00005EC80000}"/>
    <cellStyle name="Total 3 3 3 4 2 4" xfId="51295" xr:uid="{00000000-0005-0000-0000-00005FC80000}"/>
    <cellStyle name="Total 3 3 3 4 2 5" xfId="51296" xr:uid="{00000000-0005-0000-0000-000060C80000}"/>
    <cellStyle name="Total 3 3 3 4 2 6" xfId="51297" xr:uid="{00000000-0005-0000-0000-000061C80000}"/>
    <cellStyle name="Total 3 3 3 4 3" xfId="51298" xr:uid="{00000000-0005-0000-0000-000062C80000}"/>
    <cellStyle name="Total 3 3 3 4 4" xfId="51299" xr:uid="{00000000-0005-0000-0000-000063C80000}"/>
    <cellStyle name="Total 3 3 3 4 5" xfId="51300" xr:uid="{00000000-0005-0000-0000-000064C80000}"/>
    <cellStyle name="Total 3 3 3 4 6" xfId="51301" xr:uid="{00000000-0005-0000-0000-000065C80000}"/>
    <cellStyle name="Total 3 3 3 5" xfId="51302" xr:uid="{00000000-0005-0000-0000-000066C80000}"/>
    <cellStyle name="Total 3 3 3 5 2" xfId="51303" xr:uid="{00000000-0005-0000-0000-000067C80000}"/>
    <cellStyle name="Total 3 3 3 5 2 2" xfId="51304" xr:uid="{00000000-0005-0000-0000-000068C80000}"/>
    <cellStyle name="Total 3 3 3 5 2 3" xfId="51305" xr:uid="{00000000-0005-0000-0000-000069C80000}"/>
    <cellStyle name="Total 3 3 3 5 2 4" xfId="51306" xr:uid="{00000000-0005-0000-0000-00006AC80000}"/>
    <cellStyle name="Total 3 3 3 5 2 5" xfId="51307" xr:uid="{00000000-0005-0000-0000-00006BC80000}"/>
    <cellStyle name="Total 3 3 3 5 2 6" xfId="51308" xr:uid="{00000000-0005-0000-0000-00006CC80000}"/>
    <cellStyle name="Total 3 3 3 5 3" xfId="51309" xr:uid="{00000000-0005-0000-0000-00006DC80000}"/>
    <cellStyle name="Total 3 3 3 5 4" xfId="51310" xr:uid="{00000000-0005-0000-0000-00006EC80000}"/>
    <cellStyle name="Total 3 3 3 5 5" xfId="51311" xr:uid="{00000000-0005-0000-0000-00006FC80000}"/>
    <cellStyle name="Total 3 3 3 5 6" xfId="51312" xr:uid="{00000000-0005-0000-0000-000070C80000}"/>
    <cellStyle name="Total 3 3 3 6" xfId="51313" xr:uid="{00000000-0005-0000-0000-000071C80000}"/>
    <cellStyle name="Total 3 3 3 6 2" xfId="51314" xr:uid="{00000000-0005-0000-0000-000072C80000}"/>
    <cellStyle name="Total 3 3 3 6 3" xfId="51315" xr:uid="{00000000-0005-0000-0000-000073C80000}"/>
    <cellStyle name="Total 3 3 3 6 4" xfId="51316" xr:uid="{00000000-0005-0000-0000-000074C80000}"/>
    <cellStyle name="Total 3 3 3 6 5" xfId="51317" xr:uid="{00000000-0005-0000-0000-000075C80000}"/>
    <cellStyle name="Total 3 3 3 6 6" xfId="51318" xr:uid="{00000000-0005-0000-0000-000076C80000}"/>
    <cellStyle name="Total 3 3 3 7" xfId="51319" xr:uid="{00000000-0005-0000-0000-000077C80000}"/>
    <cellStyle name="Total 3 3 3 7 2" xfId="51320" xr:uid="{00000000-0005-0000-0000-000078C80000}"/>
    <cellStyle name="Total 3 3 3 7 3" xfId="51321" xr:uid="{00000000-0005-0000-0000-000079C80000}"/>
    <cellStyle name="Total 3 3 3 7 4" xfId="51322" xr:uid="{00000000-0005-0000-0000-00007AC80000}"/>
    <cellStyle name="Total 3 3 3 7 5" xfId="51323" xr:uid="{00000000-0005-0000-0000-00007BC80000}"/>
    <cellStyle name="Total 3 3 3 7 6" xfId="51324" xr:uid="{00000000-0005-0000-0000-00007CC80000}"/>
    <cellStyle name="Total 3 3 3 8" xfId="51325" xr:uid="{00000000-0005-0000-0000-00007DC80000}"/>
    <cellStyle name="Total 3 3 3 9" xfId="51326" xr:uid="{00000000-0005-0000-0000-00007EC80000}"/>
    <cellStyle name="Total 3 3 30" xfId="51327" xr:uid="{00000000-0005-0000-0000-00007FC80000}"/>
    <cellStyle name="Total 3 3 30 2" xfId="51328" xr:uid="{00000000-0005-0000-0000-000080C80000}"/>
    <cellStyle name="Total 3 3 30 2 2" xfId="51329" xr:uid="{00000000-0005-0000-0000-000081C80000}"/>
    <cellStyle name="Total 3 3 30 2 3" xfId="51330" xr:uid="{00000000-0005-0000-0000-000082C80000}"/>
    <cellStyle name="Total 3 3 30 2 4" xfId="51331" xr:uid="{00000000-0005-0000-0000-000083C80000}"/>
    <cellStyle name="Total 3 3 30 2 5" xfId="51332" xr:uid="{00000000-0005-0000-0000-000084C80000}"/>
    <cellStyle name="Total 3 3 30 2 6" xfId="51333" xr:uid="{00000000-0005-0000-0000-000085C80000}"/>
    <cellStyle name="Total 3 3 30 3" xfId="51334" xr:uid="{00000000-0005-0000-0000-000086C80000}"/>
    <cellStyle name="Total 3 3 30 4" xfId="51335" xr:uid="{00000000-0005-0000-0000-000087C80000}"/>
    <cellStyle name="Total 3 3 30 5" xfId="51336" xr:uid="{00000000-0005-0000-0000-000088C80000}"/>
    <cellStyle name="Total 3 3 30 6" xfId="51337" xr:uid="{00000000-0005-0000-0000-000089C80000}"/>
    <cellStyle name="Total 3 3 30 7" xfId="51338" xr:uid="{00000000-0005-0000-0000-00008AC80000}"/>
    <cellStyle name="Total 3 3 31" xfId="51339" xr:uid="{00000000-0005-0000-0000-00008BC80000}"/>
    <cellStyle name="Total 3 3 31 2" xfId="51340" xr:uid="{00000000-0005-0000-0000-00008CC80000}"/>
    <cellStyle name="Total 3 3 31 2 2" xfId="51341" xr:uid="{00000000-0005-0000-0000-00008DC80000}"/>
    <cellStyle name="Total 3 3 31 2 3" xfId="51342" xr:uid="{00000000-0005-0000-0000-00008EC80000}"/>
    <cellStyle name="Total 3 3 31 2 4" xfId="51343" xr:uid="{00000000-0005-0000-0000-00008FC80000}"/>
    <cellStyle name="Total 3 3 31 2 5" xfId="51344" xr:uid="{00000000-0005-0000-0000-000090C80000}"/>
    <cellStyle name="Total 3 3 31 2 6" xfId="51345" xr:uid="{00000000-0005-0000-0000-000091C80000}"/>
    <cellStyle name="Total 3 3 31 3" xfId="51346" xr:uid="{00000000-0005-0000-0000-000092C80000}"/>
    <cellStyle name="Total 3 3 31 4" xfId="51347" xr:uid="{00000000-0005-0000-0000-000093C80000}"/>
    <cellStyle name="Total 3 3 31 5" xfId="51348" xr:uid="{00000000-0005-0000-0000-000094C80000}"/>
    <cellStyle name="Total 3 3 31 6" xfId="51349" xr:uid="{00000000-0005-0000-0000-000095C80000}"/>
    <cellStyle name="Total 3 3 31 7" xfId="51350" xr:uid="{00000000-0005-0000-0000-000096C80000}"/>
    <cellStyle name="Total 3 3 32" xfId="51351" xr:uid="{00000000-0005-0000-0000-000097C80000}"/>
    <cellStyle name="Total 3 3 32 2" xfId="51352" xr:uid="{00000000-0005-0000-0000-000098C80000}"/>
    <cellStyle name="Total 3 3 32 2 2" xfId="51353" xr:uid="{00000000-0005-0000-0000-000099C80000}"/>
    <cellStyle name="Total 3 3 32 2 3" xfId="51354" xr:uid="{00000000-0005-0000-0000-00009AC80000}"/>
    <cellStyle name="Total 3 3 32 2 4" xfId="51355" xr:uid="{00000000-0005-0000-0000-00009BC80000}"/>
    <cellStyle name="Total 3 3 32 2 5" xfId="51356" xr:uid="{00000000-0005-0000-0000-00009CC80000}"/>
    <cellStyle name="Total 3 3 32 2 6" xfId="51357" xr:uid="{00000000-0005-0000-0000-00009DC80000}"/>
    <cellStyle name="Total 3 3 32 3" xfId="51358" xr:uid="{00000000-0005-0000-0000-00009EC80000}"/>
    <cellStyle name="Total 3 3 32 4" xfId="51359" xr:uid="{00000000-0005-0000-0000-00009FC80000}"/>
    <cellStyle name="Total 3 3 32 5" xfId="51360" xr:uid="{00000000-0005-0000-0000-0000A0C80000}"/>
    <cellStyle name="Total 3 3 32 6" xfId="51361" xr:uid="{00000000-0005-0000-0000-0000A1C80000}"/>
    <cellStyle name="Total 3 3 32 7" xfId="51362" xr:uid="{00000000-0005-0000-0000-0000A2C80000}"/>
    <cellStyle name="Total 3 3 33" xfId="51363" xr:uid="{00000000-0005-0000-0000-0000A3C80000}"/>
    <cellStyle name="Total 3 3 33 2" xfId="51364" xr:uid="{00000000-0005-0000-0000-0000A4C80000}"/>
    <cellStyle name="Total 3 3 33 2 2" xfId="51365" xr:uid="{00000000-0005-0000-0000-0000A5C80000}"/>
    <cellStyle name="Total 3 3 33 2 3" xfId="51366" xr:uid="{00000000-0005-0000-0000-0000A6C80000}"/>
    <cellStyle name="Total 3 3 33 2 4" xfId="51367" xr:uid="{00000000-0005-0000-0000-0000A7C80000}"/>
    <cellStyle name="Total 3 3 33 2 5" xfId="51368" xr:uid="{00000000-0005-0000-0000-0000A8C80000}"/>
    <cellStyle name="Total 3 3 33 2 6" xfId="51369" xr:uid="{00000000-0005-0000-0000-0000A9C80000}"/>
    <cellStyle name="Total 3 3 33 3" xfId="51370" xr:uid="{00000000-0005-0000-0000-0000AAC80000}"/>
    <cellStyle name="Total 3 3 33 4" xfId="51371" xr:uid="{00000000-0005-0000-0000-0000ABC80000}"/>
    <cellStyle name="Total 3 3 33 5" xfId="51372" xr:uid="{00000000-0005-0000-0000-0000ACC80000}"/>
    <cellStyle name="Total 3 3 33 6" xfId="51373" xr:uid="{00000000-0005-0000-0000-0000ADC80000}"/>
    <cellStyle name="Total 3 3 33 7" xfId="51374" xr:uid="{00000000-0005-0000-0000-0000AEC80000}"/>
    <cellStyle name="Total 3 3 34" xfId="51375" xr:uid="{00000000-0005-0000-0000-0000AFC80000}"/>
    <cellStyle name="Total 3 3 34 2" xfId="51376" xr:uid="{00000000-0005-0000-0000-0000B0C80000}"/>
    <cellStyle name="Total 3 3 34 2 2" xfId="51377" xr:uid="{00000000-0005-0000-0000-0000B1C80000}"/>
    <cellStyle name="Total 3 3 34 2 3" xfId="51378" xr:uid="{00000000-0005-0000-0000-0000B2C80000}"/>
    <cellStyle name="Total 3 3 34 2 4" xfId="51379" xr:uid="{00000000-0005-0000-0000-0000B3C80000}"/>
    <cellStyle name="Total 3 3 34 2 5" xfId="51380" xr:uid="{00000000-0005-0000-0000-0000B4C80000}"/>
    <cellStyle name="Total 3 3 34 2 6" xfId="51381" xr:uid="{00000000-0005-0000-0000-0000B5C80000}"/>
    <cellStyle name="Total 3 3 34 3" xfId="51382" xr:uid="{00000000-0005-0000-0000-0000B6C80000}"/>
    <cellStyle name="Total 3 3 34 4" xfId="51383" xr:uid="{00000000-0005-0000-0000-0000B7C80000}"/>
    <cellStyle name="Total 3 3 34 5" xfId="51384" xr:uid="{00000000-0005-0000-0000-0000B8C80000}"/>
    <cellStyle name="Total 3 3 34 6" xfId="51385" xr:uid="{00000000-0005-0000-0000-0000B9C80000}"/>
    <cellStyle name="Total 3 3 34 7" xfId="51386" xr:uid="{00000000-0005-0000-0000-0000BAC80000}"/>
    <cellStyle name="Total 3 3 35" xfId="51387" xr:uid="{00000000-0005-0000-0000-0000BBC80000}"/>
    <cellStyle name="Total 3 3 35 2" xfId="51388" xr:uid="{00000000-0005-0000-0000-0000BCC80000}"/>
    <cellStyle name="Total 3 3 35 2 2" xfId="51389" xr:uid="{00000000-0005-0000-0000-0000BDC80000}"/>
    <cellStyle name="Total 3 3 35 2 3" xfId="51390" xr:uid="{00000000-0005-0000-0000-0000BEC80000}"/>
    <cellStyle name="Total 3 3 35 2 4" xfId="51391" xr:uid="{00000000-0005-0000-0000-0000BFC80000}"/>
    <cellStyle name="Total 3 3 35 2 5" xfId="51392" xr:uid="{00000000-0005-0000-0000-0000C0C80000}"/>
    <cellStyle name="Total 3 3 35 2 6" xfId="51393" xr:uid="{00000000-0005-0000-0000-0000C1C80000}"/>
    <cellStyle name="Total 3 3 35 3" xfId="51394" xr:uid="{00000000-0005-0000-0000-0000C2C80000}"/>
    <cellStyle name="Total 3 3 35 4" xfId="51395" xr:uid="{00000000-0005-0000-0000-0000C3C80000}"/>
    <cellStyle name="Total 3 3 35 5" xfId="51396" xr:uid="{00000000-0005-0000-0000-0000C4C80000}"/>
    <cellStyle name="Total 3 3 35 6" xfId="51397" xr:uid="{00000000-0005-0000-0000-0000C5C80000}"/>
    <cellStyle name="Total 3 3 35 7" xfId="51398" xr:uid="{00000000-0005-0000-0000-0000C6C80000}"/>
    <cellStyle name="Total 3 3 36" xfId="51399" xr:uid="{00000000-0005-0000-0000-0000C7C80000}"/>
    <cellStyle name="Total 3 3 36 2" xfId="51400" xr:uid="{00000000-0005-0000-0000-0000C8C80000}"/>
    <cellStyle name="Total 3 3 36 2 2" xfId="51401" xr:uid="{00000000-0005-0000-0000-0000C9C80000}"/>
    <cellStyle name="Total 3 3 36 2 3" xfId="51402" xr:uid="{00000000-0005-0000-0000-0000CAC80000}"/>
    <cellStyle name="Total 3 3 36 2 4" xfId="51403" xr:uid="{00000000-0005-0000-0000-0000CBC80000}"/>
    <cellStyle name="Total 3 3 36 2 5" xfId="51404" xr:uid="{00000000-0005-0000-0000-0000CCC80000}"/>
    <cellStyle name="Total 3 3 36 2 6" xfId="51405" xr:uid="{00000000-0005-0000-0000-0000CDC80000}"/>
    <cellStyle name="Total 3 3 36 3" xfId="51406" xr:uid="{00000000-0005-0000-0000-0000CEC80000}"/>
    <cellStyle name="Total 3 3 36 4" xfId="51407" xr:uid="{00000000-0005-0000-0000-0000CFC80000}"/>
    <cellStyle name="Total 3 3 36 5" xfId="51408" xr:uid="{00000000-0005-0000-0000-0000D0C80000}"/>
    <cellStyle name="Total 3 3 36 6" xfId="51409" xr:uid="{00000000-0005-0000-0000-0000D1C80000}"/>
    <cellStyle name="Total 3 3 36 7" xfId="51410" xr:uid="{00000000-0005-0000-0000-0000D2C80000}"/>
    <cellStyle name="Total 3 3 37" xfId="51411" xr:uid="{00000000-0005-0000-0000-0000D3C80000}"/>
    <cellStyle name="Total 3 3 37 2" xfId="51412" xr:uid="{00000000-0005-0000-0000-0000D4C80000}"/>
    <cellStyle name="Total 3 3 37 2 2" xfId="51413" xr:uid="{00000000-0005-0000-0000-0000D5C80000}"/>
    <cellStyle name="Total 3 3 37 2 3" xfId="51414" xr:uid="{00000000-0005-0000-0000-0000D6C80000}"/>
    <cellStyle name="Total 3 3 37 2 4" xfId="51415" xr:uid="{00000000-0005-0000-0000-0000D7C80000}"/>
    <cellStyle name="Total 3 3 37 2 5" xfId="51416" xr:uid="{00000000-0005-0000-0000-0000D8C80000}"/>
    <cellStyle name="Total 3 3 37 2 6" xfId="51417" xr:uid="{00000000-0005-0000-0000-0000D9C80000}"/>
    <cellStyle name="Total 3 3 37 3" xfId="51418" xr:uid="{00000000-0005-0000-0000-0000DAC80000}"/>
    <cellStyle name="Total 3 3 37 4" xfId="51419" xr:uid="{00000000-0005-0000-0000-0000DBC80000}"/>
    <cellStyle name="Total 3 3 37 5" xfId="51420" xr:uid="{00000000-0005-0000-0000-0000DCC80000}"/>
    <cellStyle name="Total 3 3 37 6" xfId="51421" xr:uid="{00000000-0005-0000-0000-0000DDC80000}"/>
    <cellStyle name="Total 3 3 37 7" xfId="51422" xr:uid="{00000000-0005-0000-0000-0000DEC80000}"/>
    <cellStyle name="Total 3 3 38" xfId="51423" xr:uid="{00000000-0005-0000-0000-0000DFC80000}"/>
    <cellStyle name="Total 3 3 38 2" xfId="51424" xr:uid="{00000000-0005-0000-0000-0000E0C80000}"/>
    <cellStyle name="Total 3 3 38 2 2" xfId="51425" xr:uid="{00000000-0005-0000-0000-0000E1C80000}"/>
    <cellStyle name="Total 3 3 38 2 3" xfId="51426" xr:uid="{00000000-0005-0000-0000-0000E2C80000}"/>
    <cellStyle name="Total 3 3 38 2 4" xfId="51427" xr:uid="{00000000-0005-0000-0000-0000E3C80000}"/>
    <cellStyle name="Total 3 3 38 2 5" xfId="51428" xr:uid="{00000000-0005-0000-0000-0000E4C80000}"/>
    <cellStyle name="Total 3 3 38 2 6" xfId="51429" xr:uid="{00000000-0005-0000-0000-0000E5C80000}"/>
    <cellStyle name="Total 3 3 38 3" xfId="51430" xr:uid="{00000000-0005-0000-0000-0000E6C80000}"/>
    <cellStyle name="Total 3 3 38 4" xfId="51431" xr:uid="{00000000-0005-0000-0000-0000E7C80000}"/>
    <cellStyle name="Total 3 3 38 5" xfId="51432" xr:uid="{00000000-0005-0000-0000-0000E8C80000}"/>
    <cellStyle name="Total 3 3 38 6" xfId="51433" xr:uid="{00000000-0005-0000-0000-0000E9C80000}"/>
    <cellStyle name="Total 3 3 38 7" xfId="51434" xr:uid="{00000000-0005-0000-0000-0000EAC80000}"/>
    <cellStyle name="Total 3 3 39" xfId="51435" xr:uid="{00000000-0005-0000-0000-0000EBC80000}"/>
    <cellStyle name="Total 3 3 39 2" xfId="51436" xr:uid="{00000000-0005-0000-0000-0000ECC80000}"/>
    <cellStyle name="Total 3 3 39 2 2" xfId="51437" xr:uid="{00000000-0005-0000-0000-0000EDC80000}"/>
    <cellStyle name="Total 3 3 39 2 3" xfId="51438" xr:uid="{00000000-0005-0000-0000-0000EEC80000}"/>
    <cellStyle name="Total 3 3 39 2 4" xfId="51439" xr:uid="{00000000-0005-0000-0000-0000EFC80000}"/>
    <cellStyle name="Total 3 3 39 2 5" xfId="51440" xr:uid="{00000000-0005-0000-0000-0000F0C80000}"/>
    <cellStyle name="Total 3 3 39 2 6" xfId="51441" xr:uid="{00000000-0005-0000-0000-0000F1C80000}"/>
    <cellStyle name="Total 3 3 39 3" xfId="51442" xr:uid="{00000000-0005-0000-0000-0000F2C80000}"/>
    <cellStyle name="Total 3 3 39 4" xfId="51443" xr:uid="{00000000-0005-0000-0000-0000F3C80000}"/>
    <cellStyle name="Total 3 3 39 5" xfId="51444" xr:uid="{00000000-0005-0000-0000-0000F4C80000}"/>
    <cellStyle name="Total 3 3 39 6" xfId="51445" xr:uid="{00000000-0005-0000-0000-0000F5C80000}"/>
    <cellStyle name="Total 3 3 39 7" xfId="51446" xr:uid="{00000000-0005-0000-0000-0000F6C80000}"/>
    <cellStyle name="Total 3 3 4" xfId="51447" xr:uid="{00000000-0005-0000-0000-0000F7C80000}"/>
    <cellStyle name="Total 3 3 4 2" xfId="51448" xr:uid="{00000000-0005-0000-0000-0000F8C80000}"/>
    <cellStyle name="Total 3 3 4 2 2" xfId="51449" xr:uid="{00000000-0005-0000-0000-0000F9C80000}"/>
    <cellStyle name="Total 3 3 4 2 3" xfId="51450" xr:uid="{00000000-0005-0000-0000-0000FAC80000}"/>
    <cellStyle name="Total 3 3 4 2 4" xfId="51451" xr:uid="{00000000-0005-0000-0000-0000FBC80000}"/>
    <cellStyle name="Total 3 3 4 2 5" xfId="51452" xr:uid="{00000000-0005-0000-0000-0000FCC80000}"/>
    <cellStyle name="Total 3 3 4 2 6" xfId="51453" xr:uid="{00000000-0005-0000-0000-0000FDC80000}"/>
    <cellStyle name="Total 3 3 4 3" xfId="51454" xr:uid="{00000000-0005-0000-0000-0000FEC80000}"/>
    <cellStyle name="Total 3 3 4 3 2" xfId="51455" xr:uid="{00000000-0005-0000-0000-0000FFC80000}"/>
    <cellStyle name="Total 3 3 4 3 3" xfId="51456" xr:uid="{00000000-0005-0000-0000-000000C90000}"/>
    <cellStyle name="Total 3 3 4 3 4" xfId="51457" xr:uid="{00000000-0005-0000-0000-000001C90000}"/>
    <cellStyle name="Total 3 3 4 3 5" xfId="51458" xr:uid="{00000000-0005-0000-0000-000002C90000}"/>
    <cellStyle name="Total 3 3 4 3 6" xfId="51459" xr:uid="{00000000-0005-0000-0000-000003C90000}"/>
    <cellStyle name="Total 3 3 4 4" xfId="51460" xr:uid="{00000000-0005-0000-0000-000004C90000}"/>
    <cellStyle name="Total 3 3 4 5" xfId="51461" xr:uid="{00000000-0005-0000-0000-000005C90000}"/>
    <cellStyle name="Total 3 3 4 6" xfId="51462" xr:uid="{00000000-0005-0000-0000-000006C90000}"/>
    <cellStyle name="Total 3 3 4 7" xfId="51463" xr:uid="{00000000-0005-0000-0000-000007C90000}"/>
    <cellStyle name="Total 3 3 4 8" xfId="51464" xr:uid="{00000000-0005-0000-0000-000008C90000}"/>
    <cellStyle name="Total 3 3 40" xfId="51465" xr:uid="{00000000-0005-0000-0000-000009C90000}"/>
    <cellStyle name="Total 3 3 40 2" xfId="51466" xr:uid="{00000000-0005-0000-0000-00000AC90000}"/>
    <cellStyle name="Total 3 3 40 2 2" xfId="51467" xr:uid="{00000000-0005-0000-0000-00000BC90000}"/>
    <cellStyle name="Total 3 3 40 2 3" xfId="51468" xr:uid="{00000000-0005-0000-0000-00000CC90000}"/>
    <cellStyle name="Total 3 3 40 2 4" xfId="51469" xr:uid="{00000000-0005-0000-0000-00000DC90000}"/>
    <cellStyle name="Total 3 3 40 2 5" xfId="51470" xr:uid="{00000000-0005-0000-0000-00000EC90000}"/>
    <cellStyle name="Total 3 3 40 2 6" xfId="51471" xr:uid="{00000000-0005-0000-0000-00000FC90000}"/>
    <cellStyle name="Total 3 3 40 3" xfId="51472" xr:uid="{00000000-0005-0000-0000-000010C90000}"/>
    <cellStyle name="Total 3 3 40 4" xfId="51473" xr:uid="{00000000-0005-0000-0000-000011C90000}"/>
    <cellStyle name="Total 3 3 40 5" xfId="51474" xr:uid="{00000000-0005-0000-0000-000012C90000}"/>
    <cellStyle name="Total 3 3 40 6" xfId="51475" xr:uid="{00000000-0005-0000-0000-000013C90000}"/>
    <cellStyle name="Total 3 3 40 7" xfId="51476" xr:uid="{00000000-0005-0000-0000-000014C90000}"/>
    <cellStyle name="Total 3 3 41" xfId="51477" xr:uid="{00000000-0005-0000-0000-000015C90000}"/>
    <cellStyle name="Total 3 3 41 2" xfId="51478" xr:uid="{00000000-0005-0000-0000-000016C90000}"/>
    <cellStyle name="Total 3 3 41 2 2" xfId="51479" xr:uid="{00000000-0005-0000-0000-000017C90000}"/>
    <cellStyle name="Total 3 3 41 2 3" xfId="51480" xr:uid="{00000000-0005-0000-0000-000018C90000}"/>
    <cellStyle name="Total 3 3 41 2 4" xfId="51481" xr:uid="{00000000-0005-0000-0000-000019C90000}"/>
    <cellStyle name="Total 3 3 41 2 5" xfId="51482" xr:uid="{00000000-0005-0000-0000-00001AC90000}"/>
    <cellStyle name="Total 3 3 41 2 6" xfId="51483" xr:uid="{00000000-0005-0000-0000-00001BC90000}"/>
    <cellStyle name="Total 3 3 41 3" xfId="51484" xr:uid="{00000000-0005-0000-0000-00001CC90000}"/>
    <cellStyle name="Total 3 3 41 4" xfId="51485" xr:uid="{00000000-0005-0000-0000-00001DC90000}"/>
    <cellStyle name="Total 3 3 41 5" xfId="51486" xr:uid="{00000000-0005-0000-0000-00001EC90000}"/>
    <cellStyle name="Total 3 3 41 6" xfId="51487" xr:uid="{00000000-0005-0000-0000-00001FC90000}"/>
    <cellStyle name="Total 3 3 41 7" xfId="51488" xr:uid="{00000000-0005-0000-0000-000020C90000}"/>
    <cellStyle name="Total 3 3 42" xfId="51489" xr:uid="{00000000-0005-0000-0000-000021C90000}"/>
    <cellStyle name="Total 3 3 42 2" xfId="51490" xr:uid="{00000000-0005-0000-0000-000022C90000}"/>
    <cellStyle name="Total 3 3 42 3" xfId="51491" xr:uid="{00000000-0005-0000-0000-000023C90000}"/>
    <cellStyle name="Total 3 3 42 4" xfId="51492" xr:uid="{00000000-0005-0000-0000-000024C90000}"/>
    <cellStyle name="Total 3 3 42 5" xfId="51493" xr:uid="{00000000-0005-0000-0000-000025C90000}"/>
    <cellStyle name="Total 3 3 42 6" xfId="51494" xr:uid="{00000000-0005-0000-0000-000026C90000}"/>
    <cellStyle name="Total 3 3 43" xfId="51495" xr:uid="{00000000-0005-0000-0000-000027C90000}"/>
    <cellStyle name="Total 3 3 43 2" xfId="51496" xr:uid="{00000000-0005-0000-0000-000028C90000}"/>
    <cellStyle name="Total 3 3 43 3" xfId="51497" xr:uid="{00000000-0005-0000-0000-000029C90000}"/>
    <cellStyle name="Total 3 3 43 4" xfId="51498" xr:uid="{00000000-0005-0000-0000-00002AC90000}"/>
    <cellStyle name="Total 3 3 43 5" xfId="51499" xr:uid="{00000000-0005-0000-0000-00002BC90000}"/>
    <cellStyle name="Total 3 3 43 6" xfId="51500" xr:uid="{00000000-0005-0000-0000-00002CC90000}"/>
    <cellStyle name="Total 3 3 44" xfId="51501" xr:uid="{00000000-0005-0000-0000-00002DC90000}"/>
    <cellStyle name="Total 3 3 45" xfId="51502" xr:uid="{00000000-0005-0000-0000-00002EC90000}"/>
    <cellStyle name="Total 3 3 46" xfId="51503" xr:uid="{00000000-0005-0000-0000-00002FC90000}"/>
    <cellStyle name="Total 3 3 47" xfId="51504" xr:uid="{00000000-0005-0000-0000-000030C90000}"/>
    <cellStyle name="Total 3 3 5" xfId="51505" xr:uid="{00000000-0005-0000-0000-000031C90000}"/>
    <cellStyle name="Total 3 3 5 2" xfId="51506" xr:uid="{00000000-0005-0000-0000-000032C90000}"/>
    <cellStyle name="Total 3 3 5 2 2" xfId="51507" xr:uid="{00000000-0005-0000-0000-000033C90000}"/>
    <cellStyle name="Total 3 3 5 2 3" xfId="51508" xr:uid="{00000000-0005-0000-0000-000034C90000}"/>
    <cellStyle name="Total 3 3 5 2 4" xfId="51509" xr:uid="{00000000-0005-0000-0000-000035C90000}"/>
    <cellStyle name="Total 3 3 5 2 5" xfId="51510" xr:uid="{00000000-0005-0000-0000-000036C90000}"/>
    <cellStyle name="Total 3 3 5 2 6" xfId="51511" xr:uid="{00000000-0005-0000-0000-000037C90000}"/>
    <cellStyle name="Total 3 3 5 3" xfId="51512" xr:uid="{00000000-0005-0000-0000-000038C90000}"/>
    <cellStyle name="Total 3 3 5 4" xfId="51513" xr:uid="{00000000-0005-0000-0000-000039C90000}"/>
    <cellStyle name="Total 3 3 5 5" xfId="51514" xr:uid="{00000000-0005-0000-0000-00003AC90000}"/>
    <cellStyle name="Total 3 3 5 6" xfId="51515" xr:uid="{00000000-0005-0000-0000-00003BC90000}"/>
    <cellStyle name="Total 3 3 5 7" xfId="51516" xr:uid="{00000000-0005-0000-0000-00003CC90000}"/>
    <cellStyle name="Total 3 3 6" xfId="51517" xr:uid="{00000000-0005-0000-0000-00003DC90000}"/>
    <cellStyle name="Total 3 3 6 2" xfId="51518" xr:uid="{00000000-0005-0000-0000-00003EC90000}"/>
    <cellStyle name="Total 3 3 6 2 2" xfId="51519" xr:uid="{00000000-0005-0000-0000-00003FC90000}"/>
    <cellStyle name="Total 3 3 6 2 3" xfId="51520" xr:uid="{00000000-0005-0000-0000-000040C90000}"/>
    <cellStyle name="Total 3 3 6 2 4" xfId="51521" xr:uid="{00000000-0005-0000-0000-000041C90000}"/>
    <cellStyle name="Total 3 3 6 2 5" xfId="51522" xr:uid="{00000000-0005-0000-0000-000042C90000}"/>
    <cellStyle name="Total 3 3 6 2 6" xfId="51523" xr:uid="{00000000-0005-0000-0000-000043C90000}"/>
    <cellStyle name="Total 3 3 6 3" xfId="51524" xr:uid="{00000000-0005-0000-0000-000044C90000}"/>
    <cellStyle name="Total 3 3 6 4" xfId="51525" xr:uid="{00000000-0005-0000-0000-000045C90000}"/>
    <cellStyle name="Total 3 3 6 5" xfId="51526" xr:uid="{00000000-0005-0000-0000-000046C90000}"/>
    <cellStyle name="Total 3 3 6 6" xfId="51527" xr:uid="{00000000-0005-0000-0000-000047C90000}"/>
    <cellStyle name="Total 3 3 6 7" xfId="51528" xr:uid="{00000000-0005-0000-0000-000048C90000}"/>
    <cellStyle name="Total 3 3 7" xfId="51529" xr:uid="{00000000-0005-0000-0000-000049C90000}"/>
    <cellStyle name="Total 3 3 7 2" xfId="51530" xr:uid="{00000000-0005-0000-0000-00004AC90000}"/>
    <cellStyle name="Total 3 3 7 2 2" xfId="51531" xr:uid="{00000000-0005-0000-0000-00004BC90000}"/>
    <cellStyle name="Total 3 3 7 2 3" xfId="51532" xr:uid="{00000000-0005-0000-0000-00004CC90000}"/>
    <cellStyle name="Total 3 3 7 2 4" xfId="51533" xr:uid="{00000000-0005-0000-0000-00004DC90000}"/>
    <cellStyle name="Total 3 3 7 2 5" xfId="51534" xr:uid="{00000000-0005-0000-0000-00004EC90000}"/>
    <cellStyle name="Total 3 3 7 2 6" xfId="51535" xr:uid="{00000000-0005-0000-0000-00004FC90000}"/>
    <cellStyle name="Total 3 3 7 3" xfId="51536" xr:uid="{00000000-0005-0000-0000-000050C90000}"/>
    <cellStyle name="Total 3 3 7 4" xfId="51537" xr:uid="{00000000-0005-0000-0000-000051C90000}"/>
    <cellStyle name="Total 3 3 7 5" xfId="51538" xr:uid="{00000000-0005-0000-0000-000052C90000}"/>
    <cellStyle name="Total 3 3 7 6" xfId="51539" xr:uid="{00000000-0005-0000-0000-000053C90000}"/>
    <cellStyle name="Total 3 3 7 7" xfId="51540" xr:uid="{00000000-0005-0000-0000-000054C90000}"/>
    <cellStyle name="Total 3 3 8" xfId="51541" xr:uid="{00000000-0005-0000-0000-000055C90000}"/>
    <cellStyle name="Total 3 3 8 2" xfId="51542" xr:uid="{00000000-0005-0000-0000-000056C90000}"/>
    <cellStyle name="Total 3 3 8 2 2" xfId="51543" xr:uid="{00000000-0005-0000-0000-000057C90000}"/>
    <cellStyle name="Total 3 3 8 2 3" xfId="51544" xr:uid="{00000000-0005-0000-0000-000058C90000}"/>
    <cellStyle name="Total 3 3 8 2 4" xfId="51545" xr:uid="{00000000-0005-0000-0000-000059C90000}"/>
    <cellStyle name="Total 3 3 8 2 5" xfId="51546" xr:uid="{00000000-0005-0000-0000-00005AC90000}"/>
    <cellStyle name="Total 3 3 8 2 6" xfId="51547" xr:uid="{00000000-0005-0000-0000-00005BC90000}"/>
    <cellStyle name="Total 3 3 8 3" xfId="51548" xr:uid="{00000000-0005-0000-0000-00005CC90000}"/>
    <cellStyle name="Total 3 3 8 4" xfId="51549" xr:uid="{00000000-0005-0000-0000-00005DC90000}"/>
    <cellStyle name="Total 3 3 8 5" xfId="51550" xr:uid="{00000000-0005-0000-0000-00005EC90000}"/>
    <cellStyle name="Total 3 3 8 6" xfId="51551" xr:uid="{00000000-0005-0000-0000-00005FC90000}"/>
    <cellStyle name="Total 3 3 8 7" xfId="51552" xr:uid="{00000000-0005-0000-0000-000060C90000}"/>
    <cellStyle name="Total 3 3 9" xfId="51553" xr:uid="{00000000-0005-0000-0000-000061C90000}"/>
    <cellStyle name="Total 3 3 9 2" xfId="51554" xr:uid="{00000000-0005-0000-0000-000062C90000}"/>
    <cellStyle name="Total 3 3 9 2 2" xfId="51555" xr:uid="{00000000-0005-0000-0000-000063C90000}"/>
    <cellStyle name="Total 3 3 9 2 3" xfId="51556" xr:uid="{00000000-0005-0000-0000-000064C90000}"/>
    <cellStyle name="Total 3 3 9 2 4" xfId="51557" xr:uid="{00000000-0005-0000-0000-000065C90000}"/>
    <cellStyle name="Total 3 3 9 2 5" xfId="51558" xr:uid="{00000000-0005-0000-0000-000066C90000}"/>
    <cellStyle name="Total 3 3 9 2 6" xfId="51559" xr:uid="{00000000-0005-0000-0000-000067C90000}"/>
    <cellStyle name="Total 3 3 9 3" xfId="51560" xr:uid="{00000000-0005-0000-0000-000068C90000}"/>
    <cellStyle name="Total 3 3 9 4" xfId="51561" xr:uid="{00000000-0005-0000-0000-000069C90000}"/>
    <cellStyle name="Total 3 3 9 5" xfId="51562" xr:uid="{00000000-0005-0000-0000-00006AC90000}"/>
    <cellStyle name="Total 3 3 9 6" xfId="51563" xr:uid="{00000000-0005-0000-0000-00006BC90000}"/>
    <cellStyle name="Total 3 3 9 7" xfId="51564" xr:uid="{00000000-0005-0000-0000-00006CC90000}"/>
    <cellStyle name="Total 3 30" xfId="51565" xr:uid="{00000000-0005-0000-0000-00006DC90000}"/>
    <cellStyle name="Total 3 30 2" xfId="51566" xr:uid="{00000000-0005-0000-0000-00006EC90000}"/>
    <cellStyle name="Total 3 30 2 2" xfId="51567" xr:uid="{00000000-0005-0000-0000-00006FC90000}"/>
    <cellStyle name="Total 3 30 2 3" xfId="51568" xr:uid="{00000000-0005-0000-0000-000070C90000}"/>
    <cellStyle name="Total 3 30 2 4" xfId="51569" xr:uid="{00000000-0005-0000-0000-000071C90000}"/>
    <cellStyle name="Total 3 30 2 5" xfId="51570" xr:uid="{00000000-0005-0000-0000-000072C90000}"/>
    <cellStyle name="Total 3 30 2 6" xfId="51571" xr:uid="{00000000-0005-0000-0000-000073C90000}"/>
    <cellStyle name="Total 3 30 3" xfId="51572" xr:uid="{00000000-0005-0000-0000-000074C90000}"/>
    <cellStyle name="Total 3 30 4" xfId="51573" xr:uid="{00000000-0005-0000-0000-000075C90000}"/>
    <cellStyle name="Total 3 30 5" xfId="51574" xr:uid="{00000000-0005-0000-0000-000076C90000}"/>
    <cellStyle name="Total 3 30 6" xfId="51575" xr:uid="{00000000-0005-0000-0000-000077C90000}"/>
    <cellStyle name="Total 3 30 7" xfId="51576" xr:uid="{00000000-0005-0000-0000-000078C90000}"/>
    <cellStyle name="Total 3 31" xfId="51577" xr:uid="{00000000-0005-0000-0000-000079C90000}"/>
    <cellStyle name="Total 3 31 2" xfId="51578" xr:uid="{00000000-0005-0000-0000-00007AC90000}"/>
    <cellStyle name="Total 3 31 2 2" xfId="51579" xr:uid="{00000000-0005-0000-0000-00007BC90000}"/>
    <cellStyle name="Total 3 31 2 3" xfId="51580" xr:uid="{00000000-0005-0000-0000-00007CC90000}"/>
    <cellStyle name="Total 3 31 2 4" xfId="51581" xr:uid="{00000000-0005-0000-0000-00007DC90000}"/>
    <cellStyle name="Total 3 31 2 5" xfId="51582" xr:uid="{00000000-0005-0000-0000-00007EC90000}"/>
    <cellStyle name="Total 3 31 2 6" xfId="51583" xr:uid="{00000000-0005-0000-0000-00007FC90000}"/>
    <cellStyle name="Total 3 31 3" xfId="51584" xr:uid="{00000000-0005-0000-0000-000080C90000}"/>
    <cellStyle name="Total 3 31 4" xfId="51585" xr:uid="{00000000-0005-0000-0000-000081C90000}"/>
    <cellStyle name="Total 3 31 5" xfId="51586" xr:uid="{00000000-0005-0000-0000-000082C90000}"/>
    <cellStyle name="Total 3 31 6" xfId="51587" xr:uid="{00000000-0005-0000-0000-000083C90000}"/>
    <cellStyle name="Total 3 31 7" xfId="51588" xr:uid="{00000000-0005-0000-0000-000084C90000}"/>
    <cellStyle name="Total 3 32" xfId="51589" xr:uid="{00000000-0005-0000-0000-000085C90000}"/>
    <cellStyle name="Total 3 32 2" xfId="51590" xr:uid="{00000000-0005-0000-0000-000086C90000}"/>
    <cellStyle name="Total 3 32 2 2" xfId="51591" xr:uid="{00000000-0005-0000-0000-000087C90000}"/>
    <cellStyle name="Total 3 32 2 3" xfId="51592" xr:uid="{00000000-0005-0000-0000-000088C90000}"/>
    <cellStyle name="Total 3 32 2 4" xfId="51593" xr:uid="{00000000-0005-0000-0000-000089C90000}"/>
    <cellStyle name="Total 3 32 2 5" xfId="51594" xr:uid="{00000000-0005-0000-0000-00008AC90000}"/>
    <cellStyle name="Total 3 32 2 6" xfId="51595" xr:uid="{00000000-0005-0000-0000-00008BC90000}"/>
    <cellStyle name="Total 3 32 3" xfId="51596" xr:uid="{00000000-0005-0000-0000-00008CC90000}"/>
    <cellStyle name="Total 3 32 4" xfId="51597" xr:uid="{00000000-0005-0000-0000-00008DC90000}"/>
    <cellStyle name="Total 3 32 5" xfId="51598" xr:uid="{00000000-0005-0000-0000-00008EC90000}"/>
    <cellStyle name="Total 3 32 6" xfId="51599" xr:uid="{00000000-0005-0000-0000-00008FC90000}"/>
    <cellStyle name="Total 3 32 7" xfId="51600" xr:uid="{00000000-0005-0000-0000-000090C90000}"/>
    <cellStyle name="Total 3 33" xfId="51601" xr:uid="{00000000-0005-0000-0000-000091C90000}"/>
    <cellStyle name="Total 3 33 2" xfId="51602" xr:uid="{00000000-0005-0000-0000-000092C90000}"/>
    <cellStyle name="Total 3 33 2 2" xfId="51603" xr:uid="{00000000-0005-0000-0000-000093C90000}"/>
    <cellStyle name="Total 3 33 2 3" xfId="51604" xr:uid="{00000000-0005-0000-0000-000094C90000}"/>
    <cellStyle name="Total 3 33 2 4" xfId="51605" xr:uid="{00000000-0005-0000-0000-000095C90000}"/>
    <cellStyle name="Total 3 33 2 5" xfId="51606" xr:uid="{00000000-0005-0000-0000-000096C90000}"/>
    <cellStyle name="Total 3 33 2 6" xfId="51607" xr:uid="{00000000-0005-0000-0000-000097C90000}"/>
    <cellStyle name="Total 3 33 3" xfId="51608" xr:uid="{00000000-0005-0000-0000-000098C90000}"/>
    <cellStyle name="Total 3 33 4" xfId="51609" xr:uid="{00000000-0005-0000-0000-000099C90000}"/>
    <cellStyle name="Total 3 33 5" xfId="51610" xr:uid="{00000000-0005-0000-0000-00009AC90000}"/>
    <cellStyle name="Total 3 33 6" xfId="51611" xr:uid="{00000000-0005-0000-0000-00009BC90000}"/>
    <cellStyle name="Total 3 33 7" xfId="51612" xr:uid="{00000000-0005-0000-0000-00009CC90000}"/>
    <cellStyle name="Total 3 34" xfId="51613" xr:uid="{00000000-0005-0000-0000-00009DC90000}"/>
    <cellStyle name="Total 3 34 2" xfId="51614" xr:uid="{00000000-0005-0000-0000-00009EC90000}"/>
    <cellStyle name="Total 3 34 2 2" xfId="51615" xr:uid="{00000000-0005-0000-0000-00009FC90000}"/>
    <cellStyle name="Total 3 34 2 3" xfId="51616" xr:uid="{00000000-0005-0000-0000-0000A0C90000}"/>
    <cellStyle name="Total 3 34 2 4" xfId="51617" xr:uid="{00000000-0005-0000-0000-0000A1C90000}"/>
    <cellStyle name="Total 3 34 2 5" xfId="51618" xr:uid="{00000000-0005-0000-0000-0000A2C90000}"/>
    <cellStyle name="Total 3 34 2 6" xfId="51619" xr:uid="{00000000-0005-0000-0000-0000A3C90000}"/>
    <cellStyle name="Total 3 34 3" xfId="51620" xr:uid="{00000000-0005-0000-0000-0000A4C90000}"/>
    <cellStyle name="Total 3 34 4" xfId="51621" xr:uid="{00000000-0005-0000-0000-0000A5C90000}"/>
    <cellStyle name="Total 3 34 5" xfId="51622" xr:uid="{00000000-0005-0000-0000-0000A6C90000}"/>
    <cellStyle name="Total 3 34 6" xfId="51623" xr:uid="{00000000-0005-0000-0000-0000A7C90000}"/>
    <cellStyle name="Total 3 34 7" xfId="51624" xr:uid="{00000000-0005-0000-0000-0000A8C90000}"/>
    <cellStyle name="Total 3 35" xfId="51625" xr:uid="{00000000-0005-0000-0000-0000A9C90000}"/>
    <cellStyle name="Total 3 35 2" xfId="51626" xr:uid="{00000000-0005-0000-0000-0000AAC90000}"/>
    <cellStyle name="Total 3 35 2 2" xfId="51627" xr:uid="{00000000-0005-0000-0000-0000ABC90000}"/>
    <cellStyle name="Total 3 35 2 3" xfId="51628" xr:uid="{00000000-0005-0000-0000-0000ACC90000}"/>
    <cellStyle name="Total 3 35 2 4" xfId="51629" xr:uid="{00000000-0005-0000-0000-0000ADC90000}"/>
    <cellStyle name="Total 3 35 2 5" xfId="51630" xr:uid="{00000000-0005-0000-0000-0000AEC90000}"/>
    <cellStyle name="Total 3 35 2 6" xfId="51631" xr:uid="{00000000-0005-0000-0000-0000AFC90000}"/>
    <cellStyle name="Total 3 35 3" xfId="51632" xr:uid="{00000000-0005-0000-0000-0000B0C90000}"/>
    <cellStyle name="Total 3 35 4" xfId="51633" xr:uid="{00000000-0005-0000-0000-0000B1C90000}"/>
    <cellStyle name="Total 3 35 5" xfId="51634" xr:uid="{00000000-0005-0000-0000-0000B2C90000}"/>
    <cellStyle name="Total 3 35 6" xfId="51635" xr:uid="{00000000-0005-0000-0000-0000B3C90000}"/>
    <cellStyle name="Total 3 35 7" xfId="51636" xr:uid="{00000000-0005-0000-0000-0000B4C90000}"/>
    <cellStyle name="Total 3 36" xfId="51637" xr:uid="{00000000-0005-0000-0000-0000B5C90000}"/>
    <cellStyle name="Total 3 36 2" xfId="51638" xr:uid="{00000000-0005-0000-0000-0000B6C90000}"/>
    <cellStyle name="Total 3 36 2 2" xfId="51639" xr:uid="{00000000-0005-0000-0000-0000B7C90000}"/>
    <cellStyle name="Total 3 36 2 3" xfId="51640" xr:uid="{00000000-0005-0000-0000-0000B8C90000}"/>
    <cellStyle name="Total 3 36 2 4" xfId="51641" xr:uid="{00000000-0005-0000-0000-0000B9C90000}"/>
    <cellStyle name="Total 3 36 2 5" xfId="51642" xr:uid="{00000000-0005-0000-0000-0000BAC90000}"/>
    <cellStyle name="Total 3 36 2 6" xfId="51643" xr:uid="{00000000-0005-0000-0000-0000BBC90000}"/>
    <cellStyle name="Total 3 36 3" xfId="51644" xr:uid="{00000000-0005-0000-0000-0000BCC90000}"/>
    <cellStyle name="Total 3 36 4" xfId="51645" xr:uid="{00000000-0005-0000-0000-0000BDC90000}"/>
    <cellStyle name="Total 3 36 5" xfId="51646" xr:uid="{00000000-0005-0000-0000-0000BEC90000}"/>
    <cellStyle name="Total 3 36 6" xfId="51647" xr:uid="{00000000-0005-0000-0000-0000BFC90000}"/>
    <cellStyle name="Total 3 36 7" xfId="51648" xr:uid="{00000000-0005-0000-0000-0000C0C90000}"/>
    <cellStyle name="Total 3 37" xfId="51649" xr:uid="{00000000-0005-0000-0000-0000C1C90000}"/>
    <cellStyle name="Total 3 37 2" xfId="51650" xr:uid="{00000000-0005-0000-0000-0000C2C90000}"/>
    <cellStyle name="Total 3 37 2 2" xfId="51651" xr:uid="{00000000-0005-0000-0000-0000C3C90000}"/>
    <cellStyle name="Total 3 37 2 3" xfId="51652" xr:uid="{00000000-0005-0000-0000-0000C4C90000}"/>
    <cellStyle name="Total 3 37 2 4" xfId="51653" xr:uid="{00000000-0005-0000-0000-0000C5C90000}"/>
    <cellStyle name="Total 3 37 2 5" xfId="51654" xr:uid="{00000000-0005-0000-0000-0000C6C90000}"/>
    <cellStyle name="Total 3 37 2 6" xfId="51655" xr:uid="{00000000-0005-0000-0000-0000C7C90000}"/>
    <cellStyle name="Total 3 37 3" xfId="51656" xr:uid="{00000000-0005-0000-0000-0000C8C90000}"/>
    <cellStyle name="Total 3 37 4" xfId="51657" xr:uid="{00000000-0005-0000-0000-0000C9C90000}"/>
    <cellStyle name="Total 3 37 5" xfId="51658" xr:uid="{00000000-0005-0000-0000-0000CAC90000}"/>
    <cellStyle name="Total 3 37 6" xfId="51659" xr:uid="{00000000-0005-0000-0000-0000CBC90000}"/>
    <cellStyle name="Total 3 37 7" xfId="51660" xr:uid="{00000000-0005-0000-0000-0000CCC90000}"/>
    <cellStyle name="Total 3 38" xfId="51661" xr:uid="{00000000-0005-0000-0000-0000CDC90000}"/>
    <cellStyle name="Total 3 38 2" xfId="51662" xr:uid="{00000000-0005-0000-0000-0000CEC90000}"/>
    <cellStyle name="Total 3 38 2 2" xfId="51663" xr:uid="{00000000-0005-0000-0000-0000CFC90000}"/>
    <cellStyle name="Total 3 38 2 3" xfId="51664" xr:uid="{00000000-0005-0000-0000-0000D0C90000}"/>
    <cellStyle name="Total 3 38 2 4" xfId="51665" xr:uid="{00000000-0005-0000-0000-0000D1C90000}"/>
    <cellStyle name="Total 3 38 2 5" xfId="51666" xr:uid="{00000000-0005-0000-0000-0000D2C90000}"/>
    <cellStyle name="Total 3 38 2 6" xfId="51667" xr:uid="{00000000-0005-0000-0000-0000D3C90000}"/>
    <cellStyle name="Total 3 38 3" xfId="51668" xr:uid="{00000000-0005-0000-0000-0000D4C90000}"/>
    <cellStyle name="Total 3 38 4" xfId="51669" xr:uid="{00000000-0005-0000-0000-0000D5C90000}"/>
    <cellStyle name="Total 3 38 5" xfId="51670" xr:uid="{00000000-0005-0000-0000-0000D6C90000}"/>
    <cellStyle name="Total 3 38 6" xfId="51671" xr:uid="{00000000-0005-0000-0000-0000D7C90000}"/>
    <cellStyle name="Total 3 38 7" xfId="51672" xr:uid="{00000000-0005-0000-0000-0000D8C90000}"/>
    <cellStyle name="Total 3 39" xfId="51673" xr:uid="{00000000-0005-0000-0000-0000D9C90000}"/>
    <cellStyle name="Total 3 39 2" xfId="51674" xr:uid="{00000000-0005-0000-0000-0000DAC90000}"/>
    <cellStyle name="Total 3 39 2 2" xfId="51675" xr:uid="{00000000-0005-0000-0000-0000DBC90000}"/>
    <cellStyle name="Total 3 39 2 3" xfId="51676" xr:uid="{00000000-0005-0000-0000-0000DCC90000}"/>
    <cellStyle name="Total 3 39 2 4" xfId="51677" xr:uid="{00000000-0005-0000-0000-0000DDC90000}"/>
    <cellStyle name="Total 3 39 2 5" xfId="51678" xr:uid="{00000000-0005-0000-0000-0000DEC90000}"/>
    <cellStyle name="Total 3 39 2 6" xfId="51679" xr:uid="{00000000-0005-0000-0000-0000DFC90000}"/>
    <cellStyle name="Total 3 39 3" xfId="51680" xr:uid="{00000000-0005-0000-0000-0000E0C90000}"/>
    <cellStyle name="Total 3 39 4" xfId="51681" xr:uid="{00000000-0005-0000-0000-0000E1C90000}"/>
    <cellStyle name="Total 3 39 5" xfId="51682" xr:uid="{00000000-0005-0000-0000-0000E2C90000}"/>
    <cellStyle name="Total 3 39 6" xfId="51683" xr:uid="{00000000-0005-0000-0000-0000E3C90000}"/>
    <cellStyle name="Total 3 39 7" xfId="51684" xr:uid="{00000000-0005-0000-0000-0000E4C90000}"/>
    <cellStyle name="Total 3 4" xfId="51685" xr:uid="{00000000-0005-0000-0000-0000E5C90000}"/>
    <cellStyle name="Total 3 4 2" xfId="51686" xr:uid="{00000000-0005-0000-0000-0000E6C90000}"/>
    <cellStyle name="Total 3 4 2 2" xfId="51687" xr:uid="{00000000-0005-0000-0000-0000E7C90000}"/>
    <cellStyle name="Total 3 4 2 3" xfId="51688" xr:uid="{00000000-0005-0000-0000-0000E8C90000}"/>
    <cellStyle name="Total 3 4 2 4" xfId="51689" xr:uid="{00000000-0005-0000-0000-0000E9C90000}"/>
    <cellStyle name="Total 3 4 2 5" xfId="51690" xr:uid="{00000000-0005-0000-0000-0000EAC90000}"/>
    <cellStyle name="Total 3 4 2 6" xfId="51691" xr:uid="{00000000-0005-0000-0000-0000EBC90000}"/>
    <cellStyle name="Total 3 4 3" xfId="51692" xr:uid="{00000000-0005-0000-0000-0000ECC90000}"/>
    <cellStyle name="Total 3 4 4" xfId="51693" xr:uid="{00000000-0005-0000-0000-0000EDC90000}"/>
    <cellStyle name="Total 3 4 5" xfId="51694" xr:uid="{00000000-0005-0000-0000-0000EEC90000}"/>
    <cellStyle name="Total 3 4 6" xfId="51695" xr:uid="{00000000-0005-0000-0000-0000EFC90000}"/>
    <cellStyle name="Total 3 4 7" xfId="51696" xr:uid="{00000000-0005-0000-0000-0000F0C90000}"/>
    <cellStyle name="Total 3 40" xfId="51697" xr:uid="{00000000-0005-0000-0000-0000F1C90000}"/>
    <cellStyle name="Total 3 40 2" xfId="51698" xr:uid="{00000000-0005-0000-0000-0000F2C90000}"/>
    <cellStyle name="Total 3 40 2 2" xfId="51699" xr:uid="{00000000-0005-0000-0000-0000F3C90000}"/>
    <cellStyle name="Total 3 40 2 3" xfId="51700" xr:uid="{00000000-0005-0000-0000-0000F4C90000}"/>
    <cellStyle name="Total 3 40 2 4" xfId="51701" xr:uid="{00000000-0005-0000-0000-0000F5C90000}"/>
    <cellStyle name="Total 3 40 2 5" xfId="51702" xr:uid="{00000000-0005-0000-0000-0000F6C90000}"/>
    <cellStyle name="Total 3 40 2 6" xfId="51703" xr:uid="{00000000-0005-0000-0000-0000F7C90000}"/>
    <cellStyle name="Total 3 40 3" xfId="51704" xr:uid="{00000000-0005-0000-0000-0000F8C90000}"/>
    <cellStyle name="Total 3 40 4" xfId="51705" xr:uid="{00000000-0005-0000-0000-0000F9C90000}"/>
    <cellStyle name="Total 3 40 5" xfId="51706" xr:uid="{00000000-0005-0000-0000-0000FAC90000}"/>
    <cellStyle name="Total 3 40 6" xfId="51707" xr:uid="{00000000-0005-0000-0000-0000FBC90000}"/>
    <cellStyle name="Total 3 40 7" xfId="51708" xr:uid="{00000000-0005-0000-0000-0000FCC90000}"/>
    <cellStyle name="Total 3 41" xfId="51709" xr:uid="{00000000-0005-0000-0000-0000FDC90000}"/>
    <cellStyle name="Total 3 41 2" xfId="51710" xr:uid="{00000000-0005-0000-0000-0000FEC90000}"/>
    <cellStyle name="Total 3 41 2 2" xfId="51711" xr:uid="{00000000-0005-0000-0000-0000FFC90000}"/>
    <cellStyle name="Total 3 41 2 3" xfId="51712" xr:uid="{00000000-0005-0000-0000-000000CA0000}"/>
    <cellStyle name="Total 3 41 2 4" xfId="51713" xr:uid="{00000000-0005-0000-0000-000001CA0000}"/>
    <cellStyle name="Total 3 41 2 5" xfId="51714" xr:uid="{00000000-0005-0000-0000-000002CA0000}"/>
    <cellStyle name="Total 3 41 2 6" xfId="51715" xr:uid="{00000000-0005-0000-0000-000003CA0000}"/>
    <cellStyle name="Total 3 41 3" xfId="51716" xr:uid="{00000000-0005-0000-0000-000004CA0000}"/>
    <cellStyle name="Total 3 41 4" xfId="51717" xr:uid="{00000000-0005-0000-0000-000005CA0000}"/>
    <cellStyle name="Total 3 41 5" xfId="51718" xr:uid="{00000000-0005-0000-0000-000006CA0000}"/>
    <cellStyle name="Total 3 41 6" xfId="51719" xr:uid="{00000000-0005-0000-0000-000007CA0000}"/>
    <cellStyle name="Total 3 41 7" xfId="51720" xr:uid="{00000000-0005-0000-0000-000008CA0000}"/>
    <cellStyle name="Total 3 42" xfId="51721" xr:uid="{00000000-0005-0000-0000-000009CA0000}"/>
    <cellStyle name="Total 3 42 2" xfId="51722" xr:uid="{00000000-0005-0000-0000-00000ACA0000}"/>
    <cellStyle name="Total 3 42 2 2" xfId="51723" xr:uid="{00000000-0005-0000-0000-00000BCA0000}"/>
    <cellStyle name="Total 3 42 2 3" xfId="51724" xr:uid="{00000000-0005-0000-0000-00000CCA0000}"/>
    <cellStyle name="Total 3 42 2 4" xfId="51725" xr:uid="{00000000-0005-0000-0000-00000DCA0000}"/>
    <cellStyle name="Total 3 42 2 5" xfId="51726" xr:uid="{00000000-0005-0000-0000-00000ECA0000}"/>
    <cellStyle name="Total 3 42 2 6" xfId="51727" xr:uid="{00000000-0005-0000-0000-00000FCA0000}"/>
    <cellStyle name="Total 3 42 3" xfId="51728" xr:uid="{00000000-0005-0000-0000-000010CA0000}"/>
    <cellStyle name="Total 3 42 4" xfId="51729" xr:uid="{00000000-0005-0000-0000-000011CA0000}"/>
    <cellStyle name="Total 3 42 5" xfId="51730" xr:uid="{00000000-0005-0000-0000-000012CA0000}"/>
    <cellStyle name="Total 3 42 6" xfId="51731" xr:uid="{00000000-0005-0000-0000-000013CA0000}"/>
    <cellStyle name="Total 3 42 7" xfId="51732" xr:uid="{00000000-0005-0000-0000-000014CA0000}"/>
    <cellStyle name="Total 3 43" xfId="51733" xr:uid="{00000000-0005-0000-0000-000015CA0000}"/>
    <cellStyle name="Total 3 43 2" xfId="51734" xr:uid="{00000000-0005-0000-0000-000016CA0000}"/>
    <cellStyle name="Total 3 43 2 2" xfId="51735" xr:uid="{00000000-0005-0000-0000-000017CA0000}"/>
    <cellStyle name="Total 3 43 2 3" xfId="51736" xr:uid="{00000000-0005-0000-0000-000018CA0000}"/>
    <cellStyle name="Total 3 43 2 4" xfId="51737" xr:uid="{00000000-0005-0000-0000-000019CA0000}"/>
    <cellStyle name="Total 3 43 2 5" xfId="51738" xr:uid="{00000000-0005-0000-0000-00001ACA0000}"/>
    <cellStyle name="Total 3 43 2 6" xfId="51739" xr:uid="{00000000-0005-0000-0000-00001BCA0000}"/>
    <cellStyle name="Total 3 43 3" xfId="51740" xr:uid="{00000000-0005-0000-0000-00001CCA0000}"/>
    <cellStyle name="Total 3 43 4" xfId="51741" xr:uid="{00000000-0005-0000-0000-00001DCA0000}"/>
    <cellStyle name="Total 3 43 5" xfId="51742" xr:uid="{00000000-0005-0000-0000-00001ECA0000}"/>
    <cellStyle name="Total 3 43 6" xfId="51743" xr:uid="{00000000-0005-0000-0000-00001FCA0000}"/>
    <cellStyle name="Total 3 43 7" xfId="51744" xr:uid="{00000000-0005-0000-0000-000020CA0000}"/>
    <cellStyle name="Total 3 44" xfId="51745" xr:uid="{00000000-0005-0000-0000-000021CA0000}"/>
    <cellStyle name="Total 3 44 2" xfId="51746" xr:uid="{00000000-0005-0000-0000-000022CA0000}"/>
    <cellStyle name="Total 3 44 3" xfId="51747" xr:uid="{00000000-0005-0000-0000-000023CA0000}"/>
    <cellStyle name="Total 3 44 4" xfId="51748" xr:uid="{00000000-0005-0000-0000-000024CA0000}"/>
    <cellStyle name="Total 3 44 5" xfId="51749" xr:uid="{00000000-0005-0000-0000-000025CA0000}"/>
    <cellStyle name="Total 3 44 6" xfId="51750" xr:uid="{00000000-0005-0000-0000-000026CA0000}"/>
    <cellStyle name="Total 3 45" xfId="51751" xr:uid="{00000000-0005-0000-0000-000027CA0000}"/>
    <cellStyle name="Total 3 45 2" xfId="51752" xr:uid="{00000000-0005-0000-0000-000028CA0000}"/>
    <cellStyle name="Total 3 45 3" xfId="51753" xr:uid="{00000000-0005-0000-0000-000029CA0000}"/>
    <cellStyle name="Total 3 45 4" xfId="51754" xr:uid="{00000000-0005-0000-0000-00002ACA0000}"/>
    <cellStyle name="Total 3 45 5" xfId="51755" xr:uid="{00000000-0005-0000-0000-00002BCA0000}"/>
    <cellStyle name="Total 3 45 6" xfId="51756" xr:uid="{00000000-0005-0000-0000-00002CCA0000}"/>
    <cellStyle name="Total 3 5" xfId="51757" xr:uid="{00000000-0005-0000-0000-00002DCA0000}"/>
    <cellStyle name="Total 3 5 2" xfId="51758" xr:uid="{00000000-0005-0000-0000-00002ECA0000}"/>
    <cellStyle name="Total 3 5 2 2" xfId="51759" xr:uid="{00000000-0005-0000-0000-00002FCA0000}"/>
    <cellStyle name="Total 3 5 2 3" xfId="51760" xr:uid="{00000000-0005-0000-0000-000030CA0000}"/>
    <cellStyle name="Total 3 5 2 4" xfId="51761" xr:uid="{00000000-0005-0000-0000-000031CA0000}"/>
    <cellStyle name="Total 3 5 2 5" xfId="51762" xr:uid="{00000000-0005-0000-0000-000032CA0000}"/>
    <cellStyle name="Total 3 5 2 6" xfId="51763" xr:uid="{00000000-0005-0000-0000-000033CA0000}"/>
    <cellStyle name="Total 3 5 3" xfId="51764" xr:uid="{00000000-0005-0000-0000-000034CA0000}"/>
    <cellStyle name="Total 3 5 4" xfId="51765" xr:uid="{00000000-0005-0000-0000-000035CA0000}"/>
    <cellStyle name="Total 3 5 5" xfId="51766" xr:uid="{00000000-0005-0000-0000-000036CA0000}"/>
    <cellStyle name="Total 3 5 6" xfId="51767" xr:uid="{00000000-0005-0000-0000-000037CA0000}"/>
    <cellStyle name="Total 3 5 7" xfId="51768" xr:uid="{00000000-0005-0000-0000-000038CA0000}"/>
    <cellStyle name="Total 3 6" xfId="51769" xr:uid="{00000000-0005-0000-0000-000039CA0000}"/>
    <cellStyle name="Total 3 6 2" xfId="51770" xr:uid="{00000000-0005-0000-0000-00003ACA0000}"/>
    <cellStyle name="Total 3 6 2 2" xfId="51771" xr:uid="{00000000-0005-0000-0000-00003BCA0000}"/>
    <cellStyle name="Total 3 6 2 3" xfId="51772" xr:uid="{00000000-0005-0000-0000-00003CCA0000}"/>
    <cellStyle name="Total 3 6 2 4" xfId="51773" xr:uid="{00000000-0005-0000-0000-00003DCA0000}"/>
    <cellStyle name="Total 3 6 2 5" xfId="51774" xr:uid="{00000000-0005-0000-0000-00003ECA0000}"/>
    <cellStyle name="Total 3 6 2 6" xfId="51775" xr:uid="{00000000-0005-0000-0000-00003FCA0000}"/>
    <cellStyle name="Total 3 6 3" xfId="51776" xr:uid="{00000000-0005-0000-0000-000040CA0000}"/>
    <cellStyle name="Total 3 6 4" xfId="51777" xr:uid="{00000000-0005-0000-0000-000041CA0000}"/>
    <cellStyle name="Total 3 6 5" xfId="51778" xr:uid="{00000000-0005-0000-0000-000042CA0000}"/>
    <cellStyle name="Total 3 6 6" xfId="51779" xr:uid="{00000000-0005-0000-0000-000043CA0000}"/>
    <cellStyle name="Total 3 6 7" xfId="51780" xr:uid="{00000000-0005-0000-0000-000044CA0000}"/>
    <cellStyle name="Total 3 7" xfId="51781" xr:uid="{00000000-0005-0000-0000-000045CA0000}"/>
    <cellStyle name="Total 3 7 2" xfId="51782" xr:uid="{00000000-0005-0000-0000-000046CA0000}"/>
    <cellStyle name="Total 3 7 2 2" xfId="51783" xr:uid="{00000000-0005-0000-0000-000047CA0000}"/>
    <cellStyle name="Total 3 7 2 3" xfId="51784" xr:uid="{00000000-0005-0000-0000-000048CA0000}"/>
    <cellStyle name="Total 3 7 2 4" xfId="51785" xr:uid="{00000000-0005-0000-0000-000049CA0000}"/>
    <cellStyle name="Total 3 7 2 5" xfId="51786" xr:uid="{00000000-0005-0000-0000-00004ACA0000}"/>
    <cellStyle name="Total 3 7 2 6" xfId="51787" xr:uid="{00000000-0005-0000-0000-00004BCA0000}"/>
    <cellStyle name="Total 3 7 3" xfId="51788" xr:uid="{00000000-0005-0000-0000-00004CCA0000}"/>
    <cellStyle name="Total 3 7 4" xfId="51789" xr:uid="{00000000-0005-0000-0000-00004DCA0000}"/>
    <cellStyle name="Total 3 7 5" xfId="51790" xr:uid="{00000000-0005-0000-0000-00004ECA0000}"/>
    <cellStyle name="Total 3 7 6" xfId="51791" xr:uid="{00000000-0005-0000-0000-00004FCA0000}"/>
    <cellStyle name="Total 3 7 7" xfId="51792" xr:uid="{00000000-0005-0000-0000-000050CA0000}"/>
    <cellStyle name="Total 3 8" xfId="51793" xr:uid="{00000000-0005-0000-0000-000051CA0000}"/>
    <cellStyle name="Total 3 8 2" xfId="51794" xr:uid="{00000000-0005-0000-0000-000052CA0000}"/>
    <cellStyle name="Total 3 8 2 2" xfId="51795" xr:uid="{00000000-0005-0000-0000-000053CA0000}"/>
    <cellStyle name="Total 3 8 2 3" xfId="51796" xr:uid="{00000000-0005-0000-0000-000054CA0000}"/>
    <cellStyle name="Total 3 8 2 4" xfId="51797" xr:uid="{00000000-0005-0000-0000-000055CA0000}"/>
    <cellStyle name="Total 3 8 2 5" xfId="51798" xr:uid="{00000000-0005-0000-0000-000056CA0000}"/>
    <cellStyle name="Total 3 8 2 6" xfId="51799" xr:uid="{00000000-0005-0000-0000-000057CA0000}"/>
    <cellStyle name="Total 3 8 3" xfId="51800" xr:uid="{00000000-0005-0000-0000-000058CA0000}"/>
    <cellStyle name="Total 3 8 4" xfId="51801" xr:uid="{00000000-0005-0000-0000-000059CA0000}"/>
    <cellStyle name="Total 3 8 5" xfId="51802" xr:uid="{00000000-0005-0000-0000-00005ACA0000}"/>
    <cellStyle name="Total 3 8 6" xfId="51803" xr:uid="{00000000-0005-0000-0000-00005BCA0000}"/>
    <cellStyle name="Total 3 8 7" xfId="51804" xr:uid="{00000000-0005-0000-0000-00005CCA0000}"/>
    <cellStyle name="Total 3 9" xfId="51805" xr:uid="{00000000-0005-0000-0000-00005DCA0000}"/>
    <cellStyle name="Total 3 9 2" xfId="51806" xr:uid="{00000000-0005-0000-0000-00005ECA0000}"/>
    <cellStyle name="Total 3 9 2 2" xfId="51807" xr:uid="{00000000-0005-0000-0000-00005FCA0000}"/>
    <cellStyle name="Total 3 9 2 3" xfId="51808" xr:uid="{00000000-0005-0000-0000-000060CA0000}"/>
    <cellStyle name="Total 3 9 2 4" xfId="51809" xr:uid="{00000000-0005-0000-0000-000061CA0000}"/>
    <cellStyle name="Total 3 9 2 5" xfId="51810" xr:uid="{00000000-0005-0000-0000-000062CA0000}"/>
    <cellStyle name="Total 3 9 2 6" xfId="51811" xr:uid="{00000000-0005-0000-0000-000063CA0000}"/>
    <cellStyle name="Total 3 9 3" xfId="51812" xr:uid="{00000000-0005-0000-0000-000064CA0000}"/>
    <cellStyle name="Total 3 9 4" xfId="51813" xr:uid="{00000000-0005-0000-0000-000065CA0000}"/>
    <cellStyle name="Total 3 9 5" xfId="51814" xr:uid="{00000000-0005-0000-0000-000066CA0000}"/>
    <cellStyle name="Total 3 9 6" xfId="51815" xr:uid="{00000000-0005-0000-0000-000067CA0000}"/>
    <cellStyle name="Total 3 9 7" xfId="51816" xr:uid="{00000000-0005-0000-0000-000068CA0000}"/>
    <cellStyle name="Total 4" xfId="51817" xr:uid="{00000000-0005-0000-0000-000069CA0000}"/>
    <cellStyle name="Total 5" xfId="51818" xr:uid="{00000000-0005-0000-0000-00006ACA0000}"/>
    <cellStyle name="Total 6" xfId="51819" xr:uid="{00000000-0005-0000-0000-00006BCA0000}"/>
    <cellStyle name="Total 7" xfId="51820" xr:uid="{00000000-0005-0000-0000-00006CCA0000}"/>
    <cellStyle name="Tusental (0)_pldt" xfId="51821" xr:uid="{00000000-0005-0000-0000-00006DCA0000}"/>
    <cellStyle name="Tusental_pldt" xfId="51822" xr:uid="{00000000-0005-0000-0000-00006ECA0000}"/>
    <cellStyle name="Unit" xfId="51823" xr:uid="{00000000-0005-0000-0000-00006FCA0000}"/>
    <cellStyle name="Valuta (0)_pldt" xfId="51824" xr:uid="{00000000-0005-0000-0000-000070CA0000}"/>
    <cellStyle name="Valuta_pldt" xfId="51825" xr:uid="{00000000-0005-0000-0000-000071CA0000}"/>
    <cellStyle name="Währung [0]_Compiling Utility Macros" xfId="51826" xr:uid="{00000000-0005-0000-0000-000072CA0000}"/>
    <cellStyle name="Währung_Compiling Utility Macros" xfId="51827" xr:uid="{00000000-0005-0000-0000-000073CA0000}"/>
    <cellStyle name="Warning Text 2" xfId="51828" xr:uid="{00000000-0005-0000-0000-000074CA0000}"/>
    <cellStyle name="Warning Text 2 2" xfId="51829" xr:uid="{00000000-0005-0000-0000-000075CA0000}"/>
    <cellStyle name="Warning Text 3" xfId="51830" xr:uid="{00000000-0005-0000-0000-000076CA0000}"/>
    <cellStyle name="Warning Text 4" xfId="51831" xr:uid="{00000000-0005-0000-0000-000077CA0000}"/>
    <cellStyle name="Wrap" xfId="51832" xr:uid="{00000000-0005-0000-0000-000078CA0000}"/>
    <cellStyle name="wrap 2" xfId="51833" xr:uid="{00000000-0005-0000-0000-000079CA0000}"/>
    <cellStyle name="Year" xfId="51834" xr:uid="{00000000-0005-0000-0000-00007ACA0000}"/>
    <cellStyle name="Year 2" xfId="51835" xr:uid="{00000000-0005-0000-0000-00007BCA0000}"/>
    <cellStyle name="Zip Code" xfId="51836" xr:uid="{00000000-0005-0000-0000-00007CCA0000}"/>
  </cellStyles>
  <dxfs count="0"/>
  <tableStyles count="0" defaultTableStyle="TableStyleMedium2" defaultPivotStyle="PivotStyleLight16"/>
  <colors>
    <mruColors>
      <color rgb="FFCFF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meresco.com\d\Projects\BHCRates\PSCModels\2005.04.14\Clean\CAS%20Electric%20f.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eresco.com\Excel2000f\ROA%20v.%20Bundled\Templates\Rev%20Credit%20Mod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eresco.com\d\BHP\2005\Rate%20Case\BHP%20Cost%20of%20Service%20Model%20(Excel)%203.07.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eresco.com\d\Rates\Black%20Hills%20Power,%20Inc\Rate%20Case\2009%20-%20BHP%20-%20SD\Cost%20of%20Service%20Models\Master%20Rate%20Filing%20Statement-July%2008%20-%20June%2009-Settlement%20with%20Staf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meresco.com\d\Documents%20and%20Settings\ckilpatr\My%20Documents\Rate%20Class%20Info\COS%20Exercise%206%20with%20answe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oulder-data\webdrive\Common\DSM\DSM%20Incentive%20Analysis\SUMMIT%20BLUE%2006-01-05\Lighting%20100s\Incentive%20analysis%20-%20ligh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Factors"/>
      <sheetName val="C.A. Model"/>
      <sheetName val="Services Study (inputs)"/>
      <sheetName val="Meters Study (inputs)"/>
      <sheetName val="Cust. Acct. Study (inputs)"/>
      <sheetName val="Func. Plt. RRF - With Earnings"/>
      <sheetName val="Expenses RRF - With Earnings"/>
      <sheetName val="Rev. Cred. RRF - With Earnings"/>
      <sheetName val="Rate Design-Non Lighting"/>
      <sheetName val="2 Rate Design-Lights-Summary"/>
      <sheetName val="3 Rate Design-Lights-Components"/>
      <sheetName val="4 Lights-Investments"/>
      <sheetName val="5 Lights-Cap &amp; Maint."/>
      <sheetName val="6 Lights-Facility"/>
      <sheetName val="7 Lights-Proforma Rev (inputs)"/>
      <sheetName val="8 Lights-Proposed Rev (inputs)"/>
      <sheetName val="9 Lights-Proposed Incr"/>
      <sheetName val="Rate Compare"/>
      <sheetName val="Index"/>
      <sheetName val="Rate Class (inputs)"/>
      <sheetName val="Total Co. (inputs)"/>
    </sheetNames>
    <sheetDataSet>
      <sheetData sheetId="0"/>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ate Tbl"/>
      <sheetName val="Input"/>
      <sheetName val="Revenue"/>
      <sheetName val="MC"/>
      <sheetName val="PF"/>
      <sheetName val="Max Capital"/>
      <sheetName val="Summary"/>
      <sheetName val="Financials"/>
      <sheetName val="Principal Int."/>
      <sheetName val="Rates"/>
      <sheetName val="Rate Table"/>
      <sheetName val="Forecast Fuel"/>
      <sheetName val="Depreciation"/>
      <sheetName val="Capital Invest"/>
      <sheetName val="Inpu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Customer Impact"/>
      <sheetName val="MEAN"/>
      <sheetName val="Marketing"/>
      <sheetName val="Allocation Summary"/>
      <sheetName val="1"/>
      <sheetName val="2"/>
      <sheetName val="Adjusted Exp &amp; Rate Base"/>
      <sheetName val="Known Measurable"/>
      <sheetName val="Statement P"/>
      <sheetName val="Property Avg"/>
      <sheetName val="accdep"/>
      <sheetName val="Other Rate Base Reductions"/>
      <sheetName val="Debt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Header"/>
      <sheetName val="Check Figures"/>
      <sheetName val="Adjustment Log"/>
      <sheetName val="Stmt A pg1"/>
      <sheetName val="Stmt A pg2"/>
      <sheetName val="Stmt B"/>
      <sheetName val="Stmt C"/>
      <sheetName val="Stmt D pg1"/>
      <sheetName val="Stmt D pg2"/>
      <sheetName val="Sched D-1"/>
      <sheetName val="Sched D-2"/>
      <sheetName val="Sched D-3"/>
      <sheetName val="Sched D-4 2001"/>
      <sheetName val="Sched D-4 2002"/>
      <sheetName val="Sched D-4 2003"/>
      <sheetName val="Sched D-4 2004"/>
      <sheetName val="Sched D-4 2005"/>
      <sheetName val="Sched D-4 2006"/>
      <sheetName val="Sched D-4 2007"/>
      <sheetName val="Sched D-4 2008"/>
      <sheetName val="Sched D-5"/>
      <sheetName val="Sched D-6"/>
      <sheetName val="Sched D-7"/>
      <sheetName val="Sched D-8"/>
      <sheetName val="Sched D-9"/>
      <sheetName val="Sched D-10"/>
      <sheetName val="Sched D-11"/>
      <sheetName val="Stmt E"/>
      <sheetName val="Sched E-1"/>
      <sheetName val="Sched E-2"/>
      <sheetName val="Sched E-3"/>
      <sheetName val="Stmt F"/>
      <sheetName val="Sched F-1"/>
      <sheetName val="Sched F-2"/>
      <sheetName val="Sched F-3 pg1"/>
      <sheetName val="Sched F-3 pg2"/>
      <sheetName val="Sched F-4"/>
      <sheetName val="Stmt G pg1"/>
      <sheetName val="Stmt G pg2"/>
      <sheetName val="Stmt G pg3"/>
      <sheetName val="Stmt G pg4"/>
      <sheetName val="Stmt G pg5"/>
      <sheetName val="Sched G-1"/>
      <sheetName val="Sched G-2"/>
      <sheetName val="Sched G-3"/>
      <sheetName val="Sched G-4"/>
      <sheetName val="Stmt H"/>
      <sheetName val="Sched H-1"/>
      <sheetName val="Sched H-2"/>
      <sheetName val="Sched H-3 pg1"/>
      <sheetName val="Sched H-3 pg2"/>
      <sheetName val="Sched H-4"/>
      <sheetName val="Sched H-5"/>
      <sheetName val="Sched H-6"/>
      <sheetName val="Sched H-7"/>
      <sheetName val="Sched H-8"/>
      <sheetName val="Sched H-9"/>
      <sheetName val="Sched H-10"/>
      <sheetName val="Sched H-11"/>
      <sheetName val="Sched H-12"/>
      <sheetName val="Sched H-13"/>
      <sheetName val="Sched H-14"/>
      <sheetName val="Sched H-15"/>
      <sheetName val="Stmt I pg1"/>
      <sheetName val="Stmt I pg2"/>
      <sheetName val="Stmt I pg3"/>
      <sheetName val="Sched I-1 pg1"/>
      <sheetName val="Sched I-1 pg2"/>
      <sheetName val="Sched I-1 pg3"/>
      <sheetName val="Sched I-1 pg4"/>
      <sheetName val="Sched I-1 pg5"/>
      <sheetName val="Sched I-1 pg6"/>
      <sheetName val="Sched I-1 pg7"/>
      <sheetName val="Sched I-1 pg8"/>
      <sheetName val="Sched I-1 pg9"/>
      <sheetName val="Sched I-1 pg10"/>
      <sheetName val="Sched I-1 pg11"/>
      <sheetName val="Stmt J"/>
      <sheetName val="Sched J-1"/>
      <sheetName val="Stmt K pg1,2"/>
      <sheetName val="Stmt K pg3"/>
      <sheetName val="Stmt K pg4"/>
      <sheetName val="Sched K-1"/>
      <sheetName val="Sched K-1-Confidential"/>
      <sheetName val="Sched K-2"/>
      <sheetName val="Sched K-3"/>
      <sheetName val="Sched K-3 Confidential"/>
      <sheetName val="Sched K-4"/>
      <sheetName val="Sched K-5"/>
      <sheetName val="Stmt L"/>
      <sheetName val="Sched L-1"/>
      <sheetName val="Stmt M"/>
      <sheetName val="Sched M-1"/>
      <sheetName val="Sched M-2"/>
      <sheetName val="Stmt N"/>
      <sheetName val="Sched N-1"/>
      <sheetName val="Stmt O"/>
      <sheetName val="Sched O-1"/>
      <sheetName val="Stmt P pg1"/>
      <sheetName val="Stmt P pg2"/>
      <sheetName val="Stmt P pg3"/>
      <sheetName val="Stmt Q"/>
      <sheetName val="Stmt R pg1"/>
      <sheetName val="Stmt R pg2"/>
      <sheetName val="Stmt R pg3"/>
      <sheetName val="Stmt R pg4"/>
      <sheetName val="Stmt R pg5"/>
      <sheetName val="Stmt R pg6"/>
      <sheetName val="WP-1"/>
      <sheetName val="WP-2"/>
      <sheetName val="WP-3 2005"/>
      <sheetName val="WP-3"/>
      <sheetName val="WP-4"/>
      <sheetName val="Section 3 pg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Prod"/>
      <sheetName val="Trans"/>
      <sheetName val="Dist"/>
      <sheetName val="Cust"/>
      <sheetName val="COS"/>
      <sheetName val="WACC &amp; IT"/>
      <sheetName val="Exercise No.1"/>
      <sheetName val="Exercise No. 2"/>
      <sheetName val="Exercise No. 3"/>
      <sheetName val="Exercise No. 4"/>
      <sheetName val="Exercise No. 5"/>
      <sheetName val="Exercise No. 6"/>
      <sheetName val="Prod AFs"/>
      <sheetName val="Trans AFs"/>
      <sheetName val="Cust AFs"/>
      <sheetName val="EX3_Dist AFs"/>
    </sheetNames>
    <sheetDataSet>
      <sheetData sheetId="0"/>
      <sheetData sheetId="1"/>
      <sheetData sheetId="2"/>
      <sheetData sheetId="3"/>
      <sheetData sheetId="4"/>
      <sheetData sheetId="5"/>
      <sheetData sheetId="6">
        <row r="21">
          <cell r="I21">
            <v>3.5499999999999997E-2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sheetName val="old"/>
      <sheetName val="list"/>
    </sheetNames>
    <sheetDataSet>
      <sheetData sheetId="0" refreshError="1"/>
      <sheetData sheetId="1">
        <row r="5">
          <cell r="V5">
            <v>2</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tabColor theme="6"/>
  </sheetPr>
  <dimension ref="A1:R184"/>
  <sheetViews>
    <sheetView showGridLines="0" tabSelected="1" zoomScale="70" zoomScaleNormal="70" workbookViewId="0">
      <pane ySplit="6" topLeftCell="A7" activePane="bottomLeft" state="frozen"/>
      <selection pane="bottomLeft" activeCell="C2" sqref="C2"/>
    </sheetView>
  </sheetViews>
  <sheetFormatPr defaultColWidth="9.1796875" defaultRowHeight="14.5"/>
  <cols>
    <col min="2" max="2" width="21.453125" customWidth="1"/>
    <col min="3" max="3" width="24.81640625" bestFit="1" customWidth="1"/>
    <col min="4" max="4" width="14.1796875" customWidth="1"/>
    <col min="5" max="5" width="67.1796875" customWidth="1"/>
    <col min="6" max="7" width="14.26953125" customWidth="1"/>
    <col min="8" max="8" width="85.453125" customWidth="1"/>
    <col min="9" max="9" width="35.1796875" bestFit="1" customWidth="1"/>
    <col min="10" max="15" width="14.26953125" customWidth="1"/>
    <col min="16" max="16" width="42.81640625" customWidth="1"/>
    <col min="17" max="18" width="15.81640625" customWidth="1"/>
  </cols>
  <sheetData>
    <row r="1" spans="1:18">
      <c r="A1" s="453"/>
    </row>
    <row r="2" spans="1:18">
      <c r="C2" s="499"/>
    </row>
    <row r="3" spans="1:18">
      <c r="M3" t="s">
        <v>1072</v>
      </c>
    </row>
    <row r="4" spans="1:18">
      <c r="M4">
        <f>COUNTIFS(M$7:M$184,TRUE,$O$7:$O$184,"")</f>
        <v>0</v>
      </c>
      <c r="N4">
        <f>COUNTIFS(N$7:N$184,TRUE,$O$7:$O$184,"")</f>
        <v>0</v>
      </c>
    </row>
    <row r="5" spans="1:18">
      <c r="B5" s="453" t="s">
        <v>1073</v>
      </c>
    </row>
    <row r="6" spans="1:18" ht="75" customHeight="1">
      <c r="B6" s="454" t="s">
        <v>870</v>
      </c>
      <c r="C6" s="454" t="s">
        <v>871</v>
      </c>
      <c r="D6" s="455" t="s">
        <v>1074</v>
      </c>
      <c r="E6" s="454" t="s">
        <v>872</v>
      </c>
      <c r="F6" s="454" t="s">
        <v>873</v>
      </c>
      <c r="G6" s="454" t="s">
        <v>874</v>
      </c>
      <c r="H6" s="454" t="s">
        <v>875</v>
      </c>
      <c r="I6" s="454" t="s">
        <v>876</v>
      </c>
      <c r="J6" s="455" t="s">
        <v>1075</v>
      </c>
      <c r="K6" s="455" t="s">
        <v>1076</v>
      </c>
      <c r="L6" s="455" t="s">
        <v>1077</v>
      </c>
      <c r="M6" s="455" t="s">
        <v>1078</v>
      </c>
      <c r="N6" s="455" t="s">
        <v>1079</v>
      </c>
      <c r="O6" s="455" t="s">
        <v>1080</v>
      </c>
      <c r="P6" s="455" t="s">
        <v>1081</v>
      </c>
      <c r="Q6" s="455" t="s">
        <v>1415</v>
      </c>
      <c r="R6" s="455" t="s">
        <v>1416</v>
      </c>
    </row>
    <row r="7" spans="1:18" hidden="1">
      <c r="B7" s="456" t="s">
        <v>877</v>
      </c>
      <c r="C7" s="456" t="s">
        <v>878</v>
      </c>
      <c r="D7" s="457" t="s">
        <v>878</v>
      </c>
      <c r="E7" s="456" t="s">
        <v>878</v>
      </c>
      <c r="F7" s="456" t="s">
        <v>878</v>
      </c>
      <c r="G7" s="456" t="s">
        <v>879</v>
      </c>
      <c r="H7" s="456" t="s">
        <v>1082</v>
      </c>
      <c r="I7" s="456" t="s">
        <v>878</v>
      </c>
      <c r="J7" s="458" t="b">
        <f>I7&lt;&gt;"N/A"</f>
        <v>0</v>
      </c>
      <c r="K7" s="458" t="b">
        <f t="shared" ref="K7:K38" si="0">COUNTIFS(D:D,D7,J:J,TRUE)&gt;0</f>
        <v>0</v>
      </c>
      <c r="L7" s="458" t="str">
        <f>IF(D7="n/a","n/a",ISNUMBER(MATCH(D7,'Measure-Level Adjustments Tab'!D:D,0)))</f>
        <v>n/a</v>
      </c>
      <c r="M7" s="458" t="b">
        <f>AND(G7="Errata",J7,L7)</f>
        <v>0</v>
      </c>
      <c r="N7" s="458" t="b">
        <f>AND(G7="Revision",J7,L7)</f>
        <v>0</v>
      </c>
      <c r="O7" s="458" t="s">
        <v>763</v>
      </c>
      <c r="P7" s="458"/>
      <c r="Q7" s="458"/>
      <c r="R7" s="458" t="str">
        <f>IF(Q7="","",HYPERLINK("#'"&amp;Q7,"Go To Update"))</f>
        <v/>
      </c>
    </row>
    <row r="8" spans="1:18" hidden="1">
      <c r="B8" s="456" t="s">
        <v>877</v>
      </c>
      <c r="C8" s="456" t="s">
        <v>878</v>
      </c>
      <c r="D8" s="457" t="s">
        <v>878</v>
      </c>
      <c r="E8" s="456" t="s">
        <v>878</v>
      </c>
      <c r="F8" s="456" t="s">
        <v>878</v>
      </c>
      <c r="G8" s="456" t="s">
        <v>879</v>
      </c>
      <c r="H8" s="456" t="s">
        <v>1083</v>
      </c>
      <c r="I8" s="456" t="s">
        <v>878</v>
      </c>
      <c r="J8" s="458" t="b">
        <f t="shared" ref="J8:J71" si="1">I8&lt;&gt;"N/A"</f>
        <v>0</v>
      </c>
      <c r="K8" s="458" t="b">
        <f t="shared" si="0"/>
        <v>0</v>
      </c>
      <c r="L8" s="458" t="str">
        <f>IF(D8="n/a","n/a",ISNUMBER(MATCH(D8,'Measure-Level Adjustments Tab'!D:D,0)))</f>
        <v>n/a</v>
      </c>
      <c r="M8" s="458" t="b">
        <f t="shared" ref="M8:M71" si="2">AND(G8="Errata",J8,L8)</f>
        <v>0</v>
      </c>
      <c r="N8" s="458" t="b">
        <f t="shared" ref="N8:N71" si="3">AND(G8="Revision",J8,L8)</f>
        <v>0</v>
      </c>
      <c r="O8" s="458" t="s">
        <v>763</v>
      </c>
      <c r="P8" s="458"/>
      <c r="Q8" s="458"/>
      <c r="R8" s="458" t="str">
        <f t="shared" ref="R8:R71" si="4">IF(Q8="","",HYPERLINK("#'"&amp;Q8,"Go To Update"))</f>
        <v/>
      </c>
    </row>
    <row r="9" spans="1:18" hidden="1">
      <c r="B9" s="456" t="s">
        <v>877</v>
      </c>
      <c r="C9" s="456" t="s">
        <v>878</v>
      </c>
      <c r="D9" s="457" t="s">
        <v>878</v>
      </c>
      <c r="E9" s="456" t="s">
        <v>878</v>
      </c>
      <c r="F9" s="456" t="s">
        <v>878</v>
      </c>
      <c r="G9" s="456" t="s">
        <v>879</v>
      </c>
      <c r="H9" s="456" t="s">
        <v>1084</v>
      </c>
      <c r="I9" s="456" t="s">
        <v>878</v>
      </c>
      <c r="J9" s="458" t="b">
        <f t="shared" si="1"/>
        <v>0</v>
      </c>
      <c r="K9" s="458" t="b">
        <f t="shared" si="0"/>
        <v>0</v>
      </c>
      <c r="L9" s="458" t="str">
        <f>IF(D9="n/a","n/a",ISNUMBER(MATCH(D9,'Measure-Level Adjustments Tab'!D:D,0)))</f>
        <v>n/a</v>
      </c>
      <c r="M9" s="458" t="b">
        <f t="shared" si="2"/>
        <v>0</v>
      </c>
      <c r="N9" s="458" t="b">
        <f t="shared" si="3"/>
        <v>0</v>
      </c>
      <c r="O9" s="458" t="s">
        <v>763</v>
      </c>
      <c r="P9" s="458"/>
      <c r="Q9" s="458"/>
      <c r="R9" s="458" t="str">
        <f t="shared" si="4"/>
        <v/>
      </c>
    </row>
    <row r="10" spans="1:18" hidden="1">
      <c r="B10" s="456" t="s">
        <v>877</v>
      </c>
      <c r="C10" s="456" t="s">
        <v>878</v>
      </c>
      <c r="D10" s="457" t="s">
        <v>878</v>
      </c>
      <c r="E10" s="456" t="s">
        <v>878</v>
      </c>
      <c r="F10" s="456" t="s">
        <v>878</v>
      </c>
      <c r="G10" s="456" t="s">
        <v>879</v>
      </c>
      <c r="H10" s="456" t="s">
        <v>1085</v>
      </c>
      <c r="I10" s="456" t="s">
        <v>878</v>
      </c>
      <c r="J10" s="458" t="b">
        <f t="shared" si="1"/>
        <v>0</v>
      </c>
      <c r="K10" s="458" t="b">
        <f t="shared" si="0"/>
        <v>0</v>
      </c>
      <c r="L10" s="458" t="str">
        <f>IF(D10="n/a","n/a",ISNUMBER(MATCH(D10,'Measure-Level Adjustments Tab'!D:D,0)))</f>
        <v>n/a</v>
      </c>
      <c r="M10" s="458" t="b">
        <f t="shared" si="2"/>
        <v>0</v>
      </c>
      <c r="N10" s="458" t="b">
        <f t="shared" si="3"/>
        <v>0</v>
      </c>
      <c r="O10" s="458" t="s">
        <v>763</v>
      </c>
      <c r="P10" s="458"/>
      <c r="Q10" s="458"/>
      <c r="R10" s="458" t="str">
        <f t="shared" si="4"/>
        <v/>
      </c>
    </row>
    <row r="11" spans="1:18" hidden="1">
      <c r="B11" s="456" t="s">
        <v>877</v>
      </c>
      <c r="C11" s="456" t="s">
        <v>878</v>
      </c>
      <c r="D11" s="457" t="s">
        <v>878</v>
      </c>
      <c r="E11" s="456" t="s">
        <v>878</v>
      </c>
      <c r="F11" s="456" t="s">
        <v>878</v>
      </c>
      <c r="G11" s="456" t="s">
        <v>879</v>
      </c>
      <c r="H11" s="456" t="s">
        <v>1086</v>
      </c>
      <c r="I11" s="456" t="s">
        <v>878</v>
      </c>
      <c r="J11" s="458" t="b">
        <f t="shared" si="1"/>
        <v>0</v>
      </c>
      <c r="K11" s="458" t="b">
        <f t="shared" si="0"/>
        <v>0</v>
      </c>
      <c r="L11" s="458" t="str">
        <f>IF(D11="n/a","n/a",ISNUMBER(MATCH(D11,'Measure-Level Adjustments Tab'!D:D,0)))</f>
        <v>n/a</v>
      </c>
      <c r="M11" s="458" t="b">
        <f t="shared" si="2"/>
        <v>0</v>
      </c>
      <c r="N11" s="458" t="b">
        <f t="shared" si="3"/>
        <v>0</v>
      </c>
      <c r="O11" s="458" t="s">
        <v>763</v>
      </c>
      <c r="P11" s="458"/>
      <c r="Q11" s="458"/>
      <c r="R11" s="458" t="str">
        <f t="shared" si="4"/>
        <v/>
      </c>
    </row>
    <row r="12" spans="1:18" hidden="1">
      <c r="B12" s="456" t="s">
        <v>877</v>
      </c>
      <c r="C12" s="456" t="s">
        <v>878</v>
      </c>
      <c r="D12" s="457" t="s">
        <v>878</v>
      </c>
      <c r="E12" s="456" t="s">
        <v>878</v>
      </c>
      <c r="F12" s="456" t="s">
        <v>878</v>
      </c>
      <c r="G12" s="456" t="s">
        <v>879</v>
      </c>
      <c r="H12" s="456" t="s">
        <v>1419</v>
      </c>
      <c r="I12" s="456" t="s">
        <v>878</v>
      </c>
      <c r="J12" s="458" t="b">
        <f t="shared" ref="J12" si="5">I12&lt;&gt;"N/A"</f>
        <v>0</v>
      </c>
      <c r="K12" s="458" t="b">
        <f t="shared" si="0"/>
        <v>0</v>
      </c>
      <c r="L12" s="458" t="str">
        <f>IF(D12="n/a","n/a",ISNUMBER(MATCH(D12,'Measure-Level Adjustments Tab'!D:D,0)))</f>
        <v>n/a</v>
      </c>
      <c r="M12" s="458" t="b">
        <f t="shared" ref="M12" si="6">AND(G12="Errata",J12,L12)</f>
        <v>0</v>
      </c>
      <c r="N12" s="458" t="b">
        <f t="shared" ref="N12" si="7">AND(G12="Revision",J12,L12)</f>
        <v>0</v>
      </c>
      <c r="O12" s="458" t="s">
        <v>763</v>
      </c>
      <c r="P12" s="458"/>
      <c r="Q12" s="458"/>
      <c r="R12" s="458" t="str">
        <f t="shared" ref="R12" si="8">IF(Q12="","",HYPERLINK("#'"&amp;Q12,"Go To Update"))</f>
        <v/>
      </c>
    </row>
    <row r="13" spans="1:18" hidden="1">
      <c r="B13" s="456" t="s">
        <v>877</v>
      </c>
      <c r="C13" s="456" t="s">
        <v>878</v>
      </c>
      <c r="D13" s="457" t="s">
        <v>878</v>
      </c>
      <c r="E13" s="456" t="s">
        <v>878</v>
      </c>
      <c r="F13" s="456" t="s">
        <v>878</v>
      </c>
      <c r="G13" s="456" t="s">
        <v>879</v>
      </c>
      <c r="H13" s="456" t="s">
        <v>1087</v>
      </c>
      <c r="I13" s="456" t="s">
        <v>878</v>
      </c>
      <c r="J13" s="458" t="b">
        <f t="shared" si="1"/>
        <v>0</v>
      </c>
      <c r="K13" s="458" t="b">
        <f t="shared" si="0"/>
        <v>0</v>
      </c>
      <c r="L13" s="458" t="str">
        <f>IF(D13="n/a","n/a",ISNUMBER(MATCH(D13,'Measure-Level Adjustments Tab'!D:D,0)))</f>
        <v>n/a</v>
      </c>
      <c r="M13" s="458" t="b">
        <f t="shared" si="2"/>
        <v>0</v>
      </c>
      <c r="N13" s="458" t="b">
        <f t="shared" si="3"/>
        <v>0</v>
      </c>
      <c r="O13" s="458" t="s">
        <v>763</v>
      </c>
      <c r="P13" s="458"/>
      <c r="Q13" s="458"/>
      <c r="R13" s="458" t="str">
        <f t="shared" si="4"/>
        <v/>
      </c>
    </row>
    <row r="14" spans="1:18" hidden="1">
      <c r="B14" s="456" t="s">
        <v>881</v>
      </c>
      <c r="C14" s="456" t="s">
        <v>1088</v>
      </c>
      <c r="D14" s="457" t="s">
        <v>883</v>
      </c>
      <c r="E14" s="456" t="s">
        <v>882</v>
      </c>
      <c r="F14" s="456" t="s">
        <v>1089</v>
      </c>
      <c r="G14" s="456" t="s">
        <v>906</v>
      </c>
      <c r="H14" s="456" t="s">
        <v>1090</v>
      </c>
      <c r="I14" s="456" t="s">
        <v>1091</v>
      </c>
      <c r="J14" s="458" t="b">
        <f t="shared" si="1"/>
        <v>1</v>
      </c>
      <c r="K14" s="458" t="b">
        <f t="shared" si="0"/>
        <v>1</v>
      </c>
      <c r="L14" s="458" t="b">
        <f>IF(D14="n/a","n/a",ISNUMBER(MATCH(D14,'Measure-Level Adjustments Tab'!D:D,0)))</f>
        <v>0</v>
      </c>
      <c r="M14" s="458" t="b">
        <f t="shared" si="2"/>
        <v>0</v>
      </c>
      <c r="N14" s="458" t="b">
        <f t="shared" si="3"/>
        <v>0</v>
      </c>
      <c r="O14" s="458" t="s">
        <v>763</v>
      </c>
      <c r="P14" s="458"/>
      <c r="Q14" s="458"/>
      <c r="R14" s="458" t="str">
        <f t="shared" si="4"/>
        <v/>
      </c>
    </row>
    <row r="15" spans="1:18" hidden="1">
      <c r="B15" s="456" t="s">
        <v>881</v>
      </c>
      <c r="C15" s="456" t="s">
        <v>1088</v>
      </c>
      <c r="D15" s="457" t="s">
        <v>1092</v>
      </c>
      <c r="E15" s="456" t="s">
        <v>1093</v>
      </c>
      <c r="F15" s="456" t="s">
        <v>1094</v>
      </c>
      <c r="G15" s="456" t="s">
        <v>880</v>
      </c>
      <c r="H15" s="456" t="s">
        <v>961</v>
      </c>
      <c r="I15" s="456" t="s">
        <v>878</v>
      </c>
      <c r="J15" s="458" t="b">
        <f t="shared" si="1"/>
        <v>0</v>
      </c>
      <c r="K15" s="458" t="b">
        <f t="shared" si="0"/>
        <v>0</v>
      </c>
      <c r="L15" s="458" t="b">
        <f>IF(D15="n/a","n/a",ISNUMBER(MATCH(D15,'Measure-Level Adjustments Tab'!D:D,0)))</f>
        <v>0</v>
      </c>
      <c r="M15" s="458" t="b">
        <f t="shared" si="2"/>
        <v>0</v>
      </c>
      <c r="N15" s="458" t="b">
        <f t="shared" si="3"/>
        <v>0</v>
      </c>
      <c r="O15" s="458" t="s">
        <v>763</v>
      </c>
      <c r="P15" s="458"/>
      <c r="Q15" s="458"/>
      <c r="R15" s="458" t="str">
        <f t="shared" si="4"/>
        <v/>
      </c>
    </row>
    <row r="16" spans="1:18" hidden="1">
      <c r="B16" s="456" t="s">
        <v>881</v>
      </c>
      <c r="C16" s="456" t="s">
        <v>1088</v>
      </c>
      <c r="D16" s="457" t="s">
        <v>1095</v>
      </c>
      <c r="E16" s="456" t="s">
        <v>1096</v>
      </c>
      <c r="F16" s="456" t="s">
        <v>1097</v>
      </c>
      <c r="G16" s="456" t="s">
        <v>880</v>
      </c>
      <c r="H16" s="456" t="s">
        <v>961</v>
      </c>
      <c r="I16" s="456" t="s">
        <v>878</v>
      </c>
      <c r="J16" s="458" t="b">
        <f t="shared" si="1"/>
        <v>0</v>
      </c>
      <c r="K16" s="458" t="b">
        <f t="shared" si="0"/>
        <v>0</v>
      </c>
      <c r="L16" s="458" t="b">
        <f>IF(D16="n/a","n/a",ISNUMBER(MATCH(D16,'Measure-Level Adjustments Tab'!D:D,0)))</f>
        <v>0</v>
      </c>
      <c r="M16" s="458" t="b">
        <f t="shared" si="2"/>
        <v>0</v>
      </c>
      <c r="N16" s="458" t="b">
        <f t="shared" si="3"/>
        <v>0</v>
      </c>
      <c r="O16" s="458" t="s">
        <v>763</v>
      </c>
      <c r="P16" s="458"/>
      <c r="Q16" s="458"/>
      <c r="R16" s="458" t="str">
        <f t="shared" si="4"/>
        <v/>
      </c>
    </row>
    <row r="17" spans="2:18" hidden="1">
      <c r="B17" s="456" t="s">
        <v>881</v>
      </c>
      <c r="C17" s="456" t="s">
        <v>1088</v>
      </c>
      <c r="D17" s="457" t="s">
        <v>1098</v>
      </c>
      <c r="E17" s="456" t="s">
        <v>1099</v>
      </c>
      <c r="F17" s="456" t="s">
        <v>1100</v>
      </c>
      <c r="G17" s="456" t="s">
        <v>880</v>
      </c>
      <c r="H17" s="456" t="s">
        <v>961</v>
      </c>
      <c r="I17" s="456" t="s">
        <v>878</v>
      </c>
      <c r="J17" s="458" t="b">
        <f t="shared" si="1"/>
        <v>0</v>
      </c>
      <c r="K17" s="458" t="b">
        <f t="shared" si="0"/>
        <v>0</v>
      </c>
      <c r="L17" s="458" t="b">
        <f>IF(D17="n/a","n/a",ISNUMBER(MATCH(D17,'Measure-Level Adjustments Tab'!D:D,0)))</f>
        <v>0</v>
      </c>
      <c r="M17" s="458" t="b">
        <f t="shared" si="2"/>
        <v>0</v>
      </c>
      <c r="N17" s="458" t="b">
        <f t="shared" si="3"/>
        <v>0</v>
      </c>
      <c r="O17" s="458" t="s">
        <v>763</v>
      </c>
      <c r="P17" s="458"/>
      <c r="Q17" s="458"/>
      <c r="R17" s="458" t="str">
        <f t="shared" si="4"/>
        <v/>
      </c>
    </row>
    <row r="18" spans="2:18" hidden="1">
      <c r="B18" s="456" t="s">
        <v>881</v>
      </c>
      <c r="C18" s="456" t="s">
        <v>1088</v>
      </c>
      <c r="D18" s="457" t="s">
        <v>1101</v>
      </c>
      <c r="E18" s="456" t="s">
        <v>1102</v>
      </c>
      <c r="F18" s="456" t="s">
        <v>1103</v>
      </c>
      <c r="G18" s="456" t="s">
        <v>880</v>
      </c>
      <c r="H18" s="456" t="s">
        <v>961</v>
      </c>
      <c r="I18" s="456" t="s">
        <v>878</v>
      </c>
      <c r="J18" s="458" t="b">
        <f t="shared" si="1"/>
        <v>0</v>
      </c>
      <c r="K18" s="458" t="b">
        <f t="shared" si="0"/>
        <v>0</v>
      </c>
      <c r="L18" s="458" t="b">
        <f>IF(D18="n/a","n/a",ISNUMBER(MATCH(D18,'Measure-Level Adjustments Tab'!D:D,0)))</f>
        <v>0</v>
      </c>
      <c r="M18" s="458" t="b">
        <f t="shared" si="2"/>
        <v>0</v>
      </c>
      <c r="N18" s="458" t="b">
        <f t="shared" si="3"/>
        <v>0</v>
      </c>
      <c r="O18" s="458" t="s">
        <v>763</v>
      </c>
      <c r="P18" s="458"/>
      <c r="Q18" s="458"/>
      <c r="R18" s="458" t="str">
        <f t="shared" si="4"/>
        <v/>
      </c>
    </row>
    <row r="19" spans="2:18" hidden="1">
      <c r="B19" s="456" t="s">
        <v>881</v>
      </c>
      <c r="C19" s="456" t="s">
        <v>1088</v>
      </c>
      <c r="D19" s="457" t="s">
        <v>1104</v>
      </c>
      <c r="E19" s="456" t="s">
        <v>1105</v>
      </c>
      <c r="F19" s="456" t="s">
        <v>1106</v>
      </c>
      <c r="G19" s="456" t="s">
        <v>880</v>
      </c>
      <c r="H19" s="456" t="s">
        <v>961</v>
      </c>
      <c r="I19" s="456" t="s">
        <v>878</v>
      </c>
      <c r="J19" s="458" t="b">
        <f t="shared" si="1"/>
        <v>0</v>
      </c>
      <c r="K19" s="458" t="b">
        <f t="shared" si="0"/>
        <v>0</v>
      </c>
      <c r="L19" s="458" t="b">
        <f>IF(D19="n/a","n/a",ISNUMBER(MATCH(D19,'Measure-Level Adjustments Tab'!D:D,0)))</f>
        <v>0</v>
      </c>
      <c r="M19" s="458" t="b">
        <f t="shared" si="2"/>
        <v>0</v>
      </c>
      <c r="N19" s="458" t="b">
        <f t="shared" si="3"/>
        <v>0</v>
      </c>
      <c r="O19" s="458" t="s">
        <v>763</v>
      </c>
      <c r="P19" s="458"/>
      <c r="Q19" s="458"/>
      <c r="R19" s="458" t="str">
        <f t="shared" si="4"/>
        <v/>
      </c>
    </row>
    <row r="20" spans="2:18" hidden="1">
      <c r="B20" s="456" t="s">
        <v>881</v>
      </c>
      <c r="C20" s="456" t="s">
        <v>1088</v>
      </c>
      <c r="D20" s="457" t="s">
        <v>1107</v>
      </c>
      <c r="E20" s="456" t="s">
        <v>1108</v>
      </c>
      <c r="F20" s="456" t="s">
        <v>1109</v>
      </c>
      <c r="G20" s="456" t="s">
        <v>880</v>
      </c>
      <c r="H20" s="456" t="s">
        <v>961</v>
      </c>
      <c r="I20" s="456" t="s">
        <v>878</v>
      </c>
      <c r="J20" s="458" t="b">
        <f t="shared" si="1"/>
        <v>0</v>
      </c>
      <c r="K20" s="458" t="b">
        <f t="shared" si="0"/>
        <v>0</v>
      </c>
      <c r="L20" s="458" t="b">
        <f>IF(D20="n/a","n/a",ISNUMBER(MATCH(D20,'Measure-Level Adjustments Tab'!D:D,0)))</f>
        <v>0</v>
      </c>
      <c r="M20" s="458" t="b">
        <f t="shared" si="2"/>
        <v>0</v>
      </c>
      <c r="N20" s="458" t="b">
        <f t="shared" si="3"/>
        <v>0</v>
      </c>
      <c r="O20" s="458" t="s">
        <v>763</v>
      </c>
      <c r="P20" s="458"/>
      <c r="Q20" s="458"/>
      <c r="R20" s="458" t="str">
        <f t="shared" si="4"/>
        <v/>
      </c>
    </row>
    <row r="21" spans="2:18" hidden="1">
      <c r="B21" s="456" t="s">
        <v>881</v>
      </c>
      <c r="C21" s="456" t="s">
        <v>1088</v>
      </c>
      <c r="D21" s="457" t="s">
        <v>1110</v>
      </c>
      <c r="E21" s="456" t="s">
        <v>1111</v>
      </c>
      <c r="F21" s="456" t="s">
        <v>1112</v>
      </c>
      <c r="G21" s="456" t="s">
        <v>880</v>
      </c>
      <c r="H21" s="456" t="s">
        <v>961</v>
      </c>
      <c r="I21" s="456" t="s">
        <v>878</v>
      </c>
      <c r="J21" s="458" t="b">
        <f t="shared" si="1"/>
        <v>0</v>
      </c>
      <c r="K21" s="458" t="b">
        <f t="shared" si="0"/>
        <v>0</v>
      </c>
      <c r="L21" s="458" t="b">
        <f>IF(D21="n/a","n/a",ISNUMBER(MATCH(D21,'Measure-Level Adjustments Tab'!D:D,0)))</f>
        <v>0</v>
      </c>
      <c r="M21" s="458" t="b">
        <f t="shared" si="2"/>
        <v>0</v>
      </c>
      <c r="N21" s="458" t="b">
        <f t="shared" si="3"/>
        <v>0</v>
      </c>
      <c r="O21" s="458" t="s">
        <v>763</v>
      </c>
      <c r="P21" s="458"/>
      <c r="Q21" s="458"/>
      <c r="R21" s="458" t="str">
        <f t="shared" si="4"/>
        <v/>
      </c>
    </row>
    <row r="22" spans="2:18" hidden="1">
      <c r="B22" s="456" t="s">
        <v>881</v>
      </c>
      <c r="C22" s="456" t="s">
        <v>884</v>
      </c>
      <c r="D22" s="457" t="s">
        <v>888</v>
      </c>
      <c r="E22" s="456" t="s">
        <v>887</v>
      </c>
      <c r="F22" s="456" t="s">
        <v>1113</v>
      </c>
      <c r="G22" s="456" t="s">
        <v>906</v>
      </c>
      <c r="H22" s="456" t="s">
        <v>1114</v>
      </c>
      <c r="I22" s="456" t="s">
        <v>1115</v>
      </c>
      <c r="J22" s="458" t="b">
        <f t="shared" si="1"/>
        <v>1</v>
      </c>
      <c r="K22" s="458" t="b">
        <f t="shared" si="0"/>
        <v>1</v>
      </c>
      <c r="L22" s="458" t="b">
        <f>IF(D22="n/a","n/a",ISNUMBER(MATCH(D22,'Measure-Level Adjustments Tab'!D:D,0)))</f>
        <v>0</v>
      </c>
      <c r="M22" s="458" t="b">
        <f t="shared" si="2"/>
        <v>0</v>
      </c>
      <c r="N22" s="458" t="b">
        <f t="shared" si="3"/>
        <v>0</v>
      </c>
      <c r="O22" s="458" t="s">
        <v>763</v>
      </c>
      <c r="P22" s="458"/>
      <c r="Q22" s="458"/>
      <c r="R22" s="458" t="str">
        <f t="shared" si="4"/>
        <v/>
      </c>
    </row>
    <row r="23" spans="2:18" hidden="1">
      <c r="B23" s="456" t="s">
        <v>881</v>
      </c>
      <c r="C23" s="456" t="s">
        <v>884</v>
      </c>
      <c r="D23" s="457" t="s">
        <v>890</v>
      </c>
      <c r="E23" s="456" t="s">
        <v>889</v>
      </c>
      <c r="F23" s="456" t="s">
        <v>1116</v>
      </c>
      <c r="G23" s="456" t="s">
        <v>879</v>
      </c>
      <c r="H23" s="456" t="s">
        <v>1117</v>
      </c>
      <c r="I23" s="456" t="s">
        <v>878</v>
      </c>
      <c r="J23" s="458" t="b">
        <f t="shared" si="1"/>
        <v>0</v>
      </c>
      <c r="K23" s="458" t="b">
        <f t="shared" si="0"/>
        <v>0</v>
      </c>
      <c r="L23" s="458" t="b">
        <f>IF(D23="n/a","n/a",ISNUMBER(MATCH(D23,'Measure-Level Adjustments Tab'!D:D,0)))</f>
        <v>0</v>
      </c>
      <c r="M23" s="458" t="b">
        <f t="shared" si="2"/>
        <v>0</v>
      </c>
      <c r="N23" s="458" t="b">
        <f t="shared" si="3"/>
        <v>0</v>
      </c>
      <c r="O23" s="458" t="s">
        <v>763</v>
      </c>
      <c r="P23" s="458"/>
      <c r="Q23" s="458"/>
      <c r="R23" s="458" t="str">
        <f t="shared" si="4"/>
        <v/>
      </c>
    </row>
    <row r="24" spans="2:18" hidden="1">
      <c r="B24" s="456" t="s">
        <v>881</v>
      </c>
      <c r="C24" s="456" t="s">
        <v>884</v>
      </c>
      <c r="D24" s="457" t="s">
        <v>891</v>
      </c>
      <c r="E24" s="456" t="s">
        <v>1118</v>
      </c>
      <c r="F24" s="456" t="s">
        <v>1119</v>
      </c>
      <c r="G24" s="456" t="s">
        <v>879</v>
      </c>
      <c r="H24" s="456" t="s">
        <v>1120</v>
      </c>
      <c r="I24" s="456" t="s">
        <v>878</v>
      </c>
      <c r="J24" s="458" t="b">
        <f t="shared" si="1"/>
        <v>0</v>
      </c>
      <c r="K24" s="458" t="b">
        <f t="shared" si="0"/>
        <v>0</v>
      </c>
      <c r="L24" s="458" t="b">
        <f>IF(D24="n/a","n/a",ISNUMBER(MATCH(D24,'Measure-Level Adjustments Tab'!D:D,0)))</f>
        <v>0</v>
      </c>
      <c r="M24" s="458" t="b">
        <f t="shared" si="2"/>
        <v>0</v>
      </c>
      <c r="N24" s="458" t="b">
        <f t="shared" si="3"/>
        <v>0</v>
      </c>
      <c r="O24" s="458" t="s">
        <v>763</v>
      </c>
      <c r="P24" s="458"/>
      <c r="Q24" s="458"/>
      <c r="R24" s="458" t="str">
        <f t="shared" si="4"/>
        <v/>
      </c>
    </row>
    <row r="25" spans="2:18" hidden="1">
      <c r="B25" s="456" t="s">
        <v>881</v>
      </c>
      <c r="C25" s="456" t="s">
        <v>884</v>
      </c>
      <c r="D25" s="457" t="s">
        <v>351</v>
      </c>
      <c r="E25" s="456" t="s">
        <v>892</v>
      </c>
      <c r="F25" s="456" t="s">
        <v>1121</v>
      </c>
      <c r="G25" s="456" t="s">
        <v>906</v>
      </c>
      <c r="H25" s="456" t="s">
        <v>1114</v>
      </c>
      <c r="I25" s="456" t="s">
        <v>1115</v>
      </c>
      <c r="J25" s="458" t="b">
        <f t="shared" si="1"/>
        <v>1</v>
      </c>
      <c r="K25" s="458" t="b">
        <f t="shared" si="0"/>
        <v>1</v>
      </c>
      <c r="L25" s="458" t="b">
        <f>IF(D25="n/a","n/a",ISNUMBER(MATCH(D25,'Measure-Level Adjustments Tab'!D:D,0)))</f>
        <v>1</v>
      </c>
      <c r="M25" s="458" t="b">
        <f t="shared" si="2"/>
        <v>1</v>
      </c>
      <c r="N25" s="458" t="b">
        <f t="shared" si="3"/>
        <v>0</v>
      </c>
      <c r="O25" s="458" t="s">
        <v>763</v>
      </c>
      <c r="P25" s="458" t="s">
        <v>1417</v>
      </c>
      <c r="Q25" s="458"/>
      <c r="R25" s="458" t="str">
        <f t="shared" si="4"/>
        <v/>
      </c>
    </row>
    <row r="26" spans="2:18">
      <c r="B26" s="456" t="s">
        <v>881</v>
      </c>
      <c r="C26" s="456" t="s">
        <v>884</v>
      </c>
      <c r="D26" s="457" t="s">
        <v>351</v>
      </c>
      <c r="E26" s="456" t="s">
        <v>892</v>
      </c>
      <c r="F26" s="456" t="s">
        <v>1122</v>
      </c>
      <c r="G26" s="456" t="s">
        <v>879</v>
      </c>
      <c r="H26" s="459" t="s">
        <v>1123</v>
      </c>
      <c r="I26" s="456" t="s">
        <v>907</v>
      </c>
      <c r="J26" s="458" t="b">
        <f t="shared" si="1"/>
        <v>1</v>
      </c>
      <c r="K26" s="458" t="b">
        <f t="shared" si="0"/>
        <v>1</v>
      </c>
      <c r="L26" s="458" t="b">
        <f>IF(D26="n/a","n/a",ISNUMBER(MATCH(D26,'Measure-Level Adjustments Tab'!D:D,0)))</f>
        <v>1</v>
      </c>
      <c r="M26" s="458" t="b">
        <f t="shared" si="2"/>
        <v>0</v>
      </c>
      <c r="N26" s="458" t="b">
        <f t="shared" si="3"/>
        <v>1</v>
      </c>
      <c r="O26" s="458" t="b">
        <v>1</v>
      </c>
      <c r="P26" s="458" t="s">
        <v>1427</v>
      </c>
      <c r="Q26" s="464" t="s">
        <v>1428</v>
      </c>
      <c r="R26" s="458" t="str">
        <f t="shared" si="4"/>
        <v>Go To Update</v>
      </c>
    </row>
    <row r="27" spans="2:18" hidden="1">
      <c r="B27" s="456" t="s">
        <v>881</v>
      </c>
      <c r="C27" s="456" t="s">
        <v>884</v>
      </c>
      <c r="D27" s="457" t="s">
        <v>1124</v>
      </c>
      <c r="E27" s="459" t="s">
        <v>1125</v>
      </c>
      <c r="F27" s="456" t="s">
        <v>1126</v>
      </c>
      <c r="G27" s="456" t="s">
        <v>880</v>
      </c>
      <c r="H27" s="456" t="s">
        <v>961</v>
      </c>
      <c r="I27" s="456" t="s">
        <v>878</v>
      </c>
      <c r="J27" s="458" t="b">
        <f t="shared" si="1"/>
        <v>0</v>
      </c>
      <c r="K27" s="458" t="b">
        <f t="shared" si="0"/>
        <v>0</v>
      </c>
      <c r="L27" s="458" t="b">
        <f>IF(D27="n/a","n/a",ISNUMBER(MATCH(D27,'Measure-Level Adjustments Tab'!D:D,0)))</f>
        <v>0</v>
      </c>
      <c r="M27" s="458" t="b">
        <f t="shared" si="2"/>
        <v>0</v>
      </c>
      <c r="N27" s="458" t="b">
        <f t="shared" si="3"/>
        <v>0</v>
      </c>
      <c r="O27" s="458" t="s">
        <v>763</v>
      </c>
      <c r="P27" s="458"/>
      <c r="Q27" s="458"/>
      <c r="R27" s="458" t="str">
        <f t="shared" si="4"/>
        <v/>
      </c>
    </row>
    <row r="28" spans="2:18" hidden="1">
      <c r="B28" s="456" t="s">
        <v>881</v>
      </c>
      <c r="C28" s="456" t="s">
        <v>893</v>
      </c>
      <c r="D28" s="457" t="s">
        <v>253</v>
      </c>
      <c r="E28" s="456" t="s">
        <v>1127</v>
      </c>
      <c r="F28" s="456" t="s">
        <v>1128</v>
      </c>
      <c r="G28" s="456" t="s">
        <v>906</v>
      </c>
      <c r="H28" s="456" t="s">
        <v>1114</v>
      </c>
      <c r="I28" s="456" t="s">
        <v>1115</v>
      </c>
      <c r="J28" s="458" t="b">
        <f t="shared" si="1"/>
        <v>1</v>
      </c>
      <c r="K28" s="458" t="b">
        <f t="shared" si="0"/>
        <v>1</v>
      </c>
      <c r="L28" s="458" t="b">
        <f>IF(D28="n/a","n/a",ISNUMBER(MATCH(D28,'Measure-Level Adjustments Tab'!D:D,0)))</f>
        <v>1</v>
      </c>
      <c r="M28" s="458" t="b">
        <f t="shared" si="2"/>
        <v>1</v>
      </c>
      <c r="N28" s="458" t="b">
        <f t="shared" si="3"/>
        <v>0</v>
      </c>
      <c r="O28" s="458" t="s">
        <v>763</v>
      </c>
      <c r="P28" s="458" t="s">
        <v>1417</v>
      </c>
      <c r="Q28" s="458"/>
      <c r="R28" s="458" t="str">
        <f t="shared" si="4"/>
        <v/>
      </c>
    </row>
    <row r="29" spans="2:18" hidden="1">
      <c r="B29" s="456" t="s">
        <v>881</v>
      </c>
      <c r="C29" s="456" t="s">
        <v>893</v>
      </c>
      <c r="D29" s="457" t="s">
        <v>253</v>
      </c>
      <c r="E29" s="456" t="s">
        <v>1127</v>
      </c>
      <c r="F29" s="456" t="s">
        <v>1129</v>
      </c>
      <c r="G29" s="456" t="s">
        <v>879</v>
      </c>
      <c r="H29" s="456" t="s">
        <v>1130</v>
      </c>
      <c r="I29" s="456" t="s">
        <v>878</v>
      </c>
      <c r="J29" s="458" t="b">
        <f t="shared" si="1"/>
        <v>0</v>
      </c>
      <c r="K29" s="458" t="b">
        <f t="shared" si="0"/>
        <v>1</v>
      </c>
      <c r="L29" s="458" t="b">
        <f>IF(D29="n/a","n/a",ISNUMBER(MATCH(D29,'Measure-Level Adjustments Tab'!D:D,0)))</f>
        <v>1</v>
      </c>
      <c r="M29" s="458" t="b">
        <f t="shared" si="2"/>
        <v>0</v>
      </c>
      <c r="N29" s="458" t="b">
        <f t="shared" si="3"/>
        <v>0</v>
      </c>
      <c r="O29" s="458" t="s">
        <v>763</v>
      </c>
      <c r="P29" s="458"/>
      <c r="Q29" s="458"/>
      <c r="R29" s="458" t="str">
        <f t="shared" si="4"/>
        <v/>
      </c>
    </row>
    <row r="30" spans="2:18" hidden="1">
      <c r="B30" s="456" t="s">
        <v>881</v>
      </c>
      <c r="C30" s="456" t="s">
        <v>893</v>
      </c>
      <c r="D30" s="457" t="s">
        <v>367</v>
      </c>
      <c r="E30" s="456" t="s">
        <v>895</v>
      </c>
      <c r="F30" s="456" t="s">
        <v>1131</v>
      </c>
      <c r="G30" s="456" t="s">
        <v>906</v>
      </c>
      <c r="H30" s="456" t="s">
        <v>1114</v>
      </c>
      <c r="I30" s="456" t="s">
        <v>1115</v>
      </c>
      <c r="J30" s="458" t="b">
        <f t="shared" si="1"/>
        <v>1</v>
      </c>
      <c r="K30" s="458" t="b">
        <f t="shared" si="0"/>
        <v>1</v>
      </c>
      <c r="L30" s="458" t="b">
        <f>IF(D30="n/a","n/a",ISNUMBER(MATCH(D30,'Measure-Level Adjustments Tab'!D:D,0)))</f>
        <v>1</v>
      </c>
      <c r="M30" s="458" t="b">
        <f t="shared" si="2"/>
        <v>1</v>
      </c>
      <c r="N30" s="458" t="b">
        <f t="shared" si="3"/>
        <v>0</v>
      </c>
      <c r="O30" s="458" t="s">
        <v>763</v>
      </c>
      <c r="P30" s="458" t="s">
        <v>1417</v>
      </c>
      <c r="Q30" s="458"/>
      <c r="R30" s="458" t="str">
        <f t="shared" si="4"/>
        <v/>
      </c>
    </row>
    <row r="31" spans="2:18" hidden="1">
      <c r="B31" s="456" t="s">
        <v>881</v>
      </c>
      <c r="C31" s="456" t="s">
        <v>893</v>
      </c>
      <c r="D31" s="457" t="s">
        <v>367</v>
      </c>
      <c r="E31" s="456" t="s">
        <v>895</v>
      </c>
      <c r="F31" s="456" t="s">
        <v>1131</v>
      </c>
      <c r="G31" s="456" t="s">
        <v>906</v>
      </c>
      <c r="H31" s="456" t="s">
        <v>1132</v>
      </c>
      <c r="I31" s="456" t="s">
        <v>1115</v>
      </c>
      <c r="J31" s="458" t="b">
        <f t="shared" si="1"/>
        <v>1</v>
      </c>
      <c r="K31" s="458" t="b">
        <f t="shared" si="0"/>
        <v>1</v>
      </c>
      <c r="L31" s="458" t="b">
        <f>IF(D31="n/a","n/a",ISNUMBER(MATCH(D31,'Measure-Level Adjustments Tab'!D:D,0)))</f>
        <v>1</v>
      </c>
      <c r="M31" s="458" t="b">
        <f t="shared" si="2"/>
        <v>1</v>
      </c>
      <c r="N31" s="458" t="b">
        <f t="shared" si="3"/>
        <v>0</v>
      </c>
      <c r="O31" s="458" t="s">
        <v>763</v>
      </c>
      <c r="P31" s="458" t="s">
        <v>1418</v>
      </c>
      <c r="Q31" s="458"/>
      <c r="R31" s="458" t="str">
        <f t="shared" si="4"/>
        <v/>
      </c>
    </row>
    <row r="32" spans="2:18" hidden="1">
      <c r="B32" s="456" t="s">
        <v>881</v>
      </c>
      <c r="C32" s="456" t="s">
        <v>893</v>
      </c>
      <c r="D32" s="457" t="s">
        <v>361</v>
      </c>
      <c r="E32" s="456" t="s">
        <v>896</v>
      </c>
      <c r="F32" s="456" t="s">
        <v>1133</v>
      </c>
      <c r="G32" s="456" t="s">
        <v>906</v>
      </c>
      <c r="H32" s="456" t="s">
        <v>1114</v>
      </c>
      <c r="I32" s="456" t="s">
        <v>1115</v>
      </c>
      <c r="J32" s="458" t="b">
        <f t="shared" si="1"/>
        <v>1</v>
      </c>
      <c r="K32" s="458" t="b">
        <f t="shared" si="0"/>
        <v>1</v>
      </c>
      <c r="L32" s="458" t="b">
        <f>IF(D32="n/a","n/a",ISNUMBER(MATCH(D32,'Measure-Level Adjustments Tab'!D:D,0)))</f>
        <v>1</v>
      </c>
      <c r="M32" s="458" t="b">
        <f t="shared" si="2"/>
        <v>1</v>
      </c>
      <c r="N32" s="458" t="b">
        <f t="shared" si="3"/>
        <v>0</v>
      </c>
      <c r="O32" s="458" t="s">
        <v>763</v>
      </c>
      <c r="P32" s="458" t="s">
        <v>1417</v>
      </c>
      <c r="Q32" s="458"/>
      <c r="R32" s="458" t="str">
        <f t="shared" si="4"/>
        <v/>
      </c>
    </row>
    <row r="33" spans="2:18">
      <c r="B33" s="456" t="s">
        <v>881</v>
      </c>
      <c r="C33" s="456" t="s">
        <v>893</v>
      </c>
      <c r="D33" s="457" t="s">
        <v>361</v>
      </c>
      <c r="E33" s="456" t="s">
        <v>896</v>
      </c>
      <c r="F33" s="456" t="s">
        <v>1134</v>
      </c>
      <c r="G33" s="456" t="s">
        <v>879</v>
      </c>
      <c r="H33" s="456" t="s">
        <v>1135</v>
      </c>
      <c r="I33" s="456" t="s">
        <v>1136</v>
      </c>
      <c r="J33" s="458" t="b">
        <f t="shared" si="1"/>
        <v>1</v>
      </c>
      <c r="K33" s="458" t="b">
        <f t="shared" si="0"/>
        <v>1</v>
      </c>
      <c r="L33" s="458" t="b">
        <f>IF(D33="n/a","n/a",ISNUMBER(MATCH(D33,'Measure-Level Adjustments Tab'!D:D,0)))</f>
        <v>1</v>
      </c>
      <c r="M33" s="458" t="b">
        <f t="shared" si="2"/>
        <v>0</v>
      </c>
      <c r="N33" s="458" t="b">
        <f t="shared" si="3"/>
        <v>1</v>
      </c>
      <c r="O33" s="458" t="b">
        <v>1</v>
      </c>
      <c r="P33" s="458" t="s">
        <v>1429</v>
      </c>
      <c r="Q33" s="464" t="s">
        <v>1430</v>
      </c>
      <c r="R33" s="458" t="str">
        <f t="shared" si="4"/>
        <v>Go To Update</v>
      </c>
    </row>
    <row r="34" spans="2:18" hidden="1">
      <c r="B34" s="456" t="s">
        <v>881</v>
      </c>
      <c r="C34" s="456" t="s">
        <v>893</v>
      </c>
      <c r="D34" s="457" t="s">
        <v>898</v>
      </c>
      <c r="E34" s="456" t="s">
        <v>897</v>
      </c>
      <c r="F34" s="456" t="s">
        <v>1137</v>
      </c>
      <c r="G34" s="456" t="s">
        <v>879</v>
      </c>
      <c r="H34" s="456" t="s">
        <v>1138</v>
      </c>
      <c r="I34" s="456" t="s">
        <v>878</v>
      </c>
      <c r="J34" s="458" t="b">
        <f t="shared" si="1"/>
        <v>0</v>
      </c>
      <c r="K34" s="458" t="b">
        <f t="shared" si="0"/>
        <v>0</v>
      </c>
      <c r="L34" s="458" t="b">
        <f>IF(D34="n/a","n/a",ISNUMBER(MATCH(D34,'Measure-Level Adjustments Tab'!D:D,0)))</f>
        <v>0</v>
      </c>
      <c r="M34" s="458" t="b">
        <f t="shared" si="2"/>
        <v>0</v>
      </c>
      <c r="N34" s="458" t="b">
        <f t="shared" si="3"/>
        <v>0</v>
      </c>
      <c r="O34" s="458" t="s">
        <v>763</v>
      </c>
      <c r="P34" s="458"/>
      <c r="Q34" s="458"/>
      <c r="R34" s="458" t="str">
        <f t="shared" si="4"/>
        <v/>
      </c>
    </row>
    <row r="35" spans="2:18" hidden="1">
      <c r="B35" s="456" t="s">
        <v>881</v>
      </c>
      <c r="C35" s="456" t="s">
        <v>893</v>
      </c>
      <c r="D35" s="457" t="s">
        <v>900</v>
      </c>
      <c r="E35" s="459" t="s">
        <v>899</v>
      </c>
      <c r="F35" s="456" t="s">
        <v>878</v>
      </c>
      <c r="G35" s="456" t="s">
        <v>1139</v>
      </c>
      <c r="H35" s="459" t="s">
        <v>1140</v>
      </c>
      <c r="I35" s="456" t="s">
        <v>878</v>
      </c>
      <c r="J35" s="458" t="b">
        <f t="shared" si="1"/>
        <v>0</v>
      </c>
      <c r="K35" s="458" t="b">
        <f t="shared" si="0"/>
        <v>0</v>
      </c>
      <c r="L35" s="458" t="b">
        <f>IF(D35="n/a","n/a",ISNUMBER(MATCH(D35,'Measure-Level Adjustments Tab'!D:D,0)))</f>
        <v>0</v>
      </c>
      <c r="M35" s="458" t="b">
        <f t="shared" si="2"/>
        <v>0</v>
      </c>
      <c r="N35" s="458" t="b">
        <f t="shared" si="3"/>
        <v>0</v>
      </c>
      <c r="O35" s="458" t="s">
        <v>763</v>
      </c>
      <c r="P35" s="458"/>
      <c r="Q35" s="458"/>
      <c r="R35" s="458" t="str">
        <f t="shared" si="4"/>
        <v/>
      </c>
    </row>
    <row r="36" spans="2:18" hidden="1">
      <c r="B36" s="456" t="s">
        <v>881</v>
      </c>
      <c r="C36" s="456" t="s">
        <v>893</v>
      </c>
      <c r="D36" s="457" t="s">
        <v>286</v>
      </c>
      <c r="E36" s="459" t="s">
        <v>901</v>
      </c>
      <c r="F36" s="456" t="s">
        <v>1141</v>
      </c>
      <c r="G36" s="456" t="s">
        <v>906</v>
      </c>
      <c r="H36" s="456" t="s">
        <v>1114</v>
      </c>
      <c r="I36" s="456" t="s">
        <v>1115</v>
      </c>
      <c r="J36" s="458" t="b">
        <f t="shared" si="1"/>
        <v>1</v>
      </c>
      <c r="K36" s="458" t="b">
        <f t="shared" si="0"/>
        <v>1</v>
      </c>
      <c r="L36" s="458" t="b">
        <f>IF(D36="n/a","n/a",ISNUMBER(MATCH(D36,'Measure-Level Adjustments Tab'!D:D,0)))</f>
        <v>1</v>
      </c>
      <c r="M36" s="458" t="b">
        <f t="shared" si="2"/>
        <v>1</v>
      </c>
      <c r="N36" s="458" t="b">
        <f t="shared" si="3"/>
        <v>0</v>
      </c>
      <c r="O36" s="458" t="s">
        <v>763</v>
      </c>
      <c r="P36" s="458" t="s">
        <v>1417</v>
      </c>
      <c r="Q36" s="458"/>
      <c r="R36" s="458" t="str">
        <f t="shared" si="4"/>
        <v/>
      </c>
    </row>
    <row r="37" spans="2:18" hidden="1">
      <c r="B37" s="456" t="s">
        <v>881</v>
      </c>
      <c r="C37" s="456" t="s">
        <v>893</v>
      </c>
      <c r="D37" s="457" t="s">
        <v>286</v>
      </c>
      <c r="E37" s="459" t="s">
        <v>901</v>
      </c>
      <c r="F37" s="456" t="s">
        <v>1142</v>
      </c>
      <c r="G37" s="456" t="s">
        <v>879</v>
      </c>
      <c r="H37" s="459" t="s">
        <v>1143</v>
      </c>
      <c r="I37" s="456" t="s">
        <v>878</v>
      </c>
      <c r="J37" s="458" t="b">
        <f t="shared" si="1"/>
        <v>0</v>
      </c>
      <c r="K37" s="458" t="b">
        <f t="shared" si="0"/>
        <v>1</v>
      </c>
      <c r="L37" s="458" t="b">
        <f>IF(D37="n/a","n/a",ISNUMBER(MATCH(D37,'Measure-Level Adjustments Tab'!D:D,0)))</f>
        <v>1</v>
      </c>
      <c r="M37" s="458" t="b">
        <f t="shared" si="2"/>
        <v>0</v>
      </c>
      <c r="N37" s="458" t="b">
        <f t="shared" si="3"/>
        <v>0</v>
      </c>
      <c r="O37" s="458" t="s">
        <v>763</v>
      </c>
      <c r="P37" s="458"/>
      <c r="Q37" s="458"/>
      <c r="R37" s="458" t="str">
        <f t="shared" si="4"/>
        <v/>
      </c>
    </row>
    <row r="38" spans="2:18" hidden="1">
      <c r="B38" s="456" t="s">
        <v>881</v>
      </c>
      <c r="C38" s="456" t="s">
        <v>893</v>
      </c>
      <c r="D38" s="457" t="s">
        <v>902</v>
      </c>
      <c r="E38" s="459" t="s">
        <v>1144</v>
      </c>
      <c r="F38" s="456" t="s">
        <v>1145</v>
      </c>
      <c r="G38" s="456" t="s">
        <v>879</v>
      </c>
      <c r="H38" s="459" t="s">
        <v>1146</v>
      </c>
      <c r="I38" s="456" t="s">
        <v>878</v>
      </c>
      <c r="J38" s="458" t="b">
        <f t="shared" si="1"/>
        <v>0</v>
      </c>
      <c r="K38" s="458" t="b">
        <f t="shared" si="0"/>
        <v>0</v>
      </c>
      <c r="L38" s="458" t="b">
        <f>IF(D38="n/a","n/a",ISNUMBER(MATCH(D38,'Measure-Level Adjustments Tab'!D:D,0)))</f>
        <v>0</v>
      </c>
      <c r="M38" s="458" t="b">
        <f t="shared" si="2"/>
        <v>0</v>
      </c>
      <c r="N38" s="458" t="b">
        <f t="shared" si="3"/>
        <v>0</v>
      </c>
      <c r="O38" s="458" t="s">
        <v>763</v>
      </c>
      <c r="P38" s="458"/>
      <c r="Q38" s="458"/>
      <c r="R38" s="458" t="str">
        <f t="shared" si="4"/>
        <v/>
      </c>
    </row>
    <row r="39" spans="2:18" hidden="1">
      <c r="B39" s="456" t="s">
        <v>881</v>
      </c>
      <c r="C39" s="456" t="s">
        <v>893</v>
      </c>
      <c r="D39" s="457" t="s">
        <v>149</v>
      </c>
      <c r="E39" s="459" t="s">
        <v>1147</v>
      </c>
      <c r="F39" s="456" t="s">
        <v>1148</v>
      </c>
      <c r="G39" s="456" t="s">
        <v>879</v>
      </c>
      <c r="H39" s="459" t="s">
        <v>1149</v>
      </c>
      <c r="I39" s="456" t="s">
        <v>878</v>
      </c>
      <c r="J39" s="458" t="b">
        <f t="shared" si="1"/>
        <v>0</v>
      </c>
      <c r="K39" s="458" t="b">
        <f t="shared" ref="K39:K70" si="9">COUNTIFS(D:D,D39,J:J,TRUE)&gt;0</f>
        <v>0</v>
      </c>
      <c r="L39" s="458" t="b">
        <f>IF(D39="n/a","n/a",ISNUMBER(MATCH(D39,'Measure-Level Adjustments Tab'!D:D,0)))</f>
        <v>1</v>
      </c>
      <c r="M39" s="458" t="b">
        <f t="shared" si="2"/>
        <v>0</v>
      </c>
      <c r="N39" s="458" t="b">
        <f t="shared" si="3"/>
        <v>0</v>
      </c>
      <c r="O39" s="458" t="s">
        <v>763</v>
      </c>
      <c r="P39" s="458"/>
      <c r="Q39" s="458"/>
      <c r="R39" s="458" t="str">
        <f t="shared" si="4"/>
        <v/>
      </c>
    </row>
    <row r="40" spans="2:18" hidden="1">
      <c r="B40" s="456" t="s">
        <v>881</v>
      </c>
      <c r="C40" s="456" t="s">
        <v>893</v>
      </c>
      <c r="D40" s="457" t="s">
        <v>1150</v>
      </c>
      <c r="E40" s="459" t="s">
        <v>1151</v>
      </c>
      <c r="F40" s="456" t="s">
        <v>1152</v>
      </c>
      <c r="G40" s="456" t="s">
        <v>1153</v>
      </c>
      <c r="H40" s="456" t="s">
        <v>961</v>
      </c>
      <c r="I40" s="456" t="s">
        <v>878</v>
      </c>
      <c r="J40" s="458" t="b">
        <f t="shared" si="1"/>
        <v>0</v>
      </c>
      <c r="K40" s="458" t="b">
        <f t="shared" si="9"/>
        <v>0</v>
      </c>
      <c r="L40" s="458" t="b">
        <f>IF(D40="n/a","n/a",ISNUMBER(MATCH(D40,'Measure-Level Adjustments Tab'!D:D,0)))</f>
        <v>0</v>
      </c>
      <c r="M40" s="458" t="b">
        <f t="shared" si="2"/>
        <v>0</v>
      </c>
      <c r="N40" s="458" t="b">
        <f t="shared" si="3"/>
        <v>0</v>
      </c>
      <c r="O40" s="458" t="s">
        <v>763</v>
      </c>
      <c r="P40" s="458"/>
      <c r="Q40" s="458"/>
      <c r="R40" s="458" t="str">
        <f t="shared" si="4"/>
        <v/>
      </c>
    </row>
    <row r="41" spans="2:18">
      <c r="B41" s="456" t="s">
        <v>881</v>
      </c>
      <c r="C41" s="456" t="s">
        <v>903</v>
      </c>
      <c r="D41" s="457">
        <v>4.4000000000000004</v>
      </c>
      <c r="E41" s="459" t="s">
        <v>904</v>
      </c>
      <c r="F41" s="456" t="s">
        <v>878</v>
      </c>
      <c r="G41" s="456" t="s">
        <v>879</v>
      </c>
      <c r="H41" s="459" t="s">
        <v>905</v>
      </c>
      <c r="I41" s="456" t="s">
        <v>885</v>
      </c>
      <c r="J41" s="458" t="b">
        <f t="shared" si="1"/>
        <v>1</v>
      </c>
      <c r="K41" s="458" t="b">
        <f t="shared" si="9"/>
        <v>1</v>
      </c>
      <c r="L41" s="458" t="b">
        <v>1</v>
      </c>
      <c r="M41" s="458" t="b">
        <f t="shared" si="2"/>
        <v>0</v>
      </c>
      <c r="N41" s="458" t="b">
        <f t="shared" si="3"/>
        <v>1</v>
      </c>
      <c r="O41" s="458" t="b">
        <v>1</v>
      </c>
      <c r="P41" s="458" t="s">
        <v>1432</v>
      </c>
      <c r="Q41" s="464" t="s">
        <v>1435</v>
      </c>
      <c r="R41" s="458" t="str">
        <f t="shared" si="4"/>
        <v>Go To Update</v>
      </c>
    </row>
    <row r="42" spans="2:18">
      <c r="B42" s="456" t="s">
        <v>881</v>
      </c>
      <c r="C42" s="456" t="s">
        <v>903</v>
      </c>
      <c r="D42" s="457">
        <v>4.4000000000000004</v>
      </c>
      <c r="E42" s="459" t="s">
        <v>904</v>
      </c>
      <c r="F42" s="456" t="s">
        <v>878</v>
      </c>
      <c r="G42" s="456" t="s">
        <v>879</v>
      </c>
      <c r="H42" s="459" t="s">
        <v>1154</v>
      </c>
      <c r="I42" s="456" t="s">
        <v>885</v>
      </c>
      <c r="J42" s="458" t="b">
        <f t="shared" si="1"/>
        <v>1</v>
      </c>
      <c r="K42" s="458" t="b">
        <f t="shared" si="9"/>
        <v>1</v>
      </c>
      <c r="L42" s="458" t="b">
        <v>1</v>
      </c>
      <c r="M42" s="458" t="b">
        <f t="shared" si="2"/>
        <v>0</v>
      </c>
      <c r="N42" s="458" t="b">
        <f t="shared" si="3"/>
        <v>1</v>
      </c>
      <c r="O42" s="458" t="s">
        <v>763</v>
      </c>
      <c r="P42" s="458" t="s">
        <v>1433</v>
      </c>
      <c r="Q42" s="458"/>
      <c r="R42" s="458" t="str">
        <f t="shared" si="4"/>
        <v/>
      </c>
    </row>
    <row r="43" spans="2:18">
      <c r="B43" s="456" t="s">
        <v>881</v>
      </c>
      <c r="C43" s="456" t="s">
        <v>903</v>
      </c>
      <c r="D43" s="457">
        <v>4.4000000000000004</v>
      </c>
      <c r="E43" s="459" t="s">
        <v>904</v>
      </c>
      <c r="F43" s="456" t="s">
        <v>878</v>
      </c>
      <c r="G43" s="456" t="s">
        <v>879</v>
      </c>
      <c r="H43" s="456" t="s">
        <v>1155</v>
      </c>
      <c r="I43" s="456" t="s">
        <v>885</v>
      </c>
      <c r="J43" s="458" t="b">
        <f t="shared" si="1"/>
        <v>1</v>
      </c>
      <c r="K43" s="458" t="b">
        <f t="shared" si="9"/>
        <v>1</v>
      </c>
      <c r="L43" s="458" t="b">
        <v>1</v>
      </c>
      <c r="M43" s="458" t="b">
        <f t="shared" si="2"/>
        <v>0</v>
      </c>
      <c r="N43" s="458" t="b">
        <f t="shared" si="3"/>
        <v>1</v>
      </c>
      <c r="O43" s="458" t="s">
        <v>763</v>
      </c>
      <c r="P43" s="458" t="s">
        <v>1434</v>
      </c>
      <c r="Q43" s="458"/>
      <c r="R43" s="458" t="str">
        <f t="shared" si="4"/>
        <v/>
      </c>
    </row>
    <row r="44" spans="2:18" hidden="1">
      <c r="B44" s="456" t="s">
        <v>881</v>
      </c>
      <c r="C44" s="456" t="s">
        <v>903</v>
      </c>
      <c r="D44" s="457" t="s">
        <v>909</v>
      </c>
      <c r="E44" s="456" t="s">
        <v>908</v>
      </c>
      <c r="F44" s="456" t="s">
        <v>1156</v>
      </c>
      <c r="G44" s="456" t="s">
        <v>879</v>
      </c>
      <c r="H44" s="459" t="s">
        <v>1146</v>
      </c>
      <c r="I44" s="456" t="s">
        <v>878</v>
      </c>
      <c r="J44" s="458" t="b">
        <f t="shared" si="1"/>
        <v>0</v>
      </c>
      <c r="K44" s="458" t="b">
        <f t="shared" si="9"/>
        <v>0</v>
      </c>
      <c r="L44" s="458" t="b">
        <f>IF(D44="n/a","n/a",ISNUMBER(MATCH(D44,'Measure-Level Adjustments Tab'!D:D,0)))</f>
        <v>0</v>
      </c>
      <c r="M44" s="458" t="b">
        <f t="shared" si="2"/>
        <v>0</v>
      </c>
      <c r="N44" s="458" t="b">
        <f t="shared" si="3"/>
        <v>0</v>
      </c>
      <c r="O44" s="458" t="s">
        <v>763</v>
      </c>
      <c r="P44" s="458"/>
      <c r="Q44" s="458"/>
      <c r="R44" s="458" t="str">
        <f t="shared" si="4"/>
        <v/>
      </c>
    </row>
    <row r="45" spans="2:18" hidden="1">
      <c r="B45" s="456" t="s">
        <v>881</v>
      </c>
      <c r="C45" s="456" t="s">
        <v>903</v>
      </c>
      <c r="D45" s="457" t="s">
        <v>909</v>
      </c>
      <c r="E45" s="456" t="s">
        <v>908</v>
      </c>
      <c r="F45" s="456" t="s">
        <v>1156</v>
      </c>
      <c r="G45" s="456" t="s">
        <v>879</v>
      </c>
      <c r="H45" s="456" t="s">
        <v>948</v>
      </c>
      <c r="I45" s="456" t="s">
        <v>878</v>
      </c>
      <c r="J45" s="458" t="b">
        <f t="shared" si="1"/>
        <v>0</v>
      </c>
      <c r="K45" s="458" t="b">
        <f t="shared" si="9"/>
        <v>0</v>
      </c>
      <c r="L45" s="458" t="b">
        <f>IF(D45="n/a","n/a",ISNUMBER(MATCH(D45,'Measure-Level Adjustments Tab'!D:D,0)))</f>
        <v>0</v>
      </c>
      <c r="M45" s="458" t="b">
        <f t="shared" si="2"/>
        <v>0</v>
      </c>
      <c r="N45" s="458" t="b">
        <f t="shared" si="3"/>
        <v>0</v>
      </c>
      <c r="O45" s="458" t="s">
        <v>763</v>
      </c>
      <c r="P45" s="458"/>
      <c r="Q45" s="458"/>
      <c r="R45" s="458" t="str">
        <f t="shared" si="4"/>
        <v/>
      </c>
    </row>
    <row r="46" spans="2:18" hidden="1">
      <c r="B46" s="456" t="s">
        <v>881</v>
      </c>
      <c r="C46" s="456" t="s">
        <v>903</v>
      </c>
      <c r="D46" s="457" t="s">
        <v>911</v>
      </c>
      <c r="E46" s="456" t="s">
        <v>1157</v>
      </c>
      <c r="F46" s="456" t="s">
        <v>1158</v>
      </c>
      <c r="G46" s="456" t="s">
        <v>879</v>
      </c>
      <c r="H46" s="459" t="s">
        <v>1146</v>
      </c>
      <c r="I46" s="456" t="s">
        <v>878</v>
      </c>
      <c r="J46" s="458" t="b">
        <f t="shared" si="1"/>
        <v>0</v>
      </c>
      <c r="K46" s="458" t="b">
        <f t="shared" si="9"/>
        <v>0</v>
      </c>
      <c r="L46" s="458" t="b">
        <f>IF(D46="n/a","n/a",ISNUMBER(MATCH(D46,'Measure-Level Adjustments Tab'!D:D,0)))</f>
        <v>0</v>
      </c>
      <c r="M46" s="458" t="b">
        <f t="shared" si="2"/>
        <v>0</v>
      </c>
      <c r="N46" s="458" t="b">
        <f t="shared" si="3"/>
        <v>0</v>
      </c>
      <c r="O46" s="458" t="s">
        <v>763</v>
      </c>
      <c r="P46" s="458"/>
      <c r="Q46" s="458"/>
      <c r="R46" s="458" t="str">
        <f t="shared" si="4"/>
        <v/>
      </c>
    </row>
    <row r="47" spans="2:18">
      <c r="B47" s="456" t="s">
        <v>881</v>
      </c>
      <c r="C47" s="456" t="s">
        <v>903</v>
      </c>
      <c r="D47" s="457" t="s">
        <v>343</v>
      </c>
      <c r="E47" s="456" t="s">
        <v>912</v>
      </c>
      <c r="F47" s="456" t="s">
        <v>1159</v>
      </c>
      <c r="G47" s="456" t="s">
        <v>879</v>
      </c>
      <c r="H47" s="456" t="s">
        <v>920</v>
      </c>
      <c r="I47" s="456" t="s">
        <v>1482</v>
      </c>
      <c r="J47" s="458" t="b">
        <f t="shared" si="1"/>
        <v>1</v>
      </c>
      <c r="K47" s="458" t="b">
        <f t="shared" si="9"/>
        <v>1</v>
      </c>
      <c r="L47" s="458" t="b">
        <f>IF(D47="n/a","n/a",ISNUMBER(MATCH(D47,'Measure-Level Adjustments Tab'!D:D,0)))</f>
        <v>1</v>
      </c>
      <c r="M47" s="458" t="b">
        <f t="shared" si="2"/>
        <v>0</v>
      </c>
      <c r="N47" s="458" t="b">
        <f t="shared" si="3"/>
        <v>1</v>
      </c>
      <c r="O47" s="458" t="s">
        <v>763</v>
      </c>
      <c r="P47" s="458" t="s">
        <v>1483</v>
      </c>
      <c r="Q47" s="458"/>
      <c r="R47" s="458" t="str">
        <f t="shared" si="4"/>
        <v/>
      </c>
    </row>
    <row r="48" spans="2:18" hidden="1">
      <c r="B48" s="456" t="s">
        <v>881</v>
      </c>
      <c r="C48" s="456" t="s">
        <v>903</v>
      </c>
      <c r="D48" s="457" t="s">
        <v>343</v>
      </c>
      <c r="E48" s="456" t="s">
        <v>912</v>
      </c>
      <c r="F48" s="456" t="s">
        <v>1159</v>
      </c>
      <c r="G48" s="456" t="s">
        <v>879</v>
      </c>
      <c r="H48" s="456" t="s">
        <v>1160</v>
      </c>
      <c r="I48" s="456" t="s">
        <v>878</v>
      </c>
      <c r="J48" s="458" t="b">
        <f t="shared" si="1"/>
        <v>0</v>
      </c>
      <c r="K48" s="458" t="b">
        <f t="shared" si="9"/>
        <v>1</v>
      </c>
      <c r="L48" s="458" t="b">
        <f>IF(D48="n/a","n/a",ISNUMBER(MATCH(D48,'Measure-Level Adjustments Tab'!D:D,0)))</f>
        <v>1</v>
      </c>
      <c r="M48" s="458" t="b">
        <f t="shared" si="2"/>
        <v>0</v>
      </c>
      <c r="N48" s="458" t="b">
        <f t="shared" si="3"/>
        <v>0</v>
      </c>
      <c r="O48" s="458" t="s">
        <v>763</v>
      </c>
      <c r="P48" s="458"/>
      <c r="Q48" s="458"/>
      <c r="R48" s="458" t="str">
        <f t="shared" si="4"/>
        <v/>
      </c>
    </row>
    <row r="49" spans="2:18" hidden="1">
      <c r="B49" s="456" t="s">
        <v>881</v>
      </c>
      <c r="C49" s="456" t="s">
        <v>903</v>
      </c>
      <c r="D49" s="457" t="s">
        <v>301</v>
      </c>
      <c r="E49" s="456" t="s">
        <v>913</v>
      </c>
      <c r="F49" s="456" t="s">
        <v>1161</v>
      </c>
      <c r="G49" s="456" t="s">
        <v>879</v>
      </c>
      <c r="H49" s="456" t="s">
        <v>1162</v>
      </c>
      <c r="I49" s="456" t="s">
        <v>878</v>
      </c>
      <c r="J49" s="458" t="b">
        <f t="shared" si="1"/>
        <v>0</v>
      </c>
      <c r="K49" s="458" t="b">
        <f t="shared" si="9"/>
        <v>0</v>
      </c>
      <c r="L49" s="458" t="b">
        <f>IF(D49="n/a","n/a",ISNUMBER(MATCH(D49,'Measure-Level Adjustments Tab'!D:D,0)))</f>
        <v>1</v>
      </c>
      <c r="M49" s="458" t="b">
        <f t="shared" si="2"/>
        <v>0</v>
      </c>
      <c r="N49" s="458" t="b">
        <f t="shared" si="3"/>
        <v>0</v>
      </c>
      <c r="O49" s="458" t="s">
        <v>763</v>
      </c>
      <c r="P49" s="458"/>
      <c r="Q49" s="458"/>
      <c r="R49" s="458" t="str">
        <f t="shared" si="4"/>
        <v/>
      </c>
    </row>
    <row r="50" spans="2:18" hidden="1">
      <c r="B50" s="456" t="s">
        <v>881</v>
      </c>
      <c r="C50" s="456" t="s">
        <v>903</v>
      </c>
      <c r="D50" s="457" t="s">
        <v>301</v>
      </c>
      <c r="E50" s="456" t="s">
        <v>913</v>
      </c>
      <c r="F50" s="456" t="s">
        <v>1161</v>
      </c>
      <c r="G50" s="456" t="s">
        <v>879</v>
      </c>
      <c r="H50" s="456" t="s">
        <v>1160</v>
      </c>
      <c r="I50" s="456" t="s">
        <v>878</v>
      </c>
      <c r="J50" s="458" t="b">
        <f t="shared" si="1"/>
        <v>0</v>
      </c>
      <c r="K50" s="458" t="b">
        <f t="shared" si="9"/>
        <v>0</v>
      </c>
      <c r="L50" s="458" t="b">
        <f>IF(D50="n/a","n/a",ISNUMBER(MATCH(D50,'Measure-Level Adjustments Tab'!D:D,0)))</f>
        <v>1</v>
      </c>
      <c r="M50" s="458" t="b">
        <f t="shared" si="2"/>
        <v>0</v>
      </c>
      <c r="N50" s="458" t="b">
        <f t="shared" si="3"/>
        <v>0</v>
      </c>
      <c r="O50" s="458" t="s">
        <v>763</v>
      </c>
      <c r="P50" s="458"/>
      <c r="Q50" s="458"/>
      <c r="R50" s="458" t="str">
        <f t="shared" si="4"/>
        <v/>
      </c>
    </row>
    <row r="51" spans="2:18" hidden="1">
      <c r="B51" s="456" t="s">
        <v>881</v>
      </c>
      <c r="C51" s="456" t="s">
        <v>903</v>
      </c>
      <c r="D51" s="457" t="s">
        <v>915</v>
      </c>
      <c r="E51" s="456" t="s">
        <v>914</v>
      </c>
      <c r="F51" s="456" t="s">
        <v>1163</v>
      </c>
      <c r="G51" s="456" t="s">
        <v>879</v>
      </c>
      <c r="H51" s="456" t="s">
        <v>1164</v>
      </c>
      <c r="I51" s="456" t="s">
        <v>1165</v>
      </c>
      <c r="J51" s="458" t="b">
        <f t="shared" si="1"/>
        <v>1</v>
      </c>
      <c r="K51" s="458" t="b">
        <f t="shared" si="9"/>
        <v>1</v>
      </c>
      <c r="L51" s="458" t="b">
        <f>IF(D51="n/a","n/a",ISNUMBER(MATCH(D51,'Measure-Level Adjustments Tab'!D:D,0)))</f>
        <v>0</v>
      </c>
      <c r="M51" s="458" t="b">
        <f t="shared" si="2"/>
        <v>0</v>
      </c>
      <c r="N51" s="458" t="b">
        <f t="shared" si="3"/>
        <v>0</v>
      </c>
      <c r="O51" s="458" t="s">
        <v>763</v>
      </c>
      <c r="P51" s="458"/>
      <c r="Q51" s="458"/>
      <c r="R51" s="458" t="str">
        <f t="shared" si="4"/>
        <v/>
      </c>
    </row>
    <row r="52" spans="2:18" hidden="1">
      <c r="B52" s="456" t="s">
        <v>881</v>
      </c>
      <c r="C52" s="456" t="s">
        <v>903</v>
      </c>
      <c r="D52" s="457" t="s">
        <v>915</v>
      </c>
      <c r="E52" s="456" t="s">
        <v>914</v>
      </c>
      <c r="F52" s="456" t="s">
        <v>1163</v>
      </c>
      <c r="G52" s="456" t="s">
        <v>879</v>
      </c>
      <c r="H52" s="456" t="s">
        <v>1166</v>
      </c>
      <c r="I52" s="456" t="s">
        <v>1165</v>
      </c>
      <c r="J52" s="458" t="b">
        <f t="shared" si="1"/>
        <v>1</v>
      </c>
      <c r="K52" s="458" t="b">
        <f t="shared" si="9"/>
        <v>1</v>
      </c>
      <c r="L52" s="458" t="b">
        <f>IF(D52="n/a","n/a",ISNUMBER(MATCH(D52,'Measure-Level Adjustments Tab'!D:D,0)))</f>
        <v>0</v>
      </c>
      <c r="M52" s="458" t="b">
        <f t="shared" si="2"/>
        <v>0</v>
      </c>
      <c r="N52" s="458" t="b">
        <f t="shared" si="3"/>
        <v>0</v>
      </c>
      <c r="O52" s="458" t="s">
        <v>763</v>
      </c>
      <c r="P52" s="458"/>
      <c r="Q52" s="458"/>
      <c r="R52" s="458" t="str">
        <f t="shared" si="4"/>
        <v/>
      </c>
    </row>
    <row r="53" spans="2:18" hidden="1">
      <c r="B53" s="456" t="s">
        <v>881</v>
      </c>
      <c r="C53" s="456" t="s">
        <v>903</v>
      </c>
      <c r="D53" s="457" t="s">
        <v>917</v>
      </c>
      <c r="E53" s="456" t="s">
        <v>916</v>
      </c>
      <c r="F53" s="456" t="s">
        <v>1167</v>
      </c>
      <c r="G53" s="456" t="s">
        <v>879</v>
      </c>
      <c r="H53" s="459" t="s">
        <v>1146</v>
      </c>
      <c r="I53" s="456" t="s">
        <v>878</v>
      </c>
      <c r="J53" s="458" t="b">
        <f t="shared" si="1"/>
        <v>0</v>
      </c>
      <c r="K53" s="458" t="b">
        <f t="shared" si="9"/>
        <v>0</v>
      </c>
      <c r="L53" s="458" t="b">
        <f>IF(D53="n/a","n/a",ISNUMBER(MATCH(D53,'Measure-Level Adjustments Tab'!D:D,0)))</f>
        <v>0</v>
      </c>
      <c r="M53" s="458" t="b">
        <f t="shared" si="2"/>
        <v>0</v>
      </c>
      <c r="N53" s="458" t="b">
        <f t="shared" si="3"/>
        <v>0</v>
      </c>
      <c r="O53" s="458" t="s">
        <v>763</v>
      </c>
      <c r="P53" s="458"/>
      <c r="Q53" s="458"/>
      <c r="R53" s="458" t="str">
        <f t="shared" si="4"/>
        <v/>
      </c>
    </row>
    <row r="54" spans="2:18">
      <c r="B54" s="456" t="s">
        <v>881</v>
      </c>
      <c r="C54" s="456" t="s">
        <v>903</v>
      </c>
      <c r="D54" s="457" t="s">
        <v>266</v>
      </c>
      <c r="E54" s="456" t="s">
        <v>1168</v>
      </c>
      <c r="F54" s="456" t="s">
        <v>1169</v>
      </c>
      <c r="G54" s="456" t="s">
        <v>879</v>
      </c>
      <c r="H54" s="456" t="s">
        <v>1170</v>
      </c>
      <c r="I54" s="456" t="s">
        <v>886</v>
      </c>
      <c r="J54" s="458" t="b">
        <f t="shared" si="1"/>
        <v>1</v>
      </c>
      <c r="K54" s="458" t="b">
        <f t="shared" si="9"/>
        <v>1</v>
      </c>
      <c r="L54" s="458" t="b">
        <f>IF(D54="n/a","n/a",ISNUMBER(MATCH(D54,'Measure-Level Adjustments Tab'!D:D,0)))</f>
        <v>1</v>
      </c>
      <c r="M54" s="458" t="b">
        <f t="shared" si="2"/>
        <v>0</v>
      </c>
      <c r="N54" s="458" t="b">
        <f t="shared" si="3"/>
        <v>1</v>
      </c>
      <c r="O54" s="458" t="s">
        <v>763</v>
      </c>
      <c r="P54" s="458" t="s">
        <v>1436</v>
      </c>
      <c r="Q54" s="458"/>
      <c r="R54" s="458" t="str">
        <f t="shared" si="4"/>
        <v/>
      </c>
    </row>
    <row r="55" spans="2:18">
      <c r="B55" s="456" t="s">
        <v>881</v>
      </c>
      <c r="C55" s="456" t="s">
        <v>903</v>
      </c>
      <c r="D55" s="457" t="s">
        <v>266</v>
      </c>
      <c r="E55" s="456" t="s">
        <v>1168</v>
      </c>
      <c r="F55" s="456" t="s">
        <v>1169</v>
      </c>
      <c r="G55" s="456" t="s">
        <v>879</v>
      </c>
      <c r="H55" s="456" t="s">
        <v>1171</v>
      </c>
      <c r="I55" s="456" t="s">
        <v>886</v>
      </c>
      <c r="J55" s="458" t="b">
        <f t="shared" si="1"/>
        <v>1</v>
      </c>
      <c r="K55" s="458" t="b">
        <f t="shared" si="9"/>
        <v>1</v>
      </c>
      <c r="L55" s="458" t="b">
        <f>IF(D55="n/a","n/a",ISNUMBER(MATCH(D55,'Measure-Level Adjustments Tab'!D:D,0)))</f>
        <v>1</v>
      </c>
      <c r="M55" s="458" t="b">
        <f t="shared" si="2"/>
        <v>0</v>
      </c>
      <c r="N55" s="458" t="b">
        <f t="shared" si="3"/>
        <v>1</v>
      </c>
      <c r="O55" s="458" t="s">
        <v>763</v>
      </c>
      <c r="P55" s="458" t="s">
        <v>1437</v>
      </c>
      <c r="Q55" s="458"/>
      <c r="R55" s="458" t="str">
        <f t="shared" si="4"/>
        <v/>
      </c>
    </row>
    <row r="56" spans="2:18">
      <c r="B56" s="456" t="s">
        <v>881</v>
      </c>
      <c r="C56" s="456" t="s">
        <v>903</v>
      </c>
      <c r="D56" s="457" t="s">
        <v>266</v>
      </c>
      <c r="E56" s="456" t="s">
        <v>1168</v>
      </c>
      <c r="F56" s="456" t="s">
        <v>1169</v>
      </c>
      <c r="G56" s="456" t="s">
        <v>879</v>
      </c>
      <c r="H56" s="456" t="s">
        <v>1172</v>
      </c>
      <c r="I56" s="456" t="s">
        <v>886</v>
      </c>
      <c r="J56" s="458" t="b">
        <f t="shared" si="1"/>
        <v>1</v>
      </c>
      <c r="K56" s="458" t="b">
        <f t="shared" si="9"/>
        <v>1</v>
      </c>
      <c r="L56" s="458" t="b">
        <f>IF(D56="n/a","n/a",ISNUMBER(MATCH(D56,'Measure-Level Adjustments Tab'!D:D,0)))</f>
        <v>1</v>
      </c>
      <c r="M56" s="458" t="b">
        <f t="shared" si="2"/>
        <v>0</v>
      </c>
      <c r="N56" s="458" t="b">
        <f t="shared" si="3"/>
        <v>1</v>
      </c>
      <c r="O56" s="458" t="s">
        <v>763</v>
      </c>
      <c r="P56" s="458" t="s">
        <v>1436</v>
      </c>
      <c r="Q56" s="458"/>
      <c r="R56" s="458" t="str">
        <f t="shared" si="4"/>
        <v/>
      </c>
    </row>
    <row r="57" spans="2:18" hidden="1">
      <c r="B57" s="456" t="s">
        <v>881</v>
      </c>
      <c r="C57" s="456" t="s">
        <v>903</v>
      </c>
      <c r="D57" s="457" t="s">
        <v>919</v>
      </c>
      <c r="E57" s="456" t="s">
        <v>918</v>
      </c>
      <c r="F57" s="456" t="s">
        <v>1173</v>
      </c>
      <c r="G57" s="456" t="s">
        <v>906</v>
      </c>
      <c r="H57" s="456" t="s">
        <v>1174</v>
      </c>
      <c r="I57" s="456" t="s">
        <v>1175</v>
      </c>
      <c r="J57" s="458" t="b">
        <f t="shared" si="1"/>
        <v>1</v>
      </c>
      <c r="K57" s="458" t="b">
        <f t="shared" si="9"/>
        <v>1</v>
      </c>
      <c r="L57" s="458" t="b">
        <f>IF(D57="n/a","n/a",ISNUMBER(MATCH(D57,'Measure-Level Adjustments Tab'!D:D,0)))</f>
        <v>0</v>
      </c>
      <c r="M57" s="458" t="b">
        <f t="shared" si="2"/>
        <v>0</v>
      </c>
      <c r="N57" s="458" t="b">
        <f t="shared" si="3"/>
        <v>0</v>
      </c>
      <c r="O57" s="458" t="s">
        <v>763</v>
      </c>
      <c r="P57" s="458"/>
      <c r="Q57" s="458"/>
      <c r="R57" s="458" t="str">
        <f t="shared" si="4"/>
        <v/>
      </c>
    </row>
    <row r="58" spans="2:18" hidden="1">
      <c r="B58" s="456" t="s">
        <v>881</v>
      </c>
      <c r="C58" s="456" t="s">
        <v>903</v>
      </c>
      <c r="D58" s="457" t="s">
        <v>919</v>
      </c>
      <c r="E58" s="456" t="s">
        <v>918</v>
      </c>
      <c r="F58" s="456" t="s">
        <v>1176</v>
      </c>
      <c r="G58" s="456" t="s">
        <v>879</v>
      </c>
      <c r="H58" s="459" t="s">
        <v>1146</v>
      </c>
      <c r="I58" s="456" t="s">
        <v>1177</v>
      </c>
      <c r="J58" s="458" t="b">
        <f t="shared" si="1"/>
        <v>1</v>
      </c>
      <c r="K58" s="458" t="b">
        <f t="shared" si="9"/>
        <v>1</v>
      </c>
      <c r="L58" s="458" t="b">
        <f>IF(D58="n/a","n/a",ISNUMBER(MATCH(D58,'Measure-Level Adjustments Tab'!D:D,0)))</f>
        <v>0</v>
      </c>
      <c r="M58" s="458" t="b">
        <f t="shared" si="2"/>
        <v>0</v>
      </c>
      <c r="N58" s="458" t="b">
        <f t="shared" si="3"/>
        <v>0</v>
      </c>
      <c r="O58" s="458" t="s">
        <v>763</v>
      </c>
      <c r="P58" s="458"/>
      <c r="Q58" s="458"/>
      <c r="R58" s="458" t="str">
        <f t="shared" si="4"/>
        <v/>
      </c>
    </row>
    <row r="59" spans="2:18" hidden="1">
      <c r="B59" s="456" t="s">
        <v>881</v>
      </c>
      <c r="C59" s="456" t="s">
        <v>903</v>
      </c>
      <c r="D59" s="457" t="s">
        <v>919</v>
      </c>
      <c r="E59" s="456" t="s">
        <v>918</v>
      </c>
      <c r="F59" s="456" t="s">
        <v>1176</v>
      </c>
      <c r="G59" s="456" t="s">
        <v>879</v>
      </c>
      <c r="H59" s="459" t="s">
        <v>1178</v>
      </c>
      <c r="I59" s="456" t="s">
        <v>1177</v>
      </c>
      <c r="J59" s="458" t="b">
        <f t="shared" si="1"/>
        <v>1</v>
      </c>
      <c r="K59" s="458" t="b">
        <f t="shared" si="9"/>
        <v>1</v>
      </c>
      <c r="L59" s="458" t="b">
        <f>IF(D59="n/a","n/a",ISNUMBER(MATCH(D59,'Measure-Level Adjustments Tab'!D:D,0)))</f>
        <v>0</v>
      </c>
      <c r="M59" s="458" t="b">
        <f t="shared" si="2"/>
        <v>0</v>
      </c>
      <c r="N59" s="458" t="b">
        <f t="shared" si="3"/>
        <v>0</v>
      </c>
      <c r="O59" s="458" t="s">
        <v>763</v>
      </c>
      <c r="P59" s="458"/>
      <c r="Q59" s="458"/>
      <c r="R59" s="458" t="str">
        <f t="shared" si="4"/>
        <v/>
      </c>
    </row>
    <row r="60" spans="2:18" hidden="1">
      <c r="B60" s="456" t="s">
        <v>881</v>
      </c>
      <c r="C60" s="456" t="s">
        <v>903</v>
      </c>
      <c r="D60" s="457" t="s">
        <v>225</v>
      </c>
      <c r="E60" s="456" t="s">
        <v>1179</v>
      </c>
      <c r="F60" s="456" t="s">
        <v>1180</v>
      </c>
      <c r="G60" s="456" t="s">
        <v>1139</v>
      </c>
      <c r="H60" s="460" t="s">
        <v>1181</v>
      </c>
      <c r="I60" s="456" t="s">
        <v>878</v>
      </c>
      <c r="J60" s="458" t="b">
        <f t="shared" si="1"/>
        <v>0</v>
      </c>
      <c r="K60" s="458" t="b">
        <f t="shared" si="9"/>
        <v>0</v>
      </c>
      <c r="L60" s="458" t="b">
        <f>IF(D60="n/a","n/a",ISNUMBER(MATCH(D60,'Measure-Level Adjustments Tab'!D:D,0)))</f>
        <v>1</v>
      </c>
      <c r="M60" s="458" t="b">
        <f t="shared" si="2"/>
        <v>0</v>
      </c>
      <c r="N60" s="458" t="b">
        <f t="shared" si="3"/>
        <v>0</v>
      </c>
      <c r="O60" s="458" t="s">
        <v>763</v>
      </c>
      <c r="P60" s="458"/>
      <c r="Q60" s="458"/>
      <c r="R60" s="458" t="str">
        <f t="shared" si="4"/>
        <v/>
      </c>
    </row>
    <row r="61" spans="2:18" hidden="1">
      <c r="B61" s="456" t="s">
        <v>881</v>
      </c>
      <c r="C61" s="456" t="s">
        <v>903</v>
      </c>
      <c r="D61" s="457" t="s">
        <v>1182</v>
      </c>
      <c r="E61" s="459" t="s">
        <v>1183</v>
      </c>
      <c r="F61" s="456" t="s">
        <v>1184</v>
      </c>
      <c r="G61" s="456" t="s">
        <v>879</v>
      </c>
      <c r="H61" s="459" t="s">
        <v>1185</v>
      </c>
      <c r="I61" s="456" t="s">
        <v>878</v>
      </c>
      <c r="J61" s="458" t="b">
        <f t="shared" si="1"/>
        <v>0</v>
      </c>
      <c r="K61" s="458" t="b">
        <f t="shared" si="9"/>
        <v>0</v>
      </c>
      <c r="L61" s="458" t="b">
        <f>IF(D61="n/a","n/a",ISNUMBER(MATCH(D61,'Measure-Level Adjustments Tab'!D:D,0)))</f>
        <v>0</v>
      </c>
      <c r="M61" s="458" t="b">
        <f t="shared" si="2"/>
        <v>0</v>
      </c>
      <c r="N61" s="458" t="b">
        <f t="shared" si="3"/>
        <v>0</v>
      </c>
      <c r="O61" s="458" t="s">
        <v>763</v>
      </c>
      <c r="P61" s="458"/>
      <c r="Q61" s="458"/>
      <c r="R61" s="458" t="str">
        <f t="shared" si="4"/>
        <v/>
      </c>
    </row>
    <row r="62" spans="2:18" hidden="1">
      <c r="B62" s="456" t="s">
        <v>881</v>
      </c>
      <c r="C62" s="456" t="s">
        <v>903</v>
      </c>
      <c r="D62" s="457" t="s">
        <v>1186</v>
      </c>
      <c r="E62" s="456" t="s">
        <v>1187</v>
      </c>
      <c r="F62" s="456" t="s">
        <v>1188</v>
      </c>
      <c r="G62" s="456" t="s">
        <v>879</v>
      </c>
      <c r="H62" s="459" t="s">
        <v>1189</v>
      </c>
      <c r="I62" s="456" t="s">
        <v>878</v>
      </c>
      <c r="J62" s="458" t="b">
        <f t="shared" si="1"/>
        <v>0</v>
      </c>
      <c r="K62" s="458" t="b">
        <f t="shared" si="9"/>
        <v>0</v>
      </c>
      <c r="L62" s="458" t="b">
        <f>IF(D62="n/a","n/a",ISNUMBER(MATCH(D62,'Measure-Level Adjustments Tab'!D:D,0)))</f>
        <v>0</v>
      </c>
      <c r="M62" s="458" t="b">
        <f t="shared" si="2"/>
        <v>0</v>
      </c>
      <c r="N62" s="458" t="b">
        <f t="shared" si="3"/>
        <v>0</v>
      </c>
      <c r="O62" s="458" t="s">
        <v>763</v>
      </c>
      <c r="P62" s="458"/>
      <c r="Q62" s="458"/>
      <c r="R62" s="458" t="str">
        <f t="shared" si="4"/>
        <v/>
      </c>
    </row>
    <row r="63" spans="2:18" hidden="1">
      <c r="B63" s="456" t="s">
        <v>881</v>
      </c>
      <c r="C63" s="456" t="s">
        <v>903</v>
      </c>
      <c r="D63" s="457" t="s">
        <v>921</v>
      </c>
      <c r="E63" s="456" t="s">
        <v>1190</v>
      </c>
      <c r="F63" s="456" t="s">
        <v>922</v>
      </c>
      <c r="G63" s="456" t="s">
        <v>1139</v>
      </c>
      <c r="H63" s="459" t="s">
        <v>1191</v>
      </c>
      <c r="I63" s="456" t="s">
        <v>878</v>
      </c>
      <c r="J63" s="458" t="b">
        <f t="shared" si="1"/>
        <v>0</v>
      </c>
      <c r="K63" s="458" t="b">
        <f t="shared" si="9"/>
        <v>0</v>
      </c>
      <c r="L63" s="458" t="b">
        <f>IF(D63="n/a","n/a",ISNUMBER(MATCH(D63,'Measure-Level Adjustments Tab'!D:D,0)))</f>
        <v>0</v>
      </c>
      <c r="M63" s="458" t="b">
        <f t="shared" si="2"/>
        <v>0</v>
      </c>
      <c r="N63" s="458" t="b">
        <f t="shared" si="3"/>
        <v>0</v>
      </c>
      <c r="O63" s="458" t="s">
        <v>763</v>
      </c>
      <c r="P63" s="458"/>
      <c r="Q63" s="458"/>
      <c r="R63" s="458" t="str">
        <f t="shared" si="4"/>
        <v/>
      </c>
    </row>
    <row r="64" spans="2:18" hidden="1">
      <c r="B64" s="456" t="s">
        <v>881</v>
      </c>
      <c r="C64" s="456" t="s">
        <v>903</v>
      </c>
      <c r="D64" s="457" t="s">
        <v>923</v>
      </c>
      <c r="E64" s="456" t="s">
        <v>1192</v>
      </c>
      <c r="F64" s="456" t="s">
        <v>1193</v>
      </c>
      <c r="G64" s="456" t="s">
        <v>906</v>
      </c>
      <c r="H64" s="456" t="s">
        <v>1194</v>
      </c>
      <c r="I64" s="456" t="s">
        <v>910</v>
      </c>
      <c r="J64" s="458" t="b">
        <f t="shared" si="1"/>
        <v>1</v>
      </c>
      <c r="K64" s="458" t="b">
        <f t="shared" si="9"/>
        <v>1</v>
      </c>
      <c r="L64" s="458" t="b">
        <f>IF(D64="n/a","n/a",ISNUMBER(MATCH(D64,'Measure-Level Adjustments Tab'!D:D,0)))</f>
        <v>0</v>
      </c>
      <c r="M64" s="458" t="b">
        <f t="shared" si="2"/>
        <v>0</v>
      </c>
      <c r="N64" s="458" t="b">
        <f t="shared" si="3"/>
        <v>0</v>
      </c>
      <c r="O64" s="458" t="s">
        <v>763</v>
      </c>
      <c r="P64" s="458"/>
      <c r="Q64" s="458"/>
      <c r="R64" s="458" t="str">
        <f t="shared" si="4"/>
        <v/>
      </c>
    </row>
    <row r="65" spans="2:18" hidden="1">
      <c r="B65" s="456" t="s">
        <v>881</v>
      </c>
      <c r="C65" s="456" t="s">
        <v>903</v>
      </c>
      <c r="D65" s="457" t="s">
        <v>923</v>
      </c>
      <c r="E65" s="456" t="s">
        <v>1192</v>
      </c>
      <c r="F65" s="456" t="s">
        <v>1195</v>
      </c>
      <c r="G65" s="456" t="s">
        <v>879</v>
      </c>
      <c r="H65" s="459" t="s">
        <v>1146</v>
      </c>
      <c r="I65" s="456" t="s">
        <v>1177</v>
      </c>
      <c r="J65" s="458" t="b">
        <f t="shared" si="1"/>
        <v>1</v>
      </c>
      <c r="K65" s="458" t="b">
        <f t="shared" si="9"/>
        <v>1</v>
      </c>
      <c r="L65" s="458" t="b">
        <f>IF(D65="n/a","n/a",ISNUMBER(MATCH(D65,'Measure-Level Adjustments Tab'!D:D,0)))</f>
        <v>0</v>
      </c>
      <c r="M65" s="458" t="b">
        <f t="shared" si="2"/>
        <v>0</v>
      </c>
      <c r="N65" s="458" t="b">
        <f t="shared" si="3"/>
        <v>0</v>
      </c>
      <c r="O65" s="458" t="s">
        <v>763</v>
      </c>
      <c r="P65" s="458"/>
      <c r="Q65" s="458"/>
      <c r="R65" s="458" t="str">
        <f t="shared" si="4"/>
        <v/>
      </c>
    </row>
    <row r="66" spans="2:18" hidden="1">
      <c r="B66" s="456" t="s">
        <v>881</v>
      </c>
      <c r="C66" s="456" t="s">
        <v>903</v>
      </c>
      <c r="D66" s="457" t="s">
        <v>923</v>
      </c>
      <c r="E66" s="456" t="s">
        <v>1192</v>
      </c>
      <c r="F66" s="456" t="s">
        <v>1195</v>
      </c>
      <c r="G66" s="456" t="s">
        <v>879</v>
      </c>
      <c r="H66" s="459" t="s">
        <v>1196</v>
      </c>
      <c r="I66" s="456" t="s">
        <v>1177</v>
      </c>
      <c r="J66" s="458" t="b">
        <f t="shared" si="1"/>
        <v>1</v>
      </c>
      <c r="K66" s="458" t="b">
        <f t="shared" si="9"/>
        <v>1</v>
      </c>
      <c r="L66" s="458" t="b">
        <f>IF(D66="n/a","n/a",ISNUMBER(MATCH(D66,'Measure-Level Adjustments Tab'!D:D,0)))</f>
        <v>0</v>
      </c>
      <c r="M66" s="458" t="b">
        <f t="shared" si="2"/>
        <v>0</v>
      </c>
      <c r="N66" s="458" t="b">
        <f t="shared" si="3"/>
        <v>0</v>
      </c>
      <c r="O66" s="458" t="s">
        <v>763</v>
      </c>
      <c r="P66" s="458"/>
      <c r="Q66" s="458"/>
      <c r="R66" s="458" t="str">
        <f t="shared" si="4"/>
        <v/>
      </c>
    </row>
    <row r="67" spans="2:18" hidden="1">
      <c r="B67" s="456" t="s">
        <v>881</v>
      </c>
      <c r="C67" s="456" t="s">
        <v>903</v>
      </c>
      <c r="D67" s="457" t="s">
        <v>926</v>
      </c>
      <c r="E67" s="456" t="s">
        <v>925</v>
      </c>
      <c r="F67" s="456" t="s">
        <v>1197</v>
      </c>
      <c r="G67" s="456" t="s">
        <v>879</v>
      </c>
      <c r="H67" s="459" t="s">
        <v>1146</v>
      </c>
      <c r="I67" s="456" t="s">
        <v>878</v>
      </c>
      <c r="J67" s="458" t="b">
        <f t="shared" si="1"/>
        <v>0</v>
      </c>
      <c r="K67" s="458" t="b">
        <f t="shared" si="9"/>
        <v>0</v>
      </c>
      <c r="L67" s="458" t="b">
        <f>IF(D67="n/a","n/a",ISNUMBER(MATCH(D67,'Measure-Level Adjustments Tab'!D:D,0)))</f>
        <v>0</v>
      </c>
      <c r="M67" s="458" t="b">
        <f t="shared" si="2"/>
        <v>0</v>
      </c>
      <c r="N67" s="458" t="b">
        <f t="shared" si="3"/>
        <v>0</v>
      </c>
      <c r="O67" s="458" t="s">
        <v>763</v>
      </c>
      <c r="P67" s="458"/>
      <c r="Q67" s="458"/>
      <c r="R67" s="458" t="str">
        <f t="shared" si="4"/>
        <v/>
      </c>
    </row>
    <row r="68" spans="2:18" hidden="1">
      <c r="B68" s="456" t="s">
        <v>881</v>
      </c>
      <c r="C68" s="456" t="s">
        <v>903</v>
      </c>
      <c r="D68" s="457" t="s">
        <v>926</v>
      </c>
      <c r="E68" s="456" t="s">
        <v>925</v>
      </c>
      <c r="F68" s="456" t="s">
        <v>1197</v>
      </c>
      <c r="G68" s="456" t="s">
        <v>879</v>
      </c>
      <c r="H68" s="456" t="s">
        <v>1198</v>
      </c>
      <c r="I68" s="456" t="s">
        <v>878</v>
      </c>
      <c r="J68" s="458" t="b">
        <f t="shared" si="1"/>
        <v>0</v>
      </c>
      <c r="K68" s="458" t="b">
        <f t="shared" si="9"/>
        <v>0</v>
      </c>
      <c r="L68" s="458" t="b">
        <f>IF(D68="n/a","n/a",ISNUMBER(MATCH(D68,'Measure-Level Adjustments Tab'!D:D,0)))</f>
        <v>0</v>
      </c>
      <c r="M68" s="458" t="b">
        <f t="shared" si="2"/>
        <v>0</v>
      </c>
      <c r="N68" s="458" t="b">
        <f t="shared" si="3"/>
        <v>0</v>
      </c>
      <c r="O68" s="458" t="s">
        <v>763</v>
      </c>
      <c r="P68" s="458"/>
      <c r="Q68" s="458"/>
      <c r="R68" s="458" t="str">
        <f t="shared" si="4"/>
        <v/>
      </c>
    </row>
    <row r="69" spans="2:18" hidden="1">
      <c r="B69" s="456" t="s">
        <v>881</v>
      </c>
      <c r="C69" s="456" t="s">
        <v>903</v>
      </c>
      <c r="D69" s="457" t="s">
        <v>928</v>
      </c>
      <c r="E69" s="456" t="s">
        <v>927</v>
      </c>
      <c r="F69" s="456" t="s">
        <v>1199</v>
      </c>
      <c r="G69" s="456" t="s">
        <v>879</v>
      </c>
      <c r="H69" s="459" t="s">
        <v>1196</v>
      </c>
      <c r="I69" s="456" t="s">
        <v>1177</v>
      </c>
      <c r="J69" s="458" t="b">
        <f t="shared" si="1"/>
        <v>1</v>
      </c>
      <c r="K69" s="458" t="b">
        <f t="shared" si="9"/>
        <v>1</v>
      </c>
      <c r="L69" s="458" t="b">
        <f>IF(D69="n/a","n/a",ISNUMBER(MATCH(D69,'Measure-Level Adjustments Tab'!D:D,0)))</f>
        <v>0</v>
      </c>
      <c r="M69" s="458" t="b">
        <f t="shared" si="2"/>
        <v>0</v>
      </c>
      <c r="N69" s="458" t="b">
        <f t="shared" si="3"/>
        <v>0</v>
      </c>
      <c r="O69" s="458" t="s">
        <v>763</v>
      </c>
      <c r="P69" s="458"/>
      <c r="Q69" s="458"/>
      <c r="R69" s="458" t="str">
        <f t="shared" si="4"/>
        <v/>
      </c>
    </row>
    <row r="70" spans="2:18" hidden="1">
      <c r="B70" s="456" t="s">
        <v>881</v>
      </c>
      <c r="C70" s="456" t="s">
        <v>903</v>
      </c>
      <c r="D70" s="457" t="s">
        <v>1200</v>
      </c>
      <c r="E70" s="459" t="s">
        <v>1201</v>
      </c>
      <c r="F70" s="456" t="s">
        <v>1202</v>
      </c>
      <c r="G70" s="456" t="s">
        <v>879</v>
      </c>
      <c r="H70" s="459" t="s">
        <v>1203</v>
      </c>
      <c r="I70" s="456" t="s">
        <v>910</v>
      </c>
      <c r="J70" s="458" t="b">
        <f t="shared" si="1"/>
        <v>1</v>
      </c>
      <c r="K70" s="458" t="b">
        <f t="shared" si="9"/>
        <v>1</v>
      </c>
      <c r="L70" s="458" t="b">
        <f>IF(D70="n/a","n/a",ISNUMBER(MATCH(D70,'Measure-Level Adjustments Tab'!D:D,0)))</f>
        <v>0</v>
      </c>
      <c r="M70" s="458" t="b">
        <f t="shared" si="2"/>
        <v>0</v>
      </c>
      <c r="N70" s="458" t="b">
        <f t="shared" si="3"/>
        <v>0</v>
      </c>
      <c r="O70" s="458" t="s">
        <v>763</v>
      </c>
      <c r="P70" s="458"/>
      <c r="Q70" s="458"/>
      <c r="R70" s="458" t="str">
        <f t="shared" si="4"/>
        <v/>
      </c>
    </row>
    <row r="71" spans="2:18" hidden="1">
      <c r="B71" s="456" t="s">
        <v>881</v>
      </c>
      <c r="C71" s="456" t="s">
        <v>903</v>
      </c>
      <c r="D71" s="457" t="s">
        <v>930</v>
      </c>
      <c r="E71" s="459" t="s">
        <v>929</v>
      </c>
      <c r="F71" s="456" t="s">
        <v>1204</v>
      </c>
      <c r="G71" s="456" t="s">
        <v>879</v>
      </c>
      <c r="H71" s="459" t="s">
        <v>1205</v>
      </c>
      <c r="I71" s="456" t="s">
        <v>878</v>
      </c>
      <c r="J71" s="458" t="b">
        <f t="shared" si="1"/>
        <v>0</v>
      </c>
      <c r="K71" s="458" t="b">
        <f t="shared" ref="K71:K102" si="10">COUNTIFS(D:D,D71,J:J,TRUE)&gt;0</f>
        <v>0</v>
      </c>
      <c r="L71" s="458" t="b">
        <f>IF(D71="n/a","n/a",ISNUMBER(MATCH(D71,'Measure-Level Adjustments Tab'!D:D,0)))</f>
        <v>0</v>
      </c>
      <c r="M71" s="458" t="b">
        <f t="shared" si="2"/>
        <v>0</v>
      </c>
      <c r="N71" s="458" t="b">
        <f t="shared" si="3"/>
        <v>0</v>
      </c>
      <c r="O71" s="458" t="s">
        <v>763</v>
      </c>
      <c r="P71" s="458"/>
      <c r="Q71" s="458"/>
      <c r="R71" s="458" t="str">
        <f t="shared" si="4"/>
        <v/>
      </c>
    </row>
    <row r="72" spans="2:18" hidden="1">
      <c r="B72" s="456" t="s">
        <v>881</v>
      </c>
      <c r="C72" s="456" t="s">
        <v>903</v>
      </c>
      <c r="D72" s="457" t="s">
        <v>931</v>
      </c>
      <c r="E72" s="456" t="s">
        <v>1206</v>
      </c>
      <c r="F72" s="456" t="s">
        <v>1207</v>
      </c>
      <c r="G72" s="456" t="s">
        <v>879</v>
      </c>
      <c r="H72" s="459" t="s">
        <v>1146</v>
      </c>
      <c r="I72" s="456" t="s">
        <v>878</v>
      </c>
      <c r="J72" s="458" t="b">
        <f t="shared" ref="J72:J139" si="11">I72&lt;&gt;"N/A"</f>
        <v>0</v>
      </c>
      <c r="K72" s="458" t="b">
        <f t="shared" si="10"/>
        <v>0</v>
      </c>
      <c r="L72" s="458" t="b">
        <f>IF(D72="n/a","n/a",ISNUMBER(MATCH(D72,'Measure-Level Adjustments Tab'!D:D,0)))</f>
        <v>0</v>
      </c>
      <c r="M72" s="458" t="b">
        <f t="shared" ref="M72:M135" si="12">AND(G72="Errata",J72,L72)</f>
        <v>0</v>
      </c>
      <c r="N72" s="458" t="b">
        <f t="shared" ref="N72:N135" si="13">AND(G72="Revision",J72,L72)</f>
        <v>0</v>
      </c>
      <c r="O72" s="458" t="s">
        <v>763</v>
      </c>
      <c r="P72" s="458"/>
      <c r="Q72" s="458"/>
      <c r="R72" s="458" t="str">
        <f t="shared" ref="R72:R135" si="14">IF(Q72="","",HYPERLINK("#'"&amp;Q72,"Go To Update"))</f>
        <v/>
      </c>
    </row>
    <row r="73" spans="2:18" hidden="1">
      <c r="B73" s="456" t="s">
        <v>881</v>
      </c>
      <c r="C73" s="456" t="s">
        <v>903</v>
      </c>
      <c r="D73" s="457" t="s">
        <v>931</v>
      </c>
      <c r="E73" s="456" t="s">
        <v>1206</v>
      </c>
      <c r="F73" s="456" t="s">
        <v>1207</v>
      </c>
      <c r="G73" s="456" t="s">
        <v>879</v>
      </c>
      <c r="H73" s="459" t="s">
        <v>1208</v>
      </c>
      <c r="I73" s="456" t="s">
        <v>878</v>
      </c>
      <c r="J73" s="458" t="b">
        <f t="shared" si="11"/>
        <v>0</v>
      </c>
      <c r="K73" s="458" t="b">
        <f t="shared" si="10"/>
        <v>0</v>
      </c>
      <c r="L73" s="458" t="b">
        <f>IF(D73="n/a","n/a",ISNUMBER(MATCH(D73,'Measure-Level Adjustments Tab'!D:D,0)))</f>
        <v>0</v>
      </c>
      <c r="M73" s="458" t="b">
        <f t="shared" si="12"/>
        <v>0</v>
      </c>
      <c r="N73" s="458" t="b">
        <f t="shared" si="13"/>
        <v>0</v>
      </c>
      <c r="O73" s="458" t="s">
        <v>763</v>
      </c>
      <c r="P73" s="458"/>
      <c r="Q73" s="458"/>
      <c r="R73" s="458" t="str">
        <f t="shared" si="14"/>
        <v/>
      </c>
    </row>
    <row r="74" spans="2:18" hidden="1">
      <c r="B74" s="456" t="s">
        <v>881</v>
      </c>
      <c r="C74" s="456" t="s">
        <v>903</v>
      </c>
      <c r="D74" s="457" t="s">
        <v>933</v>
      </c>
      <c r="E74" s="456" t="s">
        <v>932</v>
      </c>
      <c r="F74" s="456" t="s">
        <v>1209</v>
      </c>
      <c r="G74" s="456" t="s">
        <v>879</v>
      </c>
      <c r="H74" s="459" t="s">
        <v>1210</v>
      </c>
      <c r="I74" s="456" t="s">
        <v>878</v>
      </c>
      <c r="J74" s="458" t="b">
        <f t="shared" si="11"/>
        <v>0</v>
      </c>
      <c r="K74" s="458" t="b">
        <f t="shared" si="10"/>
        <v>0</v>
      </c>
      <c r="L74" s="458" t="b">
        <f>IF(D74="n/a","n/a",ISNUMBER(MATCH(D74,'Measure-Level Adjustments Tab'!D:D,0)))</f>
        <v>0</v>
      </c>
      <c r="M74" s="458" t="b">
        <f t="shared" si="12"/>
        <v>0</v>
      </c>
      <c r="N74" s="458" t="b">
        <f t="shared" si="13"/>
        <v>0</v>
      </c>
      <c r="O74" s="458" t="s">
        <v>763</v>
      </c>
      <c r="P74" s="458"/>
      <c r="Q74" s="458"/>
      <c r="R74" s="458" t="str">
        <f t="shared" si="14"/>
        <v/>
      </c>
    </row>
    <row r="75" spans="2:18" hidden="1">
      <c r="B75" s="456" t="s">
        <v>881</v>
      </c>
      <c r="C75" s="456" t="s">
        <v>903</v>
      </c>
      <c r="D75" s="457" t="s">
        <v>937</v>
      </c>
      <c r="E75" s="456" t="s">
        <v>936</v>
      </c>
      <c r="F75" s="456" t="s">
        <v>1211</v>
      </c>
      <c r="G75" s="456" t="s">
        <v>879</v>
      </c>
      <c r="H75" s="456" t="s">
        <v>1212</v>
      </c>
      <c r="I75" s="456" t="s">
        <v>878</v>
      </c>
      <c r="J75" s="458" t="b">
        <f t="shared" si="11"/>
        <v>0</v>
      </c>
      <c r="K75" s="458" t="b">
        <f t="shared" si="10"/>
        <v>0</v>
      </c>
      <c r="L75" s="458" t="b">
        <f>IF(D75="n/a","n/a",ISNUMBER(MATCH(D75,'Measure-Level Adjustments Tab'!D:D,0)))</f>
        <v>0</v>
      </c>
      <c r="M75" s="458" t="b">
        <f t="shared" si="12"/>
        <v>0</v>
      </c>
      <c r="N75" s="458" t="b">
        <f t="shared" si="13"/>
        <v>0</v>
      </c>
      <c r="O75" s="458" t="s">
        <v>763</v>
      </c>
      <c r="P75" s="458"/>
      <c r="Q75" s="458"/>
      <c r="R75" s="458" t="str">
        <f t="shared" si="14"/>
        <v/>
      </c>
    </row>
    <row r="76" spans="2:18" hidden="1">
      <c r="B76" s="456" t="s">
        <v>881</v>
      </c>
      <c r="C76" s="456" t="s">
        <v>903</v>
      </c>
      <c r="D76" s="457" t="s">
        <v>938</v>
      </c>
      <c r="E76" s="456" t="s">
        <v>1420</v>
      </c>
      <c r="F76" s="456" t="s">
        <v>1213</v>
      </c>
      <c r="G76" s="456" t="s">
        <v>1139</v>
      </c>
      <c r="H76" s="456" t="s">
        <v>1181</v>
      </c>
      <c r="I76" s="456" t="s">
        <v>878</v>
      </c>
      <c r="J76" s="458" t="b">
        <f t="shared" si="11"/>
        <v>0</v>
      </c>
      <c r="K76" s="458" t="b">
        <f t="shared" si="10"/>
        <v>0</v>
      </c>
      <c r="L76" s="458" t="b">
        <f>IF(D76="n/a","n/a",ISNUMBER(MATCH(D76,'Measure-Level Adjustments Tab'!D:D,0)))</f>
        <v>0</v>
      </c>
      <c r="M76" s="458" t="b">
        <f t="shared" si="12"/>
        <v>0</v>
      </c>
      <c r="N76" s="458" t="b">
        <f t="shared" si="13"/>
        <v>0</v>
      </c>
      <c r="O76" s="458" t="s">
        <v>763</v>
      </c>
      <c r="P76" s="458"/>
      <c r="Q76" s="458"/>
      <c r="R76" s="458" t="str">
        <f t="shared" si="14"/>
        <v/>
      </c>
    </row>
    <row r="77" spans="2:18" hidden="1">
      <c r="B77" s="456" t="s">
        <v>881</v>
      </c>
      <c r="C77" s="456" t="s">
        <v>903</v>
      </c>
      <c r="D77" s="457" t="s">
        <v>939</v>
      </c>
      <c r="E77" s="456" t="s">
        <v>1214</v>
      </c>
      <c r="F77" s="456" t="s">
        <v>1215</v>
      </c>
      <c r="G77" s="456" t="s">
        <v>879</v>
      </c>
      <c r="H77" s="459" t="s">
        <v>1146</v>
      </c>
      <c r="I77" s="456" t="s">
        <v>878</v>
      </c>
      <c r="J77" s="458" t="b">
        <f t="shared" si="11"/>
        <v>0</v>
      </c>
      <c r="K77" s="458" t="b">
        <f t="shared" si="10"/>
        <v>0</v>
      </c>
      <c r="L77" s="458" t="b">
        <f>IF(D77="n/a","n/a",ISNUMBER(MATCH(D77,'Measure-Level Adjustments Tab'!D:D,0)))</f>
        <v>0</v>
      </c>
      <c r="M77" s="458" t="b">
        <f t="shared" si="12"/>
        <v>0</v>
      </c>
      <c r="N77" s="458" t="b">
        <f t="shared" si="13"/>
        <v>0</v>
      </c>
      <c r="O77" s="458" t="s">
        <v>763</v>
      </c>
      <c r="P77" s="458"/>
      <c r="Q77" s="458"/>
      <c r="R77" s="458" t="str">
        <f t="shared" si="14"/>
        <v/>
      </c>
    </row>
    <row r="78" spans="2:18" hidden="1">
      <c r="B78" s="456" t="s">
        <v>881</v>
      </c>
      <c r="C78" s="456" t="s">
        <v>903</v>
      </c>
      <c r="D78" s="457" t="s">
        <v>940</v>
      </c>
      <c r="E78" s="456" t="s">
        <v>1216</v>
      </c>
      <c r="F78" s="456" t="s">
        <v>1217</v>
      </c>
      <c r="G78" s="456" t="s">
        <v>879</v>
      </c>
      <c r="H78" s="456" t="s">
        <v>1218</v>
      </c>
      <c r="I78" s="456" t="s">
        <v>878</v>
      </c>
      <c r="J78" s="458" t="b">
        <f t="shared" si="11"/>
        <v>0</v>
      </c>
      <c r="K78" s="458" t="b">
        <f t="shared" si="10"/>
        <v>0</v>
      </c>
      <c r="L78" s="458" t="b">
        <f>IF(D78="n/a","n/a",ISNUMBER(MATCH(D78,'Measure-Level Adjustments Tab'!D:D,0)))</f>
        <v>0</v>
      </c>
      <c r="M78" s="458" t="b">
        <f t="shared" si="12"/>
        <v>0</v>
      </c>
      <c r="N78" s="458" t="b">
        <f t="shared" si="13"/>
        <v>0</v>
      </c>
      <c r="O78" s="458" t="s">
        <v>763</v>
      </c>
      <c r="P78" s="458"/>
      <c r="Q78" s="458"/>
      <c r="R78" s="458" t="str">
        <f t="shared" si="14"/>
        <v/>
      </c>
    </row>
    <row r="79" spans="2:18" hidden="1">
      <c r="B79" s="456" t="s">
        <v>881</v>
      </c>
      <c r="C79" s="456" t="s">
        <v>903</v>
      </c>
      <c r="D79" s="457" t="s">
        <v>940</v>
      </c>
      <c r="E79" s="456" t="s">
        <v>1216</v>
      </c>
      <c r="F79" s="456" t="s">
        <v>1217</v>
      </c>
      <c r="G79" s="456" t="s">
        <v>879</v>
      </c>
      <c r="H79" s="456" t="s">
        <v>1219</v>
      </c>
      <c r="I79" s="456" t="s">
        <v>878</v>
      </c>
      <c r="J79" s="458" t="b">
        <f t="shared" si="11"/>
        <v>0</v>
      </c>
      <c r="K79" s="458" t="b">
        <f t="shared" si="10"/>
        <v>0</v>
      </c>
      <c r="L79" s="458" t="b">
        <f>IF(D79="n/a","n/a",ISNUMBER(MATCH(D79,'Measure-Level Adjustments Tab'!D:D,0)))</f>
        <v>0</v>
      </c>
      <c r="M79" s="458" t="b">
        <f t="shared" si="12"/>
        <v>0</v>
      </c>
      <c r="N79" s="458" t="b">
        <f t="shared" si="13"/>
        <v>0</v>
      </c>
      <c r="O79" s="458" t="s">
        <v>763</v>
      </c>
      <c r="P79" s="458"/>
      <c r="Q79" s="458"/>
      <c r="R79" s="458" t="str">
        <f t="shared" si="14"/>
        <v/>
      </c>
    </row>
    <row r="80" spans="2:18" hidden="1">
      <c r="B80" s="456" t="s">
        <v>881</v>
      </c>
      <c r="C80" s="456" t="s">
        <v>903</v>
      </c>
      <c r="D80" s="457" t="s">
        <v>940</v>
      </c>
      <c r="E80" s="456" t="s">
        <v>1216</v>
      </c>
      <c r="F80" s="456" t="s">
        <v>1217</v>
      </c>
      <c r="G80" s="456" t="s">
        <v>879</v>
      </c>
      <c r="H80" s="456" t="s">
        <v>1220</v>
      </c>
      <c r="I80" s="456" t="s">
        <v>878</v>
      </c>
      <c r="J80" s="458" t="b">
        <f t="shared" si="11"/>
        <v>0</v>
      </c>
      <c r="K80" s="458" t="b">
        <f t="shared" si="10"/>
        <v>0</v>
      </c>
      <c r="L80" s="458" t="b">
        <f>IF(D80="n/a","n/a",ISNUMBER(MATCH(D80,'Measure-Level Adjustments Tab'!D:D,0)))</f>
        <v>0</v>
      </c>
      <c r="M80" s="458" t="b">
        <f t="shared" si="12"/>
        <v>0</v>
      </c>
      <c r="N80" s="458" t="b">
        <f t="shared" si="13"/>
        <v>0</v>
      </c>
      <c r="O80" s="458" t="s">
        <v>763</v>
      </c>
      <c r="P80" s="458"/>
      <c r="Q80" s="458"/>
      <c r="R80" s="458" t="str">
        <f t="shared" si="14"/>
        <v/>
      </c>
    </row>
    <row r="81" spans="2:18" hidden="1">
      <c r="B81" s="456" t="s">
        <v>881</v>
      </c>
      <c r="C81" s="456" t="s">
        <v>903</v>
      </c>
      <c r="D81" s="457" t="s">
        <v>1221</v>
      </c>
      <c r="E81" s="456" t="s">
        <v>1222</v>
      </c>
      <c r="F81" s="456" t="s">
        <v>1223</v>
      </c>
      <c r="G81" s="456" t="s">
        <v>880</v>
      </c>
      <c r="H81" s="456" t="s">
        <v>961</v>
      </c>
      <c r="I81" s="456" t="s">
        <v>878</v>
      </c>
      <c r="J81" s="458" t="b">
        <f t="shared" si="11"/>
        <v>0</v>
      </c>
      <c r="K81" s="458" t="b">
        <f t="shared" si="10"/>
        <v>0</v>
      </c>
      <c r="L81" s="458" t="b">
        <f>IF(D81="n/a","n/a",ISNUMBER(MATCH(D81,'Measure-Level Adjustments Tab'!D:D,0)))</f>
        <v>0</v>
      </c>
      <c r="M81" s="458" t="b">
        <f t="shared" si="12"/>
        <v>0</v>
      </c>
      <c r="N81" s="458" t="b">
        <f t="shared" si="13"/>
        <v>0</v>
      </c>
      <c r="O81" s="458" t="s">
        <v>763</v>
      </c>
      <c r="P81" s="458"/>
      <c r="Q81" s="458"/>
      <c r="R81" s="458" t="str">
        <f t="shared" si="14"/>
        <v/>
      </c>
    </row>
    <row r="82" spans="2:18" hidden="1">
      <c r="B82" s="456" t="s">
        <v>881</v>
      </c>
      <c r="C82" s="456" t="s">
        <v>903</v>
      </c>
      <c r="D82" s="457" t="s">
        <v>1224</v>
      </c>
      <c r="E82" s="456" t="s">
        <v>1225</v>
      </c>
      <c r="F82" s="456" t="s">
        <v>1226</v>
      </c>
      <c r="G82" s="456" t="s">
        <v>880</v>
      </c>
      <c r="H82" s="456" t="s">
        <v>961</v>
      </c>
      <c r="I82" s="456" t="s">
        <v>878</v>
      </c>
      <c r="J82" s="458" t="b">
        <f t="shared" si="11"/>
        <v>0</v>
      </c>
      <c r="K82" s="458" t="b">
        <f t="shared" si="10"/>
        <v>0</v>
      </c>
      <c r="L82" s="458" t="b">
        <f>IF(D82="n/a","n/a",ISNUMBER(MATCH(D82,'Measure-Level Adjustments Tab'!D:D,0)))</f>
        <v>0</v>
      </c>
      <c r="M82" s="458" t="b">
        <f t="shared" si="12"/>
        <v>0</v>
      </c>
      <c r="N82" s="458" t="b">
        <f t="shared" si="13"/>
        <v>0</v>
      </c>
      <c r="O82" s="458" t="s">
        <v>763</v>
      </c>
      <c r="P82" s="458"/>
      <c r="Q82" s="458"/>
      <c r="R82" s="458" t="str">
        <f t="shared" si="14"/>
        <v/>
      </c>
    </row>
    <row r="83" spans="2:18" hidden="1">
      <c r="B83" s="456" t="s">
        <v>881</v>
      </c>
      <c r="C83" s="456" t="s">
        <v>903</v>
      </c>
      <c r="D83" s="457" t="s">
        <v>1227</v>
      </c>
      <c r="E83" s="456" t="s">
        <v>1228</v>
      </c>
      <c r="F83" s="456" t="s">
        <v>1229</v>
      </c>
      <c r="G83" s="456" t="s">
        <v>880</v>
      </c>
      <c r="H83" s="456" t="s">
        <v>961</v>
      </c>
      <c r="I83" s="456" t="s">
        <v>878</v>
      </c>
      <c r="J83" s="458" t="b">
        <f t="shared" si="11"/>
        <v>0</v>
      </c>
      <c r="K83" s="458" t="b">
        <f t="shared" si="10"/>
        <v>0</v>
      </c>
      <c r="L83" s="458" t="b">
        <f>IF(D83="n/a","n/a",ISNUMBER(MATCH(D83,'Measure-Level Adjustments Tab'!D:D,0)))</f>
        <v>0</v>
      </c>
      <c r="M83" s="458" t="b">
        <f t="shared" si="12"/>
        <v>0</v>
      </c>
      <c r="N83" s="458" t="b">
        <f t="shared" si="13"/>
        <v>0</v>
      </c>
      <c r="O83" s="458" t="s">
        <v>763</v>
      </c>
      <c r="P83" s="458"/>
      <c r="Q83" s="458"/>
      <c r="R83" s="458" t="str">
        <f t="shared" si="14"/>
        <v/>
      </c>
    </row>
    <row r="84" spans="2:18" hidden="1">
      <c r="B84" s="456" t="s">
        <v>881</v>
      </c>
      <c r="C84" s="456" t="s">
        <v>941</v>
      </c>
      <c r="D84" s="457">
        <v>4.5</v>
      </c>
      <c r="E84" s="456" t="s">
        <v>1230</v>
      </c>
      <c r="F84" s="456" t="s">
        <v>878</v>
      </c>
      <c r="G84" s="456" t="s">
        <v>879</v>
      </c>
      <c r="H84" s="456" t="s">
        <v>1231</v>
      </c>
      <c r="I84" s="456" t="s">
        <v>878</v>
      </c>
      <c r="J84" s="458" t="b">
        <f t="shared" si="11"/>
        <v>0</v>
      </c>
      <c r="K84" s="458" t="b">
        <f t="shared" si="10"/>
        <v>0</v>
      </c>
      <c r="L84" s="458" t="b">
        <f>IF(D84="n/a","n/a",ISNUMBER(MATCH(D84,'Measure-Level Adjustments Tab'!D:D,0)))</f>
        <v>0</v>
      </c>
      <c r="M84" s="458" t="b">
        <f t="shared" si="12"/>
        <v>0</v>
      </c>
      <c r="N84" s="458" t="b">
        <f t="shared" si="13"/>
        <v>0</v>
      </c>
      <c r="O84" s="458" t="s">
        <v>763</v>
      </c>
      <c r="P84" s="458"/>
      <c r="Q84" s="458"/>
      <c r="R84" s="458" t="str">
        <f t="shared" si="14"/>
        <v/>
      </c>
    </row>
    <row r="85" spans="2:18" hidden="1">
      <c r="B85" s="456" t="s">
        <v>881</v>
      </c>
      <c r="C85" s="456" t="s">
        <v>941</v>
      </c>
      <c r="D85" s="457">
        <v>4.5</v>
      </c>
      <c r="E85" s="456" t="s">
        <v>1230</v>
      </c>
      <c r="F85" s="456" t="s">
        <v>878</v>
      </c>
      <c r="G85" s="456" t="s">
        <v>879</v>
      </c>
      <c r="H85" s="456" t="s">
        <v>1232</v>
      </c>
      <c r="I85" s="456" t="s">
        <v>878</v>
      </c>
      <c r="J85" s="458" t="b">
        <f t="shared" si="11"/>
        <v>0</v>
      </c>
      <c r="K85" s="458" t="b">
        <f t="shared" si="10"/>
        <v>0</v>
      </c>
      <c r="L85" s="458" t="b">
        <f>IF(D85="n/a","n/a",ISNUMBER(MATCH(D85,'Measure-Level Adjustments Tab'!D:D,0)))</f>
        <v>0</v>
      </c>
      <c r="M85" s="458" t="b">
        <f t="shared" si="12"/>
        <v>0</v>
      </c>
      <c r="N85" s="458" t="b">
        <f t="shared" si="13"/>
        <v>0</v>
      </c>
      <c r="O85" s="458" t="s">
        <v>763</v>
      </c>
      <c r="P85" s="458"/>
      <c r="Q85" s="458"/>
      <c r="R85" s="458" t="str">
        <f t="shared" si="14"/>
        <v/>
      </c>
    </row>
    <row r="86" spans="2:18" hidden="1">
      <c r="B86" s="456" t="s">
        <v>881</v>
      </c>
      <c r="C86" s="456" t="s">
        <v>941</v>
      </c>
      <c r="D86" s="457" t="s">
        <v>943</v>
      </c>
      <c r="E86" s="456" t="s">
        <v>942</v>
      </c>
      <c r="F86" s="456" t="s">
        <v>878</v>
      </c>
      <c r="G86" s="456" t="s">
        <v>1233</v>
      </c>
      <c r="H86" s="456" t="s">
        <v>1234</v>
      </c>
      <c r="I86" s="456" t="s">
        <v>878</v>
      </c>
      <c r="J86" s="458" t="b">
        <f t="shared" si="11"/>
        <v>0</v>
      </c>
      <c r="K86" s="458" t="b">
        <f t="shared" si="10"/>
        <v>0</v>
      </c>
      <c r="L86" s="458" t="b">
        <f>IF(D86="n/a","n/a",ISNUMBER(MATCH(D86,'Measure-Level Adjustments Tab'!D:D,0)))</f>
        <v>0</v>
      </c>
      <c r="M86" s="458" t="b">
        <f t="shared" si="12"/>
        <v>0</v>
      </c>
      <c r="N86" s="458" t="b">
        <f t="shared" si="13"/>
        <v>0</v>
      </c>
      <c r="O86" s="458" t="s">
        <v>763</v>
      </c>
      <c r="P86" s="458"/>
      <c r="Q86" s="458"/>
      <c r="R86" s="458" t="str">
        <f t="shared" si="14"/>
        <v/>
      </c>
    </row>
    <row r="87" spans="2:18" hidden="1">
      <c r="B87" s="456" t="s">
        <v>881</v>
      </c>
      <c r="C87" s="456" t="s">
        <v>941</v>
      </c>
      <c r="D87" s="457" t="s">
        <v>945</v>
      </c>
      <c r="E87" s="456" t="s">
        <v>944</v>
      </c>
      <c r="F87" s="456" t="s">
        <v>1235</v>
      </c>
      <c r="G87" s="456" t="s">
        <v>906</v>
      </c>
      <c r="H87" s="456" t="s">
        <v>1236</v>
      </c>
      <c r="I87" s="456" t="s">
        <v>878</v>
      </c>
      <c r="J87" s="458" t="b">
        <f t="shared" si="11"/>
        <v>0</v>
      </c>
      <c r="K87" s="458" t="b">
        <f t="shared" si="10"/>
        <v>1</v>
      </c>
      <c r="L87" s="458" t="b">
        <f>IF(D87="n/a","n/a",ISNUMBER(MATCH(D87,'Measure-Level Adjustments Tab'!D:D,0)))</f>
        <v>0</v>
      </c>
      <c r="M87" s="458" t="b">
        <f t="shared" si="12"/>
        <v>0</v>
      </c>
      <c r="N87" s="458" t="b">
        <f t="shared" si="13"/>
        <v>0</v>
      </c>
      <c r="O87" s="458" t="s">
        <v>763</v>
      </c>
      <c r="P87" s="458"/>
      <c r="Q87" s="458"/>
      <c r="R87" s="458" t="str">
        <f t="shared" si="14"/>
        <v/>
      </c>
    </row>
    <row r="88" spans="2:18" hidden="1">
      <c r="B88" s="456" t="s">
        <v>881</v>
      </c>
      <c r="C88" s="456" t="s">
        <v>941</v>
      </c>
      <c r="D88" s="457" t="s">
        <v>945</v>
      </c>
      <c r="E88" s="456" t="s">
        <v>944</v>
      </c>
      <c r="F88" s="456" t="s">
        <v>1237</v>
      </c>
      <c r="G88" s="456" t="s">
        <v>879</v>
      </c>
      <c r="H88" s="456" t="s">
        <v>1421</v>
      </c>
      <c r="I88" s="456" t="s">
        <v>1238</v>
      </c>
      <c r="J88" s="458" t="b">
        <f t="shared" si="11"/>
        <v>1</v>
      </c>
      <c r="K88" s="458" t="b">
        <f t="shared" si="10"/>
        <v>1</v>
      </c>
      <c r="L88" s="458" t="b">
        <f>IF(D88="n/a","n/a",ISNUMBER(MATCH(D88,'Measure-Level Adjustments Tab'!D:D,0)))</f>
        <v>0</v>
      </c>
      <c r="M88" s="458" t="b">
        <f t="shared" si="12"/>
        <v>0</v>
      </c>
      <c r="N88" s="458" t="b">
        <f t="shared" si="13"/>
        <v>0</v>
      </c>
      <c r="O88" s="458" t="s">
        <v>763</v>
      </c>
      <c r="P88" s="458"/>
      <c r="Q88" s="458"/>
      <c r="R88" s="458" t="str">
        <f t="shared" si="14"/>
        <v/>
      </c>
    </row>
    <row r="89" spans="2:18" hidden="1">
      <c r="B89" s="456" t="s">
        <v>881</v>
      </c>
      <c r="C89" s="456" t="s">
        <v>941</v>
      </c>
      <c r="D89" s="457" t="s">
        <v>947</v>
      </c>
      <c r="E89" s="459" t="s">
        <v>946</v>
      </c>
      <c r="F89" s="456" t="s">
        <v>1239</v>
      </c>
      <c r="G89" s="456" t="s">
        <v>906</v>
      </c>
      <c r="H89" s="456" t="s">
        <v>1240</v>
      </c>
      <c r="I89" s="456" t="s">
        <v>878</v>
      </c>
      <c r="J89" s="458" t="b">
        <f t="shared" si="11"/>
        <v>0</v>
      </c>
      <c r="K89" s="458" t="b">
        <f t="shared" si="10"/>
        <v>1</v>
      </c>
      <c r="L89" s="458" t="b">
        <f>IF(D89="n/a","n/a",ISNUMBER(MATCH(D89,'Measure-Level Adjustments Tab'!D:D,0)))</f>
        <v>0</v>
      </c>
      <c r="M89" s="458" t="b">
        <f t="shared" si="12"/>
        <v>0</v>
      </c>
      <c r="N89" s="458" t="b">
        <f t="shared" si="13"/>
        <v>0</v>
      </c>
      <c r="O89" s="458" t="s">
        <v>763</v>
      </c>
      <c r="P89" s="458"/>
      <c r="Q89" s="458"/>
      <c r="R89" s="458" t="str">
        <f t="shared" si="14"/>
        <v/>
      </c>
    </row>
    <row r="90" spans="2:18" hidden="1">
      <c r="B90" s="456" t="s">
        <v>881</v>
      </c>
      <c r="C90" s="456" t="s">
        <v>941</v>
      </c>
      <c r="D90" s="457" t="s">
        <v>947</v>
      </c>
      <c r="E90" s="459" t="s">
        <v>946</v>
      </c>
      <c r="F90" s="456" t="s">
        <v>1239</v>
      </c>
      <c r="G90" s="456" t="s">
        <v>1241</v>
      </c>
      <c r="H90" s="456" t="s">
        <v>1422</v>
      </c>
      <c r="I90" s="456" t="s">
        <v>1242</v>
      </c>
      <c r="J90" s="458" t="b">
        <f t="shared" si="11"/>
        <v>1</v>
      </c>
      <c r="K90" s="458" t="b">
        <f t="shared" si="10"/>
        <v>1</v>
      </c>
      <c r="L90" s="458" t="b">
        <f>IF(D90="n/a","n/a",ISNUMBER(MATCH(D90,'Measure-Level Adjustments Tab'!D:D,0)))</f>
        <v>0</v>
      </c>
      <c r="M90" s="458" t="b">
        <f t="shared" si="12"/>
        <v>0</v>
      </c>
      <c r="N90" s="458" t="b">
        <f t="shared" si="13"/>
        <v>0</v>
      </c>
      <c r="O90" s="458" t="s">
        <v>763</v>
      </c>
      <c r="P90" s="458"/>
      <c r="Q90" s="458"/>
      <c r="R90" s="458" t="str">
        <f t="shared" si="14"/>
        <v/>
      </c>
    </row>
    <row r="91" spans="2:18" hidden="1">
      <c r="B91" s="456" t="s">
        <v>881</v>
      </c>
      <c r="C91" s="456" t="s">
        <v>941</v>
      </c>
      <c r="D91" s="457" t="s">
        <v>1243</v>
      </c>
      <c r="E91" s="456" t="s">
        <v>1244</v>
      </c>
      <c r="F91" s="456" t="s">
        <v>1245</v>
      </c>
      <c r="G91" s="456" t="s">
        <v>879</v>
      </c>
      <c r="H91" s="456" t="s">
        <v>1246</v>
      </c>
      <c r="I91" s="456" t="s">
        <v>878</v>
      </c>
      <c r="J91" s="458" t="b">
        <f t="shared" si="11"/>
        <v>0</v>
      </c>
      <c r="K91" s="458" t="b">
        <f t="shared" si="10"/>
        <v>0</v>
      </c>
      <c r="L91" s="458" t="b">
        <f>IF(D91="n/a","n/a",ISNUMBER(MATCH(D91,'Measure-Level Adjustments Tab'!D:D,0)))</f>
        <v>0</v>
      </c>
      <c r="M91" s="458" t="b">
        <f t="shared" si="12"/>
        <v>0</v>
      </c>
      <c r="N91" s="458" t="b">
        <f t="shared" si="13"/>
        <v>0</v>
      </c>
      <c r="O91" s="458" t="s">
        <v>763</v>
      </c>
      <c r="P91" s="458"/>
      <c r="Q91" s="458"/>
      <c r="R91" s="458" t="str">
        <f t="shared" si="14"/>
        <v/>
      </c>
    </row>
    <row r="92" spans="2:18" hidden="1">
      <c r="B92" s="456" t="s">
        <v>881</v>
      </c>
      <c r="C92" s="456" t="s">
        <v>941</v>
      </c>
      <c r="D92" s="457" t="s">
        <v>950</v>
      </c>
      <c r="E92" s="459" t="s">
        <v>949</v>
      </c>
      <c r="F92" s="456" t="s">
        <v>1247</v>
      </c>
      <c r="G92" s="456" t="s">
        <v>906</v>
      </c>
      <c r="H92" s="459" t="s">
        <v>1248</v>
      </c>
      <c r="I92" s="456" t="s">
        <v>878</v>
      </c>
      <c r="J92" s="458" t="b">
        <f t="shared" si="11"/>
        <v>0</v>
      </c>
      <c r="K92" s="458" t="b">
        <f t="shared" si="10"/>
        <v>0</v>
      </c>
      <c r="L92" s="458" t="b">
        <f>IF(D92="n/a","n/a",ISNUMBER(MATCH(D92,'Measure-Level Adjustments Tab'!D:D,0)))</f>
        <v>0</v>
      </c>
      <c r="M92" s="458" t="b">
        <f t="shared" si="12"/>
        <v>0</v>
      </c>
      <c r="N92" s="458" t="b">
        <f t="shared" si="13"/>
        <v>0</v>
      </c>
      <c r="O92" s="458" t="s">
        <v>763</v>
      </c>
      <c r="P92" s="458"/>
      <c r="Q92" s="458"/>
      <c r="R92" s="458" t="str">
        <f t="shared" si="14"/>
        <v/>
      </c>
    </row>
    <row r="93" spans="2:18" hidden="1">
      <c r="B93" s="456" t="s">
        <v>881</v>
      </c>
      <c r="C93" s="456" t="s">
        <v>941</v>
      </c>
      <c r="D93" s="457" t="s">
        <v>1249</v>
      </c>
      <c r="E93" s="456" t="s">
        <v>1250</v>
      </c>
      <c r="F93" s="456" t="s">
        <v>1251</v>
      </c>
      <c r="G93" s="456" t="s">
        <v>879</v>
      </c>
      <c r="H93" s="456" t="s">
        <v>951</v>
      </c>
      <c r="I93" s="456" t="s">
        <v>878</v>
      </c>
      <c r="J93" s="458" t="b">
        <f t="shared" si="11"/>
        <v>0</v>
      </c>
      <c r="K93" s="458" t="b">
        <f t="shared" si="10"/>
        <v>0</v>
      </c>
      <c r="L93" s="458" t="b">
        <f>IF(D93="n/a","n/a",ISNUMBER(MATCH(D93,'Measure-Level Adjustments Tab'!D:D,0)))</f>
        <v>0</v>
      </c>
      <c r="M93" s="458" t="b">
        <f t="shared" si="12"/>
        <v>0</v>
      </c>
      <c r="N93" s="458" t="b">
        <f t="shared" si="13"/>
        <v>0</v>
      </c>
      <c r="O93" s="458" t="s">
        <v>763</v>
      </c>
      <c r="P93" s="458"/>
      <c r="Q93" s="458"/>
      <c r="R93" s="458" t="str">
        <f t="shared" si="14"/>
        <v/>
      </c>
    </row>
    <row r="94" spans="2:18" hidden="1">
      <c r="B94" s="456" t="s">
        <v>881</v>
      </c>
      <c r="C94" s="456" t="s">
        <v>941</v>
      </c>
      <c r="D94" s="457" t="s">
        <v>953</v>
      </c>
      <c r="E94" s="456" t="s">
        <v>952</v>
      </c>
      <c r="F94" s="456" t="s">
        <v>1252</v>
      </c>
      <c r="G94" s="456" t="s">
        <v>906</v>
      </c>
      <c r="H94" s="456" t="s">
        <v>1253</v>
      </c>
      <c r="I94" s="456" t="s">
        <v>910</v>
      </c>
      <c r="J94" s="458" t="b">
        <f t="shared" si="11"/>
        <v>1</v>
      </c>
      <c r="K94" s="458" t="b">
        <f t="shared" si="10"/>
        <v>1</v>
      </c>
      <c r="L94" s="458" t="b">
        <f>IF(D94="n/a","n/a",ISNUMBER(MATCH(D94,'Measure-Level Adjustments Tab'!D:D,0)))</f>
        <v>0</v>
      </c>
      <c r="M94" s="458" t="b">
        <f t="shared" si="12"/>
        <v>0</v>
      </c>
      <c r="N94" s="458" t="b">
        <f t="shared" si="13"/>
        <v>0</v>
      </c>
      <c r="O94" s="458" t="s">
        <v>763</v>
      </c>
      <c r="P94" s="458"/>
      <c r="Q94" s="458"/>
      <c r="R94" s="458" t="str">
        <f t="shared" si="14"/>
        <v/>
      </c>
    </row>
    <row r="95" spans="2:18" hidden="1">
      <c r="B95" s="456" t="s">
        <v>881</v>
      </c>
      <c r="C95" s="456" t="s">
        <v>941</v>
      </c>
      <c r="D95" s="457" t="s">
        <v>953</v>
      </c>
      <c r="E95" s="456" t="s">
        <v>952</v>
      </c>
      <c r="F95" s="456" t="s">
        <v>1252</v>
      </c>
      <c r="G95" s="456" t="s">
        <v>1241</v>
      </c>
      <c r="H95" s="456" t="s">
        <v>1254</v>
      </c>
      <c r="I95" s="456" t="s">
        <v>878</v>
      </c>
      <c r="J95" s="458" t="b">
        <f>I95&lt;&gt;"N/A"</f>
        <v>0</v>
      </c>
      <c r="K95" s="458" t="b">
        <f t="shared" si="10"/>
        <v>1</v>
      </c>
      <c r="L95" s="458" t="b">
        <f>IF(D95="n/a","n/a",ISNUMBER(MATCH(D95,'Measure-Level Adjustments Tab'!D:D,0)))</f>
        <v>0</v>
      </c>
      <c r="M95" s="458" t="b">
        <f t="shared" si="12"/>
        <v>0</v>
      </c>
      <c r="N95" s="458" t="b">
        <f t="shared" si="13"/>
        <v>0</v>
      </c>
      <c r="O95" s="458" t="s">
        <v>763</v>
      </c>
      <c r="P95" s="458"/>
      <c r="Q95" s="458"/>
      <c r="R95" s="458" t="str">
        <f t="shared" si="14"/>
        <v/>
      </c>
    </row>
    <row r="96" spans="2:18" hidden="1">
      <c r="B96" s="456" t="s">
        <v>881</v>
      </c>
      <c r="C96" s="456" t="s">
        <v>941</v>
      </c>
      <c r="D96" s="457" t="s">
        <v>955</v>
      </c>
      <c r="E96" s="459" t="s">
        <v>954</v>
      </c>
      <c r="F96" s="456" t="s">
        <v>878</v>
      </c>
      <c r="G96" s="456" t="s">
        <v>1233</v>
      </c>
      <c r="H96" s="456" t="s">
        <v>1234</v>
      </c>
      <c r="I96" s="456" t="s">
        <v>878</v>
      </c>
      <c r="J96" s="458" t="b">
        <f t="shared" si="11"/>
        <v>0</v>
      </c>
      <c r="K96" s="458" t="b">
        <f t="shared" si="10"/>
        <v>0</v>
      </c>
      <c r="L96" s="458" t="b">
        <f>IF(D96="n/a","n/a",ISNUMBER(MATCH(D96,'Measure-Level Adjustments Tab'!D:D,0)))</f>
        <v>0</v>
      </c>
      <c r="M96" s="458" t="b">
        <f t="shared" si="12"/>
        <v>0</v>
      </c>
      <c r="N96" s="458" t="b">
        <f t="shared" si="13"/>
        <v>0</v>
      </c>
      <c r="O96" s="458" t="s">
        <v>763</v>
      </c>
      <c r="P96" s="458"/>
      <c r="Q96" s="458"/>
      <c r="R96" s="458" t="str">
        <f t="shared" si="14"/>
        <v/>
      </c>
    </row>
    <row r="97" spans="2:18" hidden="1">
      <c r="B97" s="456" t="s">
        <v>881</v>
      </c>
      <c r="C97" s="456" t="s">
        <v>956</v>
      </c>
      <c r="D97" s="457" t="s">
        <v>958</v>
      </c>
      <c r="E97" s="456" t="s">
        <v>957</v>
      </c>
      <c r="F97" s="456" t="s">
        <v>1255</v>
      </c>
      <c r="G97" s="456" t="s">
        <v>879</v>
      </c>
      <c r="H97" s="456" t="s">
        <v>1256</v>
      </c>
      <c r="I97" s="456" t="s">
        <v>878</v>
      </c>
      <c r="J97" s="458" t="b">
        <f t="shared" si="11"/>
        <v>0</v>
      </c>
      <c r="K97" s="458" t="b">
        <f t="shared" si="10"/>
        <v>0</v>
      </c>
      <c r="L97" s="458" t="b">
        <f>IF(D97="n/a","n/a",ISNUMBER(MATCH(D97,'Measure-Level Adjustments Tab'!D:D,0)))</f>
        <v>0</v>
      </c>
      <c r="M97" s="458" t="b">
        <f t="shared" si="12"/>
        <v>0</v>
      </c>
      <c r="N97" s="458" t="b">
        <f t="shared" si="13"/>
        <v>0</v>
      </c>
      <c r="O97" s="458" t="s">
        <v>763</v>
      </c>
      <c r="P97" s="458"/>
      <c r="Q97" s="458"/>
      <c r="R97" s="458" t="str">
        <f t="shared" si="14"/>
        <v/>
      </c>
    </row>
    <row r="98" spans="2:18" hidden="1">
      <c r="B98" s="456" t="s">
        <v>881</v>
      </c>
      <c r="C98" s="456" t="s">
        <v>956</v>
      </c>
      <c r="D98" s="457" t="s">
        <v>1257</v>
      </c>
      <c r="E98" s="456" t="s">
        <v>1258</v>
      </c>
      <c r="F98" s="456" t="s">
        <v>1259</v>
      </c>
      <c r="G98" s="456" t="s">
        <v>879</v>
      </c>
      <c r="H98" s="456" t="s">
        <v>1260</v>
      </c>
      <c r="I98" s="456" t="s">
        <v>878</v>
      </c>
      <c r="J98" s="458" t="b">
        <f t="shared" si="11"/>
        <v>0</v>
      </c>
      <c r="K98" s="458" t="b">
        <f t="shared" si="10"/>
        <v>0</v>
      </c>
      <c r="L98" s="458" t="b">
        <f>IF(D98="n/a","n/a",ISNUMBER(MATCH(D98,'Measure-Level Adjustments Tab'!D:D,0)))</f>
        <v>0</v>
      </c>
      <c r="M98" s="458" t="b">
        <f t="shared" si="12"/>
        <v>0</v>
      </c>
      <c r="N98" s="458" t="b">
        <f t="shared" si="13"/>
        <v>0</v>
      </c>
      <c r="O98" s="458" t="s">
        <v>763</v>
      </c>
      <c r="P98" s="458"/>
      <c r="Q98" s="458"/>
      <c r="R98" s="458" t="str">
        <f t="shared" si="14"/>
        <v/>
      </c>
    </row>
    <row r="99" spans="2:18" hidden="1">
      <c r="B99" s="456" t="s">
        <v>881</v>
      </c>
      <c r="C99" s="456" t="s">
        <v>956</v>
      </c>
      <c r="D99" s="457" t="s">
        <v>1257</v>
      </c>
      <c r="E99" s="456" t="s">
        <v>1258</v>
      </c>
      <c r="F99" s="456" t="s">
        <v>1259</v>
      </c>
      <c r="G99" s="456" t="s">
        <v>879</v>
      </c>
      <c r="H99" s="456" t="s">
        <v>1015</v>
      </c>
      <c r="I99" s="456" t="s">
        <v>878</v>
      </c>
      <c r="J99" s="458" t="b">
        <f t="shared" si="11"/>
        <v>0</v>
      </c>
      <c r="K99" s="458" t="b">
        <f t="shared" si="10"/>
        <v>0</v>
      </c>
      <c r="L99" s="458" t="b">
        <f>IF(D99="n/a","n/a",ISNUMBER(MATCH(D99,'Measure-Level Adjustments Tab'!D:D,0)))</f>
        <v>0</v>
      </c>
      <c r="M99" s="458" t="b">
        <f t="shared" si="12"/>
        <v>0</v>
      </c>
      <c r="N99" s="458" t="b">
        <f t="shared" si="13"/>
        <v>0</v>
      </c>
      <c r="O99" s="458" t="s">
        <v>763</v>
      </c>
      <c r="P99" s="458"/>
      <c r="Q99" s="458"/>
      <c r="R99" s="458" t="str">
        <f t="shared" si="14"/>
        <v/>
      </c>
    </row>
    <row r="100" spans="2:18" hidden="1">
      <c r="B100" s="456" t="s">
        <v>881</v>
      </c>
      <c r="C100" s="456" t="s">
        <v>956</v>
      </c>
      <c r="D100" s="457" t="s">
        <v>960</v>
      </c>
      <c r="E100" s="456" t="s">
        <v>959</v>
      </c>
      <c r="F100" s="456" t="s">
        <v>1261</v>
      </c>
      <c r="G100" s="456" t="s">
        <v>879</v>
      </c>
      <c r="H100" s="456" t="s">
        <v>1262</v>
      </c>
      <c r="I100" s="456" t="s">
        <v>878</v>
      </c>
      <c r="J100" s="458" t="b">
        <f t="shared" si="11"/>
        <v>0</v>
      </c>
      <c r="K100" s="458" t="b">
        <f t="shared" si="10"/>
        <v>0</v>
      </c>
      <c r="L100" s="458" t="b">
        <f>IF(D100="n/a","n/a",ISNUMBER(MATCH(D100,'Measure-Level Adjustments Tab'!D:D,0)))</f>
        <v>0</v>
      </c>
      <c r="M100" s="458" t="b">
        <f t="shared" si="12"/>
        <v>0</v>
      </c>
      <c r="N100" s="458" t="b">
        <f t="shared" si="13"/>
        <v>0</v>
      </c>
      <c r="O100" s="458" t="s">
        <v>763</v>
      </c>
      <c r="P100" s="458"/>
      <c r="Q100" s="458"/>
      <c r="R100" s="458" t="str">
        <f t="shared" si="14"/>
        <v/>
      </c>
    </row>
    <row r="101" spans="2:18" hidden="1">
      <c r="B101" s="456" t="s">
        <v>881</v>
      </c>
      <c r="C101" s="456" t="s">
        <v>956</v>
      </c>
      <c r="D101" s="457" t="s">
        <v>962</v>
      </c>
      <c r="E101" s="456" t="s">
        <v>1263</v>
      </c>
      <c r="F101" s="456" t="s">
        <v>1264</v>
      </c>
      <c r="G101" s="456" t="s">
        <v>879</v>
      </c>
      <c r="H101" s="456" t="s">
        <v>1265</v>
      </c>
      <c r="I101" s="456" t="s">
        <v>1136</v>
      </c>
      <c r="J101" s="458" t="b">
        <f t="shared" si="11"/>
        <v>1</v>
      </c>
      <c r="K101" s="458" t="b">
        <f t="shared" si="10"/>
        <v>1</v>
      </c>
      <c r="L101" s="458" t="b">
        <f>IF(D101="n/a","n/a",ISNUMBER(MATCH(D101,'Measure-Level Adjustments Tab'!D:D,0)))</f>
        <v>0</v>
      </c>
      <c r="M101" s="458" t="b">
        <f t="shared" si="12"/>
        <v>0</v>
      </c>
      <c r="N101" s="458" t="b">
        <f t="shared" si="13"/>
        <v>0</v>
      </c>
      <c r="O101" s="458" t="s">
        <v>763</v>
      </c>
      <c r="P101" s="458"/>
      <c r="Q101" s="458"/>
      <c r="R101" s="458" t="str">
        <f t="shared" si="14"/>
        <v/>
      </c>
    </row>
    <row r="102" spans="2:18" hidden="1">
      <c r="B102" s="456" t="s">
        <v>881</v>
      </c>
      <c r="C102" s="456" t="s">
        <v>956</v>
      </c>
      <c r="D102" s="457" t="s">
        <v>962</v>
      </c>
      <c r="E102" s="456" t="s">
        <v>1263</v>
      </c>
      <c r="F102" s="456" t="s">
        <v>1264</v>
      </c>
      <c r="G102" s="456" t="s">
        <v>879</v>
      </c>
      <c r="H102" s="456" t="s">
        <v>1266</v>
      </c>
      <c r="I102" s="456" t="s">
        <v>1136</v>
      </c>
      <c r="J102" s="458" t="b">
        <f t="shared" si="11"/>
        <v>1</v>
      </c>
      <c r="K102" s="458" t="b">
        <f t="shared" si="10"/>
        <v>1</v>
      </c>
      <c r="L102" s="458" t="b">
        <f>IF(D102="n/a","n/a",ISNUMBER(MATCH(D102,'Measure-Level Adjustments Tab'!D:D,0)))</f>
        <v>0</v>
      </c>
      <c r="M102" s="458" t="b">
        <f t="shared" si="12"/>
        <v>0</v>
      </c>
      <c r="N102" s="458" t="b">
        <f t="shared" si="13"/>
        <v>0</v>
      </c>
      <c r="O102" s="458" t="s">
        <v>763</v>
      </c>
      <c r="P102" s="458"/>
      <c r="Q102" s="458"/>
      <c r="R102" s="458" t="str">
        <f t="shared" si="14"/>
        <v/>
      </c>
    </row>
    <row r="103" spans="2:18" hidden="1">
      <c r="B103" s="456" t="s">
        <v>881</v>
      </c>
      <c r="C103" s="456" t="s">
        <v>963</v>
      </c>
      <c r="D103" s="457" t="s">
        <v>965</v>
      </c>
      <c r="E103" s="456" t="s">
        <v>964</v>
      </c>
      <c r="F103" s="456" t="s">
        <v>1267</v>
      </c>
      <c r="G103" s="456" t="s">
        <v>879</v>
      </c>
      <c r="H103" s="456" t="s">
        <v>1268</v>
      </c>
      <c r="I103" s="456" t="s">
        <v>878</v>
      </c>
      <c r="J103" s="458" t="b">
        <f t="shared" si="11"/>
        <v>0</v>
      </c>
      <c r="K103" s="458" t="b">
        <f t="shared" ref="K103:K134" si="15">COUNTIFS(D:D,D103,J:J,TRUE)&gt;0</f>
        <v>0</v>
      </c>
      <c r="L103" s="458" t="b">
        <f>IF(D103="n/a","n/a",ISNUMBER(MATCH(D103,'Measure-Level Adjustments Tab'!D:D,0)))</f>
        <v>0</v>
      </c>
      <c r="M103" s="458" t="b">
        <f t="shared" si="12"/>
        <v>0</v>
      </c>
      <c r="N103" s="458" t="b">
        <f t="shared" si="13"/>
        <v>0</v>
      </c>
      <c r="O103" s="458" t="s">
        <v>763</v>
      </c>
      <c r="P103" s="458"/>
      <c r="Q103" s="458"/>
      <c r="R103" s="458" t="str">
        <f t="shared" si="14"/>
        <v/>
      </c>
    </row>
    <row r="104" spans="2:18" hidden="1">
      <c r="B104" s="456" t="s">
        <v>881</v>
      </c>
      <c r="C104" s="456" t="s">
        <v>963</v>
      </c>
      <c r="D104" s="457" t="s">
        <v>965</v>
      </c>
      <c r="E104" s="456" t="s">
        <v>964</v>
      </c>
      <c r="F104" s="456" t="s">
        <v>1267</v>
      </c>
      <c r="G104" s="456" t="s">
        <v>879</v>
      </c>
      <c r="H104" s="456" t="s">
        <v>1269</v>
      </c>
      <c r="I104" s="456" t="s">
        <v>878</v>
      </c>
      <c r="J104" s="458" t="b">
        <f t="shared" si="11"/>
        <v>0</v>
      </c>
      <c r="K104" s="458" t="b">
        <f t="shared" si="15"/>
        <v>0</v>
      </c>
      <c r="L104" s="458" t="b">
        <f>IF(D104="n/a","n/a",ISNUMBER(MATCH(D104,'Measure-Level Adjustments Tab'!D:D,0)))</f>
        <v>0</v>
      </c>
      <c r="M104" s="458" t="b">
        <f t="shared" si="12"/>
        <v>0</v>
      </c>
      <c r="N104" s="458" t="b">
        <f t="shared" si="13"/>
        <v>0</v>
      </c>
      <c r="O104" s="458" t="s">
        <v>763</v>
      </c>
      <c r="P104" s="458"/>
      <c r="Q104" s="458"/>
      <c r="R104" s="458" t="str">
        <f t="shared" si="14"/>
        <v/>
      </c>
    </row>
    <row r="105" spans="2:18" hidden="1">
      <c r="B105" s="456" t="s">
        <v>881</v>
      </c>
      <c r="C105" s="456" t="s">
        <v>963</v>
      </c>
      <c r="D105" s="457" t="s">
        <v>965</v>
      </c>
      <c r="E105" s="456" t="s">
        <v>964</v>
      </c>
      <c r="F105" s="456" t="s">
        <v>1267</v>
      </c>
      <c r="G105" s="456" t="s">
        <v>879</v>
      </c>
      <c r="H105" s="456" t="s">
        <v>1270</v>
      </c>
      <c r="I105" s="456" t="s">
        <v>878</v>
      </c>
      <c r="J105" s="458" t="b">
        <f t="shared" si="11"/>
        <v>0</v>
      </c>
      <c r="K105" s="458" t="b">
        <f t="shared" si="15"/>
        <v>0</v>
      </c>
      <c r="L105" s="458" t="b">
        <f>IF(D105="n/a","n/a",ISNUMBER(MATCH(D105,'Measure-Level Adjustments Tab'!D:D,0)))</f>
        <v>0</v>
      </c>
      <c r="M105" s="458" t="b">
        <f t="shared" si="12"/>
        <v>0</v>
      </c>
      <c r="N105" s="458" t="b">
        <f t="shared" si="13"/>
        <v>0</v>
      </c>
      <c r="O105" s="458" t="s">
        <v>763</v>
      </c>
      <c r="P105" s="458"/>
      <c r="Q105" s="458"/>
      <c r="R105" s="458" t="str">
        <f t="shared" si="14"/>
        <v/>
      </c>
    </row>
    <row r="106" spans="2:18" hidden="1">
      <c r="B106" s="456" t="s">
        <v>881</v>
      </c>
      <c r="C106" s="456" t="s">
        <v>963</v>
      </c>
      <c r="D106" s="457" t="s">
        <v>967</v>
      </c>
      <c r="E106" s="459" t="s">
        <v>966</v>
      </c>
      <c r="F106" s="456" t="s">
        <v>1271</v>
      </c>
      <c r="G106" s="456" t="s">
        <v>879</v>
      </c>
      <c r="H106" s="459" t="s">
        <v>1272</v>
      </c>
      <c r="I106" s="456" t="s">
        <v>878</v>
      </c>
      <c r="J106" s="458" t="b">
        <f t="shared" si="11"/>
        <v>0</v>
      </c>
      <c r="K106" s="458" t="b">
        <f t="shared" si="15"/>
        <v>0</v>
      </c>
      <c r="L106" s="458" t="b">
        <f>IF(D106="n/a","n/a",ISNUMBER(MATCH(D106,'Measure-Level Adjustments Tab'!D:D,0)))</f>
        <v>0</v>
      </c>
      <c r="M106" s="458" t="b">
        <f t="shared" si="12"/>
        <v>0</v>
      </c>
      <c r="N106" s="458" t="b">
        <f t="shared" si="13"/>
        <v>0</v>
      </c>
      <c r="O106" s="458" t="s">
        <v>763</v>
      </c>
      <c r="P106" s="458"/>
      <c r="Q106" s="458"/>
      <c r="R106" s="458" t="str">
        <f t="shared" si="14"/>
        <v/>
      </c>
    </row>
    <row r="107" spans="2:18" hidden="1">
      <c r="B107" s="456" t="s">
        <v>881</v>
      </c>
      <c r="C107" s="456" t="s">
        <v>963</v>
      </c>
      <c r="D107" s="457" t="s">
        <v>969</v>
      </c>
      <c r="E107" s="459" t="s">
        <v>968</v>
      </c>
      <c r="F107" s="456" t="s">
        <v>1273</v>
      </c>
      <c r="G107" s="456" t="s">
        <v>879</v>
      </c>
      <c r="H107" s="459" t="s">
        <v>1274</v>
      </c>
      <c r="I107" s="456" t="s">
        <v>878</v>
      </c>
      <c r="J107" s="458" t="b">
        <f t="shared" si="11"/>
        <v>0</v>
      </c>
      <c r="K107" s="458" t="b">
        <f t="shared" si="15"/>
        <v>0</v>
      </c>
      <c r="L107" s="458" t="b">
        <f>IF(D107="n/a","n/a",ISNUMBER(MATCH(D107,'Measure-Level Adjustments Tab'!D:D,0)))</f>
        <v>0</v>
      </c>
      <c r="M107" s="458" t="b">
        <f t="shared" si="12"/>
        <v>0</v>
      </c>
      <c r="N107" s="458" t="b">
        <f t="shared" si="13"/>
        <v>0</v>
      </c>
      <c r="O107" s="458" t="s">
        <v>763</v>
      </c>
      <c r="P107" s="458"/>
      <c r="Q107" s="458"/>
      <c r="R107" s="458" t="str">
        <f t="shared" si="14"/>
        <v/>
      </c>
    </row>
    <row r="108" spans="2:18" hidden="1">
      <c r="B108" s="456" t="s">
        <v>881</v>
      </c>
      <c r="C108" s="456" t="s">
        <v>963</v>
      </c>
      <c r="D108" s="457" t="s">
        <v>1275</v>
      </c>
      <c r="E108" s="459" t="s">
        <v>1276</v>
      </c>
      <c r="F108" s="456" t="s">
        <v>1277</v>
      </c>
      <c r="G108" s="456" t="s">
        <v>880</v>
      </c>
      <c r="H108" s="456" t="s">
        <v>961</v>
      </c>
      <c r="I108" s="456" t="s">
        <v>878</v>
      </c>
      <c r="J108" s="458" t="b">
        <f t="shared" si="11"/>
        <v>0</v>
      </c>
      <c r="K108" s="458" t="b">
        <f t="shared" si="15"/>
        <v>0</v>
      </c>
      <c r="L108" s="458" t="b">
        <f>IF(D108="n/a","n/a",ISNUMBER(MATCH(D108,'Measure-Level Adjustments Tab'!D:D,0)))</f>
        <v>0</v>
      </c>
      <c r="M108" s="458" t="b">
        <f t="shared" si="12"/>
        <v>0</v>
      </c>
      <c r="N108" s="458" t="b">
        <f t="shared" si="13"/>
        <v>0</v>
      </c>
      <c r="O108" s="458" t="s">
        <v>763</v>
      </c>
      <c r="P108" s="458"/>
      <c r="Q108" s="458"/>
      <c r="R108" s="458" t="str">
        <f t="shared" si="14"/>
        <v/>
      </c>
    </row>
    <row r="109" spans="2:18" hidden="1">
      <c r="B109" s="456" t="s">
        <v>881</v>
      </c>
      <c r="C109" s="456" t="s">
        <v>963</v>
      </c>
      <c r="D109" s="457" t="s">
        <v>1278</v>
      </c>
      <c r="E109" s="456" t="s">
        <v>1279</v>
      </c>
      <c r="F109" s="456" t="s">
        <v>1280</v>
      </c>
      <c r="G109" s="456" t="s">
        <v>880</v>
      </c>
      <c r="H109" s="456" t="s">
        <v>961</v>
      </c>
      <c r="I109" s="456" t="s">
        <v>878</v>
      </c>
      <c r="J109" s="458" t="b">
        <f t="shared" si="11"/>
        <v>0</v>
      </c>
      <c r="K109" s="458" t="b">
        <f t="shared" si="15"/>
        <v>0</v>
      </c>
      <c r="L109" s="458" t="b">
        <f>IF(D109="n/a","n/a",ISNUMBER(MATCH(D109,'Measure-Level Adjustments Tab'!D:D,0)))</f>
        <v>0</v>
      </c>
      <c r="M109" s="458" t="b">
        <f t="shared" si="12"/>
        <v>0</v>
      </c>
      <c r="N109" s="458" t="b">
        <f t="shared" si="13"/>
        <v>0</v>
      </c>
      <c r="O109" s="458" t="s">
        <v>763</v>
      </c>
      <c r="P109" s="458"/>
      <c r="Q109" s="458"/>
      <c r="R109" s="458" t="str">
        <f t="shared" si="14"/>
        <v/>
      </c>
    </row>
    <row r="110" spans="2:18" hidden="1">
      <c r="B110" s="456" t="s">
        <v>881</v>
      </c>
      <c r="C110" s="456" t="s">
        <v>970</v>
      </c>
      <c r="D110" s="457" t="s">
        <v>972</v>
      </c>
      <c r="E110" s="456" t="s">
        <v>971</v>
      </c>
      <c r="F110" s="456" t="s">
        <v>1281</v>
      </c>
      <c r="G110" s="456" t="s">
        <v>879</v>
      </c>
      <c r="H110" s="459" t="s">
        <v>1146</v>
      </c>
      <c r="I110" s="456" t="s">
        <v>878</v>
      </c>
      <c r="J110" s="458" t="b">
        <f t="shared" si="11"/>
        <v>0</v>
      </c>
      <c r="K110" s="458" t="b">
        <f t="shared" si="15"/>
        <v>0</v>
      </c>
      <c r="L110" s="458" t="b">
        <f>IF(D110="n/a","n/a",ISNUMBER(MATCH(D110,'Measure-Level Adjustments Tab'!D:D,0)))</f>
        <v>0</v>
      </c>
      <c r="M110" s="458" t="b">
        <f t="shared" si="12"/>
        <v>0</v>
      </c>
      <c r="N110" s="458" t="b">
        <f t="shared" si="13"/>
        <v>0</v>
      </c>
      <c r="O110" s="458" t="s">
        <v>763</v>
      </c>
      <c r="P110" s="458"/>
      <c r="Q110" s="458"/>
      <c r="R110" s="458" t="str">
        <f t="shared" si="14"/>
        <v/>
      </c>
    </row>
    <row r="111" spans="2:18" hidden="1">
      <c r="B111" s="456" t="s">
        <v>881</v>
      </c>
      <c r="C111" s="456" t="s">
        <v>970</v>
      </c>
      <c r="D111" s="457" t="s">
        <v>1282</v>
      </c>
      <c r="E111" s="459" t="s">
        <v>1283</v>
      </c>
      <c r="F111" s="456" t="s">
        <v>1284</v>
      </c>
      <c r="G111" s="456" t="s">
        <v>879</v>
      </c>
      <c r="H111" s="459" t="s">
        <v>1285</v>
      </c>
      <c r="I111" s="456" t="s">
        <v>907</v>
      </c>
      <c r="J111" s="458" t="b">
        <f t="shared" si="11"/>
        <v>1</v>
      </c>
      <c r="K111" s="458" t="b">
        <f t="shared" si="15"/>
        <v>1</v>
      </c>
      <c r="L111" s="458" t="b">
        <f>IF(D111="n/a","n/a",ISNUMBER(MATCH(D111,'Measure-Level Adjustments Tab'!D:D,0)))</f>
        <v>0</v>
      </c>
      <c r="M111" s="458" t="b">
        <f t="shared" si="12"/>
        <v>0</v>
      </c>
      <c r="N111" s="458" t="b">
        <f t="shared" si="13"/>
        <v>0</v>
      </c>
      <c r="O111" s="458" t="s">
        <v>763</v>
      </c>
      <c r="P111" s="458"/>
      <c r="Q111" s="458"/>
      <c r="R111" s="458" t="str">
        <f t="shared" si="14"/>
        <v/>
      </c>
    </row>
    <row r="112" spans="2:18" hidden="1">
      <c r="B112" s="456" t="s">
        <v>881</v>
      </c>
      <c r="C112" s="456" t="s">
        <v>970</v>
      </c>
      <c r="D112" s="457" t="s">
        <v>1286</v>
      </c>
      <c r="E112" s="456" t="s">
        <v>1287</v>
      </c>
      <c r="F112" s="456" t="s">
        <v>1288</v>
      </c>
      <c r="G112" s="456" t="s">
        <v>879</v>
      </c>
      <c r="H112" s="456" t="s">
        <v>1289</v>
      </c>
      <c r="I112" s="456" t="s">
        <v>886</v>
      </c>
      <c r="J112" s="458" t="b">
        <f t="shared" si="11"/>
        <v>1</v>
      </c>
      <c r="K112" s="458" t="b">
        <f t="shared" si="15"/>
        <v>1</v>
      </c>
      <c r="L112" s="458" t="b">
        <f>IF(D112="n/a","n/a",ISNUMBER(MATCH(D112,'Measure-Level Adjustments Tab'!D:D,0)))</f>
        <v>0</v>
      </c>
      <c r="M112" s="458" t="b">
        <f t="shared" si="12"/>
        <v>0</v>
      </c>
      <c r="N112" s="458" t="b">
        <f t="shared" si="13"/>
        <v>0</v>
      </c>
      <c r="O112" s="458" t="s">
        <v>763</v>
      </c>
      <c r="P112" s="458"/>
      <c r="Q112" s="458"/>
      <c r="R112" s="458" t="str">
        <f t="shared" si="14"/>
        <v/>
      </c>
    </row>
    <row r="113" spans="2:18" hidden="1">
      <c r="B113" s="456" t="s">
        <v>881</v>
      </c>
      <c r="C113" s="456" t="s">
        <v>970</v>
      </c>
      <c r="D113" s="457" t="s">
        <v>974</v>
      </c>
      <c r="E113" s="456" t="s">
        <v>973</v>
      </c>
      <c r="F113" s="456" t="s">
        <v>1290</v>
      </c>
      <c r="G113" s="456" t="s">
        <v>879</v>
      </c>
      <c r="H113" s="456" t="s">
        <v>1291</v>
      </c>
      <c r="I113" s="456" t="s">
        <v>878</v>
      </c>
      <c r="J113" s="458" t="b">
        <f t="shared" si="11"/>
        <v>0</v>
      </c>
      <c r="K113" s="458" t="b">
        <f t="shared" si="15"/>
        <v>0</v>
      </c>
      <c r="L113" s="458" t="b">
        <f>IF(D113="n/a","n/a",ISNUMBER(MATCH(D113,'Measure-Level Adjustments Tab'!D:D,0)))</f>
        <v>0</v>
      </c>
      <c r="M113" s="458" t="b">
        <f t="shared" si="12"/>
        <v>0</v>
      </c>
      <c r="N113" s="458" t="b">
        <f t="shared" si="13"/>
        <v>0</v>
      </c>
      <c r="O113" s="458" t="s">
        <v>763</v>
      </c>
      <c r="P113" s="458"/>
      <c r="Q113" s="458"/>
      <c r="R113" s="458" t="str">
        <f t="shared" si="14"/>
        <v/>
      </c>
    </row>
    <row r="114" spans="2:18" hidden="1">
      <c r="B114" s="456" t="s">
        <v>881</v>
      </c>
      <c r="C114" s="456" t="s">
        <v>970</v>
      </c>
      <c r="D114" s="457" t="s">
        <v>1292</v>
      </c>
      <c r="E114" s="456" t="s">
        <v>1293</v>
      </c>
      <c r="F114" s="456" t="s">
        <v>1294</v>
      </c>
      <c r="G114" s="456" t="s">
        <v>880</v>
      </c>
      <c r="H114" s="456" t="s">
        <v>961</v>
      </c>
      <c r="I114" s="456" t="s">
        <v>878</v>
      </c>
      <c r="J114" s="458" t="b">
        <f t="shared" si="11"/>
        <v>0</v>
      </c>
      <c r="K114" s="458" t="b">
        <f t="shared" si="15"/>
        <v>0</v>
      </c>
      <c r="L114" s="458" t="b">
        <f>IF(D114="n/a","n/a",ISNUMBER(MATCH(D114,'Measure-Level Adjustments Tab'!D:D,0)))</f>
        <v>0</v>
      </c>
      <c r="M114" s="458" t="b">
        <f t="shared" si="12"/>
        <v>0</v>
      </c>
      <c r="N114" s="458" t="b">
        <f t="shared" si="13"/>
        <v>0</v>
      </c>
      <c r="O114" s="458" t="s">
        <v>763</v>
      </c>
      <c r="P114" s="458"/>
      <c r="Q114" s="458"/>
      <c r="R114" s="458" t="str">
        <f t="shared" si="14"/>
        <v/>
      </c>
    </row>
    <row r="115" spans="2:18" hidden="1">
      <c r="B115" s="456" t="s">
        <v>881</v>
      </c>
      <c r="C115" s="456" t="s">
        <v>970</v>
      </c>
      <c r="D115" s="457" t="s">
        <v>1295</v>
      </c>
      <c r="E115" s="456" t="s">
        <v>1296</v>
      </c>
      <c r="F115" s="456" t="s">
        <v>1297</v>
      </c>
      <c r="G115" s="456" t="s">
        <v>880</v>
      </c>
      <c r="H115" s="456" t="s">
        <v>961</v>
      </c>
      <c r="I115" s="456" t="s">
        <v>878</v>
      </c>
      <c r="J115" s="458" t="b">
        <f t="shared" si="11"/>
        <v>0</v>
      </c>
      <c r="K115" s="458" t="b">
        <f t="shared" si="15"/>
        <v>0</v>
      </c>
      <c r="L115" s="458" t="b">
        <f>IF(D115="n/a","n/a",ISNUMBER(MATCH(D115,'Measure-Level Adjustments Tab'!D:D,0)))</f>
        <v>0</v>
      </c>
      <c r="M115" s="458" t="b">
        <f t="shared" si="12"/>
        <v>0</v>
      </c>
      <c r="N115" s="458" t="b">
        <f t="shared" si="13"/>
        <v>0</v>
      </c>
      <c r="O115" s="458" t="s">
        <v>763</v>
      </c>
      <c r="P115" s="458"/>
      <c r="Q115" s="458"/>
      <c r="R115" s="458" t="str">
        <f t="shared" si="14"/>
        <v/>
      </c>
    </row>
    <row r="116" spans="2:18" hidden="1">
      <c r="B116" s="456" t="s">
        <v>881</v>
      </c>
      <c r="C116" s="456" t="s">
        <v>970</v>
      </c>
      <c r="D116" s="457" t="s">
        <v>1298</v>
      </c>
      <c r="E116" s="456" t="s">
        <v>1299</v>
      </c>
      <c r="F116" s="456" t="s">
        <v>1300</v>
      </c>
      <c r="G116" s="456" t="s">
        <v>880</v>
      </c>
      <c r="H116" s="456" t="s">
        <v>961</v>
      </c>
      <c r="I116" s="456" t="s">
        <v>878</v>
      </c>
      <c r="J116" s="458" t="b">
        <f t="shared" si="11"/>
        <v>0</v>
      </c>
      <c r="K116" s="458" t="b">
        <f t="shared" si="15"/>
        <v>0</v>
      </c>
      <c r="L116" s="458" t="b">
        <f>IF(D116="n/a","n/a",ISNUMBER(MATCH(D116,'Measure-Level Adjustments Tab'!D:D,0)))</f>
        <v>0</v>
      </c>
      <c r="M116" s="458" t="b">
        <f t="shared" si="12"/>
        <v>0</v>
      </c>
      <c r="N116" s="458" t="b">
        <f t="shared" si="13"/>
        <v>0</v>
      </c>
      <c r="O116" s="458" t="s">
        <v>763</v>
      </c>
      <c r="P116" s="458"/>
      <c r="Q116" s="458"/>
      <c r="R116" s="458" t="str">
        <f t="shared" si="14"/>
        <v/>
      </c>
    </row>
    <row r="117" spans="2:18" hidden="1">
      <c r="B117" s="456" t="s">
        <v>881</v>
      </c>
      <c r="C117" s="456" t="s">
        <v>970</v>
      </c>
      <c r="D117" s="457" t="s">
        <v>1301</v>
      </c>
      <c r="E117" s="456" t="s">
        <v>1302</v>
      </c>
      <c r="F117" s="456" t="s">
        <v>1303</v>
      </c>
      <c r="G117" s="456" t="s">
        <v>880</v>
      </c>
      <c r="H117" s="456" t="s">
        <v>961</v>
      </c>
      <c r="I117" s="456" t="s">
        <v>878</v>
      </c>
      <c r="J117" s="458" t="b">
        <f t="shared" si="11"/>
        <v>0</v>
      </c>
      <c r="K117" s="458" t="b">
        <f t="shared" si="15"/>
        <v>0</v>
      </c>
      <c r="L117" s="458" t="b">
        <f>IF(D117="n/a","n/a",ISNUMBER(MATCH(D117,'Measure-Level Adjustments Tab'!D:D,0)))</f>
        <v>0</v>
      </c>
      <c r="M117" s="458" t="b">
        <f t="shared" si="12"/>
        <v>0</v>
      </c>
      <c r="N117" s="458" t="b">
        <f t="shared" si="13"/>
        <v>0</v>
      </c>
      <c r="O117" s="458" t="s">
        <v>763</v>
      </c>
      <c r="P117" s="458"/>
      <c r="Q117" s="458"/>
      <c r="R117" s="458" t="str">
        <f t="shared" si="14"/>
        <v/>
      </c>
    </row>
    <row r="118" spans="2:18" hidden="1">
      <c r="B118" s="456" t="s">
        <v>881</v>
      </c>
      <c r="C118" s="456" t="s">
        <v>970</v>
      </c>
      <c r="D118" s="457" t="s">
        <v>1304</v>
      </c>
      <c r="E118" s="456" t="s">
        <v>1305</v>
      </c>
      <c r="F118" s="456" t="s">
        <v>1306</v>
      </c>
      <c r="G118" s="456" t="s">
        <v>880</v>
      </c>
      <c r="H118" s="456" t="s">
        <v>961</v>
      </c>
      <c r="I118" s="456" t="s">
        <v>878</v>
      </c>
      <c r="J118" s="458" t="b">
        <f t="shared" si="11"/>
        <v>0</v>
      </c>
      <c r="K118" s="458" t="b">
        <f t="shared" si="15"/>
        <v>0</v>
      </c>
      <c r="L118" s="458" t="b">
        <f>IF(D118="n/a","n/a",ISNUMBER(MATCH(D118,'Measure-Level Adjustments Tab'!D:D,0)))</f>
        <v>0</v>
      </c>
      <c r="M118" s="458" t="b">
        <f t="shared" si="12"/>
        <v>0</v>
      </c>
      <c r="N118" s="458" t="b">
        <f t="shared" si="13"/>
        <v>0</v>
      </c>
      <c r="O118" s="458" t="s">
        <v>763</v>
      </c>
      <c r="P118" s="458"/>
      <c r="Q118" s="458"/>
      <c r="R118" s="458" t="str">
        <f t="shared" si="14"/>
        <v/>
      </c>
    </row>
    <row r="119" spans="2:18" hidden="1">
      <c r="B119" s="456" t="s">
        <v>975</v>
      </c>
      <c r="C119" s="456" t="s">
        <v>976</v>
      </c>
      <c r="D119" s="457" t="s">
        <v>1307</v>
      </c>
      <c r="E119" s="456" t="s">
        <v>1308</v>
      </c>
      <c r="F119" s="456" t="s">
        <v>1309</v>
      </c>
      <c r="G119" s="456" t="s">
        <v>879</v>
      </c>
      <c r="H119" s="456" t="s">
        <v>1310</v>
      </c>
      <c r="I119" s="456" t="s">
        <v>878</v>
      </c>
      <c r="J119" s="458" t="b">
        <f t="shared" si="11"/>
        <v>0</v>
      </c>
      <c r="K119" s="458" t="b">
        <f t="shared" si="15"/>
        <v>0</v>
      </c>
      <c r="L119" s="458" t="b">
        <f>IF(D119="n/a","n/a",ISNUMBER(MATCH(D119,'Measure-Level Adjustments Tab'!D:D,0)))</f>
        <v>0</v>
      </c>
      <c r="M119" s="458" t="b">
        <f t="shared" si="12"/>
        <v>0</v>
      </c>
      <c r="N119" s="458" t="b">
        <f t="shared" si="13"/>
        <v>0</v>
      </c>
      <c r="O119" s="458" t="s">
        <v>763</v>
      </c>
      <c r="P119" s="458"/>
      <c r="Q119" s="458"/>
      <c r="R119" s="458" t="str">
        <f t="shared" si="14"/>
        <v/>
      </c>
    </row>
    <row r="120" spans="2:18" hidden="1">
      <c r="B120" s="456" t="s">
        <v>975</v>
      </c>
      <c r="C120" s="456" t="s">
        <v>976</v>
      </c>
      <c r="D120" s="457" t="s">
        <v>978</v>
      </c>
      <c r="E120" s="459" t="s">
        <v>977</v>
      </c>
      <c r="F120" s="456" t="s">
        <v>1311</v>
      </c>
      <c r="G120" s="456" t="s">
        <v>906</v>
      </c>
      <c r="H120" s="456" t="s">
        <v>1114</v>
      </c>
      <c r="I120" s="456" t="s">
        <v>1115</v>
      </c>
      <c r="J120" s="458" t="b">
        <f t="shared" si="11"/>
        <v>1</v>
      </c>
      <c r="K120" s="458" t="b">
        <f t="shared" si="15"/>
        <v>1</v>
      </c>
      <c r="L120" s="458" t="b">
        <f>IF(D120="n/a","n/a",ISNUMBER(MATCH(D120,'Measure-Level Adjustments Tab'!D:D,0)))</f>
        <v>0</v>
      </c>
      <c r="M120" s="458" t="b">
        <f t="shared" si="12"/>
        <v>0</v>
      </c>
      <c r="N120" s="458" t="b">
        <f t="shared" si="13"/>
        <v>0</v>
      </c>
      <c r="O120" s="458" t="s">
        <v>763</v>
      </c>
      <c r="P120" s="458"/>
      <c r="Q120" s="458"/>
      <c r="R120" s="458" t="str">
        <f t="shared" si="14"/>
        <v/>
      </c>
    </row>
    <row r="121" spans="2:18" hidden="1">
      <c r="B121" s="456" t="s">
        <v>975</v>
      </c>
      <c r="C121" s="456" t="s">
        <v>976</v>
      </c>
      <c r="D121" s="457" t="s">
        <v>978</v>
      </c>
      <c r="E121" s="459" t="s">
        <v>977</v>
      </c>
      <c r="F121" s="456" t="s">
        <v>1312</v>
      </c>
      <c r="G121" s="456" t="s">
        <v>879</v>
      </c>
      <c r="H121" s="456" t="s">
        <v>1313</v>
      </c>
      <c r="I121" s="456" t="s">
        <v>886</v>
      </c>
      <c r="J121" s="458" t="b">
        <f t="shared" si="11"/>
        <v>1</v>
      </c>
      <c r="K121" s="458" t="b">
        <f t="shared" si="15"/>
        <v>1</v>
      </c>
      <c r="L121" s="458" t="b">
        <f>IF(D121="n/a","n/a",ISNUMBER(MATCH(D121,'Measure-Level Adjustments Tab'!D:D,0)))</f>
        <v>0</v>
      </c>
      <c r="M121" s="458" t="b">
        <f t="shared" si="12"/>
        <v>0</v>
      </c>
      <c r="N121" s="458" t="b">
        <f t="shared" si="13"/>
        <v>0</v>
      </c>
      <c r="O121" s="458" t="s">
        <v>763</v>
      </c>
      <c r="P121" s="458"/>
      <c r="Q121" s="458"/>
      <c r="R121" s="458" t="str">
        <f t="shared" si="14"/>
        <v/>
      </c>
    </row>
    <row r="122" spans="2:18" hidden="1">
      <c r="B122" s="456" t="s">
        <v>975</v>
      </c>
      <c r="C122" s="456" t="s">
        <v>976</v>
      </c>
      <c r="D122" s="457" t="s">
        <v>980</v>
      </c>
      <c r="E122" s="456" t="s">
        <v>979</v>
      </c>
      <c r="F122" s="456" t="s">
        <v>1314</v>
      </c>
      <c r="G122" s="456" t="s">
        <v>906</v>
      </c>
      <c r="H122" s="456" t="s">
        <v>1315</v>
      </c>
      <c r="I122" s="456" t="s">
        <v>1316</v>
      </c>
      <c r="J122" s="458" t="b">
        <f t="shared" si="11"/>
        <v>1</v>
      </c>
      <c r="K122" s="458" t="b">
        <f t="shared" si="15"/>
        <v>1</v>
      </c>
      <c r="L122" s="458" t="b">
        <f>IF(D122="n/a","n/a",ISNUMBER(MATCH(D122,'Measure-Level Adjustments Tab'!D:D,0)))</f>
        <v>0</v>
      </c>
      <c r="M122" s="458" t="b">
        <f t="shared" si="12"/>
        <v>0</v>
      </c>
      <c r="N122" s="458" t="b">
        <f t="shared" si="13"/>
        <v>0</v>
      </c>
      <c r="O122" s="458" t="s">
        <v>763</v>
      </c>
      <c r="P122" s="458"/>
      <c r="Q122" s="458"/>
      <c r="R122" s="458" t="str">
        <f t="shared" si="14"/>
        <v/>
      </c>
    </row>
    <row r="123" spans="2:18" hidden="1">
      <c r="B123" s="456" t="s">
        <v>975</v>
      </c>
      <c r="C123" s="456" t="s">
        <v>976</v>
      </c>
      <c r="D123" s="457" t="s">
        <v>980</v>
      </c>
      <c r="E123" s="456" t="s">
        <v>979</v>
      </c>
      <c r="F123" s="456" t="s">
        <v>1317</v>
      </c>
      <c r="G123" s="456" t="s">
        <v>879</v>
      </c>
      <c r="H123" s="456" t="s">
        <v>1318</v>
      </c>
      <c r="I123" s="456" t="s">
        <v>1316</v>
      </c>
      <c r="J123" s="458" t="b">
        <f t="shared" si="11"/>
        <v>1</v>
      </c>
      <c r="K123" s="458" t="b">
        <f t="shared" si="15"/>
        <v>1</v>
      </c>
      <c r="L123" s="458" t="b">
        <f>IF(D123="n/a","n/a",ISNUMBER(MATCH(D123,'Measure-Level Adjustments Tab'!D:D,0)))</f>
        <v>0</v>
      </c>
      <c r="M123" s="458" t="b">
        <f t="shared" si="12"/>
        <v>0</v>
      </c>
      <c r="N123" s="458" t="b">
        <f t="shared" si="13"/>
        <v>0</v>
      </c>
      <c r="O123" s="458" t="s">
        <v>763</v>
      </c>
      <c r="P123" s="458"/>
      <c r="Q123" s="458"/>
      <c r="R123" s="458" t="str">
        <f t="shared" si="14"/>
        <v/>
      </c>
    </row>
    <row r="124" spans="2:18" hidden="1">
      <c r="B124" s="456" t="s">
        <v>975</v>
      </c>
      <c r="C124" s="456" t="s">
        <v>976</v>
      </c>
      <c r="D124" s="457" t="s">
        <v>980</v>
      </c>
      <c r="E124" s="456" t="s">
        <v>979</v>
      </c>
      <c r="F124" s="456" t="s">
        <v>1317</v>
      </c>
      <c r="G124" s="456" t="s">
        <v>879</v>
      </c>
      <c r="H124" s="456" t="s">
        <v>924</v>
      </c>
      <c r="I124" s="456" t="s">
        <v>1316</v>
      </c>
      <c r="J124" s="458" t="b">
        <f t="shared" si="11"/>
        <v>1</v>
      </c>
      <c r="K124" s="458" t="b">
        <f t="shared" si="15"/>
        <v>1</v>
      </c>
      <c r="L124" s="458" t="b">
        <f>IF(D124="n/a","n/a",ISNUMBER(MATCH(D124,'Measure-Level Adjustments Tab'!D:D,0)))</f>
        <v>0</v>
      </c>
      <c r="M124" s="458" t="b">
        <f t="shared" si="12"/>
        <v>0</v>
      </c>
      <c r="N124" s="458" t="b">
        <f t="shared" si="13"/>
        <v>0</v>
      </c>
      <c r="O124" s="458" t="s">
        <v>763</v>
      </c>
      <c r="P124" s="458"/>
      <c r="Q124" s="458"/>
      <c r="R124" s="458" t="str">
        <f t="shared" si="14"/>
        <v/>
      </c>
    </row>
    <row r="125" spans="2:18" hidden="1">
      <c r="B125" s="456" t="s">
        <v>975</v>
      </c>
      <c r="C125" s="456" t="s">
        <v>976</v>
      </c>
      <c r="D125" s="457" t="s">
        <v>982</v>
      </c>
      <c r="E125" s="456" t="s">
        <v>981</v>
      </c>
      <c r="F125" s="456" t="s">
        <v>1319</v>
      </c>
      <c r="G125" s="456" t="s">
        <v>906</v>
      </c>
      <c r="H125" s="456" t="s">
        <v>1114</v>
      </c>
      <c r="I125" s="456" t="s">
        <v>1115</v>
      </c>
      <c r="J125" s="458" t="b">
        <f t="shared" si="11"/>
        <v>1</v>
      </c>
      <c r="K125" s="458" t="b">
        <f t="shared" si="15"/>
        <v>1</v>
      </c>
      <c r="L125" s="458" t="b">
        <f>IF(D125="n/a","n/a",ISNUMBER(MATCH(D125,'Measure-Level Adjustments Tab'!D:D,0)))</f>
        <v>0</v>
      </c>
      <c r="M125" s="458" t="b">
        <f t="shared" si="12"/>
        <v>0</v>
      </c>
      <c r="N125" s="458" t="b">
        <f t="shared" si="13"/>
        <v>0</v>
      </c>
      <c r="O125" s="458" t="s">
        <v>763</v>
      </c>
      <c r="P125" s="458"/>
      <c r="Q125" s="458"/>
      <c r="R125" s="458" t="str">
        <f t="shared" si="14"/>
        <v/>
      </c>
    </row>
    <row r="126" spans="2:18" hidden="1">
      <c r="B126" s="456" t="s">
        <v>975</v>
      </c>
      <c r="C126" s="456" t="s">
        <v>976</v>
      </c>
      <c r="D126" s="457" t="s">
        <v>984</v>
      </c>
      <c r="E126" s="456" t="s">
        <v>983</v>
      </c>
      <c r="F126" s="456" t="s">
        <v>1320</v>
      </c>
      <c r="G126" s="456" t="s">
        <v>879</v>
      </c>
      <c r="H126" s="456" t="s">
        <v>1321</v>
      </c>
      <c r="I126" s="456" t="s">
        <v>878</v>
      </c>
      <c r="J126" s="458" t="b">
        <f t="shared" si="11"/>
        <v>0</v>
      </c>
      <c r="K126" s="458" t="b">
        <f t="shared" si="15"/>
        <v>0</v>
      </c>
      <c r="L126" s="458" t="b">
        <f>IF(D126="n/a","n/a",ISNUMBER(MATCH(D126,'Measure-Level Adjustments Tab'!D:D,0)))</f>
        <v>0</v>
      </c>
      <c r="M126" s="458" t="b">
        <f t="shared" si="12"/>
        <v>0</v>
      </c>
      <c r="N126" s="458" t="b">
        <f t="shared" si="13"/>
        <v>0</v>
      </c>
      <c r="O126" s="458" t="s">
        <v>763</v>
      </c>
      <c r="P126" s="458"/>
      <c r="Q126" s="458"/>
      <c r="R126" s="458" t="str">
        <f t="shared" si="14"/>
        <v/>
      </c>
    </row>
    <row r="127" spans="2:18" hidden="1">
      <c r="B127" s="456" t="s">
        <v>975</v>
      </c>
      <c r="C127" s="456" t="s">
        <v>976</v>
      </c>
      <c r="D127" s="457" t="s">
        <v>986</v>
      </c>
      <c r="E127" s="456" t="s">
        <v>985</v>
      </c>
      <c r="F127" s="456" t="s">
        <v>1322</v>
      </c>
      <c r="G127" s="456" t="s">
        <v>879</v>
      </c>
      <c r="H127" s="456" t="s">
        <v>1323</v>
      </c>
      <c r="I127" s="456" t="s">
        <v>878</v>
      </c>
      <c r="J127" s="458" t="b">
        <f t="shared" si="11"/>
        <v>0</v>
      </c>
      <c r="K127" s="458" t="b">
        <f t="shared" si="15"/>
        <v>0</v>
      </c>
      <c r="L127" s="458" t="b">
        <f>IF(D127="n/a","n/a",ISNUMBER(MATCH(D127,'Measure-Level Adjustments Tab'!D:D,0)))</f>
        <v>0</v>
      </c>
      <c r="M127" s="458" t="b">
        <f t="shared" si="12"/>
        <v>0</v>
      </c>
      <c r="N127" s="458" t="b">
        <f t="shared" si="13"/>
        <v>0</v>
      </c>
      <c r="O127" s="458" t="s">
        <v>763</v>
      </c>
      <c r="P127" s="458"/>
      <c r="Q127" s="458"/>
      <c r="R127" s="458" t="str">
        <f t="shared" si="14"/>
        <v/>
      </c>
    </row>
    <row r="128" spans="2:18" hidden="1">
      <c r="B128" s="456" t="s">
        <v>975</v>
      </c>
      <c r="C128" s="456" t="s">
        <v>976</v>
      </c>
      <c r="D128" s="457" t="s">
        <v>988</v>
      </c>
      <c r="E128" s="456" t="s">
        <v>987</v>
      </c>
      <c r="F128" s="456" t="s">
        <v>1324</v>
      </c>
      <c r="G128" s="456" t="s">
        <v>879</v>
      </c>
      <c r="H128" s="456" t="s">
        <v>1325</v>
      </c>
      <c r="I128" s="456" t="s">
        <v>878</v>
      </c>
      <c r="J128" s="458" t="b">
        <f t="shared" si="11"/>
        <v>0</v>
      </c>
      <c r="K128" s="458" t="b">
        <f t="shared" si="15"/>
        <v>0</v>
      </c>
      <c r="L128" s="458" t="b">
        <f>IF(D128="n/a","n/a",ISNUMBER(MATCH(D128,'Measure-Level Adjustments Tab'!D:D,0)))</f>
        <v>0</v>
      </c>
      <c r="M128" s="458" t="b">
        <f t="shared" si="12"/>
        <v>0</v>
      </c>
      <c r="N128" s="458" t="b">
        <f t="shared" si="13"/>
        <v>0</v>
      </c>
      <c r="O128" s="458" t="s">
        <v>763</v>
      </c>
      <c r="P128" s="458"/>
      <c r="Q128" s="458"/>
      <c r="R128" s="458" t="str">
        <f t="shared" si="14"/>
        <v/>
      </c>
    </row>
    <row r="129" spans="2:18" hidden="1">
      <c r="B129" s="456" t="s">
        <v>975</v>
      </c>
      <c r="C129" s="456" t="s">
        <v>989</v>
      </c>
      <c r="D129" s="457" t="s">
        <v>991</v>
      </c>
      <c r="E129" s="459" t="s">
        <v>990</v>
      </c>
      <c r="F129" s="456" t="s">
        <v>1326</v>
      </c>
      <c r="G129" s="456" t="s">
        <v>879</v>
      </c>
      <c r="H129" s="456" t="s">
        <v>1327</v>
      </c>
      <c r="I129" s="456" t="s">
        <v>878</v>
      </c>
      <c r="J129" s="458" t="b">
        <f t="shared" si="11"/>
        <v>0</v>
      </c>
      <c r="K129" s="458" t="b">
        <f t="shared" si="15"/>
        <v>0</v>
      </c>
      <c r="L129" s="458" t="b">
        <f>IF(D129="n/a","n/a",ISNUMBER(MATCH(D129,'Measure-Level Adjustments Tab'!D:D,0)))</f>
        <v>0</v>
      </c>
      <c r="M129" s="458" t="b">
        <f t="shared" si="12"/>
        <v>0</v>
      </c>
      <c r="N129" s="458" t="b">
        <f t="shared" si="13"/>
        <v>0</v>
      </c>
      <c r="O129" s="458" t="s">
        <v>763</v>
      </c>
      <c r="P129" s="458"/>
      <c r="Q129" s="458"/>
      <c r="R129" s="458" t="str">
        <f t="shared" si="14"/>
        <v/>
      </c>
    </row>
    <row r="130" spans="2:18" hidden="1">
      <c r="B130" s="456" t="s">
        <v>975</v>
      </c>
      <c r="C130" s="456" t="s">
        <v>989</v>
      </c>
      <c r="D130" s="457" t="s">
        <v>993</v>
      </c>
      <c r="E130" s="459" t="s">
        <v>992</v>
      </c>
      <c r="F130" s="456" t="s">
        <v>1328</v>
      </c>
      <c r="G130" s="456" t="s">
        <v>879</v>
      </c>
      <c r="H130" s="456" t="s">
        <v>1329</v>
      </c>
      <c r="I130" s="456" t="s">
        <v>1316</v>
      </c>
      <c r="J130" s="458" t="b">
        <f t="shared" si="11"/>
        <v>1</v>
      </c>
      <c r="K130" s="458" t="b">
        <f t="shared" si="15"/>
        <v>1</v>
      </c>
      <c r="L130" s="458" t="b">
        <f>IF(D130="n/a","n/a",ISNUMBER(MATCH(D130,'Measure-Level Adjustments Tab'!D:D,0)))</f>
        <v>0</v>
      </c>
      <c r="M130" s="458" t="b">
        <f t="shared" si="12"/>
        <v>0</v>
      </c>
      <c r="N130" s="458" t="b">
        <f t="shared" si="13"/>
        <v>0</v>
      </c>
      <c r="O130" s="458" t="s">
        <v>763</v>
      </c>
      <c r="P130" s="458"/>
      <c r="Q130" s="458"/>
      <c r="R130" s="458" t="str">
        <f t="shared" si="14"/>
        <v/>
      </c>
    </row>
    <row r="131" spans="2:18" hidden="1">
      <c r="B131" s="456" t="s">
        <v>975</v>
      </c>
      <c r="C131" s="456" t="s">
        <v>989</v>
      </c>
      <c r="D131" s="457" t="s">
        <v>993</v>
      </c>
      <c r="E131" s="459" t="s">
        <v>992</v>
      </c>
      <c r="F131" s="456" t="s">
        <v>1328</v>
      </c>
      <c r="G131" s="456" t="s">
        <v>879</v>
      </c>
      <c r="H131" s="456" t="s">
        <v>1330</v>
      </c>
      <c r="I131" s="456" t="s">
        <v>1316</v>
      </c>
      <c r="J131" s="458" t="b">
        <f t="shared" si="11"/>
        <v>1</v>
      </c>
      <c r="K131" s="458" t="b">
        <f t="shared" si="15"/>
        <v>1</v>
      </c>
      <c r="L131" s="458" t="b">
        <f>IF(D131="n/a","n/a",ISNUMBER(MATCH(D131,'Measure-Level Adjustments Tab'!D:D,0)))</f>
        <v>0</v>
      </c>
      <c r="M131" s="458" t="b">
        <f t="shared" si="12"/>
        <v>0</v>
      </c>
      <c r="N131" s="458" t="b">
        <f t="shared" si="13"/>
        <v>0</v>
      </c>
      <c r="O131" s="458" t="s">
        <v>763</v>
      </c>
      <c r="P131" s="458"/>
      <c r="Q131" s="458"/>
      <c r="R131" s="458" t="str">
        <f t="shared" si="14"/>
        <v/>
      </c>
    </row>
    <row r="132" spans="2:18" hidden="1">
      <c r="B132" s="456" t="s">
        <v>975</v>
      </c>
      <c r="C132" s="456" t="s">
        <v>994</v>
      </c>
      <c r="D132" s="457" t="s">
        <v>996</v>
      </c>
      <c r="E132" s="456" t="s">
        <v>995</v>
      </c>
      <c r="F132" s="456" t="s">
        <v>1331</v>
      </c>
      <c r="G132" s="456" t="s">
        <v>879</v>
      </c>
      <c r="H132" s="456" t="s">
        <v>1332</v>
      </c>
      <c r="I132" s="456" t="s">
        <v>878</v>
      </c>
      <c r="J132" s="458" t="b">
        <f t="shared" si="11"/>
        <v>0</v>
      </c>
      <c r="K132" s="458" t="b">
        <f t="shared" si="15"/>
        <v>0</v>
      </c>
      <c r="L132" s="458" t="b">
        <f>IF(D132="n/a","n/a",ISNUMBER(MATCH(D132,'Measure-Level Adjustments Tab'!D:D,0)))</f>
        <v>0</v>
      </c>
      <c r="M132" s="458" t="b">
        <f t="shared" si="12"/>
        <v>0</v>
      </c>
      <c r="N132" s="458" t="b">
        <f t="shared" si="13"/>
        <v>0</v>
      </c>
      <c r="O132" s="458" t="s">
        <v>763</v>
      </c>
      <c r="P132" s="458"/>
      <c r="Q132" s="458"/>
      <c r="R132" s="458" t="str">
        <f t="shared" si="14"/>
        <v/>
      </c>
    </row>
    <row r="133" spans="2:18" hidden="1">
      <c r="B133" s="456" t="s">
        <v>975</v>
      </c>
      <c r="C133" s="456" t="s">
        <v>994</v>
      </c>
      <c r="D133" s="457" t="s">
        <v>428</v>
      </c>
      <c r="E133" s="459" t="s">
        <v>997</v>
      </c>
      <c r="F133" s="456" t="s">
        <v>1333</v>
      </c>
      <c r="G133" s="456" t="s">
        <v>879</v>
      </c>
      <c r="H133" s="459" t="s">
        <v>1334</v>
      </c>
      <c r="I133" s="456" t="s">
        <v>878</v>
      </c>
      <c r="J133" s="458" t="b">
        <f t="shared" si="11"/>
        <v>0</v>
      </c>
      <c r="K133" s="458" t="b">
        <f t="shared" si="15"/>
        <v>0</v>
      </c>
      <c r="L133" s="458" t="b">
        <f>IF(D133="n/a","n/a",ISNUMBER(MATCH(D133,'Measure-Level Adjustments Tab'!D:D,0)))</f>
        <v>1</v>
      </c>
      <c r="M133" s="458" t="b">
        <f t="shared" si="12"/>
        <v>0</v>
      </c>
      <c r="N133" s="458" t="b">
        <f t="shared" si="13"/>
        <v>0</v>
      </c>
      <c r="O133" s="458" t="s">
        <v>763</v>
      </c>
      <c r="P133" s="458"/>
      <c r="Q133" s="458"/>
      <c r="R133" s="458" t="str">
        <f t="shared" si="14"/>
        <v/>
      </c>
    </row>
    <row r="134" spans="2:18" hidden="1">
      <c r="B134" s="456" t="s">
        <v>975</v>
      </c>
      <c r="C134" s="456" t="s">
        <v>994</v>
      </c>
      <c r="D134" s="457" t="s">
        <v>999</v>
      </c>
      <c r="E134" s="456" t="s">
        <v>998</v>
      </c>
      <c r="F134" s="456" t="s">
        <v>1335</v>
      </c>
      <c r="G134" s="456" t="s">
        <v>879</v>
      </c>
      <c r="H134" s="456" t="s">
        <v>1336</v>
      </c>
      <c r="I134" s="456" t="s">
        <v>878</v>
      </c>
      <c r="J134" s="458" t="b">
        <f t="shared" si="11"/>
        <v>0</v>
      </c>
      <c r="K134" s="458" t="b">
        <f t="shared" si="15"/>
        <v>0</v>
      </c>
      <c r="L134" s="458" t="b">
        <f>IF(D134="n/a","n/a",ISNUMBER(MATCH(D134,'Measure-Level Adjustments Tab'!D:D,0)))</f>
        <v>0</v>
      </c>
      <c r="M134" s="458" t="b">
        <f t="shared" si="12"/>
        <v>0</v>
      </c>
      <c r="N134" s="458" t="b">
        <f t="shared" si="13"/>
        <v>0</v>
      </c>
      <c r="O134" s="458" t="s">
        <v>763</v>
      </c>
      <c r="P134" s="458"/>
      <c r="Q134" s="458"/>
      <c r="R134" s="458" t="str">
        <f t="shared" si="14"/>
        <v/>
      </c>
    </row>
    <row r="135" spans="2:18" hidden="1">
      <c r="B135" s="456" t="s">
        <v>975</v>
      </c>
      <c r="C135" s="456" t="s">
        <v>994</v>
      </c>
      <c r="D135" s="457" t="s">
        <v>999</v>
      </c>
      <c r="E135" s="456" t="s">
        <v>998</v>
      </c>
      <c r="F135" s="456" t="s">
        <v>1335</v>
      </c>
      <c r="G135" s="456" t="s">
        <v>879</v>
      </c>
      <c r="H135" s="456" t="s">
        <v>1337</v>
      </c>
      <c r="I135" s="456" t="s">
        <v>878</v>
      </c>
      <c r="J135" s="458" t="b">
        <f t="shared" si="11"/>
        <v>0</v>
      </c>
      <c r="K135" s="458" t="b">
        <f t="shared" ref="K135:K166" si="16">COUNTIFS(D:D,D135,J:J,TRUE)&gt;0</f>
        <v>0</v>
      </c>
      <c r="L135" s="458" t="b">
        <f>IF(D135="n/a","n/a",ISNUMBER(MATCH(D135,'Measure-Level Adjustments Tab'!D:D,0)))</f>
        <v>0</v>
      </c>
      <c r="M135" s="458" t="b">
        <f t="shared" si="12"/>
        <v>0</v>
      </c>
      <c r="N135" s="458" t="b">
        <f t="shared" si="13"/>
        <v>0</v>
      </c>
      <c r="O135" s="458" t="s">
        <v>763</v>
      </c>
      <c r="P135" s="458"/>
      <c r="Q135" s="458"/>
      <c r="R135" s="458" t="str">
        <f t="shared" si="14"/>
        <v/>
      </c>
    </row>
    <row r="136" spans="2:18" hidden="1">
      <c r="B136" s="456" t="s">
        <v>975</v>
      </c>
      <c r="C136" s="456" t="s">
        <v>994</v>
      </c>
      <c r="D136" s="457" t="s">
        <v>401</v>
      </c>
      <c r="E136" s="456" t="s">
        <v>1001</v>
      </c>
      <c r="F136" s="456" t="s">
        <v>1338</v>
      </c>
      <c r="G136" s="456" t="s">
        <v>879</v>
      </c>
      <c r="H136" s="456" t="s">
        <v>1339</v>
      </c>
      <c r="I136" s="456" t="s">
        <v>878</v>
      </c>
      <c r="J136" s="458" t="b">
        <f>I136&lt;&gt;"N/A"</f>
        <v>0</v>
      </c>
      <c r="K136" s="458" t="b">
        <f t="shared" si="16"/>
        <v>0</v>
      </c>
      <c r="L136" s="458" t="b">
        <f>IF(D136="n/a","n/a",ISNUMBER(MATCH(D136,'Measure-Level Adjustments Tab'!D:D,0)))</f>
        <v>1</v>
      </c>
      <c r="M136" s="458" t="b">
        <f t="shared" ref="M136:M184" si="17">AND(G136="Errata",J136,L136)</f>
        <v>0</v>
      </c>
      <c r="N136" s="458" t="b">
        <f t="shared" ref="N136:N184" si="18">AND(G136="Revision",J136,L136)</f>
        <v>0</v>
      </c>
      <c r="O136" s="458" t="s">
        <v>763</v>
      </c>
      <c r="P136" s="458"/>
      <c r="Q136" s="458"/>
      <c r="R136" s="458" t="str">
        <f t="shared" ref="R136:R184" si="19">IF(Q136="","",HYPERLINK("#'"&amp;Q136,"Go To Update"))</f>
        <v/>
      </c>
    </row>
    <row r="137" spans="2:18" hidden="1">
      <c r="B137" s="456" t="s">
        <v>975</v>
      </c>
      <c r="C137" s="456" t="s">
        <v>994</v>
      </c>
      <c r="D137" s="457" t="s">
        <v>1003</v>
      </c>
      <c r="E137" s="456" t="s">
        <v>1002</v>
      </c>
      <c r="F137" s="456" t="s">
        <v>1340</v>
      </c>
      <c r="G137" s="456" t="s">
        <v>879</v>
      </c>
      <c r="H137" s="456" t="s">
        <v>1339</v>
      </c>
      <c r="I137" s="456" t="s">
        <v>878</v>
      </c>
      <c r="J137" s="458" t="b">
        <f>I137&lt;&gt;"N/A"</f>
        <v>0</v>
      </c>
      <c r="K137" s="458" t="b">
        <f t="shared" si="16"/>
        <v>0</v>
      </c>
      <c r="L137" s="458" t="b">
        <f>IF(D137="n/a","n/a",ISNUMBER(MATCH(D137,'Measure-Level Adjustments Tab'!D:D,0)))</f>
        <v>0</v>
      </c>
      <c r="M137" s="458" t="b">
        <f t="shared" si="17"/>
        <v>0</v>
      </c>
      <c r="N137" s="458" t="b">
        <f t="shared" si="18"/>
        <v>0</v>
      </c>
      <c r="O137" s="458" t="s">
        <v>763</v>
      </c>
      <c r="P137" s="458"/>
      <c r="Q137" s="458"/>
      <c r="R137" s="458" t="str">
        <f t="shared" si="19"/>
        <v/>
      </c>
    </row>
    <row r="138" spans="2:18" hidden="1">
      <c r="B138" s="456" t="s">
        <v>975</v>
      </c>
      <c r="C138" s="456" t="s">
        <v>994</v>
      </c>
      <c r="D138" s="457" t="s">
        <v>1004</v>
      </c>
      <c r="E138" s="459" t="s">
        <v>1341</v>
      </c>
      <c r="F138" s="456" t="s">
        <v>1342</v>
      </c>
      <c r="G138" s="456" t="s">
        <v>879</v>
      </c>
      <c r="H138" s="459" t="s">
        <v>1343</v>
      </c>
      <c r="I138" s="456" t="s">
        <v>878</v>
      </c>
      <c r="J138" s="458" t="b">
        <f t="shared" si="11"/>
        <v>0</v>
      </c>
      <c r="K138" s="458" t="b">
        <f t="shared" si="16"/>
        <v>0</v>
      </c>
      <c r="L138" s="458" t="b">
        <f>IF(D138="n/a","n/a",ISNUMBER(MATCH(D138,'Measure-Level Adjustments Tab'!D:D,0)))</f>
        <v>0</v>
      </c>
      <c r="M138" s="458" t="b">
        <f t="shared" si="17"/>
        <v>0</v>
      </c>
      <c r="N138" s="458" t="b">
        <f t="shared" si="18"/>
        <v>0</v>
      </c>
      <c r="O138" s="458" t="s">
        <v>763</v>
      </c>
      <c r="P138" s="458"/>
      <c r="Q138" s="458"/>
      <c r="R138" s="458" t="str">
        <f t="shared" si="19"/>
        <v/>
      </c>
    </row>
    <row r="139" spans="2:18" hidden="1">
      <c r="B139" s="456" t="s">
        <v>975</v>
      </c>
      <c r="C139" s="456" t="s">
        <v>994</v>
      </c>
      <c r="D139" s="457" t="s">
        <v>447</v>
      </c>
      <c r="E139" s="456" t="s">
        <v>1005</v>
      </c>
      <c r="F139" s="456" t="s">
        <v>1344</v>
      </c>
      <c r="G139" s="456" t="s">
        <v>879</v>
      </c>
      <c r="H139" s="456" t="s">
        <v>1345</v>
      </c>
      <c r="I139" s="456" t="s">
        <v>878</v>
      </c>
      <c r="J139" s="458" t="b">
        <f t="shared" si="11"/>
        <v>0</v>
      </c>
      <c r="K139" s="458" t="b">
        <f t="shared" si="16"/>
        <v>0</v>
      </c>
      <c r="L139" s="458" t="b">
        <f>IF(D139="n/a","n/a",ISNUMBER(MATCH(D139,'Measure-Level Adjustments Tab'!D:D,0)))</f>
        <v>1</v>
      </c>
      <c r="M139" s="458" t="b">
        <f t="shared" si="17"/>
        <v>0</v>
      </c>
      <c r="N139" s="458" t="b">
        <f t="shared" si="18"/>
        <v>0</v>
      </c>
      <c r="O139" s="458" t="s">
        <v>763</v>
      </c>
      <c r="P139" s="458"/>
      <c r="Q139" s="458"/>
      <c r="R139" s="458" t="str">
        <f t="shared" si="19"/>
        <v/>
      </c>
    </row>
    <row r="140" spans="2:18" hidden="1">
      <c r="B140" s="456" t="s">
        <v>975</v>
      </c>
      <c r="C140" s="456" t="s">
        <v>994</v>
      </c>
      <c r="D140" s="457" t="s">
        <v>447</v>
      </c>
      <c r="E140" s="456" t="s">
        <v>1005</v>
      </c>
      <c r="F140" s="456" t="s">
        <v>1344</v>
      </c>
      <c r="G140" s="456" t="s">
        <v>879</v>
      </c>
      <c r="H140" s="456" t="s">
        <v>1346</v>
      </c>
      <c r="I140" s="456" t="s">
        <v>878</v>
      </c>
      <c r="J140" s="458" t="b">
        <f t="shared" ref="J140:J184" si="20">I140&lt;&gt;"N/A"</f>
        <v>0</v>
      </c>
      <c r="K140" s="458" t="b">
        <f t="shared" si="16"/>
        <v>0</v>
      </c>
      <c r="L140" s="458" t="b">
        <f>IF(D140="n/a","n/a",ISNUMBER(MATCH(D140,'Measure-Level Adjustments Tab'!D:D,0)))</f>
        <v>1</v>
      </c>
      <c r="M140" s="458" t="b">
        <f t="shared" si="17"/>
        <v>0</v>
      </c>
      <c r="N140" s="458" t="b">
        <f t="shared" si="18"/>
        <v>0</v>
      </c>
      <c r="O140" s="458" t="s">
        <v>763</v>
      </c>
      <c r="P140" s="458"/>
      <c r="Q140" s="458"/>
      <c r="R140" s="458" t="str">
        <f t="shared" si="19"/>
        <v/>
      </c>
    </row>
    <row r="141" spans="2:18" hidden="1">
      <c r="B141" s="456" t="s">
        <v>975</v>
      </c>
      <c r="C141" s="456" t="s">
        <v>994</v>
      </c>
      <c r="D141" s="457" t="s">
        <v>1007</v>
      </c>
      <c r="E141" s="456" t="s">
        <v>1006</v>
      </c>
      <c r="F141" s="456" t="s">
        <v>1347</v>
      </c>
      <c r="G141" s="456" t="s">
        <v>906</v>
      </c>
      <c r="H141" s="456" t="s">
        <v>1348</v>
      </c>
      <c r="I141" s="456" t="s">
        <v>878</v>
      </c>
      <c r="J141" s="458" t="b">
        <f t="shared" si="20"/>
        <v>0</v>
      </c>
      <c r="K141" s="458" t="b">
        <f t="shared" si="16"/>
        <v>0</v>
      </c>
      <c r="L141" s="458" t="b">
        <f>IF(D141="n/a","n/a",ISNUMBER(MATCH(D141,'Measure-Level Adjustments Tab'!D:D,0)))</f>
        <v>0</v>
      </c>
      <c r="M141" s="458" t="b">
        <f t="shared" si="17"/>
        <v>0</v>
      </c>
      <c r="N141" s="458" t="b">
        <f t="shared" si="18"/>
        <v>0</v>
      </c>
      <c r="O141" s="458" t="s">
        <v>763</v>
      </c>
      <c r="P141" s="458"/>
      <c r="Q141" s="458"/>
      <c r="R141" s="458" t="str">
        <f t="shared" si="19"/>
        <v/>
      </c>
    </row>
    <row r="142" spans="2:18" hidden="1">
      <c r="B142" s="456" t="s">
        <v>975</v>
      </c>
      <c r="C142" s="456" t="s">
        <v>994</v>
      </c>
      <c r="D142" s="457" t="s">
        <v>394</v>
      </c>
      <c r="E142" s="456" t="s">
        <v>1008</v>
      </c>
      <c r="F142" s="456" t="s">
        <v>1349</v>
      </c>
      <c r="G142" s="456" t="s">
        <v>879</v>
      </c>
      <c r="H142" s="456" t="s">
        <v>1350</v>
      </c>
      <c r="I142" s="456" t="s">
        <v>878</v>
      </c>
      <c r="J142" s="458" t="b">
        <f t="shared" si="20"/>
        <v>0</v>
      </c>
      <c r="K142" s="458" t="b">
        <f t="shared" si="16"/>
        <v>0</v>
      </c>
      <c r="L142" s="458" t="b">
        <f>IF(D142="n/a","n/a",ISNUMBER(MATCH(D142,'Measure-Level Adjustments Tab'!D:D,0)))</f>
        <v>1</v>
      </c>
      <c r="M142" s="458" t="b">
        <f t="shared" si="17"/>
        <v>0</v>
      </c>
      <c r="N142" s="458" t="b">
        <f t="shared" si="18"/>
        <v>0</v>
      </c>
      <c r="O142" s="458" t="s">
        <v>763</v>
      </c>
      <c r="P142" s="458"/>
      <c r="Q142" s="458"/>
      <c r="R142" s="458" t="str">
        <f t="shared" si="19"/>
        <v/>
      </c>
    </row>
    <row r="143" spans="2:18" hidden="1">
      <c r="B143" s="456" t="s">
        <v>975</v>
      </c>
      <c r="C143" s="456" t="s">
        <v>994</v>
      </c>
      <c r="D143" s="457" t="s">
        <v>394</v>
      </c>
      <c r="E143" s="456" t="s">
        <v>1008</v>
      </c>
      <c r="F143" s="456" t="s">
        <v>1349</v>
      </c>
      <c r="G143" s="456" t="s">
        <v>879</v>
      </c>
      <c r="H143" s="456" t="s">
        <v>1351</v>
      </c>
      <c r="I143" s="456" t="s">
        <v>878</v>
      </c>
      <c r="J143" s="458" t="b">
        <f t="shared" si="20"/>
        <v>0</v>
      </c>
      <c r="K143" s="458" t="b">
        <f t="shared" si="16"/>
        <v>0</v>
      </c>
      <c r="L143" s="458" t="b">
        <f>IF(D143="n/a","n/a",ISNUMBER(MATCH(D143,'Measure-Level Adjustments Tab'!D:D,0)))</f>
        <v>1</v>
      </c>
      <c r="M143" s="458" t="b">
        <f t="shared" si="17"/>
        <v>0</v>
      </c>
      <c r="N143" s="458" t="b">
        <f t="shared" si="18"/>
        <v>0</v>
      </c>
      <c r="O143" s="458" t="s">
        <v>763</v>
      </c>
      <c r="P143" s="458"/>
      <c r="Q143" s="458"/>
      <c r="R143" s="458" t="str">
        <f t="shared" si="19"/>
        <v/>
      </c>
    </row>
    <row r="144" spans="2:18" hidden="1">
      <c r="B144" s="456" t="s">
        <v>975</v>
      </c>
      <c r="C144" s="456" t="s">
        <v>994</v>
      </c>
      <c r="D144" s="457" t="s">
        <v>1352</v>
      </c>
      <c r="E144" s="456" t="s">
        <v>1353</v>
      </c>
      <c r="F144" s="456" t="s">
        <v>1354</v>
      </c>
      <c r="G144" s="456" t="s">
        <v>879</v>
      </c>
      <c r="H144" s="456" t="s">
        <v>1355</v>
      </c>
      <c r="I144" s="456" t="s">
        <v>907</v>
      </c>
      <c r="J144" s="458" t="b">
        <f t="shared" si="20"/>
        <v>1</v>
      </c>
      <c r="K144" s="458" t="b">
        <f t="shared" si="16"/>
        <v>1</v>
      </c>
      <c r="L144" s="458" t="b">
        <f>IF(D144="n/a","n/a",ISNUMBER(MATCH(D144,'Measure-Level Adjustments Tab'!D:D,0)))</f>
        <v>0</v>
      </c>
      <c r="M144" s="458" t="b">
        <f t="shared" si="17"/>
        <v>0</v>
      </c>
      <c r="N144" s="458" t="b">
        <f t="shared" si="18"/>
        <v>0</v>
      </c>
      <c r="O144" s="458" t="s">
        <v>763</v>
      </c>
      <c r="P144" s="458"/>
      <c r="Q144" s="458"/>
      <c r="R144" s="458" t="str">
        <f t="shared" si="19"/>
        <v/>
      </c>
    </row>
    <row r="145" spans="2:18" hidden="1">
      <c r="B145" s="456" t="s">
        <v>975</v>
      </c>
      <c r="C145" s="456" t="s">
        <v>994</v>
      </c>
      <c r="D145" s="457" t="s">
        <v>49</v>
      </c>
      <c r="E145" s="456" t="s">
        <v>1009</v>
      </c>
      <c r="F145" s="456" t="s">
        <v>1356</v>
      </c>
      <c r="G145" s="456" t="s">
        <v>879</v>
      </c>
      <c r="H145" s="456" t="s">
        <v>1345</v>
      </c>
      <c r="I145" s="456" t="s">
        <v>878</v>
      </c>
      <c r="J145" s="458" t="b">
        <f t="shared" si="20"/>
        <v>0</v>
      </c>
      <c r="K145" s="458" t="b">
        <f t="shared" si="16"/>
        <v>0</v>
      </c>
      <c r="L145" s="458" t="b">
        <f>IF(D145="n/a","n/a",ISNUMBER(MATCH(D145,'Measure-Level Adjustments Tab'!D:D,0)))</f>
        <v>1</v>
      </c>
      <c r="M145" s="458" t="b">
        <f t="shared" si="17"/>
        <v>0</v>
      </c>
      <c r="N145" s="458" t="b">
        <f t="shared" si="18"/>
        <v>0</v>
      </c>
      <c r="O145" s="458" t="s">
        <v>763</v>
      </c>
      <c r="P145" s="458"/>
      <c r="Q145" s="458"/>
      <c r="R145" s="458" t="str">
        <f t="shared" si="19"/>
        <v/>
      </c>
    </row>
    <row r="146" spans="2:18" hidden="1">
      <c r="B146" s="456" t="s">
        <v>975</v>
      </c>
      <c r="C146" s="456" t="s">
        <v>994</v>
      </c>
      <c r="D146" s="457" t="s">
        <v>49</v>
      </c>
      <c r="E146" s="456" t="s">
        <v>1009</v>
      </c>
      <c r="F146" s="456" t="s">
        <v>1356</v>
      </c>
      <c r="G146" s="456" t="s">
        <v>879</v>
      </c>
      <c r="H146" s="456" t="s">
        <v>1346</v>
      </c>
      <c r="I146" s="456" t="s">
        <v>878</v>
      </c>
      <c r="J146" s="458" t="b">
        <f t="shared" si="20"/>
        <v>0</v>
      </c>
      <c r="K146" s="458" t="b">
        <f t="shared" si="16"/>
        <v>0</v>
      </c>
      <c r="L146" s="458" t="b">
        <f>IF(D146="n/a","n/a",ISNUMBER(MATCH(D146,'Measure-Level Adjustments Tab'!D:D,0)))</f>
        <v>1</v>
      </c>
      <c r="M146" s="458" t="b">
        <f t="shared" si="17"/>
        <v>0</v>
      </c>
      <c r="N146" s="458" t="b">
        <f t="shared" si="18"/>
        <v>0</v>
      </c>
      <c r="O146" s="458" t="s">
        <v>763</v>
      </c>
      <c r="P146" s="458"/>
      <c r="Q146" s="458"/>
      <c r="R146" s="458" t="str">
        <f t="shared" si="19"/>
        <v/>
      </c>
    </row>
    <row r="147" spans="2:18" hidden="1">
      <c r="B147" s="456" t="s">
        <v>975</v>
      </c>
      <c r="C147" s="456" t="s">
        <v>994</v>
      </c>
      <c r="D147" s="457" t="s">
        <v>1357</v>
      </c>
      <c r="E147" s="459" t="s">
        <v>1358</v>
      </c>
      <c r="F147" s="456" t="s">
        <v>1359</v>
      </c>
      <c r="G147" s="456" t="s">
        <v>880</v>
      </c>
      <c r="H147" s="459" t="s">
        <v>961</v>
      </c>
      <c r="I147" s="456" t="s">
        <v>878</v>
      </c>
      <c r="J147" s="458" t="b">
        <f t="shared" si="20"/>
        <v>0</v>
      </c>
      <c r="K147" s="458" t="b">
        <f t="shared" si="16"/>
        <v>0</v>
      </c>
      <c r="L147" s="458" t="b">
        <f>IF(D147="n/a","n/a",ISNUMBER(MATCH(D147,'Measure-Level Adjustments Tab'!D:D,0)))</f>
        <v>0</v>
      </c>
      <c r="M147" s="458" t="b">
        <f t="shared" si="17"/>
        <v>0</v>
      </c>
      <c r="N147" s="458" t="b">
        <f t="shared" si="18"/>
        <v>0</v>
      </c>
      <c r="O147" s="458" t="s">
        <v>763</v>
      </c>
      <c r="P147" s="458"/>
      <c r="Q147" s="458"/>
      <c r="R147" s="458" t="str">
        <f t="shared" si="19"/>
        <v/>
      </c>
    </row>
    <row r="148" spans="2:18" hidden="1">
      <c r="B148" s="456" t="s">
        <v>975</v>
      </c>
      <c r="C148" s="456" t="s">
        <v>1010</v>
      </c>
      <c r="D148" s="457" t="s">
        <v>1014</v>
      </c>
      <c r="E148" s="456" t="s">
        <v>1013</v>
      </c>
      <c r="F148" s="456" t="s">
        <v>1360</v>
      </c>
      <c r="G148" s="456" t="s">
        <v>906</v>
      </c>
      <c r="H148" s="456" t="s">
        <v>1361</v>
      </c>
      <c r="I148" s="456" t="s">
        <v>878</v>
      </c>
      <c r="J148" s="458" t="b">
        <f t="shared" si="20"/>
        <v>0</v>
      </c>
      <c r="K148" s="458" t="b">
        <f t="shared" si="16"/>
        <v>0</v>
      </c>
      <c r="L148" s="458" t="b">
        <f>IF(D148="n/a","n/a",ISNUMBER(MATCH(D148,'Measure-Level Adjustments Tab'!D:D,0)))</f>
        <v>0</v>
      </c>
      <c r="M148" s="458" t="b">
        <f t="shared" si="17"/>
        <v>0</v>
      </c>
      <c r="N148" s="458" t="b">
        <f t="shared" si="18"/>
        <v>0</v>
      </c>
      <c r="O148" s="458" t="s">
        <v>763</v>
      </c>
      <c r="P148" s="458"/>
      <c r="Q148" s="458"/>
      <c r="R148" s="458" t="str">
        <f t="shared" si="19"/>
        <v/>
      </c>
    </row>
    <row r="149" spans="2:18" hidden="1">
      <c r="B149" s="456" t="s">
        <v>975</v>
      </c>
      <c r="C149" s="456" t="s">
        <v>1010</v>
      </c>
      <c r="D149" s="457" t="s">
        <v>1014</v>
      </c>
      <c r="E149" s="456" t="s">
        <v>1013</v>
      </c>
      <c r="F149" s="456" t="s">
        <v>1362</v>
      </c>
      <c r="G149" s="456" t="s">
        <v>879</v>
      </c>
      <c r="H149" s="456" t="s">
        <v>1423</v>
      </c>
      <c r="I149" s="456" t="s">
        <v>878</v>
      </c>
      <c r="J149" s="458" t="b">
        <f t="shared" si="20"/>
        <v>0</v>
      </c>
      <c r="K149" s="458" t="b">
        <f t="shared" si="16"/>
        <v>0</v>
      </c>
      <c r="L149" s="458" t="b">
        <f>IF(D149="n/a","n/a",ISNUMBER(MATCH(D149,'Measure-Level Adjustments Tab'!D:D,0)))</f>
        <v>0</v>
      </c>
      <c r="M149" s="458" t="b">
        <f t="shared" si="17"/>
        <v>0</v>
      </c>
      <c r="N149" s="458" t="b">
        <f t="shared" si="18"/>
        <v>0</v>
      </c>
      <c r="O149" s="458" t="s">
        <v>763</v>
      </c>
      <c r="P149" s="458"/>
      <c r="Q149" s="458"/>
      <c r="R149" s="458" t="str">
        <f t="shared" si="19"/>
        <v/>
      </c>
    </row>
    <row r="150" spans="2:18" hidden="1">
      <c r="B150" s="456" t="s">
        <v>975</v>
      </c>
      <c r="C150" s="456" t="s">
        <v>1010</v>
      </c>
      <c r="D150" s="457" t="s">
        <v>470</v>
      </c>
      <c r="E150" s="456" t="s">
        <v>1363</v>
      </c>
      <c r="F150" s="456" t="s">
        <v>1364</v>
      </c>
      <c r="G150" s="456" t="s">
        <v>906</v>
      </c>
      <c r="H150" s="456" t="s">
        <v>1114</v>
      </c>
      <c r="I150" s="456" t="s">
        <v>1115</v>
      </c>
      <c r="J150" s="458" t="b">
        <f t="shared" si="20"/>
        <v>1</v>
      </c>
      <c r="K150" s="458" t="b">
        <f t="shared" si="16"/>
        <v>1</v>
      </c>
      <c r="L150" s="458" t="b">
        <f>IF(D150="n/a","n/a",ISNUMBER(MATCH(D150,'Measure-Level Adjustments Tab'!D:D,0)))</f>
        <v>1</v>
      </c>
      <c r="M150" s="458" t="b">
        <f t="shared" si="17"/>
        <v>1</v>
      </c>
      <c r="N150" s="458" t="b">
        <f t="shared" si="18"/>
        <v>0</v>
      </c>
      <c r="O150" s="458" t="s">
        <v>763</v>
      </c>
      <c r="P150" s="458" t="s">
        <v>1417</v>
      </c>
      <c r="Q150" s="458"/>
      <c r="R150" s="458" t="str">
        <f t="shared" si="19"/>
        <v/>
      </c>
    </row>
    <row r="151" spans="2:18">
      <c r="B151" s="456" t="s">
        <v>975</v>
      </c>
      <c r="C151" s="456" t="s">
        <v>1010</v>
      </c>
      <c r="D151" s="457" t="s">
        <v>470</v>
      </c>
      <c r="E151" s="456" t="s">
        <v>1363</v>
      </c>
      <c r="F151" s="456" t="s">
        <v>1365</v>
      </c>
      <c r="G151" s="456" t="s">
        <v>879</v>
      </c>
      <c r="H151" s="456" t="s">
        <v>1327</v>
      </c>
      <c r="I151" s="456" t="s">
        <v>1366</v>
      </c>
      <c r="J151" s="458" t="b">
        <f t="shared" si="20"/>
        <v>1</v>
      </c>
      <c r="K151" s="458" t="b">
        <f t="shared" si="16"/>
        <v>1</v>
      </c>
      <c r="L151" s="458" t="b">
        <f>IF(D151="n/a","n/a",ISNUMBER(MATCH(D151,'Measure-Level Adjustments Tab'!D:D,0)))</f>
        <v>1</v>
      </c>
      <c r="M151" s="458" t="b">
        <f t="shared" si="17"/>
        <v>0</v>
      </c>
      <c r="N151" s="458" t="b">
        <f t="shared" si="18"/>
        <v>1</v>
      </c>
      <c r="O151" s="458" t="s">
        <v>763</v>
      </c>
      <c r="P151" s="458" t="s">
        <v>1438</v>
      </c>
      <c r="Q151" s="458"/>
      <c r="R151" s="458" t="str">
        <f t="shared" si="19"/>
        <v/>
      </c>
    </row>
    <row r="152" spans="2:18" hidden="1">
      <c r="B152" s="456" t="s">
        <v>975</v>
      </c>
      <c r="C152" s="456" t="s">
        <v>1010</v>
      </c>
      <c r="D152" s="457" t="s">
        <v>466</v>
      </c>
      <c r="E152" s="456" t="s">
        <v>1017</v>
      </c>
      <c r="F152" s="456" t="s">
        <v>1367</v>
      </c>
      <c r="G152" s="456" t="s">
        <v>906</v>
      </c>
      <c r="H152" s="456" t="s">
        <v>1114</v>
      </c>
      <c r="I152" s="456" t="s">
        <v>1115</v>
      </c>
      <c r="J152" s="458" t="b">
        <f t="shared" si="20"/>
        <v>1</v>
      </c>
      <c r="K152" s="458" t="b">
        <f t="shared" si="16"/>
        <v>1</v>
      </c>
      <c r="L152" s="458" t="b">
        <f>IF(D152="n/a","n/a",ISNUMBER(MATCH(D152,'Measure-Level Adjustments Tab'!D:D,0)))</f>
        <v>1</v>
      </c>
      <c r="M152" s="458" t="b">
        <f t="shared" si="17"/>
        <v>1</v>
      </c>
      <c r="N152" s="458" t="b">
        <f t="shared" si="18"/>
        <v>0</v>
      </c>
      <c r="O152" s="458" t="s">
        <v>763</v>
      </c>
      <c r="P152" s="458" t="s">
        <v>1417</v>
      </c>
      <c r="Q152" s="458"/>
      <c r="R152" s="458" t="str">
        <f t="shared" si="19"/>
        <v/>
      </c>
    </row>
    <row r="153" spans="2:18">
      <c r="B153" s="456" t="s">
        <v>975</v>
      </c>
      <c r="C153" s="456" t="s">
        <v>1010</v>
      </c>
      <c r="D153" s="457" t="s">
        <v>466</v>
      </c>
      <c r="E153" s="456" t="s">
        <v>1017</v>
      </c>
      <c r="F153" s="456" t="s">
        <v>1368</v>
      </c>
      <c r="G153" s="456" t="s">
        <v>879</v>
      </c>
      <c r="H153" s="456" t="s">
        <v>1369</v>
      </c>
      <c r="I153" s="456" t="s">
        <v>1366</v>
      </c>
      <c r="J153" s="458" t="b">
        <f t="shared" si="20"/>
        <v>1</v>
      </c>
      <c r="K153" s="458" t="b">
        <f t="shared" si="16"/>
        <v>1</v>
      </c>
      <c r="L153" s="458" t="b">
        <f>IF(D153="n/a","n/a",ISNUMBER(MATCH(D153,'Measure-Level Adjustments Tab'!D:D,0)))</f>
        <v>1</v>
      </c>
      <c r="M153" s="458" t="b">
        <f t="shared" si="17"/>
        <v>0</v>
      </c>
      <c r="N153" s="458" t="b">
        <f t="shared" si="18"/>
        <v>1</v>
      </c>
      <c r="O153" s="458" t="b">
        <v>1</v>
      </c>
      <c r="P153" s="458" t="s">
        <v>1439</v>
      </c>
      <c r="Q153" s="464" t="s">
        <v>1440</v>
      </c>
      <c r="R153" s="458" t="str">
        <f t="shared" si="19"/>
        <v>Go To Update</v>
      </c>
    </row>
    <row r="154" spans="2:18" hidden="1">
      <c r="B154" s="456" t="s">
        <v>975</v>
      </c>
      <c r="C154" s="456" t="s">
        <v>1010</v>
      </c>
      <c r="D154" s="457" t="s">
        <v>376</v>
      </c>
      <c r="E154" s="456" t="s">
        <v>1370</v>
      </c>
      <c r="F154" s="456" t="s">
        <v>1371</v>
      </c>
      <c r="G154" s="456" t="s">
        <v>879</v>
      </c>
      <c r="H154" s="456" t="s">
        <v>1372</v>
      </c>
      <c r="I154" s="456" t="s">
        <v>878</v>
      </c>
      <c r="J154" s="458" t="b">
        <f t="shared" si="20"/>
        <v>0</v>
      </c>
      <c r="K154" s="458" t="b">
        <f t="shared" si="16"/>
        <v>0</v>
      </c>
      <c r="L154" s="458" t="b">
        <f>IF(D154="n/a","n/a",ISNUMBER(MATCH(D154,'Measure-Level Adjustments Tab'!D:D,0)))</f>
        <v>1</v>
      </c>
      <c r="M154" s="458" t="b">
        <f t="shared" si="17"/>
        <v>0</v>
      </c>
      <c r="N154" s="458" t="b">
        <f t="shared" si="18"/>
        <v>0</v>
      </c>
      <c r="O154" s="458" t="s">
        <v>763</v>
      </c>
      <c r="P154" s="458"/>
      <c r="Q154" s="458"/>
      <c r="R154" s="458" t="str">
        <f t="shared" si="19"/>
        <v/>
      </c>
    </row>
    <row r="155" spans="2:18" hidden="1">
      <c r="B155" s="456" t="s">
        <v>975</v>
      </c>
      <c r="C155" s="456" t="s">
        <v>1010</v>
      </c>
      <c r="D155" s="457" t="s">
        <v>1018</v>
      </c>
      <c r="E155" s="456" t="s">
        <v>1373</v>
      </c>
      <c r="F155" s="456" t="s">
        <v>1374</v>
      </c>
      <c r="G155" s="456" t="s">
        <v>906</v>
      </c>
      <c r="H155" s="456" t="s">
        <v>1114</v>
      </c>
      <c r="I155" s="456" t="s">
        <v>1115</v>
      </c>
      <c r="J155" s="458" t="b">
        <f t="shared" si="20"/>
        <v>1</v>
      </c>
      <c r="K155" s="458" t="b">
        <f t="shared" si="16"/>
        <v>1</v>
      </c>
      <c r="L155" s="458" t="b">
        <f>IF(D155="n/a","n/a",ISNUMBER(MATCH(D155,'Measure-Level Adjustments Tab'!D:D,0)))</f>
        <v>0</v>
      </c>
      <c r="M155" s="458" t="b">
        <f t="shared" si="17"/>
        <v>0</v>
      </c>
      <c r="N155" s="458" t="b">
        <f t="shared" si="18"/>
        <v>0</v>
      </c>
      <c r="O155" s="458" t="s">
        <v>763</v>
      </c>
      <c r="P155" s="458"/>
      <c r="Q155" s="458"/>
      <c r="R155" s="458" t="str">
        <f t="shared" si="19"/>
        <v/>
      </c>
    </row>
    <row r="156" spans="2:18" hidden="1">
      <c r="B156" s="456" t="s">
        <v>975</v>
      </c>
      <c r="C156" s="456" t="s">
        <v>1010</v>
      </c>
      <c r="D156" s="457" t="s">
        <v>1018</v>
      </c>
      <c r="E156" s="456" t="s">
        <v>1373</v>
      </c>
      <c r="F156" s="456" t="s">
        <v>1374</v>
      </c>
      <c r="G156" s="456" t="s">
        <v>906</v>
      </c>
      <c r="H156" s="456" t="s">
        <v>1375</v>
      </c>
      <c r="I156" s="456" t="s">
        <v>1115</v>
      </c>
      <c r="J156" s="458" t="b">
        <f t="shared" si="20"/>
        <v>1</v>
      </c>
      <c r="K156" s="458" t="b">
        <f t="shared" si="16"/>
        <v>1</v>
      </c>
      <c r="L156" s="458" t="b">
        <f>IF(D156="n/a","n/a",ISNUMBER(MATCH(D156,'Measure-Level Adjustments Tab'!D:D,0)))</f>
        <v>0</v>
      </c>
      <c r="M156" s="458" t="b">
        <f t="shared" si="17"/>
        <v>0</v>
      </c>
      <c r="N156" s="458" t="b">
        <f t="shared" si="18"/>
        <v>0</v>
      </c>
      <c r="O156" s="458" t="s">
        <v>763</v>
      </c>
      <c r="P156" s="458"/>
      <c r="Q156" s="458"/>
      <c r="R156" s="458" t="str">
        <f t="shared" si="19"/>
        <v/>
      </c>
    </row>
    <row r="157" spans="2:18" hidden="1">
      <c r="B157" s="456" t="s">
        <v>975</v>
      </c>
      <c r="C157" s="456" t="s">
        <v>1010</v>
      </c>
      <c r="D157" s="457" t="s">
        <v>1020</v>
      </c>
      <c r="E157" s="456" t="s">
        <v>1019</v>
      </c>
      <c r="F157" s="456" t="s">
        <v>1376</v>
      </c>
      <c r="G157" s="456" t="s">
        <v>906</v>
      </c>
      <c r="H157" s="456" t="s">
        <v>1114</v>
      </c>
      <c r="I157" s="456" t="s">
        <v>1115</v>
      </c>
      <c r="J157" s="458" t="b">
        <f t="shared" si="20"/>
        <v>1</v>
      </c>
      <c r="K157" s="458" t="b">
        <f t="shared" si="16"/>
        <v>1</v>
      </c>
      <c r="L157" s="458" t="b">
        <f>IF(D157="n/a","n/a",ISNUMBER(MATCH(D157,'Measure-Level Adjustments Tab'!D:D,0)))</f>
        <v>0</v>
      </c>
      <c r="M157" s="458" t="b">
        <f t="shared" si="17"/>
        <v>0</v>
      </c>
      <c r="N157" s="458" t="b">
        <f t="shared" si="18"/>
        <v>0</v>
      </c>
      <c r="O157" s="458" t="s">
        <v>763</v>
      </c>
      <c r="P157" s="458"/>
      <c r="Q157" s="458"/>
      <c r="R157" s="458" t="str">
        <f t="shared" si="19"/>
        <v/>
      </c>
    </row>
    <row r="158" spans="2:18" hidden="1">
      <c r="B158" s="456" t="s">
        <v>975</v>
      </c>
      <c r="C158" s="456" t="s">
        <v>1010</v>
      </c>
      <c r="D158" s="457" t="s">
        <v>1377</v>
      </c>
      <c r="E158" s="456" t="s">
        <v>1378</v>
      </c>
      <c r="F158" s="456" t="s">
        <v>1379</v>
      </c>
      <c r="G158" s="456" t="s">
        <v>880</v>
      </c>
      <c r="H158" s="456" t="s">
        <v>1380</v>
      </c>
      <c r="I158" s="456" t="s">
        <v>878</v>
      </c>
      <c r="J158" s="458" t="b">
        <f t="shared" si="20"/>
        <v>0</v>
      </c>
      <c r="K158" s="458" t="b">
        <f t="shared" si="16"/>
        <v>0</v>
      </c>
      <c r="L158" s="458" t="b">
        <f>IF(D158="n/a","n/a",ISNUMBER(MATCH(D158,'Measure-Level Adjustments Tab'!D:D,0)))</f>
        <v>0</v>
      </c>
      <c r="M158" s="458" t="b">
        <f t="shared" si="17"/>
        <v>0</v>
      </c>
      <c r="N158" s="458" t="b">
        <f t="shared" si="18"/>
        <v>0</v>
      </c>
      <c r="O158" s="458" t="s">
        <v>763</v>
      </c>
      <c r="P158" s="458"/>
      <c r="Q158" s="458"/>
      <c r="R158" s="458" t="str">
        <f t="shared" si="19"/>
        <v/>
      </c>
    </row>
    <row r="159" spans="2:18" hidden="1">
      <c r="B159" s="456" t="s">
        <v>975</v>
      </c>
      <c r="C159" s="456" t="s">
        <v>1021</v>
      </c>
      <c r="D159" s="457" t="s">
        <v>1023</v>
      </c>
      <c r="E159" s="456" t="s">
        <v>1022</v>
      </c>
      <c r="F159" s="456" t="s">
        <v>878</v>
      </c>
      <c r="G159" s="456" t="s">
        <v>1233</v>
      </c>
      <c r="H159" s="456" t="s">
        <v>1234</v>
      </c>
      <c r="I159" s="456" t="s">
        <v>878</v>
      </c>
      <c r="J159" s="458" t="b">
        <f t="shared" si="20"/>
        <v>0</v>
      </c>
      <c r="K159" s="458" t="b">
        <f t="shared" si="16"/>
        <v>0</v>
      </c>
      <c r="L159" s="458" t="b">
        <f>IF(D159="n/a","n/a",ISNUMBER(MATCH(D159,'Measure-Level Adjustments Tab'!D:D,0)))</f>
        <v>0</v>
      </c>
      <c r="M159" s="458" t="b">
        <f t="shared" si="17"/>
        <v>0</v>
      </c>
      <c r="N159" s="458" t="b">
        <f t="shared" si="18"/>
        <v>0</v>
      </c>
      <c r="O159" s="458" t="s">
        <v>763</v>
      </c>
      <c r="P159" s="458"/>
      <c r="Q159" s="458"/>
      <c r="R159" s="458" t="str">
        <f t="shared" si="19"/>
        <v/>
      </c>
    </row>
    <row r="160" spans="2:18" hidden="1">
      <c r="B160" s="456" t="s">
        <v>975</v>
      </c>
      <c r="C160" s="456" t="s">
        <v>1021</v>
      </c>
      <c r="D160" s="457" t="s">
        <v>1025</v>
      </c>
      <c r="E160" s="459" t="s">
        <v>1024</v>
      </c>
      <c r="F160" s="456" t="s">
        <v>878</v>
      </c>
      <c r="G160" s="456" t="s">
        <v>1233</v>
      </c>
      <c r="H160" s="456" t="s">
        <v>1234</v>
      </c>
      <c r="I160" s="456" t="s">
        <v>878</v>
      </c>
      <c r="J160" s="458" t="b">
        <f t="shared" si="20"/>
        <v>0</v>
      </c>
      <c r="K160" s="458" t="b">
        <f t="shared" si="16"/>
        <v>0</v>
      </c>
      <c r="L160" s="458" t="b">
        <f>IF(D160="n/a","n/a",ISNUMBER(MATCH(D160,'Measure-Level Adjustments Tab'!D:D,0)))</f>
        <v>0</v>
      </c>
      <c r="M160" s="458" t="b">
        <f t="shared" si="17"/>
        <v>0</v>
      </c>
      <c r="N160" s="458" t="b">
        <f t="shared" si="18"/>
        <v>0</v>
      </c>
      <c r="O160" s="458" t="s">
        <v>763</v>
      </c>
      <c r="P160" s="458"/>
      <c r="Q160" s="458"/>
      <c r="R160" s="458" t="str">
        <f t="shared" si="19"/>
        <v/>
      </c>
    </row>
    <row r="161" spans="2:18" hidden="1">
      <c r="B161" s="456" t="s">
        <v>975</v>
      </c>
      <c r="C161" s="456" t="s">
        <v>1021</v>
      </c>
      <c r="D161" s="457" t="s">
        <v>1027</v>
      </c>
      <c r="E161" s="456" t="s">
        <v>1026</v>
      </c>
      <c r="F161" s="456" t="s">
        <v>878</v>
      </c>
      <c r="G161" s="456" t="s">
        <v>1233</v>
      </c>
      <c r="H161" s="456" t="s">
        <v>1234</v>
      </c>
      <c r="I161" s="456" t="s">
        <v>878</v>
      </c>
      <c r="J161" s="458" t="b">
        <f t="shared" si="20"/>
        <v>0</v>
      </c>
      <c r="K161" s="458" t="b">
        <f t="shared" si="16"/>
        <v>0</v>
      </c>
      <c r="L161" s="458" t="b">
        <f>IF(D161="n/a","n/a",ISNUMBER(MATCH(D161,'Measure-Level Adjustments Tab'!D:D,0)))</f>
        <v>0</v>
      </c>
      <c r="M161" s="458" t="b">
        <f t="shared" si="17"/>
        <v>0</v>
      </c>
      <c r="N161" s="458" t="b">
        <f t="shared" si="18"/>
        <v>0</v>
      </c>
      <c r="O161" s="458" t="s">
        <v>763</v>
      </c>
      <c r="P161" s="458"/>
      <c r="Q161" s="458"/>
      <c r="R161" s="458" t="str">
        <f t="shared" si="19"/>
        <v/>
      </c>
    </row>
    <row r="162" spans="2:18" hidden="1">
      <c r="B162" s="456" t="s">
        <v>975</v>
      </c>
      <c r="C162" s="456" t="s">
        <v>1021</v>
      </c>
      <c r="D162" s="457" t="s">
        <v>1028</v>
      </c>
      <c r="E162" s="456" t="s">
        <v>1381</v>
      </c>
      <c r="F162" s="456" t="s">
        <v>878</v>
      </c>
      <c r="G162" s="456" t="s">
        <v>1233</v>
      </c>
      <c r="H162" s="456" t="s">
        <v>1234</v>
      </c>
      <c r="I162" s="456" t="s">
        <v>878</v>
      </c>
      <c r="J162" s="458" t="b">
        <f t="shared" si="20"/>
        <v>0</v>
      </c>
      <c r="K162" s="458" t="b">
        <f t="shared" si="16"/>
        <v>0</v>
      </c>
      <c r="L162" s="458" t="b">
        <f>IF(D162="n/a","n/a",ISNUMBER(MATCH(D162,'Measure-Level Adjustments Tab'!D:D,0)))</f>
        <v>0</v>
      </c>
      <c r="M162" s="458" t="b">
        <f t="shared" si="17"/>
        <v>0</v>
      </c>
      <c r="N162" s="458" t="b">
        <f t="shared" si="18"/>
        <v>0</v>
      </c>
      <c r="O162" s="458" t="s">
        <v>763</v>
      </c>
      <c r="P162" s="458"/>
      <c r="Q162" s="458"/>
      <c r="R162" s="458" t="str">
        <f t="shared" si="19"/>
        <v/>
      </c>
    </row>
    <row r="163" spans="2:18" hidden="1">
      <c r="B163" s="456" t="s">
        <v>975</v>
      </c>
      <c r="C163" s="456" t="s">
        <v>1021</v>
      </c>
      <c r="D163" s="457" t="s">
        <v>1030</v>
      </c>
      <c r="E163" s="459" t="s">
        <v>1029</v>
      </c>
      <c r="F163" s="456" t="s">
        <v>878</v>
      </c>
      <c r="G163" s="456" t="s">
        <v>1233</v>
      </c>
      <c r="H163" s="456" t="s">
        <v>1234</v>
      </c>
      <c r="I163" s="456" t="s">
        <v>878</v>
      </c>
      <c r="J163" s="458" t="b">
        <f t="shared" si="20"/>
        <v>0</v>
      </c>
      <c r="K163" s="458" t="b">
        <f t="shared" si="16"/>
        <v>0</v>
      </c>
      <c r="L163" s="458" t="b">
        <f>IF(D163="n/a","n/a",ISNUMBER(MATCH(D163,'Measure-Level Adjustments Tab'!D:D,0)))</f>
        <v>0</v>
      </c>
      <c r="M163" s="458" t="b">
        <f t="shared" si="17"/>
        <v>0</v>
      </c>
      <c r="N163" s="458" t="b">
        <f t="shared" si="18"/>
        <v>0</v>
      </c>
      <c r="O163" s="458" t="s">
        <v>763</v>
      </c>
      <c r="P163" s="458"/>
      <c r="Q163" s="458"/>
      <c r="R163" s="458" t="str">
        <f t="shared" si="19"/>
        <v/>
      </c>
    </row>
    <row r="164" spans="2:18" hidden="1">
      <c r="B164" s="456" t="s">
        <v>975</v>
      </c>
      <c r="C164" s="456" t="s">
        <v>1021</v>
      </c>
      <c r="D164" s="457" t="s">
        <v>1032</v>
      </c>
      <c r="E164" s="459" t="s">
        <v>1031</v>
      </c>
      <c r="F164" s="456" t="s">
        <v>1382</v>
      </c>
      <c r="G164" s="456" t="s">
        <v>879</v>
      </c>
      <c r="H164" s="456" t="s">
        <v>1424</v>
      </c>
      <c r="I164" s="456" t="s">
        <v>1383</v>
      </c>
      <c r="J164" s="458" t="b">
        <f t="shared" si="20"/>
        <v>1</v>
      </c>
      <c r="K164" s="458" t="b">
        <f t="shared" si="16"/>
        <v>1</v>
      </c>
      <c r="L164" s="458" t="b">
        <f>IF(D164="n/a","n/a",ISNUMBER(MATCH(D164,'Measure-Level Adjustments Tab'!D:D,0)))</f>
        <v>0</v>
      </c>
      <c r="M164" s="458" t="b">
        <f t="shared" si="17"/>
        <v>0</v>
      </c>
      <c r="N164" s="458" t="b">
        <f t="shared" si="18"/>
        <v>0</v>
      </c>
      <c r="O164" s="458" t="s">
        <v>763</v>
      </c>
      <c r="P164" s="458"/>
      <c r="Q164" s="458"/>
      <c r="R164" s="458" t="str">
        <f t="shared" si="19"/>
        <v/>
      </c>
    </row>
    <row r="165" spans="2:18" hidden="1">
      <c r="B165" s="456" t="s">
        <v>975</v>
      </c>
      <c r="C165" s="456" t="s">
        <v>1021</v>
      </c>
      <c r="D165" s="457" t="s">
        <v>1034</v>
      </c>
      <c r="E165" s="459" t="s">
        <v>1033</v>
      </c>
      <c r="F165" s="456" t="s">
        <v>1384</v>
      </c>
      <c r="G165" s="456" t="s">
        <v>879</v>
      </c>
      <c r="H165" s="456" t="s">
        <v>1425</v>
      </c>
      <c r="I165" s="456" t="s">
        <v>1383</v>
      </c>
      <c r="J165" s="458" t="b">
        <f t="shared" si="20"/>
        <v>1</v>
      </c>
      <c r="K165" s="458" t="b">
        <f t="shared" si="16"/>
        <v>1</v>
      </c>
      <c r="L165" s="458" t="b">
        <f>IF(D165="n/a","n/a",ISNUMBER(MATCH(D165,'Measure-Level Adjustments Tab'!D:D,0)))</f>
        <v>0</v>
      </c>
      <c r="M165" s="458" t="b">
        <f t="shared" si="17"/>
        <v>0</v>
      </c>
      <c r="N165" s="458" t="b">
        <f t="shared" si="18"/>
        <v>0</v>
      </c>
      <c r="O165" s="458" t="s">
        <v>763</v>
      </c>
      <c r="P165" s="458"/>
      <c r="Q165" s="458"/>
      <c r="R165" s="458" t="str">
        <f t="shared" si="19"/>
        <v/>
      </c>
    </row>
    <row r="166" spans="2:18" hidden="1">
      <c r="B166" s="456" t="s">
        <v>975</v>
      </c>
      <c r="C166" s="456" t="s">
        <v>1021</v>
      </c>
      <c r="D166" s="457" t="s">
        <v>1036</v>
      </c>
      <c r="E166" s="459" t="s">
        <v>1035</v>
      </c>
      <c r="F166" s="456" t="s">
        <v>1385</v>
      </c>
      <c r="G166" s="456" t="s">
        <v>879</v>
      </c>
      <c r="H166" s="456" t="s">
        <v>1426</v>
      </c>
      <c r="I166" s="456" t="s">
        <v>1383</v>
      </c>
      <c r="J166" s="458" t="b">
        <f t="shared" si="20"/>
        <v>1</v>
      </c>
      <c r="K166" s="458" t="b">
        <f t="shared" si="16"/>
        <v>1</v>
      </c>
      <c r="L166" s="458" t="b">
        <f>IF(D166="n/a","n/a",ISNUMBER(MATCH(D166,'Measure-Level Adjustments Tab'!D:D,0)))</f>
        <v>0</v>
      </c>
      <c r="M166" s="458" t="b">
        <f t="shared" si="17"/>
        <v>0</v>
      </c>
      <c r="N166" s="458" t="b">
        <f t="shared" si="18"/>
        <v>0</v>
      </c>
      <c r="O166" s="458" t="s">
        <v>763</v>
      </c>
      <c r="P166" s="458"/>
      <c r="Q166" s="458"/>
      <c r="R166" s="458" t="str">
        <f t="shared" si="19"/>
        <v/>
      </c>
    </row>
    <row r="167" spans="2:18" hidden="1">
      <c r="B167" s="456" t="s">
        <v>975</v>
      </c>
      <c r="C167" s="456" t="s">
        <v>1021</v>
      </c>
      <c r="D167" s="457" t="s">
        <v>1038</v>
      </c>
      <c r="E167" s="459" t="s">
        <v>1037</v>
      </c>
      <c r="F167" s="456" t="s">
        <v>1386</v>
      </c>
      <c r="G167" s="456" t="s">
        <v>879</v>
      </c>
      <c r="H167" s="456" t="s">
        <v>1387</v>
      </c>
      <c r="I167" s="456" t="s">
        <v>907</v>
      </c>
      <c r="J167" s="458" t="b">
        <f t="shared" si="20"/>
        <v>1</v>
      </c>
      <c r="K167" s="458" t="b">
        <f t="shared" ref="K167:K184" si="21">COUNTIFS(D:D,D167,J:J,TRUE)&gt;0</f>
        <v>1</v>
      </c>
      <c r="L167" s="458" t="b">
        <f>IF(D167="n/a","n/a",ISNUMBER(MATCH(D167,'Measure-Level Adjustments Tab'!D:D,0)))</f>
        <v>0</v>
      </c>
      <c r="M167" s="458" t="b">
        <f t="shared" si="17"/>
        <v>0</v>
      </c>
      <c r="N167" s="458" t="b">
        <f t="shared" si="18"/>
        <v>0</v>
      </c>
      <c r="O167" s="458" t="s">
        <v>763</v>
      </c>
      <c r="P167" s="458"/>
      <c r="Q167" s="458"/>
      <c r="R167" s="458" t="str">
        <f t="shared" si="19"/>
        <v/>
      </c>
    </row>
    <row r="168" spans="2:18" hidden="1">
      <c r="B168" s="456" t="s">
        <v>975</v>
      </c>
      <c r="C168" s="456" t="s">
        <v>1021</v>
      </c>
      <c r="D168" s="457" t="s">
        <v>1388</v>
      </c>
      <c r="E168" s="459" t="s">
        <v>1389</v>
      </c>
      <c r="F168" s="456" t="s">
        <v>1390</v>
      </c>
      <c r="G168" s="456" t="s">
        <v>880</v>
      </c>
      <c r="H168" s="456" t="s">
        <v>961</v>
      </c>
      <c r="I168" s="456" t="s">
        <v>878</v>
      </c>
      <c r="J168" s="458" t="b">
        <f t="shared" si="20"/>
        <v>0</v>
      </c>
      <c r="K168" s="458" t="b">
        <f t="shared" si="21"/>
        <v>0</v>
      </c>
      <c r="L168" s="458" t="b">
        <f>IF(D168="n/a","n/a",ISNUMBER(MATCH(D168,'Measure-Level Adjustments Tab'!D:D,0)))</f>
        <v>0</v>
      </c>
      <c r="M168" s="458" t="b">
        <f t="shared" si="17"/>
        <v>0</v>
      </c>
      <c r="N168" s="458" t="b">
        <f t="shared" si="18"/>
        <v>0</v>
      </c>
      <c r="O168" s="458" t="s">
        <v>763</v>
      </c>
      <c r="P168" s="458"/>
      <c r="Q168" s="458"/>
      <c r="R168" s="458" t="str">
        <f t="shared" si="19"/>
        <v/>
      </c>
    </row>
    <row r="169" spans="2:18" hidden="1">
      <c r="B169" s="456" t="s">
        <v>975</v>
      </c>
      <c r="C169" s="456" t="s">
        <v>1039</v>
      </c>
      <c r="D169" s="457" t="s">
        <v>438</v>
      </c>
      <c r="E169" s="456" t="s">
        <v>1040</v>
      </c>
      <c r="F169" s="456" t="s">
        <v>1391</v>
      </c>
      <c r="G169" s="456" t="s">
        <v>879</v>
      </c>
      <c r="H169" s="456" t="s">
        <v>1392</v>
      </c>
      <c r="I169" s="456" t="s">
        <v>878</v>
      </c>
      <c r="J169" s="458" t="b">
        <f t="shared" si="20"/>
        <v>0</v>
      </c>
      <c r="K169" s="458" t="b">
        <f t="shared" si="21"/>
        <v>1</v>
      </c>
      <c r="L169" s="458" t="b">
        <f>IF(D169="n/a","n/a",ISNUMBER(MATCH(D169,'Measure-Level Adjustments Tab'!D:D,0)))</f>
        <v>1</v>
      </c>
      <c r="M169" s="458" t="b">
        <f t="shared" si="17"/>
        <v>0</v>
      </c>
      <c r="N169" s="458" t="b">
        <f t="shared" si="18"/>
        <v>0</v>
      </c>
      <c r="O169" s="458" t="s">
        <v>763</v>
      </c>
      <c r="P169" s="458"/>
      <c r="Q169" s="458"/>
      <c r="R169" s="458" t="str">
        <f t="shared" si="19"/>
        <v/>
      </c>
    </row>
    <row r="170" spans="2:18">
      <c r="B170" s="456" t="s">
        <v>975</v>
      </c>
      <c r="C170" s="456" t="s">
        <v>1039</v>
      </c>
      <c r="D170" s="457" t="s">
        <v>438</v>
      </c>
      <c r="E170" s="456" t="s">
        <v>1040</v>
      </c>
      <c r="F170" s="456" t="s">
        <v>1391</v>
      </c>
      <c r="G170" s="456" t="s">
        <v>879</v>
      </c>
      <c r="H170" s="456" t="s">
        <v>1393</v>
      </c>
      <c r="I170" s="456" t="s">
        <v>878</v>
      </c>
      <c r="J170" s="458" t="b">
        <v>1</v>
      </c>
      <c r="K170" s="458" t="b">
        <f t="shared" si="21"/>
        <v>1</v>
      </c>
      <c r="L170" s="458" t="b">
        <f>IF(D170="n/a","n/a",ISNUMBER(MATCH(D170,'Measure-Level Adjustments Tab'!D:D,0)))</f>
        <v>1</v>
      </c>
      <c r="M170" s="458" t="b">
        <f t="shared" si="17"/>
        <v>0</v>
      </c>
      <c r="N170" s="458" t="b">
        <f t="shared" si="18"/>
        <v>1</v>
      </c>
      <c r="O170" s="458" t="b">
        <v>1</v>
      </c>
      <c r="P170" s="458" t="s">
        <v>1446</v>
      </c>
      <c r="Q170" s="458" t="s">
        <v>1453</v>
      </c>
      <c r="R170" s="458" t="str">
        <f t="shared" si="19"/>
        <v>Go To Update</v>
      </c>
    </row>
    <row r="171" spans="2:18" hidden="1">
      <c r="B171" s="456" t="s">
        <v>975</v>
      </c>
      <c r="C171" s="456" t="s">
        <v>1039</v>
      </c>
      <c r="D171" s="457" t="s">
        <v>438</v>
      </c>
      <c r="E171" s="456" t="s">
        <v>1040</v>
      </c>
      <c r="F171" s="456" t="s">
        <v>1391</v>
      </c>
      <c r="G171" s="456" t="s">
        <v>879</v>
      </c>
      <c r="H171" s="456" t="s">
        <v>1394</v>
      </c>
      <c r="I171" s="456" t="s">
        <v>878</v>
      </c>
      <c r="J171" s="458" t="b">
        <f t="shared" si="20"/>
        <v>0</v>
      </c>
      <c r="K171" s="458" t="b">
        <f t="shared" si="21"/>
        <v>1</v>
      </c>
      <c r="L171" s="458" t="b">
        <f>IF(D171="n/a","n/a",ISNUMBER(MATCH(D171,'Measure-Level Adjustments Tab'!D:D,0)))</f>
        <v>1</v>
      </c>
      <c r="M171" s="458" t="b">
        <f t="shared" si="17"/>
        <v>0</v>
      </c>
      <c r="N171" s="458" t="b">
        <f t="shared" si="18"/>
        <v>0</v>
      </c>
      <c r="O171" s="458" t="s">
        <v>763</v>
      </c>
      <c r="P171" s="458"/>
      <c r="Q171" s="458"/>
      <c r="R171" s="458" t="str">
        <f t="shared" si="19"/>
        <v/>
      </c>
    </row>
    <row r="172" spans="2:18" hidden="1">
      <c r="B172" s="456" t="s">
        <v>975</v>
      </c>
      <c r="C172" s="456" t="s">
        <v>1039</v>
      </c>
      <c r="D172" s="457" t="s">
        <v>431</v>
      </c>
      <c r="E172" s="456" t="s">
        <v>1042</v>
      </c>
      <c r="F172" s="456" t="s">
        <v>1395</v>
      </c>
      <c r="G172" s="456" t="s">
        <v>879</v>
      </c>
      <c r="H172" s="456" t="s">
        <v>1394</v>
      </c>
      <c r="I172" s="456" t="s">
        <v>878</v>
      </c>
      <c r="J172" s="458" t="b">
        <f t="shared" si="20"/>
        <v>0</v>
      </c>
      <c r="K172" s="458" t="b">
        <f t="shared" si="21"/>
        <v>0</v>
      </c>
      <c r="L172" s="458" t="b">
        <f>IF(D172="n/a","n/a",ISNUMBER(MATCH(D172,'Measure-Level Adjustments Tab'!D:D,0)))</f>
        <v>1</v>
      </c>
      <c r="M172" s="458" t="b">
        <f t="shared" si="17"/>
        <v>0</v>
      </c>
      <c r="N172" s="458" t="b">
        <f t="shared" si="18"/>
        <v>0</v>
      </c>
      <c r="O172" s="458" t="s">
        <v>763</v>
      </c>
      <c r="P172" s="458"/>
      <c r="Q172" s="458"/>
      <c r="R172" s="458" t="str">
        <f t="shared" si="19"/>
        <v/>
      </c>
    </row>
    <row r="173" spans="2:18" hidden="1">
      <c r="B173" s="456" t="s">
        <v>975</v>
      </c>
      <c r="C173" s="456" t="s">
        <v>1039</v>
      </c>
      <c r="D173" s="457" t="s">
        <v>1043</v>
      </c>
      <c r="E173" s="456" t="s">
        <v>1396</v>
      </c>
      <c r="F173" s="456" t="s">
        <v>1397</v>
      </c>
      <c r="G173" s="456" t="s">
        <v>906</v>
      </c>
      <c r="H173" s="456" t="s">
        <v>1398</v>
      </c>
      <c r="I173" s="456" t="s">
        <v>886</v>
      </c>
      <c r="J173" s="458" t="b">
        <f t="shared" si="20"/>
        <v>1</v>
      </c>
      <c r="K173" s="458" t="b">
        <f t="shared" si="21"/>
        <v>1</v>
      </c>
      <c r="L173" s="458" t="b">
        <f>IF(D173="n/a","n/a",ISNUMBER(MATCH(D173,'Measure-Level Adjustments Tab'!D:D,0)))</f>
        <v>0</v>
      </c>
      <c r="M173" s="458" t="b">
        <f t="shared" si="17"/>
        <v>0</v>
      </c>
      <c r="N173" s="458" t="b">
        <f t="shared" si="18"/>
        <v>0</v>
      </c>
      <c r="O173" s="458" t="s">
        <v>763</v>
      </c>
      <c r="P173" s="458"/>
      <c r="Q173" s="458"/>
      <c r="R173" s="458" t="str">
        <f t="shared" si="19"/>
        <v/>
      </c>
    </row>
    <row r="174" spans="2:18" hidden="1">
      <c r="B174" s="456" t="s">
        <v>975</v>
      </c>
      <c r="C174" s="456" t="s">
        <v>1039</v>
      </c>
      <c r="D174" s="457" t="s">
        <v>1043</v>
      </c>
      <c r="E174" s="456" t="s">
        <v>1396</v>
      </c>
      <c r="F174" s="456" t="s">
        <v>1399</v>
      </c>
      <c r="G174" s="456" t="s">
        <v>879</v>
      </c>
      <c r="H174" s="456" t="s">
        <v>1394</v>
      </c>
      <c r="I174" s="456" t="s">
        <v>878</v>
      </c>
      <c r="J174" s="458" t="b">
        <f t="shared" si="20"/>
        <v>0</v>
      </c>
      <c r="K174" s="458" t="b">
        <f t="shared" si="21"/>
        <v>1</v>
      </c>
      <c r="L174" s="458" t="b">
        <f>IF(D174="n/a","n/a",ISNUMBER(MATCH(D174,'Measure-Level Adjustments Tab'!D:D,0)))</f>
        <v>0</v>
      </c>
      <c r="M174" s="458" t="b">
        <f t="shared" si="17"/>
        <v>0</v>
      </c>
      <c r="N174" s="458" t="b">
        <f t="shared" si="18"/>
        <v>0</v>
      </c>
      <c r="O174" s="458" t="s">
        <v>763</v>
      </c>
      <c r="P174" s="458"/>
      <c r="Q174" s="458"/>
      <c r="R174" s="458" t="str">
        <f t="shared" si="19"/>
        <v/>
      </c>
    </row>
    <row r="175" spans="2:18" hidden="1">
      <c r="B175" s="456" t="s">
        <v>975</v>
      </c>
      <c r="C175" s="456" t="s">
        <v>1039</v>
      </c>
      <c r="D175" s="457" t="s">
        <v>417</v>
      </c>
      <c r="E175" s="456" t="s">
        <v>1044</v>
      </c>
      <c r="F175" s="456" t="s">
        <v>1400</v>
      </c>
      <c r="G175" s="456" t="s">
        <v>879</v>
      </c>
      <c r="H175" s="456" t="s">
        <v>1394</v>
      </c>
      <c r="I175" s="456" t="s">
        <v>878</v>
      </c>
      <c r="J175" s="458" t="b">
        <f t="shared" si="20"/>
        <v>0</v>
      </c>
      <c r="K175" s="458" t="b">
        <f t="shared" si="21"/>
        <v>0</v>
      </c>
      <c r="L175" s="458" t="b">
        <f>IF(D175="n/a","n/a",ISNUMBER(MATCH(D175,'Measure-Level Adjustments Tab'!D:D,0)))</f>
        <v>1</v>
      </c>
      <c r="M175" s="458" t="b">
        <f t="shared" si="17"/>
        <v>0</v>
      </c>
      <c r="N175" s="458" t="b">
        <f t="shared" si="18"/>
        <v>0</v>
      </c>
      <c r="O175" s="458" t="s">
        <v>763</v>
      </c>
      <c r="P175" s="458"/>
      <c r="Q175" s="458"/>
      <c r="R175" s="458" t="str">
        <f t="shared" si="19"/>
        <v/>
      </c>
    </row>
    <row r="176" spans="2:18">
      <c r="B176" s="456" t="s">
        <v>975</v>
      </c>
      <c r="C176" s="456" t="s">
        <v>1039</v>
      </c>
      <c r="D176" s="457" t="s">
        <v>1047</v>
      </c>
      <c r="E176" s="456" t="s">
        <v>1046</v>
      </c>
      <c r="F176" s="456" t="s">
        <v>1401</v>
      </c>
      <c r="G176" s="456" t="s">
        <v>879</v>
      </c>
      <c r="H176" s="456" t="s">
        <v>1393</v>
      </c>
      <c r="I176" s="456" t="s">
        <v>886</v>
      </c>
      <c r="J176" s="458" t="b">
        <f t="shared" si="20"/>
        <v>1</v>
      </c>
      <c r="K176" s="458" t="b">
        <f t="shared" si="21"/>
        <v>1</v>
      </c>
      <c r="L176" s="458" t="b">
        <f>IF(D176="n/a","n/a",ISNUMBER(MATCH(D176,'Measure-Level Adjustments Tab'!D:D,0)))</f>
        <v>1</v>
      </c>
      <c r="M176" s="458" t="b">
        <f t="shared" si="17"/>
        <v>0</v>
      </c>
      <c r="N176" s="458" t="b">
        <f t="shared" si="18"/>
        <v>1</v>
      </c>
      <c r="O176" s="458" t="b">
        <v>1</v>
      </c>
      <c r="P176" s="458" t="s">
        <v>1446</v>
      </c>
      <c r="Q176" s="458" t="s">
        <v>1454</v>
      </c>
      <c r="R176" s="458" t="str">
        <f t="shared" si="19"/>
        <v>Go To Update</v>
      </c>
    </row>
    <row r="177" spans="2:18">
      <c r="B177" s="456" t="s">
        <v>975</v>
      </c>
      <c r="C177" s="456" t="s">
        <v>1039</v>
      </c>
      <c r="D177" s="457" t="s">
        <v>1047</v>
      </c>
      <c r="E177" s="456" t="s">
        <v>1046</v>
      </c>
      <c r="F177" s="456" t="s">
        <v>1401</v>
      </c>
      <c r="G177" s="456" t="s">
        <v>879</v>
      </c>
      <c r="H177" s="456" t="s">
        <v>1402</v>
      </c>
      <c r="I177" s="456" t="s">
        <v>886</v>
      </c>
      <c r="J177" s="458" t="b">
        <f t="shared" si="20"/>
        <v>1</v>
      </c>
      <c r="K177" s="458" t="b">
        <f t="shared" si="21"/>
        <v>1</v>
      </c>
      <c r="L177" s="458" t="b">
        <f>IF(D177="n/a","n/a",ISNUMBER(MATCH(D177,'Measure-Level Adjustments Tab'!D:D,0)))</f>
        <v>1</v>
      </c>
      <c r="M177" s="458" t="b">
        <f t="shared" si="17"/>
        <v>0</v>
      </c>
      <c r="N177" s="458" t="b">
        <f t="shared" si="18"/>
        <v>1</v>
      </c>
      <c r="O177" s="458" t="s">
        <v>763</v>
      </c>
      <c r="P177" s="458" t="s">
        <v>1447</v>
      </c>
      <c r="Q177" s="458"/>
      <c r="R177" s="458" t="str">
        <f t="shared" si="19"/>
        <v/>
      </c>
    </row>
    <row r="178" spans="2:18">
      <c r="B178" s="456" t="s">
        <v>975</v>
      </c>
      <c r="C178" s="456" t="s">
        <v>1039</v>
      </c>
      <c r="D178" s="457" t="s">
        <v>1047</v>
      </c>
      <c r="E178" s="456" t="s">
        <v>1046</v>
      </c>
      <c r="F178" s="456" t="s">
        <v>1401</v>
      </c>
      <c r="G178" s="456" t="s">
        <v>879</v>
      </c>
      <c r="H178" s="456" t="s">
        <v>1394</v>
      </c>
      <c r="I178" s="456" t="s">
        <v>886</v>
      </c>
      <c r="J178" s="458" t="b">
        <f t="shared" si="20"/>
        <v>1</v>
      </c>
      <c r="K178" s="458" t="b">
        <f t="shared" si="21"/>
        <v>1</v>
      </c>
      <c r="L178" s="458" t="b">
        <f>IF(D178="n/a","n/a",ISNUMBER(MATCH(D178,'Measure-Level Adjustments Tab'!D:D,0)))</f>
        <v>1</v>
      </c>
      <c r="M178" s="458" t="b">
        <f t="shared" si="17"/>
        <v>0</v>
      </c>
      <c r="N178" s="458" t="b">
        <f t="shared" si="18"/>
        <v>1</v>
      </c>
      <c r="O178" s="458" t="s">
        <v>763</v>
      </c>
      <c r="P178" s="458" t="s">
        <v>1437</v>
      </c>
      <c r="Q178" s="458"/>
      <c r="R178" s="458" t="str">
        <f t="shared" si="19"/>
        <v/>
      </c>
    </row>
    <row r="179" spans="2:18" hidden="1">
      <c r="B179" s="456" t="s">
        <v>975</v>
      </c>
      <c r="C179" s="456" t="s">
        <v>1039</v>
      </c>
      <c r="D179" s="457" t="s">
        <v>1049</v>
      </c>
      <c r="E179" s="456" t="s">
        <v>1048</v>
      </c>
      <c r="F179" s="456" t="s">
        <v>1403</v>
      </c>
      <c r="G179" s="456" t="s">
        <v>879</v>
      </c>
      <c r="H179" s="456" t="s">
        <v>1394</v>
      </c>
      <c r="I179" s="456" t="s">
        <v>878</v>
      </c>
      <c r="J179" s="458" t="b">
        <f t="shared" si="20"/>
        <v>0</v>
      </c>
      <c r="K179" s="458" t="b">
        <f t="shared" si="21"/>
        <v>0</v>
      </c>
      <c r="L179" s="458" t="b">
        <f>IF(D179="n/a","n/a",ISNUMBER(MATCH(D179,'Measure-Level Adjustments Tab'!D:D,0)))</f>
        <v>0</v>
      </c>
      <c r="M179" s="458" t="b">
        <f t="shared" si="17"/>
        <v>0</v>
      </c>
      <c r="N179" s="458" t="b">
        <f t="shared" si="18"/>
        <v>0</v>
      </c>
      <c r="O179" s="458" t="s">
        <v>763</v>
      </c>
      <c r="P179" s="458"/>
      <c r="Q179" s="458"/>
      <c r="R179" s="458" t="str">
        <f t="shared" si="19"/>
        <v/>
      </c>
    </row>
    <row r="180" spans="2:18" hidden="1">
      <c r="B180" s="456" t="s">
        <v>975</v>
      </c>
      <c r="C180" s="456" t="s">
        <v>1050</v>
      </c>
      <c r="D180" s="457" t="s">
        <v>1404</v>
      </c>
      <c r="E180" s="456" t="s">
        <v>1405</v>
      </c>
      <c r="F180" s="456" t="s">
        <v>1406</v>
      </c>
      <c r="G180" s="456" t="s">
        <v>880</v>
      </c>
      <c r="H180" s="456" t="s">
        <v>935</v>
      </c>
      <c r="I180" s="456" t="s">
        <v>878</v>
      </c>
      <c r="J180" s="458" t="b">
        <f t="shared" si="20"/>
        <v>0</v>
      </c>
      <c r="K180" s="458" t="b">
        <f t="shared" si="21"/>
        <v>0</v>
      </c>
      <c r="L180" s="458" t="b">
        <f>IF(D180="n/a","n/a",ISNUMBER(MATCH(D180,'Measure-Level Adjustments Tab'!D:D,0)))</f>
        <v>0</v>
      </c>
      <c r="M180" s="458" t="b">
        <f t="shared" si="17"/>
        <v>0</v>
      </c>
      <c r="N180" s="458" t="b">
        <f t="shared" si="18"/>
        <v>0</v>
      </c>
      <c r="O180" s="458" t="s">
        <v>763</v>
      </c>
      <c r="P180" s="458"/>
      <c r="Q180" s="458"/>
      <c r="R180" s="458" t="str">
        <f t="shared" si="19"/>
        <v/>
      </c>
    </row>
    <row r="181" spans="2:18" hidden="1">
      <c r="B181" s="456" t="s">
        <v>1051</v>
      </c>
      <c r="C181" s="456" t="s">
        <v>1407</v>
      </c>
      <c r="D181" s="457" t="s">
        <v>763</v>
      </c>
      <c r="E181" s="459" t="s">
        <v>1408</v>
      </c>
      <c r="F181" s="456" t="s">
        <v>878</v>
      </c>
      <c r="G181" s="456" t="s">
        <v>879</v>
      </c>
      <c r="H181" s="459" t="s">
        <v>1409</v>
      </c>
      <c r="I181" s="456" t="s">
        <v>878</v>
      </c>
      <c r="J181" s="458" t="b">
        <f t="shared" si="20"/>
        <v>0</v>
      </c>
      <c r="K181" s="458" t="b">
        <f t="shared" si="21"/>
        <v>0</v>
      </c>
      <c r="L181" s="458" t="str">
        <f>IF(D181="n/a","n/a",ISNUMBER(MATCH(D181,'Measure-Level Adjustments Tab'!D:D,0)))</f>
        <v>n/a</v>
      </c>
      <c r="M181" s="458" t="b">
        <f t="shared" si="17"/>
        <v>0</v>
      </c>
      <c r="N181" s="458" t="b">
        <f t="shared" si="18"/>
        <v>0</v>
      </c>
      <c r="O181" s="458" t="s">
        <v>763</v>
      </c>
      <c r="P181" s="458"/>
      <c r="Q181" s="458"/>
      <c r="R181" s="458" t="str">
        <f t="shared" si="19"/>
        <v/>
      </c>
    </row>
    <row r="182" spans="2:18" hidden="1">
      <c r="B182" s="456" t="s">
        <v>1051</v>
      </c>
      <c r="C182" s="456" t="s">
        <v>1407</v>
      </c>
      <c r="D182" s="457" t="s">
        <v>763</v>
      </c>
      <c r="E182" s="459" t="s">
        <v>1408</v>
      </c>
      <c r="F182" s="456" t="s">
        <v>878</v>
      </c>
      <c r="G182" s="456" t="s">
        <v>879</v>
      </c>
      <c r="H182" s="459" t="s">
        <v>1410</v>
      </c>
      <c r="I182" s="456" t="s">
        <v>878</v>
      </c>
      <c r="J182" s="458" t="b">
        <f t="shared" si="20"/>
        <v>0</v>
      </c>
      <c r="K182" s="458" t="b">
        <f t="shared" si="21"/>
        <v>0</v>
      </c>
      <c r="L182" s="458" t="str">
        <f>IF(D182="n/a","n/a",ISNUMBER(MATCH(D182,'Measure-Level Adjustments Tab'!D:D,0)))</f>
        <v>n/a</v>
      </c>
      <c r="M182" s="458" t="b">
        <f t="shared" si="17"/>
        <v>0</v>
      </c>
      <c r="N182" s="458" t="b">
        <f t="shared" si="18"/>
        <v>0</v>
      </c>
      <c r="O182" s="458" t="s">
        <v>763</v>
      </c>
      <c r="P182" s="458"/>
      <c r="Q182" s="458"/>
      <c r="R182" s="458" t="str">
        <f t="shared" si="19"/>
        <v/>
      </c>
    </row>
    <row r="183" spans="2:18" hidden="1">
      <c r="B183" s="456" t="s">
        <v>1051</v>
      </c>
      <c r="C183" s="456" t="s">
        <v>1407</v>
      </c>
      <c r="D183" s="457" t="s">
        <v>763</v>
      </c>
      <c r="E183" s="459" t="s">
        <v>1408</v>
      </c>
      <c r="F183" s="456" t="s">
        <v>878</v>
      </c>
      <c r="G183" s="456" t="s">
        <v>879</v>
      </c>
      <c r="H183" s="459" t="s">
        <v>1411</v>
      </c>
      <c r="I183" s="456" t="s">
        <v>878</v>
      </c>
      <c r="J183" s="458" t="b">
        <f t="shared" si="20"/>
        <v>0</v>
      </c>
      <c r="K183" s="458" t="b">
        <f t="shared" si="21"/>
        <v>0</v>
      </c>
      <c r="L183" s="458" t="str">
        <f>IF(D183="n/a","n/a",ISNUMBER(MATCH(D183,'Measure-Level Adjustments Tab'!D:D,0)))</f>
        <v>n/a</v>
      </c>
      <c r="M183" s="458" t="b">
        <f t="shared" si="17"/>
        <v>0</v>
      </c>
      <c r="N183" s="458" t="b">
        <f t="shared" si="18"/>
        <v>0</v>
      </c>
      <c r="O183" s="458" t="s">
        <v>763</v>
      </c>
      <c r="P183" s="458"/>
      <c r="Q183" s="458"/>
      <c r="R183" s="458" t="str">
        <f t="shared" si="19"/>
        <v/>
      </c>
    </row>
    <row r="184" spans="2:18" hidden="1">
      <c r="B184" s="456" t="s">
        <v>1051</v>
      </c>
      <c r="C184" s="456" t="s">
        <v>1412</v>
      </c>
      <c r="D184" s="457" t="s">
        <v>763</v>
      </c>
      <c r="E184" s="459" t="s">
        <v>1413</v>
      </c>
      <c r="F184" s="456" t="s">
        <v>878</v>
      </c>
      <c r="G184" s="456" t="s">
        <v>880</v>
      </c>
      <c r="H184" s="459" t="s">
        <v>1414</v>
      </c>
      <c r="I184" s="456" t="s">
        <v>878</v>
      </c>
      <c r="J184" s="458" t="b">
        <f t="shared" si="20"/>
        <v>0</v>
      </c>
      <c r="K184" s="458" t="b">
        <f t="shared" si="21"/>
        <v>0</v>
      </c>
      <c r="L184" s="458" t="str">
        <f>IF(D184="n/a","n/a",ISNUMBER(MATCH(D184,'Measure-Level Adjustments Tab'!D:D,0)))</f>
        <v>n/a</v>
      </c>
      <c r="M184" s="458" t="b">
        <f t="shared" si="17"/>
        <v>0</v>
      </c>
      <c r="N184" s="458" t="b">
        <f t="shared" si="18"/>
        <v>0</v>
      </c>
      <c r="O184" s="458" t="s">
        <v>763</v>
      </c>
      <c r="P184" s="458"/>
      <c r="Q184" s="458"/>
      <c r="R184" s="458" t="str">
        <f t="shared" si="19"/>
        <v/>
      </c>
    </row>
  </sheetData>
  <autoFilter ref="B6:P184" xr:uid="{00000000-0009-0000-0000-000000000000}">
    <filterColumn colId="12">
      <filters>
        <filter val="TRUE"/>
      </filters>
    </filterColumn>
  </autoFilter>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499984740745262"/>
  </sheetPr>
  <dimension ref="A1:AJ86"/>
  <sheetViews>
    <sheetView zoomScale="70" zoomScaleNormal="70" zoomScaleSheetLayoutView="70" workbookViewId="0"/>
  </sheetViews>
  <sheetFormatPr defaultColWidth="9.1796875" defaultRowHeight="13"/>
  <cols>
    <col min="1" max="1" width="36.1796875" style="17" customWidth="1"/>
    <col min="2" max="2" width="11" style="172" customWidth="1"/>
    <col min="3" max="3" width="10.453125" style="172" customWidth="1"/>
    <col min="4" max="4" width="10.453125" style="171" customWidth="1"/>
    <col min="5" max="5" width="9" style="171" customWidth="1"/>
    <col min="6" max="6" width="8.54296875" style="171" customWidth="1"/>
    <col min="7" max="7" width="8.54296875" style="17" customWidth="1"/>
    <col min="8" max="8" width="9" style="17" customWidth="1"/>
    <col min="9" max="9" width="8.81640625" style="17" customWidth="1"/>
    <col min="10" max="10" width="4.26953125" style="17" customWidth="1"/>
    <col min="11" max="11" width="5" style="17" customWidth="1"/>
    <col min="12" max="12" width="8.54296875" style="17" customWidth="1"/>
    <col min="13" max="13" width="8.54296875" style="171" customWidth="1"/>
    <col min="14" max="14" width="10.453125" style="171" customWidth="1"/>
    <col min="15" max="16" width="10.453125" style="17" customWidth="1"/>
    <col min="17" max="17" width="9" style="17" customWidth="1"/>
    <col min="18" max="21" width="8.54296875" style="17" customWidth="1"/>
    <col min="22" max="23" width="8.54296875" style="171" customWidth="1"/>
    <col min="24" max="26" width="7.54296875" style="17" customWidth="1"/>
    <col min="27" max="27" width="5" style="17" customWidth="1"/>
    <col min="28" max="28" width="2.81640625" style="17" customWidth="1"/>
    <col min="29" max="30" width="5" style="17" customWidth="1"/>
    <col min="31" max="31" width="5" style="171" customWidth="1"/>
    <col min="32" max="32" width="8.54296875" style="171" customWidth="1"/>
    <col min="33" max="33" width="8.54296875" style="17" customWidth="1"/>
    <col min="34" max="36" width="7.54296875" style="17" customWidth="1"/>
    <col min="37" max="44" width="5" style="17" customWidth="1"/>
    <col min="45" max="16384" width="9.1796875" style="17"/>
  </cols>
  <sheetData>
    <row r="1" spans="1:36" s="2" customFormat="1">
      <c r="A1" s="213"/>
      <c r="I1" s="6"/>
      <c r="J1" s="25"/>
      <c r="K1" s="25"/>
      <c r="L1" s="4"/>
      <c r="M1" s="4"/>
      <c r="N1" s="4"/>
      <c r="O1" s="4"/>
      <c r="P1" s="3"/>
      <c r="Q1" s="3"/>
      <c r="R1" s="4"/>
      <c r="S1" s="212"/>
      <c r="T1" s="4"/>
    </row>
    <row r="2" spans="1:36">
      <c r="B2" s="17"/>
      <c r="D2" s="17"/>
      <c r="E2" s="17"/>
      <c r="G2" s="171"/>
      <c r="H2" s="171"/>
      <c r="J2" s="171"/>
      <c r="K2" s="171"/>
      <c r="L2" s="171"/>
      <c r="N2" s="17"/>
      <c r="S2" s="171"/>
      <c r="T2" s="171"/>
      <c r="U2" s="171"/>
      <c r="W2" s="17"/>
      <c r="AB2" s="171"/>
      <c r="AC2" s="171"/>
      <c r="AD2" s="171"/>
      <c r="AF2" s="17"/>
    </row>
    <row r="3" spans="1:36" s="4" customFormat="1">
      <c r="A3" s="17"/>
      <c r="B3" s="564" t="s">
        <v>792</v>
      </c>
      <c r="C3" s="564"/>
      <c r="D3" s="564"/>
      <c r="E3" s="564"/>
      <c r="F3" s="564"/>
      <c r="G3" s="564"/>
      <c r="H3" s="564"/>
      <c r="I3" s="564"/>
      <c r="K3" s="564" t="s">
        <v>793</v>
      </c>
      <c r="L3" s="564"/>
      <c r="M3" s="564"/>
      <c r="N3" s="564"/>
      <c r="O3" s="564"/>
      <c r="P3" s="564"/>
      <c r="Q3" s="564"/>
      <c r="R3" s="564"/>
      <c r="T3" s="564" t="s">
        <v>794</v>
      </c>
      <c r="U3" s="564"/>
      <c r="V3" s="564"/>
      <c r="W3" s="564"/>
      <c r="X3" s="564"/>
      <c r="Y3" s="564"/>
      <c r="Z3" s="564"/>
      <c r="AA3" s="564"/>
      <c r="AC3" s="564" t="s">
        <v>795</v>
      </c>
      <c r="AD3" s="564"/>
      <c r="AE3" s="564"/>
      <c r="AF3" s="564"/>
      <c r="AG3" s="564"/>
      <c r="AH3" s="564"/>
      <c r="AI3" s="564"/>
      <c r="AJ3" s="564"/>
    </row>
    <row r="4" spans="1:36" s="4" customFormat="1">
      <c r="A4" s="211"/>
      <c r="B4" s="155">
        <v>2018</v>
      </c>
      <c r="C4" s="155">
        <v>2019</v>
      </c>
      <c r="D4" s="155">
        <v>2020</v>
      </c>
      <c r="E4" s="210">
        <v>2021</v>
      </c>
      <c r="F4" s="210">
        <v>2022</v>
      </c>
      <c r="G4" s="210">
        <v>2023</v>
      </c>
      <c r="H4" s="210">
        <v>2024</v>
      </c>
      <c r="I4" s="210">
        <v>2025</v>
      </c>
      <c r="K4" s="155">
        <v>2018</v>
      </c>
      <c r="L4" s="155">
        <v>2019</v>
      </c>
      <c r="M4" s="155">
        <v>2020</v>
      </c>
      <c r="N4" s="210">
        <v>2021</v>
      </c>
      <c r="O4" s="210">
        <v>2022</v>
      </c>
      <c r="P4" s="210">
        <v>2023</v>
      </c>
      <c r="Q4" s="210">
        <v>2024</v>
      </c>
      <c r="R4" s="210">
        <v>2025</v>
      </c>
      <c r="T4" s="155">
        <v>2018</v>
      </c>
      <c r="U4" s="155">
        <v>2019</v>
      </c>
      <c r="V4" s="155">
        <v>2020</v>
      </c>
      <c r="W4" s="210">
        <v>2021</v>
      </c>
      <c r="X4" s="210">
        <v>2022</v>
      </c>
      <c r="Y4" s="210">
        <v>2023</v>
      </c>
      <c r="Z4" s="210">
        <v>2024</v>
      </c>
      <c r="AA4" s="210">
        <v>2025</v>
      </c>
      <c r="AC4" s="155">
        <v>2018</v>
      </c>
      <c r="AD4" s="155">
        <v>2019</v>
      </c>
      <c r="AE4" s="155">
        <v>2020</v>
      </c>
      <c r="AF4" s="210">
        <v>2021</v>
      </c>
      <c r="AG4" s="210">
        <v>2022</v>
      </c>
      <c r="AH4" s="210">
        <v>2023</v>
      </c>
      <c r="AI4" s="210">
        <v>2024</v>
      </c>
      <c r="AJ4" s="210">
        <v>2025</v>
      </c>
    </row>
    <row r="5" spans="1:36" s="4" customFormat="1">
      <c r="A5" s="15" t="s">
        <v>796</v>
      </c>
      <c r="B5" s="16">
        <f>B53</f>
        <v>824000.00000000012</v>
      </c>
      <c r="C5" s="16">
        <f t="shared" ref="C5:I5" si="0">C53</f>
        <v>824000.00000000012</v>
      </c>
      <c r="D5" s="16">
        <f t="shared" si="0"/>
        <v>362304.8709703866</v>
      </c>
      <c r="E5" s="16">
        <f t="shared" si="0"/>
        <v>157335.27451620335</v>
      </c>
      <c r="F5" s="16">
        <f t="shared" si="0"/>
        <v>69178.806228984715</v>
      </c>
      <c r="G5" s="16">
        <f t="shared" si="0"/>
        <v>30041.733746467315</v>
      </c>
      <c r="H5" s="16">
        <f t="shared" si="0"/>
        <v>0</v>
      </c>
      <c r="I5" s="16">
        <f t="shared" si="0"/>
        <v>0</v>
      </c>
      <c r="K5" s="16">
        <f>B54</f>
        <v>823000</v>
      </c>
      <c r="L5" s="16">
        <f t="shared" ref="L5:R5" si="1">C54</f>
        <v>460695.1290296134</v>
      </c>
      <c r="M5" s="16">
        <f t="shared" si="1"/>
        <v>202563.2151453394</v>
      </c>
      <c r="N5" s="16">
        <f t="shared" si="1"/>
        <v>87965.527420087325</v>
      </c>
      <c r="O5" s="16">
        <f t="shared" si="1"/>
        <v>38677.595948758164</v>
      </c>
      <c r="P5" s="16">
        <f t="shared" si="1"/>
        <v>16796.214083254912</v>
      </c>
      <c r="Q5" s="16">
        <f t="shared" si="1"/>
        <v>0</v>
      </c>
      <c r="R5" s="16">
        <f t="shared" si="1"/>
        <v>0</v>
      </c>
      <c r="T5" s="16">
        <f>B55</f>
        <v>814000</v>
      </c>
      <c r="U5" s="16">
        <f t="shared" ref="U5:AA5" si="2">C55</f>
        <v>454101.5103384573</v>
      </c>
      <c r="V5" s="16">
        <f t="shared" si="2"/>
        <v>199664.064454651</v>
      </c>
      <c r="W5" s="16">
        <f t="shared" si="2"/>
        <v>86706.536149664724</v>
      </c>
      <c r="X5" s="16">
        <f t="shared" si="2"/>
        <v>38124.029601933777</v>
      </c>
      <c r="Y5" s="16">
        <f t="shared" si="2"/>
        <v>16555.821198369667</v>
      </c>
      <c r="Z5" s="16">
        <f t="shared" si="2"/>
        <v>0</v>
      </c>
      <c r="AA5" s="16">
        <f t="shared" si="2"/>
        <v>0</v>
      </c>
      <c r="AC5" s="16">
        <f>B56</f>
        <v>805000</v>
      </c>
      <c r="AD5" s="16">
        <f t="shared" ref="AD5:AJ5" si="3">C56</f>
        <v>448191.60189627699</v>
      </c>
      <c r="AE5" s="16">
        <f t="shared" si="3"/>
        <v>197065.53458136105</v>
      </c>
      <c r="AF5" s="16">
        <f t="shared" si="3"/>
        <v>85578.093107048131</v>
      </c>
      <c r="AG5" s="16">
        <f t="shared" si="3"/>
        <v>37627.864054661164</v>
      </c>
      <c r="AH5" s="16">
        <f t="shared" si="3"/>
        <v>16340.355305304158</v>
      </c>
      <c r="AI5" s="16">
        <f t="shared" si="3"/>
        <v>0</v>
      </c>
      <c r="AJ5" s="16">
        <f t="shared" si="3"/>
        <v>0</v>
      </c>
    </row>
    <row r="6" spans="1:36" s="4" customFormat="1">
      <c r="A6" s="15" t="s">
        <v>797</v>
      </c>
      <c r="B6" s="16">
        <f>B73</f>
        <v>0</v>
      </c>
      <c r="C6" s="16">
        <f t="shared" ref="C6:I6" si="4">C73</f>
        <v>0</v>
      </c>
      <c r="D6" s="16">
        <f t="shared" si="4"/>
        <v>0</v>
      </c>
      <c r="E6" s="16">
        <f t="shared" si="4"/>
        <v>0</v>
      </c>
      <c r="F6" s="16">
        <f t="shared" si="4"/>
        <v>0</v>
      </c>
      <c r="G6" s="16">
        <f t="shared" si="4"/>
        <v>0</v>
      </c>
      <c r="H6" s="16">
        <f t="shared" si="4"/>
        <v>0</v>
      </c>
      <c r="I6" s="16">
        <f t="shared" si="4"/>
        <v>0</v>
      </c>
      <c r="K6" s="16">
        <f>B74</f>
        <v>0</v>
      </c>
      <c r="L6" s="16">
        <f t="shared" ref="L6:R6" si="5">C74</f>
        <v>0</v>
      </c>
      <c r="M6" s="16">
        <f t="shared" si="5"/>
        <v>0</v>
      </c>
      <c r="N6" s="16">
        <f t="shared" si="5"/>
        <v>0</v>
      </c>
      <c r="O6" s="16">
        <f t="shared" si="5"/>
        <v>0</v>
      </c>
      <c r="P6" s="16">
        <f t="shared" si="5"/>
        <v>0</v>
      </c>
      <c r="Q6" s="16">
        <f t="shared" si="5"/>
        <v>0</v>
      </c>
      <c r="R6" s="16">
        <f t="shared" si="5"/>
        <v>0</v>
      </c>
      <c r="T6" s="16">
        <f>B75</f>
        <v>0</v>
      </c>
      <c r="U6" s="16">
        <f t="shared" ref="U6:AA6" si="6">C75</f>
        <v>0</v>
      </c>
      <c r="V6" s="16">
        <f t="shared" si="6"/>
        <v>0</v>
      </c>
      <c r="W6" s="16">
        <f t="shared" si="6"/>
        <v>0</v>
      </c>
      <c r="X6" s="16">
        <f t="shared" si="6"/>
        <v>0</v>
      </c>
      <c r="Y6" s="16">
        <f t="shared" si="6"/>
        <v>0</v>
      </c>
      <c r="Z6" s="16">
        <f t="shared" si="6"/>
        <v>0</v>
      </c>
      <c r="AA6" s="16">
        <f t="shared" si="6"/>
        <v>0</v>
      </c>
      <c r="AC6" s="16">
        <f>B76</f>
        <v>0</v>
      </c>
      <c r="AD6" s="16">
        <f t="shared" ref="AD6:AJ6" si="7">C76</f>
        <v>0</v>
      </c>
      <c r="AE6" s="16">
        <f t="shared" si="7"/>
        <v>0</v>
      </c>
      <c r="AF6" s="16">
        <f t="shared" si="7"/>
        <v>0</v>
      </c>
      <c r="AG6" s="16">
        <f t="shared" si="7"/>
        <v>0</v>
      </c>
      <c r="AH6" s="16">
        <f t="shared" si="7"/>
        <v>0</v>
      </c>
      <c r="AI6" s="16">
        <f t="shared" si="7"/>
        <v>0</v>
      </c>
      <c r="AJ6" s="16">
        <f t="shared" si="7"/>
        <v>0</v>
      </c>
    </row>
    <row r="7" spans="1:36">
      <c r="B7" s="171"/>
      <c r="C7" s="171"/>
      <c r="G7" s="171"/>
      <c r="H7" s="171"/>
      <c r="I7" s="171"/>
      <c r="K7" s="171"/>
      <c r="L7" s="171"/>
      <c r="O7" s="171"/>
      <c r="P7" s="171"/>
      <c r="Q7" s="171"/>
      <c r="R7" s="171"/>
      <c r="T7" s="171"/>
      <c r="U7" s="171"/>
      <c r="X7" s="171"/>
      <c r="Y7" s="171"/>
      <c r="Z7" s="171"/>
      <c r="AA7" s="171"/>
      <c r="AC7" s="171"/>
      <c r="AD7" s="171"/>
      <c r="AG7" s="171"/>
      <c r="AH7" s="171"/>
      <c r="AI7" s="171"/>
      <c r="AJ7" s="171"/>
    </row>
    <row r="8" spans="1:36" s="4" customFormat="1">
      <c r="A8" s="15" t="s">
        <v>798</v>
      </c>
      <c r="B8" s="16">
        <f>N53</f>
        <v>575000</v>
      </c>
      <c r="C8" s="16">
        <f t="shared" ref="C8:I8" si="8">O53</f>
        <v>575000</v>
      </c>
      <c r="D8" s="16">
        <f t="shared" si="8"/>
        <v>252821.96699996633</v>
      </c>
      <c r="E8" s="16">
        <f t="shared" si="8"/>
        <v>109790.99860050596</v>
      </c>
      <c r="F8" s="16">
        <f t="shared" si="8"/>
        <v>48274.045608818211</v>
      </c>
      <c r="G8" s="16">
        <f t="shared" si="8"/>
        <v>20963.588475993573</v>
      </c>
      <c r="H8" s="16">
        <f t="shared" si="8"/>
        <v>0</v>
      </c>
      <c r="I8" s="16">
        <f t="shared" si="8"/>
        <v>0</v>
      </c>
      <c r="K8" s="16">
        <f>N54</f>
        <v>573000</v>
      </c>
      <c r="L8" s="16">
        <f t="shared" ref="L8:R8" si="9">O54</f>
        <v>320178.0330000337</v>
      </c>
      <c r="M8" s="16">
        <f t="shared" si="9"/>
        <v>140779.20016217159</v>
      </c>
      <c r="N8" s="16">
        <f t="shared" si="9"/>
        <v>61135.071257425137</v>
      </c>
      <c r="O8" s="16">
        <f t="shared" si="9"/>
        <v>26880.502553017963</v>
      </c>
      <c r="P8" s="16">
        <f t="shared" si="9"/>
        <v>11673.18351802747</v>
      </c>
      <c r="Q8" s="16">
        <f t="shared" si="9"/>
        <v>0</v>
      </c>
      <c r="R8" s="16">
        <f t="shared" si="9"/>
        <v>0</v>
      </c>
      <c r="T8" s="16">
        <f>N55</f>
        <v>566000</v>
      </c>
      <c r="U8" s="16">
        <f t="shared" ref="U8:AA8" si="10">O55</f>
        <v>315429.80123732239</v>
      </c>
      <c r="V8" s="16">
        <f t="shared" si="10"/>
        <v>138691.44834648393</v>
      </c>
      <c r="W8" s="16">
        <f t="shared" si="10"/>
        <v>60228.439767312586</v>
      </c>
      <c r="X8" s="16">
        <f t="shared" si="10"/>
        <v>26481.865410975592</v>
      </c>
      <c r="Y8" s="16">
        <f t="shared" si="10"/>
        <v>11500.070515136826</v>
      </c>
      <c r="Z8" s="16">
        <f t="shared" si="10"/>
        <v>0</v>
      </c>
      <c r="AA8" s="16">
        <f t="shared" si="10"/>
        <v>0</v>
      </c>
      <c r="AC8" s="16">
        <f>N56</f>
        <v>558000</v>
      </c>
      <c r="AD8" s="16">
        <f t="shared" ref="AD8:AJ8" si="11">O56</f>
        <v>309899.43478727271</v>
      </c>
      <c r="AE8" s="16">
        <f t="shared" si="11"/>
        <v>136259.79943494973</v>
      </c>
      <c r="AF8" s="16">
        <f t="shared" si="11"/>
        <v>59172.466801786177</v>
      </c>
      <c r="AG8" s="16">
        <f t="shared" si="11"/>
        <v>26017.564259248327</v>
      </c>
      <c r="AH8" s="16">
        <f t="shared" si="11"/>
        <v>11298.442121431986</v>
      </c>
      <c r="AI8" s="16">
        <f t="shared" si="11"/>
        <v>0</v>
      </c>
      <c r="AJ8" s="16">
        <f t="shared" si="11"/>
        <v>0</v>
      </c>
    </row>
    <row r="9" spans="1:36" s="4" customFormat="1">
      <c r="A9" s="15" t="s">
        <v>799</v>
      </c>
      <c r="B9" s="16">
        <f>N73</f>
        <v>0</v>
      </c>
      <c r="C9" s="16">
        <f t="shared" ref="C9:I9" si="12">O73</f>
        <v>0</v>
      </c>
      <c r="D9" s="16">
        <f t="shared" si="12"/>
        <v>0</v>
      </c>
      <c r="E9" s="16">
        <f t="shared" si="12"/>
        <v>0</v>
      </c>
      <c r="F9" s="16">
        <f t="shared" si="12"/>
        <v>0</v>
      </c>
      <c r="G9" s="16">
        <f t="shared" si="12"/>
        <v>0</v>
      </c>
      <c r="H9" s="16">
        <f t="shared" si="12"/>
        <v>0</v>
      </c>
      <c r="I9" s="16">
        <f t="shared" si="12"/>
        <v>0</v>
      </c>
      <c r="K9" s="16">
        <f>N74</f>
        <v>0</v>
      </c>
      <c r="L9" s="16">
        <f t="shared" ref="L9:R9" si="13">O74</f>
        <v>0</v>
      </c>
      <c r="M9" s="16">
        <f t="shared" si="13"/>
        <v>0</v>
      </c>
      <c r="N9" s="16">
        <f t="shared" si="13"/>
        <v>0</v>
      </c>
      <c r="O9" s="16">
        <f t="shared" si="13"/>
        <v>0</v>
      </c>
      <c r="P9" s="16">
        <f t="shared" si="13"/>
        <v>0</v>
      </c>
      <c r="Q9" s="16">
        <f t="shared" si="13"/>
        <v>0</v>
      </c>
      <c r="R9" s="16">
        <f t="shared" si="13"/>
        <v>0</v>
      </c>
      <c r="T9" s="16">
        <f>N75</f>
        <v>0</v>
      </c>
      <c r="U9" s="16">
        <f t="shared" ref="U9:AA9" si="14">O75</f>
        <v>0</v>
      </c>
      <c r="V9" s="16">
        <f t="shared" si="14"/>
        <v>0</v>
      </c>
      <c r="W9" s="16">
        <f t="shared" si="14"/>
        <v>0</v>
      </c>
      <c r="X9" s="16">
        <f t="shared" si="14"/>
        <v>0</v>
      </c>
      <c r="Y9" s="16">
        <f t="shared" si="14"/>
        <v>0</v>
      </c>
      <c r="Z9" s="16">
        <f t="shared" si="14"/>
        <v>0</v>
      </c>
      <c r="AA9" s="16">
        <f t="shared" si="14"/>
        <v>0</v>
      </c>
      <c r="AC9" s="16">
        <f>N76</f>
        <v>0</v>
      </c>
      <c r="AD9" s="16">
        <f t="shared" ref="AD9:AJ9" si="15">O76</f>
        <v>0</v>
      </c>
      <c r="AE9" s="16">
        <f t="shared" si="15"/>
        <v>0</v>
      </c>
      <c r="AF9" s="16">
        <f t="shared" si="15"/>
        <v>0</v>
      </c>
      <c r="AG9" s="16">
        <f t="shared" si="15"/>
        <v>0</v>
      </c>
      <c r="AH9" s="16">
        <f t="shared" si="15"/>
        <v>0</v>
      </c>
      <c r="AI9" s="16">
        <f t="shared" si="15"/>
        <v>0</v>
      </c>
      <c r="AJ9" s="16">
        <f t="shared" si="15"/>
        <v>0</v>
      </c>
    </row>
    <row r="10" spans="1:36" s="4" customFormat="1">
      <c r="A10" s="209"/>
      <c r="B10" s="17"/>
      <c r="C10" s="17"/>
      <c r="D10" s="17"/>
      <c r="E10" s="17"/>
      <c r="F10" s="17"/>
      <c r="G10" s="17"/>
      <c r="M10" s="17"/>
      <c r="N10" s="17"/>
      <c r="O10" s="17"/>
      <c r="P10" s="17"/>
      <c r="V10" s="17"/>
      <c r="W10" s="17"/>
      <c r="X10" s="17"/>
      <c r="Y10" s="17"/>
      <c r="AA10" s="17"/>
    </row>
    <row r="11" spans="1:36" s="4" customFormat="1">
      <c r="A11" s="179" t="s">
        <v>800</v>
      </c>
      <c r="B11" s="17"/>
      <c r="C11" s="17"/>
      <c r="D11" s="17"/>
      <c r="E11" s="17"/>
      <c r="F11" s="17"/>
      <c r="G11" s="17"/>
      <c r="M11" s="17"/>
      <c r="N11" s="17"/>
      <c r="O11" s="17"/>
      <c r="P11" s="17"/>
      <c r="V11" s="17"/>
      <c r="W11" s="17"/>
      <c r="X11" s="17"/>
      <c r="Y11" s="17"/>
      <c r="AA11" s="17"/>
    </row>
    <row r="12" spans="1:36">
      <c r="B12" s="172" t="s">
        <v>801</v>
      </c>
      <c r="C12" s="172" t="s">
        <v>697</v>
      </c>
      <c r="D12" s="17" t="s">
        <v>802</v>
      </c>
    </row>
    <row r="13" spans="1:36">
      <c r="A13" s="15" t="s">
        <v>803</v>
      </c>
      <c r="B13" s="16">
        <v>3280440</v>
      </c>
      <c r="C13" s="16">
        <v>151200</v>
      </c>
      <c r="D13" s="321">
        <f>B13/C13</f>
        <v>21.696031746031746</v>
      </c>
    </row>
    <row r="14" spans="1:36">
      <c r="A14" s="15" t="s">
        <v>804</v>
      </c>
      <c r="B14" s="16">
        <v>1108565</v>
      </c>
      <c r="C14" s="16">
        <v>91350</v>
      </c>
      <c r="D14" s="321">
        <f>B14/C14</f>
        <v>12.135358511220581</v>
      </c>
    </row>
    <row r="15" spans="1:36">
      <c r="D15" s="17"/>
    </row>
    <row r="16" spans="1:36" s="2" customFormat="1">
      <c r="A16" s="70" t="s">
        <v>667</v>
      </c>
      <c r="C16" s="322"/>
      <c r="D16" s="323"/>
      <c r="E16" s="153"/>
      <c r="F16" s="12"/>
      <c r="G16" s="324"/>
      <c r="H16" s="324"/>
      <c r="I16" s="153"/>
      <c r="J16" s="325"/>
      <c r="N16" s="565" t="s">
        <v>805</v>
      </c>
      <c r="O16" s="565"/>
      <c r="P16" s="565"/>
      <c r="Q16" s="153"/>
      <c r="R16" s="12"/>
      <c r="S16" s="324"/>
      <c r="T16" s="324"/>
      <c r="U16" s="324"/>
      <c r="V16" s="153"/>
      <c r="W16" s="325"/>
      <c r="X16" s="325"/>
      <c r="Y16" s="325"/>
    </row>
    <row r="17" spans="1:32" s="2" customFormat="1">
      <c r="P17" s="12"/>
      <c r="Q17" s="12"/>
      <c r="R17" s="153"/>
      <c r="S17" s="25"/>
      <c r="T17" s="25"/>
      <c r="U17" s="25"/>
      <c r="V17" s="25"/>
      <c r="W17" s="153"/>
      <c r="X17" s="25"/>
      <c r="Y17" s="25"/>
      <c r="Z17" s="25"/>
    </row>
    <row r="18" spans="1:32" s="2" customFormat="1">
      <c r="A18" s="186" t="s">
        <v>757</v>
      </c>
      <c r="B18" s="208">
        <v>2018</v>
      </c>
      <c r="C18" s="207">
        <v>2019</v>
      </c>
      <c r="D18" s="207">
        <v>2020</v>
      </c>
      <c r="E18" s="207">
        <v>2021</v>
      </c>
      <c r="F18" s="2" t="s">
        <v>806</v>
      </c>
      <c r="N18" s="208">
        <v>2018</v>
      </c>
      <c r="O18" s="207">
        <v>2019</v>
      </c>
      <c r="P18" s="207">
        <v>2020</v>
      </c>
      <c r="Q18" s="207">
        <v>2020</v>
      </c>
      <c r="Z18" s="25"/>
    </row>
    <row r="19" spans="1:32" s="2" customFormat="1">
      <c r="A19" s="203" t="s">
        <v>747</v>
      </c>
      <c r="B19" s="206">
        <v>46800</v>
      </c>
      <c r="C19" s="206">
        <v>45900</v>
      </c>
      <c r="D19" s="206">
        <v>44900</v>
      </c>
      <c r="E19" s="206">
        <v>44000</v>
      </c>
      <c r="G19" s="324"/>
      <c r="N19" s="89">
        <v>54000</v>
      </c>
      <c r="O19" s="89">
        <v>52800</v>
      </c>
      <c r="P19" s="89">
        <v>51600</v>
      </c>
      <c r="Q19" s="89">
        <v>50400</v>
      </c>
    </row>
    <row r="20" spans="1:32" s="2" customFormat="1">
      <c r="A20" s="205" t="s">
        <v>807</v>
      </c>
      <c r="B20" s="326">
        <v>4</v>
      </c>
      <c r="C20" s="326">
        <v>4</v>
      </c>
      <c r="D20" s="326">
        <v>4</v>
      </c>
      <c r="E20" s="326">
        <v>4</v>
      </c>
      <c r="N20" s="327">
        <v>4</v>
      </c>
      <c r="O20" s="327">
        <v>4</v>
      </c>
      <c r="P20" s="327">
        <v>4</v>
      </c>
      <c r="Q20" s="327">
        <v>4</v>
      </c>
    </row>
    <row r="21" spans="1:32" s="2" customFormat="1">
      <c r="A21" s="203" t="s">
        <v>756</v>
      </c>
      <c r="B21" s="206">
        <v>824000</v>
      </c>
      <c r="C21" s="206">
        <v>823000</v>
      </c>
      <c r="D21" s="206">
        <v>814000</v>
      </c>
      <c r="E21" s="206">
        <v>805000</v>
      </c>
      <c r="F21" s="328">
        <f>SUM(B45+B65)</f>
        <v>824000.00000000012</v>
      </c>
      <c r="G21" s="328">
        <f>SUM(C45+C65)</f>
        <v>823000</v>
      </c>
      <c r="H21" s="328">
        <f>SUM(D45+D65)</f>
        <v>814000</v>
      </c>
      <c r="I21" s="328">
        <f>SUM(E45+E65)</f>
        <v>805000</v>
      </c>
      <c r="N21" s="89">
        <v>575000</v>
      </c>
      <c r="O21" s="89">
        <v>573000</v>
      </c>
      <c r="P21" s="89">
        <v>566000</v>
      </c>
      <c r="Q21" s="89">
        <v>558000</v>
      </c>
      <c r="R21" s="328">
        <f>SUM(N45+N65)</f>
        <v>575000</v>
      </c>
      <c r="S21" s="328">
        <f>SUM(O45+O65)</f>
        <v>573000</v>
      </c>
      <c r="T21" s="328">
        <f>SUM(P45+P65)</f>
        <v>566000</v>
      </c>
      <c r="U21" s="328">
        <f>SUM(Q45+Q65)</f>
        <v>558000</v>
      </c>
    </row>
    <row r="22" spans="1:32" s="2" customFormat="1">
      <c r="A22" s="329" t="s">
        <v>808</v>
      </c>
      <c r="B22" s="206">
        <v>824000</v>
      </c>
      <c r="C22" s="206">
        <v>460695.12902961345</v>
      </c>
      <c r="D22" s="206">
        <v>454101.51033845718</v>
      </c>
      <c r="E22" s="206">
        <v>448191.60189627705</v>
      </c>
      <c r="N22" s="89">
        <v>575000</v>
      </c>
      <c r="O22" s="89">
        <v>320178.0330000337</v>
      </c>
      <c r="P22" s="89">
        <v>315429.80123732239</v>
      </c>
      <c r="Q22" s="89">
        <v>309899.43478727271</v>
      </c>
    </row>
    <row r="23" spans="1:32" s="2" customFormat="1">
      <c r="A23" s="329" t="s">
        <v>809</v>
      </c>
      <c r="B23" s="206">
        <v>1442860.685462042</v>
      </c>
      <c r="C23" s="206">
        <v>806697.68162705342</v>
      </c>
      <c r="D23" s="206">
        <v>795151.96174307622</v>
      </c>
      <c r="E23" s="206">
        <v>784803.44894465164</v>
      </c>
      <c r="N23" s="206">
        <v>1006850.5996852841</v>
      </c>
      <c r="O23" s="206">
        <v>560645.99049067579</v>
      </c>
      <c r="P23" s="206">
        <v>552331.62527723133</v>
      </c>
      <c r="Q23" s="206">
        <v>542647.70740468893</v>
      </c>
    </row>
    <row r="24" spans="1:32" s="2" customFormat="1">
      <c r="A24" s="205" t="s">
        <v>560</v>
      </c>
      <c r="B24" s="204">
        <v>400000</v>
      </c>
      <c r="C24" s="204">
        <v>400000</v>
      </c>
      <c r="D24" s="204">
        <v>400000</v>
      </c>
      <c r="E24" s="204">
        <v>400001</v>
      </c>
      <c r="N24" s="204">
        <v>350000</v>
      </c>
      <c r="O24" s="204">
        <v>350000</v>
      </c>
      <c r="P24" s="204">
        <v>350000</v>
      </c>
      <c r="Q24" s="204">
        <v>350001</v>
      </c>
    </row>
    <row r="25" spans="1:32" s="2" customFormat="1">
      <c r="A25" s="203" t="s">
        <v>755</v>
      </c>
      <c r="B25" s="202">
        <f>B24/B19</f>
        <v>8.5470085470085468</v>
      </c>
      <c r="C25" s="202">
        <f>C24/C19</f>
        <v>8.7145969498910674</v>
      </c>
      <c r="D25" s="202">
        <f>D24/D19</f>
        <v>8.908685968819599</v>
      </c>
      <c r="E25" s="202">
        <f>E24/E19</f>
        <v>9.0909318181818186</v>
      </c>
      <c r="N25" s="330">
        <f>N24/N19</f>
        <v>6.4814814814814818</v>
      </c>
      <c r="O25" s="330">
        <f>O24/O19</f>
        <v>6.6287878787878789</v>
      </c>
      <c r="P25" s="330">
        <f>P24/P19</f>
        <v>6.7829457364341081</v>
      </c>
      <c r="Q25" s="330">
        <f>Q24/Q19</f>
        <v>6.944464285714286</v>
      </c>
    </row>
    <row r="26" spans="1:32" s="2" customFormat="1"/>
    <row r="27" spans="1:32" s="2" customFormat="1">
      <c r="A27" s="201" t="s">
        <v>754</v>
      </c>
      <c r="B27" s="200">
        <v>4.2000000000000003E-2</v>
      </c>
      <c r="N27" s="200">
        <v>4.2000000000000003E-2</v>
      </c>
    </row>
    <row r="28" spans="1:32">
      <c r="A28" s="199" t="s">
        <v>810</v>
      </c>
      <c r="B28" s="198">
        <v>0.26400000000000001</v>
      </c>
      <c r="M28" s="2"/>
      <c r="N28" s="6"/>
      <c r="O28" s="2"/>
      <c r="P28" s="2"/>
      <c r="Q28" s="2"/>
      <c r="R28" s="2"/>
      <c r="S28" s="2"/>
      <c r="T28" s="2"/>
      <c r="U28" s="12"/>
      <c r="V28" s="12"/>
      <c r="W28" s="153"/>
      <c r="X28" s="2"/>
      <c r="Y28" s="2"/>
      <c r="Z28" s="2"/>
      <c r="AE28" s="17"/>
      <c r="AF28" s="17"/>
    </row>
    <row r="29" spans="1:32" s="2" customFormat="1"/>
    <row r="30" spans="1:32">
      <c r="C30" s="561" t="s">
        <v>753</v>
      </c>
      <c r="D30" s="562"/>
      <c r="E30" s="562"/>
      <c r="F30" s="562"/>
      <c r="G30" s="563"/>
      <c r="H30" s="171"/>
      <c r="I30" s="171"/>
      <c r="J30" s="171"/>
      <c r="M30" s="2"/>
      <c r="N30" s="17"/>
      <c r="O30" s="171"/>
      <c r="P30" s="171"/>
      <c r="V30" s="17"/>
      <c r="W30" s="17"/>
      <c r="X30" s="171"/>
      <c r="Y30" s="171"/>
      <c r="AE30" s="17"/>
      <c r="AF30" s="17"/>
    </row>
    <row r="31" spans="1:32">
      <c r="A31" s="4"/>
      <c r="B31" s="25"/>
      <c r="C31" s="331" t="s">
        <v>752</v>
      </c>
      <c r="D31" s="332" t="s">
        <v>751</v>
      </c>
      <c r="E31" s="333" t="s">
        <v>750</v>
      </c>
      <c r="F31" s="334" t="s">
        <v>749</v>
      </c>
      <c r="G31" s="335" t="s">
        <v>811</v>
      </c>
      <c r="H31" s="171"/>
      <c r="I31" s="171"/>
      <c r="J31" s="171"/>
      <c r="K31" s="4"/>
      <c r="M31" s="2"/>
      <c r="N31" s="17"/>
      <c r="P31" s="4"/>
      <c r="Q31" s="4"/>
      <c r="R31" s="4"/>
      <c r="S31" s="4"/>
      <c r="T31" s="4"/>
      <c r="V31" s="17"/>
      <c r="W31" s="17"/>
      <c r="Y31" s="4"/>
      <c r="Z31" s="4"/>
      <c r="AA31" s="4"/>
      <c r="AB31" s="4"/>
      <c r="AE31" s="17"/>
      <c r="AF31" s="17"/>
    </row>
    <row r="32" spans="1:32">
      <c r="A32" s="4"/>
      <c r="B32" s="25"/>
      <c r="C32" s="197">
        <v>1</v>
      </c>
      <c r="D32" s="196">
        <v>0.45</v>
      </c>
      <c r="E32" s="196">
        <v>0.2</v>
      </c>
      <c r="F32" s="196">
        <v>0.09</v>
      </c>
      <c r="G32" s="195">
        <v>0.04</v>
      </c>
      <c r="H32" s="171"/>
      <c r="I32" s="171"/>
      <c r="J32" s="171"/>
      <c r="K32" s="4"/>
      <c r="M32" s="2"/>
      <c r="N32" s="17"/>
      <c r="P32" s="4"/>
      <c r="Q32" s="4"/>
      <c r="R32" s="4"/>
      <c r="S32" s="4"/>
      <c r="T32" s="4"/>
      <c r="V32" s="17"/>
      <c r="W32" s="17"/>
      <c r="Y32" s="4"/>
      <c r="Z32" s="4"/>
      <c r="AA32" s="4"/>
      <c r="AB32" s="4"/>
      <c r="AE32" s="17"/>
      <c r="AF32" s="17"/>
    </row>
    <row r="33" spans="1:32" ht="14.5">
      <c r="A33" s="4"/>
      <c r="B33" s="336" t="s">
        <v>812</v>
      </c>
      <c r="C33" s="17"/>
      <c r="D33" s="337">
        <v>0.97708972753610179</v>
      </c>
      <c r="E33" s="337">
        <v>0.95470433565657364</v>
      </c>
      <c r="F33" s="337">
        <v>0.93283179920421666</v>
      </c>
      <c r="G33" s="337">
        <v>0.91146036852145962</v>
      </c>
      <c r="H33" s="171"/>
      <c r="I33" s="171"/>
      <c r="J33" s="171"/>
      <c r="K33" s="4"/>
      <c r="M33" s="2"/>
      <c r="N33" s="17"/>
      <c r="P33" s="4"/>
      <c r="Q33" s="4"/>
      <c r="R33" s="4"/>
      <c r="S33" s="4"/>
      <c r="T33" s="4"/>
      <c r="V33" s="17"/>
      <c r="W33" s="17"/>
      <c r="Y33" s="4"/>
      <c r="Z33" s="4"/>
      <c r="AA33" s="4"/>
      <c r="AB33" s="4"/>
      <c r="AE33" s="17"/>
      <c r="AF33" s="17"/>
    </row>
    <row r="34" spans="1:32" s="2" customFormat="1">
      <c r="A34" s="186" t="s">
        <v>748</v>
      </c>
    </row>
    <row r="35" spans="1:32" s="2" customFormat="1">
      <c r="A35" s="194"/>
      <c r="B35" s="193">
        <v>2018</v>
      </c>
      <c r="C35" s="193">
        <v>2019</v>
      </c>
      <c r="D35" s="192">
        <v>2020</v>
      </c>
      <c r="E35" s="192">
        <v>2021</v>
      </c>
      <c r="N35" s="193">
        <v>2018</v>
      </c>
      <c r="O35" s="193">
        <v>2019</v>
      </c>
      <c r="P35" s="192">
        <v>2020</v>
      </c>
      <c r="Q35" s="192">
        <v>2021</v>
      </c>
    </row>
    <row r="36" spans="1:32" s="2" customFormat="1">
      <c r="A36" s="190" t="s">
        <v>747</v>
      </c>
      <c r="B36" s="191">
        <f>B19</f>
        <v>46800</v>
      </c>
      <c r="C36" s="191">
        <f t="shared" ref="C36:D36" si="16">C19</f>
        <v>45900</v>
      </c>
      <c r="D36" s="191">
        <f t="shared" si="16"/>
        <v>44900</v>
      </c>
      <c r="E36" s="191">
        <f>E19</f>
        <v>44000</v>
      </c>
      <c r="N36" s="191">
        <f>N19</f>
        <v>54000</v>
      </c>
      <c r="O36" s="191">
        <f t="shared" ref="O36:Q36" si="17">O19</f>
        <v>52800</v>
      </c>
      <c r="P36" s="191">
        <f t="shared" si="17"/>
        <v>51600</v>
      </c>
      <c r="Q36" s="191">
        <f t="shared" si="17"/>
        <v>50400</v>
      </c>
    </row>
    <row r="37" spans="1:32" s="2" customFormat="1">
      <c r="A37" s="190" t="s">
        <v>746</v>
      </c>
      <c r="B37" s="189">
        <f>B21/B19</f>
        <v>17.606837606837608</v>
      </c>
      <c r="C37" s="189">
        <f>C21/C19</f>
        <v>17.930283224400871</v>
      </c>
      <c r="D37" s="189">
        <f>D21/D19</f>
        <v>18.129175946547885</v>
      </c>
      <c r="E37" s="189">
        <f>E21/E19</f>
        <v>18.295454545454547</v>
      </c>
      <c r="N37" s="189">
        <f>N21/N19</f>
        <v>10.648148148148149</v>
      </c>
      <c r="O37" s="189">
        <f>O21/O19</f>
        <v>10.852272727272727</v>
      </c>
      <c r="P37" s="189">
        <f>P21/P19</f>
        <v>10.968992248062015</v>
      </c>
      <c r="Q37" s="189">
        <f>Q21/Q19</f>
        <v>11.071428571428571</v>
      </c>
    </row>
    <row r="38" spans="1:32" s="2" customFormat="1">
      <c r="A38" s="188" t="s">
        <v>560</v>
      </c>
      <c r="B38" s="187">
        <v>375000</v>
      </c>
      <c r="C38" s="187">
        <v>375000</v>
      </c>
      <c r="D38" s="187">
        <v>375000</v>
      </c>
      <c r="E38" s="187">
        <v>375000</v>
      </c>
      <c r="N38" s="338">
        <f>N24</f>
        <v>350000</v>
      </c>
      <c r="O38" s="338">
        <f t="shared" ref="O38:Q38" si="18">O24</f>
        <v>350000</v>
      </c>
      <c r="P38" s="338">
        <f t="shared" si="18"/>
        <v>350000</v>
      </c>
      <c r="Q38" s="338">
        <f t="shared" si="18"/>
        <v>350001</v>
      </c>
    </row>
    <row r="39" spans="1:32" s="2" customFormat="1"/>
    <row r="40" spans="1:32" s="2" customFormat="1">
      <c r="A40" s="186" t="s">
        <v>813</v>
      </c>
    </row>
    <row r="41" spans="1:32">
      <c r="A41" s="185"/>
      <c r="B41" s="178">
        <v>2018</v>
      </c>
      <c r="C41" s="178">
        <v>2019</v>
      </c>
      <c r="D41" s="177">
        <v>2020</v>
      </c>
      <c r="E41" s="177">
        <v>2021</v>
      </c>
      <c r="J41" s="2"/>
      <c r="M41" s="2"/>
      <c r="N41" s="178">
        <v>2018</v>
      </c>
      <c r="O41" s="178">
        <v>2019</v>
      </c>
      <c r="P41" s="177">
        <v>2020</v>
      </c>
      <c r="Q41" s="177">
        <v>2021</v>
      </c>
      <c r="R41" s="171"/>
      <c r="V41" s="17"/>
      <c r="W41" s="17"/>
      <c r="Z41" s="2"/>
      <c r="AE41" s="17"/>
      <c r="AF41" s="17"/>
    </row>
    <row r="42" spans="1:32">
      <c r="A42" s="15" t="s">
        <v>697</v>
      </c>
      <c r="B42" s="16">
        <f>B36</f>
        <v>46800</v>
      </c>
      <c r="C42" s="16">
        <f t="shared" ref="C42:E42" si="19">C36</f>
        <v>45900</v>
      </c>
      <c r="D42" s="16">
        <f t="shared" si="19"/>
        <v>44900</v>
      </c>
      <c r="E42" s="16">
        <f t="shared" si="19"/>
        <v>44000</v>
      </c>
      <c r="J42" s="2"/>
      <c r="M42" s="2"/>
      <c r="N42" s="16">
        <f>N36</f>
        <v>54000</v>
      </c>
      <c r="O42" s="16">
        <f t="shared" ref="O42:Q42" si="20">O36</f>
        <v>52800</v>
      </c>
      <c r="P42" s="16">
        <f t="shared" si="20"/>
        <v>51600</v>
      </c>
      <c r="Q42" s="16">
        <f t="shared" si="20"/>
        <v>50400</v>
      </c>
      <c r="R42" s="171"/>
      <c r="V42" s="17"/>
      <c r="W42" s="17"/>
      <c r="Z42" s="2"/>
      <c r="AE42" s="17"/>
      <c r="AF42" s="17"/>
    </row>
    <row r="43" spans="1:32">
      <c r="A43" s="15" t="s">
        <v>814</v>
      </c>
      <c r="B43" s="339">
        <f>B38</f>
        <v>375000</v>
      </c>
      <c r="C43" s="339">
        <f t="shared" ref="C43:E43" si="21">C38</f>
        <v>375000</v>
      </c>
      <c r="D43" s="339">
        <f t="shared" si="21"/>
        <v>375000</v>
      </c>
      <c r="E43" s="339">
        <f t="shared" si="21"/>
        <v>375000</v>
      </c>
      <c r="J43" s="2"/>
      <c r="M43" s="2"/>
      <c r="N43" s="339">
        <f>N38</f>
        <v>350000</v>
      </c>
      <c r="O43" s="339">
        <f>O38</f>
        <v>350000</v>
      </c>
      <c r="P43" s="339">
        <f>P38</f>
        <v>350000</v>
      </c>
      <c r="Q43" s="339">
        <f>Q38</f>
        <v>350001</v>
      </c>
      <c r="R43" s="171"/>
      <c r="V43" s="17"/>
      <c r="W43" s="17"/>
      <c r="Z43" s="2"/>
      <c r="AE43" s="17"/>
      <c r="AF43" s="17"/>
    </row>
    <row r="44" spans="1:32">
      <c r="A44" s="15" t="s">
        <v>745</v>
      </c>
      <c r="B44" s="30">
        <f>B37</f>
        <v>17.606837606837608</v>
      </c>
      <c r="C44" s="30">
        <f>C37</f>
        <v>17.930283224400871</v>
      </c>
      <c r="D44" s="30">
        <f>D37</f>
        <v>18.129175946547885</v>
      </c>
      <c r="E44" s="30">
        <f>E37</f>
        <v>18.295454545454547</v>
      </c>
      <c r="J44" s="2"/>
      <c r="M44" s="2"/>
      <c r="N44" s="340">
        <f>N37</f>
        <v>10.648148148148149</v>
      </c>
      <c r="O44" s="340">
        <f>O37</f>
        <v>10.852272727272727</v>
      </c>
      <c r="P44" s="340">
        <f>P37</f>
        <v>10.968992248062015</v>
      </c>
      <c r="Q44" s="340">
        <f>Q37</f>
        <v>11.071428571428571</v>
      </c>
      <c r="R44" s="171"/>
      <c r="V44" s="17"/>
      <c r="W44" s="17"/>
      <c r="Z44" s="171"/>
      <c r="AE44" s="17"/>
      <c r="AF44" s="17"/>
    </row>
    <row r="45" spans="1:32">
      <c r="A45" s="15" t="s">
        <v>744</v>
      </c>
      <c r="B45" s="16">
        <f>B44*B42</f>
        <v>824000.00000000012</v>
      </c>
      <c r="C45" s="16">
        <f>C44*C42</f>
        <v>823000</v>
      </c>
      <c r="D45" s="16">
        <f>D44*D42</f>
        <v>814000</v>
      </c>
      <c r="E45" s="16">
        <f>E44*E42</f>
        <v>805000</v>
      </c>
      <c r="J45" s="2"/>
      <c r="M45" s="2"/>
      <c r="N45" s="16">
        <f>N44*N42</f>
        <v>575000</v>
      </c>
      <c r="O45" s="16">
        <f>O44*O42</f>
        <v>573000</v>
      </c>
      <c r="P45" s="16">
        <f>P44*P42</f>
        <v>566000</v>
      </c>
      <c r="Q45" s="16">
        <f>Q44*Q42</f>
        <v>558000</v>
      </c>
      <c r="R45" s="171"/>
      <c r="V45" s="17"/>
      <c r="W45" s="17"/>
      <c r="Z45" s="171"/>
      <c r="AE45" s="17"/>
      <c r="AF45" s="17"/>
    </row>
    <row r="46" spans="1:32">
      <c r="A46" s="181" t="s">
        <v>741</v>
      </c>
      <c r="B46" s="180">
        <f>B45</f>
        <v>824000.00000000012</v>
      </c>
      <c r="C46" s="180">
        <f>C45-(B46*C42/B42*D$32)</f>
        <v>459330.76923076913</v>
      </c>
      <c r="D46" s="180">
        <f>D45-(C46*D42/C42*D$32)-(B46*D42/B42*E$32)</f>
        <v>453694.99497234798</v>
      </c>
      <c r="E46" s="180">
        <f>E45-(D46*E42/D42*D$32)-(C46*E42/C42*E$32)-(B46*E42/B42*F$32)</f>
        <v>447143.10895149742</v>
      </c>
      <c r="H46" s="173"/>
      <c r="J46" s="2"/>
      <c r="M46" s="2"/>
      <c r="N46" s="180">
        <f>N45</f>
        <v>575000</v>
      </c>
      <c r="O46" s="180">
        <f>O45-(N46*O42/N42*D$32)</f>
        <v>320000</v>
      </c>
      <c r="P46" s="180">
        <f>P45-(O46*P42/O42*D$32)-(N46*P42/N42*E$32)</f>
        <v>315383.83838383842</v>
      </c>
      <c r="Q46" s="180">
        <f>Q45-(P46*Q42/P42*D$32)-(O46*Q42/O42*E$32)-(N46*Q42/N42*F$32)</f>
        <v>309986.89217758976</v>
      </c>
      <c r="R46" s="171"/>
      <c r="V46" s="17"/>
      <c r="W46" s="17"/>
      <c r="Z46" s="171"/>
      <c r="AE46" s="17"/>
      <c r="AF46" s="17"/>
    </row>
    <row r="47" spans="1:32" s="2" customFormat="1">
      <c r="A47" s="183"/>
      <c r="B47" s="182"/>
      <c r="C47" s="182"/>
      <c r="D47" s="182"/>
      <c r="E47" s="182"/>
      <c r="N47" s="182"/>
      <c r="O47" s="182"/>
      <c r="P47" s="182"/>
      <c r="Q47" s="182"/>
      <c r="R47" s="171"/>
      <c r="S47" s="17"/>
      <c r="T47" s="17"/>
      <c r="U47" s="17"/>
      <c r="V47" s="17"/>
      <c r="W47" s="17"/>
      <c r="X47" s="17"/>
      <c r="Y47" s="17"/>
      <c r="Z47" s="171"/>
    </row>
    <row r="48" spans="1:32">
      <c r="A48" s="183"/>
      <c r="B48" s="182"/>
      <c r="C48" s="182"/>
      <c r="D48" s="182"/>
      <c r="E48" s="182"/>
      <c r="J48" s="2"/>
      <c r="M48" s="2"/>
      <c r="N48" s="182"/>
      <c r="O48" s="182"/>
      <c r="P48" s="182"/>
      <c r="Q48" s="182"/>
      <c r="R48" s="171"/>
      <c r="V48" s="17"/>
      <c r="W48" s="17"/>
      <c r="Z48" s="171"/>
      <c r="AE48" s="17"/>
      <c r="AF48" s="17"/>
    </row>
    <row r="49" spans="1:32">
      <c r="A49" s="181"/>
      <c r="B49" s="180"/>
      <c r="C49" s="180"/>
      <c r="D49" s="180"/>
      <c r="E49" s="180"/>
      <c r="J49" s="2"/>
      <c r="M49" s="2"/>
      <c r="N49" s="180"/>
      <c r="O49" s="180"/>
      <c r="P49" s="180"/>
      <c r="Q49" s="180"/>
      <c r="R49" s="171"/>
      <c r="V49" s="17"/>
      <c r="W49" s="17"/>
      <c r="Z49" s="171"/>
      <c r="AE49" s="17"/>
      <c r="AF49" s="17"/>
    </row>
    <row r="50" spans="1:32">
      <c r="A50" s="175"/>
      <c r="B50" s="174"/>
      <c r="C50" s="174"/>
      <c r="D50" s="174"/>
      <c r="E50" s="174"/>
      <c r="J50" s="2"/>
      <c r="M50" s="2"/>
      <c r="N50" s="174"/>
      <c r="O50" s="174"/>
      <c r="P50" s="174"/>
      <c r="Q50" s="174"/>
      <c r="R50" s="171"/>
      <c r="V50" s="17"/>
      <c r="W50" s="17"/>
      <c r="Z50" s="171"/>
      <c r="AE50" s="17"/>
      <c r="AF50" s="17"/>
    </row>
    <row r="51" spans="1:32">
      <c r="B51" s="17"/>
      <c r="D51" s="172"/>
      <c r="E51" s="172"/>
      <c r="M51" s="2"/>
      <c r="N51" s="172"/>
      <c r="O51" s="172"/>
      <c r="P51" s="172"/>
      <c r="Q51" s="172"/>
      <c r="R51" s="171"/>
      <c r="V51" s="17"/>
      <c r="W51" s="17"/>
      <c r="Z51" s="171"/>
      <c r="AE51" s="17"/>
      <c r="AF51" s="17"/>
    </row>
    <row r="52" spans="1:32">
      <c r="A52" s="179" t="s">
        <v>739</v>
      </c>
      <c r="B52" s="178" t="s">
        <v>815</v>
      </c>
      <c r="C52" s="178" t="s">
        <v>816</v>
      </c>
      <c r="D52" s="177" t="s">
        <v>817</v>
      </c>
      <c r="E52" s="178" t="s">
        <v>818</v>
      </c>
      <c r="F52" s="177" t="s">
        <v>819</v>
      </c>
      <c r="G52" s="177" t="s">
        <v>820</v>
      </c>
      <c r="M52" s="179" t="s">
        <v>739</v>
      </c>
      <c r="N52" s="178" t="s">
        <v>815</v>
      </c>
      <c r="O52" s="178" t="s">
        <v>816</v>
      </c>
      <c r="P52" s="177" t="s">
        <v>817</v>
      </c>
      <c r="Q52" s="178" t="s">
        <v>818</v>
      </c>
      <c r="R52" s="177" t="s">
        <v>819</v>
      </c>
      <c r="S52" s="177" t="s">
        <v>820</v>
      </c>
      <c r="V52" s="17"/>
      <c r="W52" s="17"/>
      <c r="Z52" s="171"/>
      <c r="AE52" s="17"/>
      <c r="AF52" s="17"/>
    </row>
    <row r="53" spans="1:32">
      <c r="A53" s="176">
        <v>2018</v>
      </c>
      <c r="B53" s="16">
        <f>B45</f>
        <v>824000.00000000012</v>
      </c>
      <c r="C53" s="16">
        <f>$B53</f>
        <v>824000.00000000012</v>
      </c>
      <c r="D53" s="16">
        <f>$C53*D$32*D$33</f>
        <v>362304.8709703866</v>
      </c>
      <c r="E53" s="16">
        <f t="shared" ref="E53:G56" si="22">$C53*E$32*E$33</f>
        <v>157335.27451620335</v>
      </c>
      <c r="F53" s="16">
        <f t="shared" si="22"/>
        <v>69178.806228984715</v>
      </c>
      <c r="G53" s="16">
        <f t="shared" si="22"/>
        <v>30041.733746467315</v>
      </c>
      <c r="L53" s="173"/>
      <c r="M53" s="176">
        <v>2018</v>
      </c>
      <c r="N53" s="16">
        <f>N45</f>
        <v>575000</v>
      </c>
      <c r="O53" s="16">
        <f>$N53</f>
        <v>575000</v>
      </c>
      <c r="P53" s="16">
        <f>$O53*D$32*D$33</f>
        <v>252821.96699996633</v>
      </c>
      <c r="Q53" s="16">
        <f t="shared" ref="Q53:S56" si="23">$O53*E$32*E$33</f>
        <v>109790.99860050596</v>
      </c>
      <c r="R53" s="16">
        <f t="shared" si="23"/>
        <v>48274.045608818211</v>
      </c>
      <c r="S53" s="16">
        <f t="shared" si="23"/>
        <v>20963.588475993573</v>
      </c>
      <c r="V53" s="17"/>
      <c r="W53" s="17"/>
      <c r="Z53" s="171"/>
      <c r="AE53" s="17"/>
      <c r="AF53" s="17"/>
    </row>
    <row r="54" spans="1:32">
      <c r="A54" s="176">
        <v>2019</v>
      </c>
      <c r="B54" s="152">
        <f>C45</f>
        <v>823000</v>
      </c>
      <c r="C54" s="16">
        <f>B54-D53</f>
        <v>460695.1290296134</v>
      </c>
      <c r="D54" s="16">
        <f t="shared" ref="D54:D56" si="24">$C54*D$32*D$33</f>
        <v>202563.2151453394</v>
      </c>
      <c r="E54" s="16">
        <f t="shared" si="22"/>
        <v>87965.527420087325</v>
      </c>
      <c r="F54" s="16">
        <f t="shared" si="22"/>
        <v>38677.595948758164</v>
      </c>
      <c r="G54" s="16">
        <f t="shared" si="22"/>
        <v>16796.214083254912</v>
      </c>
      <c r="L54" s="173"/>
      <c r="M54" s="176">
        <v>2019</v>
      </c>
      <c r="N54" s="152">
        <f>O45</f>
        <v>573000</v>
      </c>
      <c r="O54" s="16">
        <f>N54-P53</f>
        <v>320178.0330000337</v>
      </c>
      <c r="P54" s="16">
        <f t="shared" ref="P54:P56" si="25">$O54*D$32*D$33</f>
        <v>140779.20016217159</v>
      </c>
      <c r="Q54" s="16">
        <f t="shared" si="23"/>
        <v>61135.071257425137</v>
      </c>
      <c r="R54" s="16">
        <f t="shared" si="23"/>
        <v>26880.502553017963</v>
      </c>
      <c r="S54" s="16">
        <f t="shared" si="23"/>
        <v>11673.18351802747</v>
      </c>
      <c r="V54" s="17"/>
      <c r="W54" s="17"/>
      <c r="Z54" s="171"/>
      <c r="AE54" s="17"/>
      <c r="AF54" s="17"/>
    </row>
    <row r="55" spans="1:32">
      <c r="A55" s="176">
        <v>2020</v>
      </c>
      <c r="B55" s="152">
        <f>D45</f>
        <v>814000</v>
      </c>
      <c r="C55" s="16">
        <f>B55-D54-E53</f>
        <v>454101.5103384573</v>
      </c>
      <c r="D55" s="16">
        <f t="shared" si="24"/>
        <v>199664.064454651</v>
      </c>
      <c r="E55" s="16">
        <f t="shared" si="22"/>
        <v>86706.536149664724</v>
      </c>
      <c r="F55" s="16">
        <f t="shared" si="22"/>
        <v>38124.029601933777</v>
      </c>
      <c r="G55" s="16">
        <f t="shared" si="22"/>
        <v>16555.821198369667</v>
      </c>
      <c r="L55" s="173"/>
      <c r="M55" s="176">
        <v>2020</v>
      </c>
      <c r="N55" s="152">
        <f>P45</f>
        <v>566000</v>
      </c>
      <c r="O55" s="16">
        <f>N55-P54-Q53</f>
        <v>315429.80123732239</v>
      </c>
      <c r="P55" s="16">
        <f t="shared" si="25"/>
        <v>138691.44834648393</v>
      </c>
      <c r="Q55" s="16">
        <f t="shared" si="23"/>
        <v>60228.439767312586</v>
      </c>
      <c r="R55" s="16">
        <f t="shared" si="23"/>
        <v>26481.865410975592</v>
      </c>
      <c r="S55" s="16">
        <f t="shared" si="23"/>
        <v>11500.070515136826</v>
      </c>
      <c r="V55" s="17"/>
      <c r="W55" s="17"/>
      <c r="Z55" s="171"/>
      <c r="AE55" s="17"/>
      <c r="AF55" s="17"/>
    </row>
    <row r="56" spans="1:32">
      <c r="A56" s="176">
        <v>2021</v>
      </c>
      <c r="B56" s="152">
        <f>E45</f>
        <v>805000</v>
      </c>
      <c r="C56" s="16">
        <f>B56-D55-E54-F53</f>
        <v>448191.60189627699</v>
      </c>
      <c r="D56" s="16">
        <f t="shared" si="24"/>
        <v>197065.53458136105</v>
      </c>
      <c r="E56" s="16">
        <f t="shared" si="22"/>
        <v>85578.093107048131</v>
      </c>
      <c r="F56" s="16">
        <f t="shared" si="22"/>
        <v>37627.864054661164</v>
      </c>
      <c r="G56" s="16">
        <f t="shared" si="22"/>
        <v>16340.355305304158</v>
      </c>
      <c r="L56" s="173"/>
      <c r="M56" s="176">
        <v>2021</v>
      </c>
      <c r="N56" s="152">
        <f>Q45</f>
        <v>558000</v>
      </c>
      <c r="O56" s="16">
        <f>N56-P55-Q54-R53</f>
        <v>309899.43478727271</v>
      </c>
      <c r="P56" s="16">
        <f t="shared" si="25"/>
        <v>136259.79943494973</v>
      </c>
      <c r="Q56" s="16">
        <f t="shared" si="23"/>
        <v>59172.466801786177</v>
      </c>
      <c r="R56" s="16">
        <f t="shared" si="23"/>
        <v>26017.564259248327</v>
      </c>
      <c r="S56" s="16">
        <f t="shared" si="23"/>
        <v>11298.442121431986</v>
      </c>
      <c r="V56" s="17"/>
      <c r="W56" s="17"/>
      <c r="Z56" s="171"/>
      <c r="AE56" s="17"/>
      <c r="AF56" s="17"/>
    </row>
    <row r="57" spans="1:32">
      <c r="A57" s="175" t="s">
        <v>738</v>
      </c>
      <c r="B57" s="174">
        <f>SUM(B53:B56)</f>
        <v>3266000</v>
      </c>
      <c r="C57" s="174">
        <f t="shared" ref="C57:G57" si="26">SUM(C53:C56)</f>
        <v>2186988.2412643479</v>
      </c>
      <c r="D57" s="174">
        <f t="shared" si="26"/>
        <v>961597.68515173811</v>
      </c>
      <c r="E57" s="174">
        <f t="shared" si="26"/>
        <v>417585.43119300355</v>
      </c>
      <c r="F57" s="174">
        <f t="shared" si="26"/>
        <v>183608.29583433783</v>
      </c>
      <c r="G57" s="174">
        <f t="shared" si="26"/>
        <v>79734.124333396045</v>
      </c>
      <c r="M57" s="175" t="s">
        <v>738</v>
      </c>
      <c r="N57" s="174">
        <f>SUM(N53:N56)</f>
        <v>2272000</v>
      </c>
      <c r="O57" s="174">
        <f t="shared" ref="O57:S57" si="27">SUM(O53:O56)</f>
        <v>1520507.2690246289</v>
      </c>
      <c r="P57" s="174">
        <f t="shared" si="27"/>
        <v>668552.41494357155</v>
      </c>
      <c r="Q57" s="174">
        <f t="shared" si="27"/>
        <v>290326.97642702988</v>
      </c>
      <c r="R57" s="174">
        <f t="shared" si="27"/>
        <v>127653.97783206007</v>
      </c>
      <c r="S57" s="174">
        <f t="shared" si="27"/>
        <v>55435.284630589857</v>
      </c>
      <c r="V57" s="17"/>
      <c r="W57" s="17"/>
      <c r="Z57" s="171"/>
      <c r="AE57" s="17"/>
      <c r="AF57" s="17"/>
    </row>
    <row r="58" spans="1:32">
      <c r="M58" s="2"/>
      <c r="N58" s="172"/>
      <c r="O58" s="172"/>
      <c r="P58" s="171"/>
      <c r="Q58" s="171"/>
      <c r="R58" s="171"/>
      <c r="V58" s="17"/>
      <c r="W58" s="17"/>
      <c r="Z58" s="171"/>
      <c r="AE58" s="17"/>
      <c r="AF58" s="17"/>
    </row>
    <row r="59" spans="1:32">
      <c r="M59" s="2"/>
      <c r="N59" s="172"/>
      <c r="O59" s="172"/>
      <c r="P59" s="171"/>
      <c r="Q59" s="171"/>
      <c r="R59" s="171"/>
      <c r="V59" s="17"/>
      <c r="W59" s="17"/>
      <c r="Z59" s="171"/>
      <c r="AE59" s="17"/>
      <c r="AF59" s="17"/>
    </row>
    <row r="60" spans="1:32" s="2" customFormat="1">
      <c r="A60" s="186" t="s">
        <v>821</v>
      </c>
      <c r="Z60" s="171"/>
    </row>
    <row r="61" spans="1:32">
      <c r="A61" s="185"/>
      <c r="B61" s="178">
        <v>2018</v>
      </c>
      <c r="C61" s="178">
        <v>2019</v>
      </c>
      <c r="D61" s="177">
        <v>2020</v>
      </c>
      <c r="E61" s="177">
        <v>2021</v>
      </c>
      <c r="J61" s="2"/>
      <c r="M61" s="2"/>
      <c r="N61" s="178">
        <v>2018</v>
      </c>
      <c r="O61" s="178">
        <v>2019</v>
      </c>
      <c r="P61" s="177">
        <v>2020</v>
      </c>
      <c r="Q61" s="177">
        <v>2021</v>
      </c>
      <c r="R61" s="2"/>
      <c r="S61" s="2"/>
      <c r="T61" s="2"/>
      <c r="U61" s="2"/>
      <c r="V61" s="2"/>
      <c r="W61" s="2"/>
      <c r="X61" s="2"/>
      <c r="Y61" s="2"/>
      <c r="Z61" s="171"/>
      <c r="AE61" s="17"/>
      <c r="AF61" s="17"/>
    </row>
    <row r="62" spans="1:32">
      <c r="A62" s="15" t="s">
        <v>697</v>
      </c>
      <c r="B62" s="16"/>
      <c r="C62" s="16"/>
      <c r="D62" s="16"/>
      <c r="E62" s="16"/>
      <c r="J62" s="2"/>
      <c r="M62" s="2"/>
      <c r="N62" s="16"/>
      <c r="O62" s="16"/>
      <c r="P62" s="16"/>
      <c r="Q62" s="16"/>
      <c r="R62" s="2"/>
      <c r="S62" s="2"/>
      <c r="T62" s="2"/>
      <c r="U62" s="2"/>
      <c r="V62" s="2"/>
      <c r="W62" s="2"/>
      <c r="X62" s="2"/>
      <c r="Y62" s="2"/>
      <c r="Z62" s="2"/>
      <c r="AE62" s="17"/>
      <c r="AF62" s="17"/>
    </row>
    <row r="63" spans="1:32">
      <c r="A63" s="15" t="s">
        <v>814</v>
      </c>
      <c r="B63" s="339"/>
      <c r="C63" s="339"/>
      <c r="D63" s="339"/>
      <c r="E63" s="339"/>
      <c r="J63" s="2"/>
      <c r="M63" s="2"/>
      <c r="N63" s="339"/>
      <c r="O63" s="339"/>
      <c r="P63" s="339"/>
      <c r="Q63" s="339"/>
      <c r="R63" s="2"/>
      <c r="S63" s="2"/>
      <c r="T63" s="2"/>
      <c r="U63" s="2"/>
      <c r="V63" s="2"/>
      <c r="W63" s="2"/>
      <c r="X63" s="2"/>
      <c r="Y63" s="2"/>
      <c r="Z63" s="2"/>
      <c r="AE63" s="17"/>
      <c r="AF63" s="17"/>
    </row>
    <row r="64" spans="1:32">
      <c r="A64" s="15" t="s">
        <v>745</v>
      </c>
      <c r="B64" s="184"/>
      <c r="C64" s="184"/>
      <c r="D64" s="184"/>
      <c r="E64" s="184"/>
      <c r="J64" s="2"/>
      <c r="M64" s="2"/>
      <c r="N64" s="184"/>
      <c r="O64" s="184"/>
      <c r="P64" s="184"/>
      <c r="Q64" s="184"/>
      <c r="R64" s="2"/>
      <c r="S64" s="2"/>
      <c r="T64" s="2"/>
      <c r="U64" s="2"/>
      <c r="V64" s="2"/>
      <c r="W64" s="2"/>
      <c r="X64" s="2"/>
      <c r="Y64" s="2"/>
      <c r="Z64" s="2"/>
      <c r="AE64" s="17"/>
      <c r="AF64" s="17"/>
    </row>
    <row r="65" spans="1:32">
      <c r="A65" s="15" t="s">
        <v>744</v>
      </c>
      <c r="B65" s="16"/>
      <c r="C65" s="16"/>
      <c r="D65" s="16"/>
      <c r="E65" s="16"/>
      <c r="J65" s="2"/>
      <c r="M65" s="2"/>
      <c r="N65" s="16"/>
      <c r="O65" s="16"/>
      <c r="P65" s="16"/>
      <c r="Q65" s="16"/>
      <c r="R65" s="2"/>
      <c r="S65" s="2"/>
      <c r="T65" s="2"/>
      <c r="U65" s="12"/>
      <c r="V65" s="12"/>
      <c r="W65" s="153"/>
      <c r="X65" s="2"/>
      <c r="Y65" s="2"/>
      <c r="Z65" s="2"/>
      <c r="AE65" s="17"/>
      <c r="AF65" s="17"/>
    </row>
    <row r="66" spans="1:32">
      <c r="A66" s="181" t="s">
        <v>741</v>
      </c>
      <c r="B66" s="180"/>
      <c r="C66" s="180"/>
      <c r="D66" s="180"/>
      <c r="E66" s="180"/>
      <c r="J66" s="2"/>
      <c r="M66" s="2"/>
      <c r="N66" s="180"/>
      <c r="O66" s="180"/>
      <c r="P66" s="180"/>
      <c r="Q66" s="180"/>
      <c r="R66" s="2"/>
      <c r="S66" s="2"/>
      <c r="T66" s="2"/>
      <c r="U66" s="12"/>
      <c r="V66" s="12"/>
      <c r="W66" s="153"/>
      <c r="X66" s="2"/>
      <c r="Y66" s="2"/>
      <c r="Z66" s="2"/>
      <c r="AE66" s="17"/>
      <c r="AF66" s="17"/>
    </row>
    <row r="67" spans="1:32" s="2" customFormat="1">
      <c r="A67" s="183" t="s">
        <v>743</v>
      </c>
      <c r="B67" s="182"/>
      <c r="C67" s="182"/>
      <c r="D67" s="182"/>
      <c r="E67" s="182"/>
      <c r="N67" s="182"/>
      <c r="O67" s="182"/>
      <c r="P67" s="182"/>
      <c r="Q67" s="182"/>
      <c r="U67" s="12"/>
      <c r="V67" s="12"/>
      <c r="W67" s="153"/>
    </row>
    <row r="68" spans="1:32">
      <c r="A68" s="183" t="s">
        <v>742</v>
      </c>
      <c r="B68" s="182"/>
      <c r="C68" s="182"/>
      <c r="D68" s="182"/>
      <c r="E68" s="182"/>
      <c r="J68" s="2"/>
      <c r="M68" s="2"/>
      <c r="N68" s="182"/>
      <c r="O68" s="182"/>
      <c r="P68" s="182"/>
      <c r="Q68" s="182"/>
      <c r="R68" s="2"/>
      <c r="S68" s="2"/>
      <c r="T68" s="2"/>
      <c r="U68" s="12"/>
      <c r="V68" s="12"/>
      <c r="W68" s="153"/>
      <c r="X68" s="2"/>
      <c r="Y68" s="2"/>
      <c r="Z68" s="2"/>
      <c r="AE68" s="17"/>
      <c r="AF68" s="17"/>
    </row>
    <row r="69" spans="1:32">
      <c r="A69" s="181" t="s">
        <v>741</v>
      </c>
      <c r="B69" s="180"/>
      <c r="C69" s="180"/>
      <c r="D69" s="180"/>
      <c r="E69" s="180"/>
      <c r="J69" s="2"/>
      <c r="M69" s="2"/>
      <c r="N69" s="180"/>
      <c r="O69" s="180"/>
      <c r="P69" s="180"/>
      <c r="Q69" s="180"/>
      <c r="R69" s="2"/>
      <c r="S69" s="2"/>
      <c r="T69" s="2"/>
      <c r="U69" s="12"/>
      <c r="V69" s="12"/>
      <c r="W69" s="153"/>
      <c r="X69" s="2"/>
      <c r="Y69" s="2"/>
      <c r="Z69" s="2"/>
      <c r="AE69" s="17"/>
      <c r="AF69" s="17"/>
    </row>
    <row r="70" spans="1:32">
      <c r="A70" s="175" t="s">
        <v>740</v>
      </c>
      <c r="B70" s="174"/>
      <c r="C70" s="174"/>
      <c r="D70" s="174"/>
      <c r="E70" s="174"/>
      <c r="J70" s="2"/>
      <c r="M70" s="2"/>
      <c r="N70" s="174"/>
      <c r="O70" s="174"/>
      <c r="P70" s="174"/>
      <c r="Q70" s="174"/>
      <c r="R70" s="2"/>
      <c r="S70" s="2"/>
      <c r="T70" s="2"/>
      <c r="U70" s="12"/>
      <c r="V70" s="12"/>
      <c r="W70" s="153"/>
      <c r="X70" s="2"/>
      <c r="Y70" s="2"/>
      <c r="Z70" s="2"/>
      <c r="AE70" s="17"/>
      <c r="AF70" s="17"/>
    </row>
    <row r="71" spans="1:32">
      <c r="D71" s="172"/>
      <c r="E71" s="172"/>
      <c r="M71" s="2"/>
      <c r="N71" s="172"/>
      <c r="O71" s="172"/>
      <c r="P71" s="172"/>
      <c r="Q71" s="172"/>
      <c r="R71" s="2"/>
      <c r="S71" s="2"/>
      <c r="T71" s="2"/>
      <c r="U71" s="12"/>
      <c r="V71" s="12"/>
      <c r="W71" s="153"/>
      <c r="X71" s="2"/>
      <c r="Y71" s="2"/>
      <c r="Z71" s="2"/>
      <c r="AE71" s="17"/>
      <c r="AF71" s="17"/>
    </row>
    <row r="72" spans="1:32">
      <c r="A72" s="179" t="s">
        <v>739</v>
      </c>
      <c r="B72" s="178" t="s">
        <v>815</v>
      </c>
      <c r="C72" s="178" t="s">
        <v>816</v>
      </c>
      <c r="D72" s="177" t="s">
        <v>817</v>
      </c>
      <c r="E72" s="178" t="s">
        <v>818</v>
      </c>
      <c r="F72" s="177" t="s">
        <v>819</v>
      </c>
      <c r="G72" s="177" t="s">
        <v>820</v>
      </c>
      <c r="M72" s="179" t="s">
        <v>739</v>
      </c>
      <c r="N72" s="178" t="s">
        <v>815</v>
      </c>
      <c r="O72" s="178" t="s">
        <v>816</v>
      </c>
      <c r="P72" s="177" t="s">
        <v>817</v>
      </c>
      <c r="Q72" s="178" t="s">
        <v>818</v>
      </c>
      <c r="R72" s="177" t="s">
        <v>819</v>
      </c>
      <c r="S72" s="177" t="s">
        <v>820</v>
      </c>
      <c r="T72" s="2"/>
      <c r="U72" s="12"/>
      <c r="V72" s="12"/>
      <c r="W72" s="153"/>
      <c r="X72" s="2"/>
      <c r="Y72" s="2"/>
      <c r="Z72" s="2"/>
      <c r="AE72" s="17"/>
      <c r="AF72" s="17"/>
    </row>
    <row r="73" spans="1:32">
      <c r="A73" s="176">
        <v>2018</v>
      </c>
      <c r="B73" s="16">
        <f>B65</f>
        <v>0</v>
      </c>
      <c r="C73" s="16">
        <f>$B73</f>
        <v>0</v>
      </c>
      <c r="D73" s="16">
        <f>$C73*D$32*D$33</f>
        <v>0</v>
      </c>
      <c r="E73" s="16">
        <f t="shared" ref="E73:G76" si="28">$C73*E$32*E$33</f>
        <v>0</v>
      </c>
      <c r="F73" s="16">
        <f t="shared" si="28"/>
        <v>0</v>
      </c>
      <c r="G73" s="16">
        <f t="shared" si="28"/>
        <v>0</v>
      </c>
      <c r="L73" s="173"/>
      <c r="M73" s="176">
        <v>2018</v>
      </c>
      <c r="N73" s="16">
        <f>N65</f>
        <v>0</v>
      </c>
      <c r="O73" s="16">
        <f>$N73</f>
        <v>0</v>
      </c>
      <c r="P73" s="16">
        <f>$O73*D$32*D$33</f>
        <v>0</v>
      </c>
      <c r="Q73" s="16">
        <f t="shared" ref="Q73:S76" si="29">$O73*E$32*E$33</f>
        <v>0</v>
      </c>
      <c r="R73" s="16">
        <f t="shared" si="29"/>
        <v>0</v>
      </c>
      <c r="S73" s="16">
        <f t="shared" si="29"/>
        <v>0</v>
      </c>
      <c r="T73" s="2"/>
      <c r="U73" s="12"/>
      <c r="V73" s="12"/>
      <c r="W73" s="153"/>
      <c r="X73" s="2"/>
      <c r="Y73" s="2"/>
      <c r="Z73" s="2"/>
      <c r="AE73" s="17"/>
      <c r="AF73" s="17"/>
    </row>
    <row r="74" spans="1:32">
      <c r="A74" s="176">
        <v>2019</v>
      </c>
      <c r="B74" s="152">
        <f>C65</f>
        <v>0</v>
      </c>
      <c r="C74" s="16">
        <f>B74-D73</f>
        <v>0</v>
      </c>
      <c r="D74" s="16">
        <f t="shared" ref="D74:D76" si="30">$C74*D$32*D$33</f>
        <v>0</v>
      </c>
      <c r="E74" s="16">
        <f t="shared" si="28"/>
        <v>0</v>
      </c>
      <c r="F74" s="16">
        <f t="shared" si="28"/>
        <v>0</v>
      </c>
      <c r="G74" s="16">
        <f t="shared" si="28"/>
        <v>0</v>
      </c>
      <c r="L74" s="173"/>
      <c r="M74" s="176">
        <v>2019</v>
      </c>
      <c r="N74" s="152">
        <f>O65</f>
        <v>0</v>
      </c>
      <c r="O74" s="16">
        <f>N74-P73</f>
        <v>0</v>
      </c>
      <c r="P74" s="16">
        <f t="shared" ref="P74:P76" si="31">$O74*D$32*D$33</f>
        <v>0</v>
      </c>
      <c r="Q74" s="16">
        <f t="shared" si="29"/>
        <v>0</v>
      </c>
      <c r="R74" s="16">
        <f t="shared" si="29"/>
        <v>0</v>
      </c>
      <c r="S74" s="16">
        <f t="shared" si="29"/>
        <v>0</v>
      </c>
      <c r="T74" s="2"/>
      <c r="U74" s="12"/>
      <c r="V74" s="12"/>
      <c r="W74" s="153"/>
      <c r="X74" s="2"/>
      <c r="Y74" s="2"/>
      <c r="Z74" s="2"/>
      <c r="AE74" s="17"/>
      <c r="AF74" s="17"/>
    </row>
    <row r="75" spans="1:32">
      <c r="A75" s="176">
        <v>2020</v>
      </c>
      <c r="B75" s="152">
        <f>D65</f>
        <v>0</v>
      </c>
      <c r="C75" s="16">
        <f>B75-D74-E73</f>
        <v>0</v>
      </c>
      <c r="D75" s="16">
        <f t="shared" si="30"/>
        <v>0</v>
      </c>
      <c r="E75" s="16">
        <f t="shared" si="28"/>
        <v>0</v>
      </c>
      <c r="F75" s="16">
        <f t="shared" si="28"/>
        <v>0</v>
      </c>
      <c r="G75" s="16">
        <f t="shared" si="28"/>
        <v>0</v>
      </c>
      <c r="L75" s="173"/>
      <c r="M75" s="176">
        <v>2020</v>
      </c>
      <c r="N75" s="152">
        <f>P65</f>
        <v>0</v>
      </c>
      <c r="O75" s="16">
        <f>N75-P74-Q73</f>
        <v>0</v>
      </c>
      <c r="P75" s="16">
        <f t="shared" si="31"/>
        <v>0</v>
      </c>
      <c r="Q75" s="16">
        <f t="shared" si="29"/>
        <v>0</v>
      </c>
      <c r="R75" s="16">
        <f t="shared" si="29"/>
        <v>0</v>
      </c>
      <c r="S75" s="16">
        <f t="shared" si="29"/>
        <v>0</v>
      </c>
      <c r="T75" s="2"/>
      <c r="U75" s="12"/>
      <c r="V75" s="12"/>
      <c r="W75" s="153"/>
      <c r="X75" s="2"/>
      <c r="Y75" s="2"/>
      <c r="Z75" s="2"/>
      <c r="AE75" s="17"/>
      <c r="AF75" s="17"/>
    </row>
    <row r="76" spans="1:32">
      <c r="A76" s="176">
        <v>2021</v>
      </c>
      <c r="B76" s="152">
        <f>E65</f>
        <v>0</v>
      </c>
      <c r="C76" s="16">
        <f>B76-D75-E74-F73</f>
        <v>0</v>
      </c>
      <c r="D76" s="16">
        <f t="shared" si="30"/>
        <v>0</v>
      </c>
      <c r="E76" s="16">
        <f t="shared" si="28"/>
        <v>0</v>
      </c>
      <c r="F76" s="16">
        <f t="shared" si="28"/>
        <v>0</v>
      </c>
      <c r="G76" s="16">
        <f t="shared" si="28"/>
        <v>0</v>
      </c>
      <c r="L76" s="173"/>
      <c r="M76" s="176">
        <v>2021</v>
      </c>
      <c r="N76" s="152">
        <f>Q65</f>
        <v>0</v>
      </c>
      <c r="O76" s="16">
        <f>N76-P75-Q74-R73</f>
        <v>0</v>
      </c>
      <c r="P76" s="16">
        <f t="shared" si="31"/>
        <v>0</v>
      </c>
      <c r="Q76" s="16">
        <f t="shared" si="29"/>
        <v>0</v>
      </c>
      <c r="R76" s="16">
        <f t="shared" si="29"/>
        <v>0</v>
      </c>
      <c r="S76" s="16">
        <f t="shared" si="29"/>
        <v>0</v>
      </c>
      <c r="T76" s="2"/>
      <c r="U76" s="12"/>
      <c r="V76" s="12"/>
      <c r="W76" s="153"/>
      <c r="X76" s="2"/>
      <c r="Y76" s="2"/>
      <c r="Z76" s="2"/>
      <c r="AE76" s="17"/>
      <c r="AF76" s="17"/>
    </row>
    <row r="77" spans="1:32">
      <c r="A77" s="175" t="s">
        <v>738</v>
      </c>
      <c r="B77" s="174">
        <f>SUM(B73:B76)</f>
        <v>0</v>
      </c>
      <c r="C77" s="174">
        <f t="shared" ref="C77:G77" si="32">SUM(C73:C76)</f>
        <v>0</v>
      </c>
      <c r="D77" s="174">
        <f t="shared" si="32"/>
        <v>0</v>
      </c>
      <c r="E77" s="174">
        <f t="shared" si="32"/>
        <v>0</v>
      </c>
      <c r="F77" s="174">
        <f t="shared" si="32"/>
        <v>0</v>
      </c>
      <c r="G77" s="174">
        <f t="shared" si="32"/>
        <v>0</v>
      </c>
      <c r="M77" s="175" t="s">
        <v>738</v>
      </c>
      <c r="N77" s="174">
        <f>SUM(N73:N76)</f>
        <v>0</v>
      </c>
      <c r="O77" s="174">
        <f t="shared" ref="O77:S77" si="33">SUM(O73:O76)</f>
        <v>0</v>
      </c>
      <c r="P77" s="174">
        <f t="shared" si="33"/>
        <v>0</v>
      </c>
      <c r="Q77" s="174">
        <f t="shared" si="33"/>
        <v>0</v>
      </c>
      <c r="R77" s="174">
        <f t="shared" si="33"/>
        <v>0</v>
      </c>
      <c r="S77" s="174">
        <f t="shared" si="33"/>
        <v>0</v>
      </c>
      <c r="T77" s="2"/>
      <c r="U77" s="12"/>
      <c r="V77" s="12"/>
      <c r="W77" s="153"/>
      <c r="X77" s="2"/>
      <c r="Y77" s="2"/>
      <c r="Z77" s="2"/>
      <c r="AE77" s="17"/>
      <c r="AF77" s="17"/>
    </row>
    <row r="78" spans="1:32">
      <c r="M78" s="2"/>
      <c r="N78" s="6"/>
      <c r="O78" s="2"/>
      <c r="P78" s="2"/>
      <c r="Q78" s="2"/>
      <c r="R78" s="2"/>
      <c r="S78" s="2"/>
      <c r="T78" s="2"/>
      <c r="U78" s="12"/>
      <c r="V78" s="12"/>
      <c r="W78" s="153"/>
      <c r="X78" s="2"/>
      <c r="Y78" s="2"/>
      <c r="Z78" s="2"/>
      <c r="AE78" s="17"/>
      <c r="AF78" s="17"/>
    </row>
    <row r="79" spans="1:32">
      <c r="A79" s="2"/>
      <c r="B79" s="2"/>
      <c r="C79" s="2"/>
      <c r="D79" s="2"/>
      <c r="E79" s="2"/>
      <c r="F79" s="2"/>
      <c r="G79" s="2"/>
      <c r="H79" s="2"/>
      <c r="I79" s="2"/>
      <c r="J79" s="2"/>
      <c r="M79" s="2"/>
      <c r="N79" s="6"/>
      <c r="O79" s="2"/>
      <c r="P79" s="2"/>
      <c r="Q79" s="2"/>
      <c r="R79" s="2"/>
      <c r="S79" s="2"/>
      <c r="T79" s="2"/>
      <c r="U79" s="12"/>
      <c r="V79" s="12"/>
      <c r="W79" s="153"/>
      <c r="X79" s="2"/>
      <c r="Y79" s="2"/>
      <c r="Z79" s="2"/>
      <c r="AE79" s="17"/>
      <c r="AF79" s="17"/>
    </row>
    <row r="80" spans="1:32" s="4" customFormat="1">
      <c r="A80" s="2"/>
      <c r="B80" s="328">
        <f>B53+B73</f>
        <v>824000.00000000012</v>
      </c>
      <c r="C80" s="328">
        <f t="shared" ref="C80:G80" si="34">C53+C73</f>
        <v>824000.00000000012</v>
      </c>
      <c r="D80" s="328">
        <f t="shared" si="34"/>
        <v>362304.8709703866</v>
      </c>
      <c r="E80" s="328">
        <f t="shared" si="34"/>
        <v>157335.27451620335</v>
      </c>
      <c r="F80" s="328">
        <f t="shared" si="34"/>
        <v>69178.806228984715</v>
      </c>
      <c r="G80" s="328">
        <f t="shared" si="34"/>
        <v>30041.733746467315</v>
      </c>
      <c r="H80" s="2"/>
      <c r="I80" s="2"/>
      <c r="J80" s="2"/>
      <c r="K80" s="17"/>
      <c r="L80" s="17"/>
      <c r="M80" s="328"/>
      <c r="N80" s="328">
        <f t="shared" ref="N80:S83" si="35">N53+N73</f>
        <v>575000</v>
      </c>
      <c r="O80" s="328">
        <f t="shared" si="35"/>
        <v>575000</v>
      </c>
      <c r="P80" s="328">
        <f t="shared" si="35"/>
        <v>252821.96699996633</v>
      </c>
      <c r="Q80" s="328">
        <f t="shared" si="35"/>
        <v>109790.99860050596</v>
      </c>
      <c r="R80" s="328">
        <f t="shared" si="35"/>
        <v>48274.045608818211</v>
      </c>
      <c r="S80" s="328">
        <f t="shared" si="35"/>
        <v>20963.588475993573</v>
      </c>
      <c r="T80" s="2"/>
      <c r="U80" s="12"/>
      <c r="V80" s="12"/>
      <c r="W80" s="153"/>
      <c r="X80" s="2"/>
      <c r="Y80" s="2"/>
      <c r="Z80" s="2"/>
    </row>
    <row r="81" spans="1:32" s="4" customFormat="1">
      <c r="A81" s="2"/>
      <c r="B81" s="328">
        <f t="shared" ref="B81:G83" si="36">B54+B74</f>
        <v>823000</v>
      </c>
      <c r="C81" s="328">
        <f t="shared" si="36"/>
        <v>460695.1290296134</v>
      </c>
      <c r="D81" s="328">
        <f t="shared" si="36"/>
        <v>202563.2151453394</v>
      </c>
      <c r="E81" s="328">
        <f t="shared" si="36"/>
        <v>87965.527420087325</v>
      </c>
      <c r="F81" s="328">
        <f t="shared" si="36"/>
        <v>38677.595948758164</v>
      </c>
      <c r="G81" s="328">
        <f t="shared" si="36"/>
        <v>16796.214083254912</v>
      </c>
      <c r="H81" s="2"/>
      <c r="I81" s="2"/>
      <c r="J81" s="2"/>
      <c r="K81" s="17"/>
      <c r="L81" s="173"/>
      <c r="M81" s="328"/>
      <c r="N81" s="328">
        <f t="shared" si="35"/>
        <v>573000</v>
      </c>
      <c r="O81" s="328">
        <f t="shared" si="35"/>
        <v>320178.0330000337</v>
      </c>
      <c r="P81" s="328">
        <f t="shared" si="35"/>
        <v>140779.20016217159</v>
      </c>
      <c r="Q81" s="328">
        <f t="shared" si="35"/>
        <v>61135.071257425137</v>
      </c>
      <c r="R81" s="328">
        <f t="shared" si="35"/>
        <v>26880.502553017963</v>
      </c>
      <c r="S81" s="328">
        <f t="shared" si="35"/>
        <v>11673.18351802747</v>
      </c>
      <c r="T81" s="172"/>
      <c r="U81" s="172"/>
      <c r="V81" s="17"/>
      <c r="W81" s="17"/>
      <c r="X81" s="17"/>
      <c r="Y81" s="171"/>
      <c r="Z81" s="2"/>
    </row>
    <row r="82" spans="1:32" s="4" customFormat="1">
      <c r="A82" s="328"/>
      <c r="B82" s="328">
        <f t="shared" si="36"/>
        <v>814000</v>
      </c>
      <c r="C82" s="328">
        <f t="shared" si="36"/>
        <v>454101.5103384573</v>
      </c>
      <c r="D82" s="328">
        <f t="shared" si="36"/>
        <v>199664.064454651</v>
      </c>
      <c r="E82" s="328">
        <f t="shared" si="36"/>
        <v>86706.536149664724</v>
      </c>
      <c r="F82" s="328">
        <f t="shared" si="36"/>
        <v>38124.029601933777</v>
      </c>
      <c r="G82" s="328">
        <f t="shared" si="36"/>
        <v>16555.821198369667</v>
      </c>
      <c r="H82" s="12"/>
      <c r="I82" s="12"/>
      <c r="J82" s="2"/>
      <c r="L82" s="173"/>
      <c r="M82" s="328"/>
      <c r="N82" s="328">
        <f t="shared" si="35"/>
        <v>566000</v>
      </c>
      <c r="O82" s="328">
        <f t="shared" si="35"/>
        <v>315429.80123732239</v>
      </c>
      <c r="P82" s="328">
        <f t="shared" si="35"/>
        <v>138691.44834648393</v>
      </c>
      <c r="Q82" s="328">
        <f t="shared" si="35"/>
        <v>60228.439767312586</v>
      </c>
      <c r="R82" s="328">
        <f t="shared" si="35"/>
        <v>26481.865410975592</v>
      </c>
      <c r="S82" s="328">
        <f t="shared" si="35"/>
        <v>11500.070515136826</v>
      </c>
      <c r="T82" s="172"/>
      <c r="U82" s="172"/>
      <c r="V82" s="17"/>
      <c r="W82" s="17"/>
      <c r="X82" s="17"/>
      <c r="Y82" s="171"/>
      <c r="Z82" s="2"/>
    </row>
    <row r="83" spans="1:32">
      <c r="A83" s="328"/>
      <c r="B83" s="328">
        <f t="shared" si="36"/>
        <v>805000</v>
      </c>
      <c r="C83" s="328">
        <f t="shared" si="36"/>
        <v>448191.60189627699</v>
      </c>
      <c r="D83" s="328">
        <f t="shared" si="36"/>
        <v>197065.53458136105</v>
      </c>
      <c r="E83" s="328">
        <f t="shared" si="36"/>
        <v>85578.093107048131</v>
      </c>
      <c r="F83" s="328">
        <f t="shared" si="36"/>
        <v>37627.864054661164</v>
      </c>
      <c r="G83" s="328">
        <f t="shared" si="36"/>
        <v>16340.355305304158</v>
      </c>
      <c r="H83" s="12"/>
      <c r="I83" s="12"/>
      <c r="L83" s="173"/>
      <c r="M83" s="328"/>
      <c r="N83" s="328">
        <f t="shared" si="35"/>
        <v>558000</v>
      </c>
      <c r="O83" s="328">
        <f t="shared" si="35"/>
        <v>309899.43478727271</v>
      </c>
      <c r="P83" s="328">
        <f t="shared" si="35"/>
        <v>136259.79943494973</v>
      </c>
      <c r="Q83" s="328">
        <f t="shared" si="35"/>
        <v>59172.466801786177</v>
      </c>
      <c r="R83" s="328">
        <f t="shared" si="35"/>
        <v>26017.564259248327</v>
      </c>
      <c r="S83" s="328">
        <f t="shared" si="35"/>
        <v>11298.442121431986</v>
      </c>
      <c r="T83" s="172"/>
      <c r="U83" s="172"/>
    </row>
    <row r="84" spans="1:32">
      <c r="A84" s="328"/>
      <c r="B84" s="328"/>
      <c r="C84" s="12"/>
      <c r="D84" s="12"/>
      <c r="E84" s="12"/>
      <c r="F84" s="12"/>
      <c r="G84" s="12"/>
      <c r="H84" s="12"/>
      <c r="I84" s="12"/>
      <c r="L84" s="173"/>
      <c r="N84" s="172"/>
      <c r="O84" s="172"/>
      <c r="P84" s="172"/>
      <c r="Q84" s="172"/>
      <c r="R84" s="172"/>
      <c r="S84" s="172"/>
      <c r="T84" s="172"/>
      <c r="U84" s="172"/>
    </row>
    <row r="85" spans="1:32">
      <c r="A85" s="328"/>
      <c r="B85" s="12"/>
      <c r="C85" s="12"/>
      <c r="D85" s="12"/>
      <c r="E85" s="12"/>
      <c r="F85" s="12"/>
      <c r="G85" s="12"/>
      <c r="H85" s="12"/>
      <c r="I85" s="12"/>
      <c r="L85" s="173"/>
    </row>
    <row r="86" spans="1:32">
      <c r="B86" s="12"/>
      <c r="C86" s="12"/>
      <c r="D86" s="12"/>
      <c r="E86" s="12"/>
      <c r="F86" s="12"/>
      <c r="G86" s="12"/>
      <c r="H86" s="12"/>
      <c r="I86" s="12"/>
      <c r="M86" s="17"/>
      <c r="N86" s="17"/>
      <c r="V86" s="17"/>
      <c r="W86" s="17"/>
      <c r="AE86" s="17"/>
      <c r="AF86" s="17"/>
    </row>
  </sheetData>
  <mergeCells count="6">
    <mergeCell ref="C30:G30"/>
    <mergeCell ref="B3:I3"/>
    <mergeCell ref="K3:R3"/>
    <mergeCell ref="T3:AA3"/>
    <mergeCell ref="AC3:AJ3"/>
    <mergeCell ref="N16:P16"/>
  </mergeCells>
  <pageMargins left="0.7" right="0.7" top="0.75" bottom="0.75" header="0.3" footer="0.3"/>
  <pageSetup scale="28"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D42"/>
  <sheetViews>
    <sheetView showGridLines="0" zoomScale="70" zoomScaleNormal="70" zoomScalePageLayoutView="70" workbookViewId="0">
      <pane xSplit="1" topLeftCell="B1" activePane="topRight" state="frozen"/>
      <selection pane="topRight"/>
    </sheetView>
  </sheetViews>
  <sheetFormatPr defaultColWidth="9.1796875" defaultRowHeight="14.5"/>
  <cols>
    <col min="1" max="1" width="48.453125" style="214" customWidth="1"/>
    <col min="2" max="3" width="19.54296875" style="214" customWidth="1"/>
    <col min="4" max="4" width="22.1796875" style="214" customWidth="1"/>
    <col min="5" max="5" width="25.54296875" style="214" customWidth="1"/>
    <col min="6" max="7" width="20" style="214" customWidth="1"/>
    <col min="8" max="8" width="20.81640625" style="214" customWidth="1"/>
    <col min="9" max="9" width="23.26953125" style="214" customWidth="1"/>
    <col min="10" max="10" width="20" style="214" customWidth="1"/>
    <col min="11" max="11" width="18.81640625" style="214" customWidth="1"/>
    <col min="12" max="12" width="21" style="214" customWidth="1"/>
    <col min="13" max="13" width="26.54296875" style="214" customWidth="1"/>
    <col min="14" max="14" width="20" style="214" customWidth="1"/>
    <col min="15" max="15" width="20.453125" style="214" customWidth="1"/>
    <col min="16" max="16" width="26.453125" style="214" customWidth="1"/>
    <col min="17" max="17" width="27.26953125" style="214" customWidth="1"/>
    <col min="18" max="20" width="22.26953125" style="214" customWidth="1"/>
    <col min="21" max="25" width="18.81640625" style="1" bestFit="1" customWidth="1"/>
    <col min="26" max="29" width="20.81640625" style="1" customWidth="1"/>
    <col min="30" max="30" width="23.54296875" style="1" bestFit="1" customWidth="1"/>
    <col min="31" max="16384" width="9.1796875" style="214"/>
  </cols>
  <sheetData>
    <row r="1" spans="1:30" ht="25.5" customHeight="1">
      <c r="A1" s="1" t="s">
        <v>760</v>
      </c>
      <c r="B1" s="1"/>
    </row>
    <row r="2" spans="1:30" ht="19.5" customHeight="1">
      <c r="A2" s="218" t="s">
        <v>1458</v>
      </c>
      <c r="B2" s="1"/>
    </row>
    <row r="3" spans="1:30" s="220" customFormat="1" ht="19.5" customHeight="1">
      <c r="A3" s="219" t="s">
        <v>43</v>
      </c>
      <c r="B3" s="220" t="s">
        <v>831</v>
      </c>
      <c r="U3" s="485"/>
      <c r="V3" s="485"/>
      <c r="W3" s="485"/>
      <c r="X3" s="485"/>
      <c r="Y3" s="485"/>
      <c r="Z3" s="485"/>
      <c r="AA3" s="485"/>
      <c r="AB3" s="485"/>
      <c r="AC3" s="485"/>
      <c r="AD3" s="485"/>
    </row>
    <row r="4" spans="1:30" s="220" customFormat="1" ht="34.5" customHeight="1">
      <c r="A4" s="221"/>
      <c r="B4" s="502" t="s">
        <v>87</v>
      </c>
      <c r="C4" s="502"/>
      <c r="D4" s="502"/>
      <c r="E4" s="502"/>
      <c r="F4" s="503" t="s">
        <v>88</v>
      </c>
      <c r="G4" s="503"/>
      <c r="H4" s="503"/>
      <c r="I4" s="503"/>
      <c r="J4" s="504" t="s">
        <v>89</v>
      </c>
      <c r="K4" s="504"/>
      <c r="L4" s="504"/>
      <c r="M4" s="504"/>
      <c r="N4" s="508" t="s">
        <v>90</v>
      </c>
      <c r="O4" s="508"/>
      <c r="P4" s="508"/>
      <c r="Q4" s="508"/>
      <c r="R4" s="505" t="s">
        <v>134</v>
      </c>
      <c r="S4" s="506"/>
      <c r="T4" s="507"/>
      <c r="U4" s="500" t="s">
        <v>1460</v>
      </c>
      <c r="V4" s="500"/>
      <c r="W4" s="500"/>
      <c r="X4" s="500"/>
      <c r="Y4" s="500"/>
      <c r="Z4" s="501" t="s">
        <v>1461</v>
      </c>
      <c r="AA4" s="501"/>
      <c r="AB4" s="501"/>
      <c r="AC4" s="501"/>
      <c r="AD4" s="501"/>
    </row>
    <row r="5" spans="1:30" s="231" customFormat="1" ht="46.5">
      <c r="A5" s="222"/>
      <c r="B5" s="223" t="s">
        <v>1459</v>
      </c>
      <c r="C5" s="224" t="s">
        <v>57</v>
      </c>
      <c r="D5" s="224" t="s">
        <v>58</v>
      </c>
      <c r="E5" s="224" t="s">
        <v>51</v>
      </c>
      <c r="F5" s="474" t="s">
        <v>1459</v>
      </c>
      <c r="G5" s="226" t="s">
        <v>57</v>
      </c>
      <c r="H5" s="226" t="s">
        <v>58</v>
      </c>
      <c r="I5" s="227" t="s">
        <v>51</v>
      </c>
      <c r="J5" s="223" t="s">
        <v>1459</v>
      </c>
      <c r="K5" s="228" t="s">
        <v>57</v>
      </c>
      <c r="L5" s="228" t="s">
        <v>58</v>
      </c>
      <c r="M5" s="228" t="s">
        <v>51</v>
      </c>
      <c r="N5" s="474" t="s">
        <v>1459</v>
      </c>
      <c r="O5" s="229" t="s">
        <v>57</v>
      </c>
      <c r="P5" s="229" t="s">
        <v>58</v>
      </c>
      <c r="Q5" s="229" t="s">
        <v>51</v>
      </c>
      <c r="R5" s="474" t="s">
        <v>1459</v>
      </c>
      <c r="S5" s="230" t="s">
        <v>57</v>
      </c>
      <c r="T5" s="230" t="s">
        <v>58</v>
      </c>
      <c r="U5" s="486" t="s">
        <v>1462</v>
      </c>
      <c r="V5" s="486" t="s">
        <v>1462</v>
      </c>
      <c r="W5" s="486" t="s">
        <v>1462</v>
      </c>
      <c r="X5" s="486" t="s">
        <v>1462</v>
      </c>
      <c r="Y5" s="486" t="s">
        <v>1463</v>
      </c>
      <c r="Z5" s="479" t="s">
        <v>1464</v>
      </c>
      <c r="AA5" s="479" t="s">
        <v>1464</v>
      </c>
      <c r="AB5" s="479" t="s">
        <v>1464</v>
      </c>
      <c r="AC5" s="479" t="s">
        <v>1464</v>
      </c>
      <c r="AD5" s="479" t="s">
        <v>1465</v>
      </c>
    </row>
    <row r="6" spans="1:30" s="231" customFormat="1" ht="24" customHeight="1">
      <c r="A6" s="232" t="s">
        <v>0</v>
      </c>
      <c r="B6" s="223">
        <v>2018</v>
      </c>
      <c r="C6" s="224">
        <v>2018</v>
      </c>
      <c r="D6" s="224">
        <v>2018</v>
      </c>
      <c r="E6" s="224">
        <v>2018</v>
      </c>
      <c r="F6" s="469">
        <v>2019</v>
      </c>
      <c r="G6" s="226">
        <v>2019</v>
      </c>
      <c r="H6" s="226">
        <v>2019</v>
      </c>
      <c r="I6" s="227">
        <v>2019</v>
      </c>
      <c r="J6" s="223">
        <v>2020</v>
      </c>
      <c r="K6" s="228">
        <v>2020</v>
      </c>
      <c r="L6" s="228">
        <v>2020</v>
      </c>
      <c r="M6" s="228">
        <v>2020</v>
      </c>
      <c r="N6" s="223">
        <v>2021</v>
      </c>
      <c r="O6" s="229">
        <v>2021</v>
      </c>
      <c r="P6" s="229">
        <v>2021</v>
      </c>
      <c r="Q6" s="229">
        <v>2021</v>
      </c>
      <c r="R6" s="225" t="s">
        <v>91</v>
      </c>
      <c r="S6" s="230" t="s">
        <v>91</v>
      </c>
      <c r="T6" s="230" t="s">
        <v>91</v>
      </c>
      <c r="U6" s="486">
        <v>2018</v>
      </c>
      <c r="V6" s="486">
        <v>2019</v>
      </c>
      <c r="W6" s="486">
        <v>2020</v>
      </c>
      <c r="X6" s="486">
        <v>2021</v>
      </c>
      <c r="Y6" s="486" t="s">
        <v>91</v>
      </c>
      <c r="Z6" s="479">
        <v>2018</v>
      </c>
      <c r="AA6" s="479">
        <v>2019</v>
      </c>
      <c r="AB6" s="479">
        <v>2020</v>
      </c>
      <c r="AC6" s="479">
        <v>2021</v>
      </c>
      <c r="AD6" s="479" t="s">
        <v>91</v>
      </c>
    </row>
    <row r="7" spans="1:30" s="242" customFormat="1" ht="15.5">
      <c r="A7" s="233" t="s">
        <v>4</v>
      </c>
      <c r="B7" s="234" t="s">
        <v>5</v>
      </c>
      <c r="C7" s="235" t="s">
        <v>6</v>
      </c>
      <c r="D7" s="235" t="s">
        <v>45</v>
      </c>
      <c r="E7" s="235" t="s">
        <v>8</v>
      </c>
      <c r="F7" s="236" t="s">
        <v>9</v>
      </c>
      <c r="G7" s="237" t="s">
        <v>10</v>
      </c>
      <c r="H7" s="237" t="s">
        <v>46</v>
      </c>
      <c r="I7" s="238" t="s">
        <v>12</v>
      </c>
      <c r="J7" s="234" t="s">
        <v>14</v>
      </c>
      <c r="K7" s="239" t="s">
        <v>15</v>
      </c>
      <c r="L7" s="239" t="s">
        <v>47</v>
      </c>
      <c r="M7" s="239" t="s">
        <v>17</v>
      </c>
      <c r="N7" s="234" t="s">
        <v>18</v>
      </c>
      <c r="O7" s="240" t="s">
        <v>19</v>
      </c>
      <c r="P7" s="240" t="s">
        <v>48</v>
      </c>
      <c r="Q7" s="240" t="s">
        <v>26</v>
      </c>
      <c r="R7" s="236" t="s">
        <v>54</v>
      </c>
      <c r="S7" s="241" t="s">
        <v>55</v>
      </c>
      <c r="T7" s="241" t="s">
        <v>56</v>
      </c>
      <c r="U7" s="487" t="s">
        <v>1466</v>
      </c>
      <c r="V7" s="487" t="s">
        <v>1467</v>
      </c>
      <c r="W7" s="487" t="s">
        <v>1468</v>
      </c>
      <c r="X7" s="487" t="s">
        <v>1469</v>
      </c>
      <c r="Y7" s="487" t="s">
        <v>30</v>
      </c>
      <c r="Z7" s="481" t="s">
        <v>70</v>
      </c>
      <c r="AA7" s="481" t="s">
        <v>71</v>
      </c>
      <c r="AB7" s="481" t="s">
        <v>72</v>
      </c>
      <c r="AC7" s="481" t="s">
        <v>1470</v>
      </c>
      <c r="AD7" s="481" t="s">
        <v>1471</v>
      </c>
    </row>
    <row r="8" spans="1:30" s="246" customFormat="1" ht="14">
      <c r="A8" s="358" t="s">
        <v>698</v>
      </c>
      <c r="B8" s="470">
        <v>588750</v>
      </c>
      <c r="C8" s="359">
        <v>588750</v>
      </c>
      <c r="D8" s="360">
        <f>C8-B8</f>
        <v>0</v>
      </c>
      <c r="E8" s="358"/>
      <c r="F8" s="470">
        <v>333928.0330000337</v>
      </c>
      <c r="G8" s="359">
        <v>333928.0330000337</v>
      </c>
      <c r="H8" s="360">
        <f>G8-F8</f>
        <v>0</v>
      </c>
      <c r="I8" s="497"/>
      <c r="J8" s="470">
        <v>329179.80123732239</v>
      </c>
      <c r="K8" s="359">
        <f>SUMIF('Measure-Level Adjustments Tab'!$A$8:$A$499,$A8,'Measure-Level Adjustments Tab'!$BA$8:$BA$499)</f>
        <v>329179.80123732239</v>
      </c>
      <c r="L8" s="360">
        <f>K8-J8</f>
        <v>0</v>
      </c>
      <c r="M8" s="358"/>
      <c r="N8" s="470">
        <v>323649.43478727271</v>
      </c>
      <c r="O8" s="318">
        <f>SUMIF('Measure-Level Adjustments Tab'!$A$8:$A$499,$A8,'Measure-Level Adjustments Tab'!$BB$8:$BB$499)</f>
        <v>323649.43478727271</v>
      </c>
      <c r="P8" s="320">
        <f>O8-N8</f>
        <v>0</v>
      </c>
      <c r="Q8" s="250"/>
      <c r="R8" s="251">
        <f t="shared" ref="R8:R26" si="0">B8+F8+J8+N8</f>
        <v>1575507.2690246289</v>
      </c>
      <c r="S8" s="248">
        <f t="shared" ref="S8:S26" si="1">C8+G8+K8+O8</f>
        <v>1575507.2690246289</v>
      </c>
      <c r="T8" s="249">
        <f>S8-R8</f>
        <v>0</v>
      </c>
      <c r="U8" s="488">
        <f>SUMIF('Measure-Level Adjustments Tab'!$A$8:$A$425,$A8,'Measure-Level Adjustments Tab'!BF$8:BF$425)</f>
        <v>630000</v>
      </c>
      <c r="V8" s="488">
        <f>SUMIF('Measure-Level Adjustments Tab'!$A$8:$A$425,$A8,'Measure-Level Adjustments Tab'!BG$8:BG$425)</f>
        <v>375178.0330000337</v>
      </c>
      <c r="W8" s="488">
        <f>SUMIF('Measure-Level Adjustments Tab'!$A$8:$A$425,$A8,'Measure-Level Adjustments Tab'!BH$8:BH$425)</f>
        <v>370429.80123732239</v>
      </c>
      <c r="X8" s="488">
        <f>SUMIF('Measure-Level Adjustments Tab'!$A$8:$A$425,$A8,'Measure-Level Adjustments Tab'!BI$8:BI$425)</f>
        <v>364899.43478727271</v>
      </c>
      <c r="Y8" s="488">
        <f>SUM(U8:X8)</f>
        <v>1740507.2690246289</v>
      </c>
      <c r="Z8" s="488">
        <f>SUMIF('Measure-Level Adjustments Tab'!$A$8:$A$425,$A8,'Measure-Level Adjustments Tab'!BO$8:BO$425)</f>
        <v>630000</v>
      </c>
      <c r="AA8" s="488">
        <f>SUMIF('Measure-Level Adjustments Tab'!$A$8:$A$425,$A8,'Measure-Level Adjustments Tab'!BP$8:BP$425)</f>
        <v>375178.0330000337</v>
      </c>
      <c r="AB8" s="488">
        <f>SUMIF('Measure-Level Adjustments Tab'!$A$8:$A$425,$A8,'Measure-Level Adjustments Tab'!BQ$8:BQ$425)</f>
        <v>370429.80123732239</v>
      </c>
      <c r="AC8" s="488">
        <f>SUMIF('Measure-Level Adjustments Tab'!$A$8:$A$425,$A8,'Measure-Level Adjustments Tab'!BR$8:BR$425)</f>
        <v>364899.43478727271</v>
      </c>
      <c r="AD8" s="488">
        <f t="shared" ref="AD8:AD22" si="2">SUM(Z8:AC8)</f>
        <v>1740507.2690246289</v>
      </c>
    </row>
    <row r="9" spans="1:30" s="246" customFormat="1" ht="14">
      <c r="A9" s="247" t="s">
        <v>690</v>
      </c>
      <c r="B9" s="318">
        <v>124049.70448509965</v>
      </c>
      <c r="C9" s="351">
        <v>124049.70448509965</v>
      </c>
      <c r="D9" s="319">
        <f t="shared" ref="D9:D26" si="3">C9-B9</f>
        <v>0</v>
      </c>
      <c r="E9" s="244"/>
      <c r="F9" s="318">
        <v>124049.70448509965</v>
      </c>
      <c r="G9" s="351">
        <v>109590.13645128408</v>
      </c>
      <c r="H9" s="320">
        <f t="shared" ref="H9:H26" si="4">G9-F9</f>
        <v>-14459.568033815565</v>
      </c>
      <c r="I9" s="245" t="s">
        <v>1473</v>
      </c>
      <c r="J9" s="369">
        <v>122274.53706819905</v>
      </c>
      <c r="K9" s="369">
        <f>SUMIF('Measure-Level Adjustments Tab'!$A$8:$A$499,$A9,'Measure-Level Adjustments Tab'!$BA$8:$BA$499)</f>
        <v>107740.33835784475</v>
      </c>
      <c r="L9" s="370">
        <f t="shared" ref="L9:L26" si="5">K9-J9</f>
        <v>-14534.198710354292</v>
      </c>
      <c r="M9" s="244" t="s">
        <v>1444</v>
      </c>
      <c r="N9" s="369">
        <v>124049.70448509965</v>
      </c>
      <c r="O9" s="318">
        <f>SUMIF('Measure-Level Adjustments Tab'!$A$8:$A$499,$A9,'Measure-Level Adjustments Tab'!$BB$8:$BB$499)</f>
        <v>109301.77796374282</v>
      </c>
      <c r="P9" s="320">
        <f t="shared" ref="P9:P26" si="6">O9-N9</f>
        <v>-14747.926521356829</v>
      </c>
      <c r="Q9" s="244" t="s">
        <v>1444</v>
      </c>
      <c r="R9" s="251">
        <f t="shared" si="0"/>
        <v>494423.65052349796</v>
      </c>
      <c r="S9" s="248">
        <f t="shared" si="1"/>
        <v>450681.95725797128</v>
      </c>
      <c r="T9" s="249">
        <f t="shared" ref="T9:T26" si="7">S9-R9</f>
        <v>-43741.693265526672</v>
      </c>
      <c r="U9" s="488">
        <f>SUMIF('Measure-Level Adjustments Tab'!$A$8:$A$425,$A9,'Measure-Level Adjustments Tab'!BF$8:BF$425)</f>
        <v>1026578.7547313104</v>
      </c>
      <c r="V9" s="488">
        <f>SUMIF('Measure-Level Adjustments Tab'!$A$8:$A$425,$A9,'Measure-Level Adjustments Tab'!BG$8:BG$425)</f>
        <v>1026578.7547313104</v>
      </c>
      <c r="W9" s="488">
        <f>SUMIF('Measure-Level Adjustments Tab'!$A$8:$A$425,$A9,'Measure-Level Adjustments Tab'!BH$8:BH$425)</f>
        <v>1011967.266895843</v>
      </c>
      <c r="X9" s="488">
        <f>SUMIF('Measure-Level Adjustments Tab'!$A$8:$A$425,$A9,'Measure-Level Adjustments Tab'!BI$8:BI$425)</f>
        <v>1026578.7547313104</v>
      </c>
      <c r="Y9" s="488">
        <f t="shared" ref="Y9:Y22" si="8">SUM(U9:X9)</f>
        <v>4091703.5310897743</v>
      </c>
      <c r="Z9" s="488">
        <f>SUMIF('Measure-Level Adjustments Tab'!$A$8:$A$425,$A9,'Measure-Level Adjustments Tab'!BO$8:BO$425)</f>
        <v>1026578.7547313104</v>
      </c>
      <c r="AA9" s="488">
        <f>SUMIF('Measure-Level Adjustments Tab'!$A$8:$A$425,$A9,'Measure-Level Adjustments Tab'!BP$8:BP$425)</f>
        <v>875925.10757161642</v>
      </c>
      <c r="AB9" s="488">
        <f>SUMIF('Measure-Level Adjustments Tab'!$A$8:$A$425,$A9,'Measure-Level Adjustments Tab'!BQ$8:BQ$425)</f>
        <v>860656.35395291541</v>
      </c>
      <c r="AC9" s="488">
        <f>SUMIF('Measure-Level Adjustments Tab'!$A$8:$A$425,$A9,'Measure-Level Adjustments Tab'!BR$8:BR$425)</f>
        <v>873041.52269620367</v>
      </c>
      <c r="AD9" s="488">
        <f t="shared" si="2"/>
        <v>3636201.7389520458</v>
      </c>
    </row>
    <row r="10" spans="1:30" s="246" customFormat="1" ht="14">
      <c r="A10" s="368" t="s">
        <v>700</v>
      </c>
      <c r="B10" s="369">
        <v>15256.397661747351</v>
      </c>
      <c r="C10" s="369">
        <v>15256.397661747351</v>
      </c>
      <c r="D10" s="370">
        <f t="shared" si="3"/>
        <v>0</v>
      </c>
      <c r="E10" s="371"/>
      <c r="F10" s="369">
        <v>15256.397661747351</v>
      </c>
      <c r="G10" s="369">
        <v>13110.066770894953</v>
      </c>
      <c r="H10" s="370">
        <f t="shared" si="4"/>
        <v>-2146.3308908523977</v>
      </c>
      <c r="I10" s="245" t="s">
        <v>1473</v>
      </c>
      <c r="J10" s="369">
        <v>14103.811920397548</v>
      </c>
      <c r="K10" s="369">
        <f>SUMIF('Measure-Level Adjustments Tab'!$A$8:$A$499,$A10,'Measure-Level Adjustments Tab'!$BA$8:$BA$499)</f>
        <v>12118.998311138041</v>
      </c>
      <c r="L10" s="370">
        <f t="shared" si="5"/>
        <v>-1984.8136092595068</v>
      </c>
      <c r="M10" s="244"/>
      <c r="N10" s="369">
        <v>15256.397661747351</v>
      </c>
      <c r="O10" s="318">
        <f>SUMIF('Measure-Level Adjustments Tab'!$A$8:$A$499,$A10,'Measure-Level Adjustments Tab'!$BB$8:$BB$499)</f>
        <v>13110.066770894953</v>
      </c>
      <c r="P10" s="320">
        <f t="shared" si="6"/>
        <v>-2146.3308908523977</v>
      </c>
      <c r="Q10" s="244"/>
      <c r="R10" s="251">
        <f t="shared" si="0"/>
        <v>59873.004905639602</v>
      </c>
      <c r="S10" s="248">
        <f t="shared" si="1"/>
        <v>53595.529514675298</v>
      </c>
      <c r="T10" s="249">
        <f t="shared" si="7"/>
        <v>-6277.4753909643041</v>
      </c>
      <c r="U10" s="488">
        <f>SUMIF('Measure-Level Adjustments Tab'!$A$8:$A$425,$A10,'Measure-Level Adjustments Tab'!BF$8:BF$425)</f>
        <v>155317.47177563678</v>
      </c>
      <c r="V10" s="488">
        <f>SUMIF('Measure-Level Adjustments Tab'!$A$8:$A$425,$A10,'Measure-Level Adjustments Tab'!BG$8:BG$425)</f>
        <v>155317.47177563678</v>
      </c>
      <c r="W10" s="488">
        <f>SUMIF('Measure-Level Adjustments Tab'!$A$8:$A$425,$A10,'Measure-Level Adjustments Tab'!BH$8:BH$425)</f>
        <v>143590.50739627532</v>
      </c>
      <c r="X10" s="488">
        <f>SUMIF('Measure-Level Adjustments Tab'!$A$8:$A$425,$A10,'Measure-Level Adjustments Tab'!BI$8:BI$425)</f>
        <v>155317.47177563678</v>
      </c>
      <c r="Y10" s="488">
        <f t="shared" si="8"/>
        <v>609542.92272318562</v>
      </c>
      <c r="Z10" s="488">
        <f>SUMIF('Measure-Level Adjustments Tab'!$A$8:$A$425,$A10,'Measure-Level Adjustments Tab'!BO$8:BO$425)</f>
        <v>155317.47177563678</v>
      </c>
      <c r="AA10" s="488">
        <f>SUMIF('Measure-Level Adjustments Tab'!$A$8:$A$425,$A10,'Measure-Level Adjustments Tab'!BP$8:BP$425)</f>
        <v>132756.05700461278</v>
      </c>
      <c r="AB10" s="488">
        <f>SUMIF('Measure-Level Adjustments Tab'!$A$8:$A$425,$A10,'Measure-Level Adjustments Tab'!BQ$8:BQ$425)</f>
        <v>122725.91946685335</v>
      </c>
      <c r="AC10" s="488">
        <f>SUMIF('Measure-Level Adjustments Tab'!$A$8:$A$425,$A10,'Measure-Level Adjustments Tab'!BR$8:BR$425)</f>
        <v>132756.05700461278</v>
      </c>
      <c r="AD10" s="488">
        <f t="shared" si="2"/>
        <v>543555.50525171566</v>
      </c>
    </row>
    <row r="11" spans="1:30" s="246" customFormat="1" ht="14">
      <c r="A11" s="247" t="s">
        <v>703</v>
      </c>
      <c r="B11" s="318">
        <v>212166.76460108013</v>
      </c>
      <c r="C11" s="351">
        <v>212166.76460108013</v>
      </c>
      <c r="D11" s="319">
        <f t="shared" si="3"/>
        <v>0</v>
      </c>
      <c r="E11" s="244"/>
      <c r="F11" s="318">
        <v>212166.76460108013</v>
      </c>
      <c r="G11" s="318">
        <v>207783.54478529995</v>
      </c>
      <c r="H11" s="319">
        <f t="shared" si="4"/>
        <v>-4383.2198157801758</v>
      </c>
      <c r="I11" s="245" t="s">
        <v>1474</v>
      </c>
      <c r="J11" s="318">
        <v>212166.76460108013</v>
      </c>
      <c r="K11" s="318">
        <f>SUMIF('Measure-Level Adjustments Tab'!$A$8:$A$499,$A11,'Measure-Level Adjustments Tab'!$BA$8:$BA$499)</f>
        <v>207783.54478529995</v>
      </c>
      <c r="L11" s="319">
        <f t="shared" si="5"/>
        <v>-4383.2198157801758</v>
      </c>
      <c r="M11" s="244"/>
      <c r="N11" s="318">
        <v>212166.76460108013</v>
      </c>
      <c r="O11" s="318">
        <f>SUMIF('Measure-Level Adjustments Tab'!$A$8:$A$499,$A11,'Measure-Level Adjustments Tab'!$BB$8:$BB$499)</f>
        <v>207783.54478529995</v>
      </c>
      <c r="P11" s="320">
        <f t="shared" si="6"/>
        <v>-4383.2198157801758</v>
      </c>
      <c r="Q11" s="244"/>
      <c r="R11" s="251">
        <f t="shared" si="0"/>
        <v>848667.0584043205</v>
      </c>
      <c r="S11" s="248">
        <f t="shared" si="1"/>
        <v>835517.39895697997</v>
      </c>
      <c r="T11" s="249">
        <f t="shared" si="7"/>
        <v>-13149.659447340528</v>
      </c>
      <c r="U11" s="488">
        <f>SUMIF('Measure-Level Adjustments Tab'!$A$8:$A$425,$A11,'Measure-Level Adjustments Tab'!BF$8:BF$425)</f>
        <v>2838365.0080761653</v>
      </c>
      <c r="V11" s="488">
        <f>SUMIF('Measure-Level Adjustments Tab'!$A$8:$A$425,$A11,'Measure-Level Adjustments Tab'!BG$8:BG$425)</f>
        <v>2838365.0080761653</v>
      </c>
      <c r="W11" s="488">
        <f>SUMIF('Measure-Level Adjustments Tab'!$A$8:$A$425,$A11,'Measure-Level Adjustments Tab'!BH$8:BH$425)</f>
        <v>2838365.0080761653</v>
      </c>
      <c r="X11" s="488">
        <f>SUMIF('Measure-Level Adjustments Tab'!$A$8:$A$425,$A11,'Measure-Level Adjustments Tab'!BI$8:BI$425)</f>
        <v>2838365.0080761653</v>
      </c>
      <c r="Y11" s="488">
        <f t="shared" si="8"/>
        <v>11353460.032304661</v>
      </c>
      <c r="Z11" s="488">
        <f>SUMIF('Measure-Level Adjustments Tab'!$A$8:$A$425,$A11,'Measure-Level Adjustments Tab'!BO$8:BO$425)</f>
        <v>2838365.0080761653</v>
      </c>
      <c r="AA11" s="488">
        <f>SUMIF('Measure-Level Adjustments Tab'!$A$8:$A$425,$A11,'Measure-Level Adjustments Tab'!BP$8:BP$425)</f>
        <v>2750700.6117605628</v>
      </c>
      <c r="AB11" s="488">
        <f>SUMIF('Measure-Level Adjustments Tab'!$A$8:$A$425,$A11,'Measure-Level Adjustments Tab'!BQ$8:BQ$425)</f>
        <v>2750700.6117605628</v>
      </c>
      <c r="AC11" s="488">
        <f>SUMIF('Measure-Level Adjustments Tab'!$A$8:$A$425,$A11,'Measure-Level Adjustments Tab'!BR$8:BR$425)</f>
        <v>2750700.6117605628</v>
      </c>
      <c r="AD11" s="488">
        <f t="shared" si="2"/>
        <v>11090466.843357854</v>
      </c>
    </row>
    <row r="12" spans="1:30" s="246" customFormat="1" ht="14">
      <c r="A12" s="250" t="s">
        <v>721</v>
      </c>
      <c r="B12" s="318">
        <v>0</v>
      </c>
      <c r="C12" s="351">
        <v>0</v>
      </c>
      <c r="D12" s="320">
        <f t="shared" si="3"/>
        <v>0</v>
      </c>
      <c r="E12" s="357"/>
      <c r="F12" s="318">
        <v>0</v>
      </c>
      <c r="G12" s="351">
        <v>0</v>
      </c>
      <c r="H12" s="320">
        <f t="shared" si="4"/>
        <v>0</v>
      </c>
      <c r="I12" s="245"/>
      <c r="J12" s="318">
        <v>0</v>
      </c>
      <c r="K12" s="351">
        <f>SUMIF('Measure-Level Adjustments Tab'!$A$8:$A$499,$A12,'Measure-Level Adjustments Tab'!$BA$8:$BA$499)</f>
        <v>0</v>
      </c>
      <c r="L12" s="320">
        <f t="shared" si="5"/>
        <v>0</v>
      </c>
      <c r="M12" s="244" t="s">
        <v>1445</v>
      </c>
      <c r="N12" s="318">
        <v>0</v>
      </c>
      <c r="O12" s="318">
        <f>SUMIF('Measure-Level Adjustments Tab'!$A$8:$A$499,$A12,'Measure-Level Adjustments Tab'!$BB$8:$BB$499)</f>
        <v>0</v>
      </c>
      <c r="P12" s="320">
        <f t="shared" si="6"/>
        <v>0</v>
      </c>
      <c r="Q12" s="244" t="s">
        <v>1445</v>
      </c>
      <c r="R12" s="251">
        <f t="shared" si="0"/>
        <v>0</v>
      </c>
      <c r="S12" s="248">
        <f t="shared" si="1"/>
        <v>0</v>
      </c>
      <c r="T12" s="249">
        <f t="shared" si="7"/>
        <v>0</v>
      </c>
      <c r="U12" s="488">
        <f>SUMIF('Measure-Level Adjustments Tab'!$A$8:$A$425,$A12,'Measure-Level Adjustments Tab'!BF$8:BF$425)</f>
        <v>0</v>
      </c>
      <c r="V12" s="488">
        <f>SUMIF('Measure-Level Adjustments Tab'!$A$8:$A$425,$A12,'Measure-Level Adjustments Tab'!BG$8:BG$425)</f>
        <v>0</v>
      </c>
      <c r="W12" s="488">
        <f>SUMIF('Measure-Level Adjustments Tab'!$A$8:$A$425,$A12,'Measure-Level Adjustments Tab'!BH$8:BH$425)</f>
        <v>0</v>
      </c>
      <c r="X12" s="488">
        <f>SUMIF('Measure-Level Adjustments Tab'!$A$8:$A$425,$A12,'Measure-Level Adjustments Tab'!BI$8:BI$425)</f>
        <v>0</v>
      </c>
      <c r="Y12" s="488">
        <f t="shared" si="8"/>
        <v>0</v>
      </c>
      <c r="Z12" s="488">
        <f>SUMIF('Measure-Level Adjustments Tab'!$A$8:$A$425,$A12,'Measure-Level Adjustments Tab'!BO$8:BO$425)</f>
        <v>0</v>
      </c>
      <c r="AA12" s="488">
        <f>SUMIF('Measure-Level Adjustments Tab'!$A$8:$A$425,$A12,'Measure-Level Adjustments Tab'!BP$8:BP$425)</f>
        <v>0</v>
      </c>
      <c r="AB12" s="488">
        <f>SUMIF('Measure-Level Adjustments Tab'!$A$8:$A$425,$A12,'Measure-Level Adjustments Tab'!BQ$8:BQ$425)</f>
        <v>0</v>
      </c>
      <c r="AC12" s="488">
        <f>SUMIF('Measure-Level Adjustments Tab'!$A$8:$A$425,$A12,'Measure-Level Adjustments Tab'!BR$8:BR$425)</f>
        <v>0</v>
      </c>
      <c r="AD12" s="488">
        <f t="shared" si="2"/>
        <v>0</v>
      </c>
    </row>
    <row r="13" spans="1:30" s="246" customFormat="1" ht="14">
      <c r="A13" s="247" t="s">
        <v>722</v>
      </c>
      <c r="B13" s="318">
        <v>13772.45386668328</v>
      </c>
      <c r="C13" s="351">
        <v>13772.45386668328</v>
      </c>
      <c r="D13" s="319">
        <f t="shared" si="3"/>
        <v>0</v>
      </c>
      <c r="E13" s="244"/>
      <c r="F13" s="318">
        <v>13772.45386668328</v>
      </c>
      <c r="G13" s="318">
        <v>13829.589875344025</v>
      </c>
      <c r="H13" s="319">
        <f t="shared" si="4"/>
        <v>57.136008660745574</v>
      </c>
      <c r="I13" s="245" t="s">
        <v>1475</v>
      </c>
      <c r="J13" s="318">
        <v>13772.45386668328</v>
      </c>
      <c r="K13" s="318">
        <f>SUMIF('Measure-Level Adjustments Tab'!$A$8:$A$499,$A13,'Measure-Level Adjustments Tab'!$BA$8:$BA$499)</f>
        <v>14064.148226688143</v>
      </c>
      <c r="L13" s="319">
        <f t="shared" si="5"/>
        <v>291.69436000486348</v>
      </c>
      <c r="M13" s="244" t="s">
        <v>1445</v>
      </c>
      <c r="N13" s="318">
        <v>13772.45386668328</v>
      </c>
      <c r="O13" s="318">
        <f>SUMIF('Measure-Level Adjustments Tab'!$A$8:$A$499,$A13,'Measure-Level Adjustments Tab'!$BB$8:$BB$499)</f>
        <v>14064.148226688143</v>
      </c>
      <c r="P13" s="320">
        <f t="shared" si="6"/>
        <v>291.69436000486348</v>
      </c>
      <c r="Q13" s="244" t="s">
        <v>1445</v>
      </c>
      <c r="R13" s="251">
        <f t="shared" si="0"/>
        <v>55089.815466733118</v>
      </c>
      <c r="S13" s="248">
        <f t="shared" si="1"/>
        <v>55730.340195403587</v>
      </c>
      <c r="T13" s="249">
        <f t="shared" si="7"/>
        <v>640.5247286704689</v>
      </c>
      <c r="U13" s="488">
        <f>SUMIF('Measure-Level Adjustments Tab'!$A$8:$A$425,$A13,'Measure-Level Adjustments Tab'!BF$8:BF$425)</f>
        <v>190220.05595211181</v>
      </c>
      <c r="V13" s="488">
        <f>SUMIF('Measure-Level Adjustments Tab'!$A$8:$A$425,$A13,'Measure-Level Adjustments Tab'!BG$8:BG$425)</f>
        <v>190220.05595211181</v>
      </c>
      <c r="W13" s="488">
        <f>SUMIF('Measure-Level Adjustments Tab'!$A$8:$A$425,$A13,'Measure-Level Adjustments Tab'!BH$8:BH$425)</f>
        <v>190220.05595211181</v>
      </c>
      <c r="X13" s="488">
        <f>SUMIF('Measure-Level Adjustments Tab'!$A$8:$A$425,$A13,'Measure-Level Adjustments Tab'!BI$8:BI$425)</f>
        <v>190220.05595211181</v>
      </c>
      <c r="Y13" s="488">
        <f t="shared" si="8"/>
        <v>760880.22380844725</v>
      </c>
      <c r="Z13" s="488">
        <f>SUMIF('Measure-Level Adjustments Tab'!$A$8:$A$425,$A13,'Measure-Level Adjustments Tab'!BO$8:BO$425)</f>
        <v>190220.05595211181</v>
      </c>
      <c r="AA13" s="488">
        <f>SUMIF('Measure-Level Adjustments Tab'!$A$8:$A$425,$A13,'Measure-Level Adjustments Tab'!BP$8:BP$425)</f>
        <v>191152.05677809406</v>
      </c>
      <c r="AB13" s="488">
        <f>SUMIF('Measure-Level Adjustments Tab'!$A$8:$A$425,$A13,'Measure-Level Adjustments Tab'!BQ$8:BQ$425)</f>
        <v>194978.16543212641</v>
      </c>
      <c r="AC13" s="488">
        <f>SUMIF('Measure-Level Adjustments Tab'!$A$8:$A$425,$A13,'Measure-Level Adjustments Tab'!BR$8:BR$425)</f>
        <v>194978.16543212641</v>
      </c>
      <c r="AD13" s="488">
        <f t="shared" si="2"/>
        <v>771328.44359445863</v>
      </c>
    </row>
    <row r="14" spans="1:30" s="246" customFormat="1" ht="14">
      <c r="A14" s="247" t="s">
        <v>705</v>
      </c>
      <c r="B14" s="318">
        <v>2808</v>
      </c>
      <c r="C14" s="351">
        <v>2808</v>
      </c>
      <c r="D14" s="319">
        <f t="shared" si="3"/>
        <v>0</v>
      </c>
      <c r="E14" s="244"/>
      <c r="F14" s="318">
        <v>2808</v>
      </c>
      <c r="G14" s="318">
        <v>2808</v>
      </c>
      <c r="H14" s="319">
        <f t="shared" si="4"/>
        <v>0</v>
      </c>
      <c r="I14" s="245"/>
      <c r="J14" s="369">
        <v>936</v>
      </c>
      <c r="K14" s="318">
        <f>SUMIF('Measure-Level Adjustments Tab'!$A$8:$A$499,$A14,'Measure-Level Adjustments Tab'!$BA$8:$BA$499)</f>
        <v>936</v>
      </c>
      <c r="L14" s="319">
        <f t="shared" si="5"/>
        <v>0</v>
      </c>
      <c r="M14" s="244"/>
      <c r="N14" s="318">
        <v>2808</v>
      </c>
      <c r="O14" s="318">
        <f>SUMIF('Measure-Level Adjustments Tab'!$A$8:$A$499,$A14,'Measure-Level Adjustments Tab'!$BB$8:$BB$499)</f>
        <v>2808</v>
      </c>
      <c r="P14" s="320">
        <f t="shared" si="6"/>
        <v>0</v>
      </c>
      <c r="Q14" s="244"/>
      <c r="R14" s="251">
        <f t="shared" si="0"/>
        <v>9360</v>
      </c>
      <c r="S14" s="248">
        <f t="shared" si="1"/>
        <v>9360</v>
      </c>
      <c r="T14" s="249">
        <f t="shared" si="7"/>
        <v>0</v>
      </c>
      <c r="U14" s="488">
        <f>SUMIF('Measure-Level Adjustments Tab'!$A$8:$A$425,$A14,'Measure-Level Adjustments Tab'!BF$8:BF$425)</f>
        <v>42120</v>
      </c>
      <c r="V14" s="488">
        <f>SUMIF('Measure-Level Adjustments Tab'!$A$8:$A$425,$A14,'Measure-Level Adjustments Tab'!BG$8:BG$425)</f>
        <v>42120</v>
      </c>
      <c r="W14" s="488">
        <f>SUMIF('Measure-Level Adjustments Tab'!$A$8:$A$425,$A14,'Measure-Level Adjustments Tab'!BH$8:BH$425)</f>
        <v>14040</v>
      </c>
      <c r="X14" s="488">
        <f>SUMIF('Measure-Level Adjustments Tab'!$A$8:$A$425,$A14,'Measure-Level Adjustments Tab'!BI$8:BI$425)</f>
        <v>42120</v>
      </c>
      <c r="Y14" s="488">
        <f t="shared" si="8"/>
        <v>140400</v>
      </c>
      <c r="Z14" s="488">
        <f>SUMIF('Measure-Level Adjustments Tab'!$A$8:$A$425,$A14,'Measure-Level Adjustments Tab'!BO$8:BO$425)</f>
        <v>42120</v>
      </c>
      <c r="AA14" s="488">
        <f>SUMIF('Measure-Level Adjustments Tab'!$A$8:$A$425,$A14,'Measure-Level Adjustments Tab'!BP$8:BP$425)</f>
        <v>42120</v>
      </c>
      <c r="AB14" s="488">
        <f>SUMIF('Measure-Level Adjustments Tab'!$A$8:$A$425,$A14,'Measure-Level Adjustments Tab'!BQ$8:BQ$425)</f>
        <v>14040</v>
      </c>
      <c r="AC14" s="488">
        <f>SUMIF('Measure-Level Adjustments Tab'!$A$8:$A$425,$A14,'Measure-Level Adjustments Tab'!BR$8:BR$425)</f>
        <v>42120</v>
      </c>
      <c r="AD14" s="488">
        <f t="shared" si="2"/>
        <v>140400</v>
      </c>
    </row>
    <row r="15" spans="1:30" s="246" customFormat="1" ht="14">
      <c r="A15" s="250" t="s">
        <v>708</v>
      </c>
      <c r="B15" s="318">
        <v>298117.07478440087</v>
      </c>
      <c r="C15" s="351">
        <v>298117.07478440087</v>
      </c>
      <c r="D15" s="320">
        <f t="shared" si="3"/>
        <v>0</v>
      </c>
      <c r="E15" s="357"/>
      <c r="F15" s="318">
        <v>298117.07478440087</v>
      </c>
      <c r="G15" s="318">
        <v>298117.07478440087</v>
      </c>
      <c r="H15" s="320">
        <f t="shared" si="4"/>
        <v>0</v>
      </c>
      <c r="I15" s="245"/>
      <c r="J15" s="318">
        <v>226105.0747844009</v>
      </c>
      <c r="K15" s="318">
        <f>SUMIF('Measure-Level Adjustments Tab'!$A$8:$A$499,$A15,'Measure-Level Adjustments Tab'!$BA$8:$BA$499)</f>
        <v>226103.71830529053</v>
      </c>
      <c r="L15" s="320">
        <f t="shared" si="5"/>
        <v>-1.3564791103708558</v>
      </c>
      <c r="M15" s="357" t="s">
        <v>1442</v>
      </c>
      <c r="N15" s="318">
        <v>298117.07478440087</v>
      </c>
      <c r="O15" s="318">
        <f>SUMIF('Measure-Level Adjustments Tab'!$A$8:$A$499,$A15,'Measure-Level Adjustments Tab'!$BB$8:$BB$499)</f>
        <v>298115.71830529056</v>
      </c>
      <c r="P15" s="320">
        <f t="shared" si="6"/>
        <v>-1.3564791103126481</v>
      </c>
      <c r="Q15" s="357" t="s">
        <v>1442</v>
      </c>
      <c r="R15" s="251">
        <f t="shared" si="0"/>
        <v>1120456.2991376035</v>
      </c>
      <c r="S15" s="248">
        <f t="shared" si="1"/>
        <v>1120453.5861793829</v>
      </c>
      <c r="T15" s="249">
        <f t="shared" si="7"/>
        <v>-2.7129582206252962</v>
      </c>
      <c r="U15" s="488">
        <f>SUMIF('Measure-Level Adjustments Tab'!$A$8:$A$425,$A15,'Measure-Level Adjustments Tab'!BF$8:BF$425)</f>
        <v>4436666.604986866</v>
      </c>
      <c r="V15" s="488">
        <f>SUMIF('Measure-Level Adjustments Tab'!$A$8:$A$425,$A15,'Measure-Level Adjustments Tab'!BG$8:BG$425)</f>
        <v>4436666.604986866</v>
      </c>
      <c r="W15" s="488">
        <f>SUMIF('Measure-Level Adjustments Tab'!$A$8:$A$425,$A15,'Measure-Level Adjustments Tab'!BH$8:BH$425)</f>
        <v>3356486.604986866</v>
      </c>
      <c r="X15" s="488">
        <f>SUMIF('Measure-Level Adjustments Tab'!$A$8:$A$425,$A15,'Measure-Level Adjustments Tab'!BI$8:BI$425)</f>
        <v>4436666.604986866</v>
      </c>
      <c r="Y15" s="488">
        <f t="shared" si="8"/>
        <v>16666486.419947464</v>
      </c>
      <c r="Z15" s="488">
        <f>SUMIF('Measure-Level Adjustments Tab'!$A$8:$A$425,$A15,'Measure-Level Adjustments Tab'!BO$8:BO$425)</f>
        <v>4436666.604986866</v>
      </c>
      <c r="AA15" s="488">
        <f>SUMIF('Measure-Level Adjustments Tab'!$A$8:$A$425,$A15,'Measure-Level Adjustments Tab'!BP$8:BP$425)</f>
        <v>4436666.604986866</v>
      </c>
      <c r="AB15" s="488">
        <f>SUMIF('Measure-Level Adjustments Tab'!$A$8:$A$425,$A15,'Measure-Level Adjustments Tab'!BQ$8:BQ$425)</f>
        <v>3356473.0401957626</v>
      </c>
      <c r="AC15" s="488">
        <f>SUMIF('Measure-Level Adjustments Tab'!$A$8:$A$425,$A15,'Measure-Level Adjustments Tab'!BR$8:BR$425)</f>
        <v>4436653.0401957631</v>
      </c>
      <c r="AD15" s="488">
        <f t="shared" si="2"/>
        <v>16666459.290365258</v>
      </c>
    </row>
    <row r="16" spans="1:30" s="246" customFormat="1" ht="14">
      <c r="A16" s="250" t="s">
        <v>709</v>
      </c>
      <c r="B16" s="318">
        <v>7274.4683522822315</v>
      </c>
      <c r="C16" s="351">
        <v>7274.4683522822315</v>
      </c>
      <c r="D16" s="320">
        <f t="shared" si="3"/>
        <v>0</v>
      </c>
      <c r="E16" s="357"/>
      <c r="F16" s="318">
        <v>7274.4683522822315</v>
      </c>
      <c r="G16" s="318">
        <v>7274.4683522822315</v>
      </c>
      <c r="H16" s="320">
        <f t="shared" si="4"/>
        <v>0</v>
      </c>
      <c r="I16" s="245"/>
      <c r="J16" s="318">
        <v>7274.4683522822315</v>
      </c>
      <c r="K16" s="318">
        <f>SUMIF('Measure-Level Adjustments Tab'!$A$8:$A$499,$A16,'Measure-Level Adjustments Tab'!$BA$8:$BA$499)</f>
        <v>8127.7323717446325</v>
      </c>
      <c r="L16" s="320">
        <f t="shared" si="5"/>
        <v>853.26401946240094</v>
      </c>
      <c r="M16" s="357" t="s">
        <v>1442</v>
      </c>
      <c r="N16" s="318">
        <v>7274.4683522822315</v>
      </c>
      <c r="O16" s="318">
        <f>SUMIF('Measure-Level Adjustments Tab'!$A$8:$A$499,$A16,'Measure-Level Adjustments Tab'!$BB$8:$BB$499)</f>
        <v>8127.7323717446325</v>
      </c>
      <c r="P16" s="320">
        <f t="shared" si="6"/>
        <v>853.26401946240094</v>
      </c>
      <c r="Q16" s="357" t="s">
        <v>1442</v>
      </c>
      <c r="R16" s="251">
        <f t="shared" si="0"/>
        <v>29097.873409128926</v>
      </c>
      <c r="S16" s="248">
        <f t="shared" si="1"/>
        <v>30804.40144805373</v>
      </c>
      <c r="T16" s="249">
        <f t="shared" si="7"/>
        <v>1706.5280389248037</v>
      </c>
      <c r="U16" s="488">
        <f>SUMIF('Measure-Level Adjustments Tab'!$A$8:$A$425,$A16,'Measure-Level Adjustments Tab'!BF$8:BF$425)</f>
        <v>76492.630371172054</v>
      </c>
      <c r="V16" s="488">
        <f>SUMIF('Measure-Level Adjustments Tab'!$A$8:$A$425,$A16,'Measure-Level Adjustments Tab'!BG$8:BG$425)</f>
        <v>76492.630371172054</v>
      </c>
      <c r="W16" s="488">
        <f>SUMIF('Measure-Level Adjustments Tab'!$A$8:$A$425,$A16,'Measure-Level Adjustments Tab'!BH$8:BH$425)</f>
        <v>76492.630371172054</v>
      </c>
      <c r="X16" s="488">
        <f>SUMIF('Measure-Level Adjustments Tab'!$A$8:$A$425,$A16,'Measure-Level Adjustments Tab'!BI$8:BI$425)</f>
        <v>76492.630371172054</v>
      </c>
      <c r="Y16" s="488">
        <f t="shared" si="8"/>
        <v>305970.52148468822</v>
      </c>
      <c r="Z16" s="488">
        <f>SUMIF('Measure-Level Adjustments Tab'!$A$8:$A$425,$A16,'Measure-Level Adjustments Tab'!BO$8:BO$425)</f>
        <v>76492.630371172054</v>
      </c>
      <c r="AA16" s="488">
        <f>SUMIF('Measure-Level Adjustments Tab'!$A$8:$A$425,$A16,'Measure-Level Adjustments Tab'!BP$8:BP$425)</f>
        <v>76492.630371172054</v>
      </c>
      <c r="AB16" s="488">
        <f>SUMIF('Measure-Level Adjustments Tab'!$A$8:$A$425,$A16,'Measure-Level Adjustments Tab'!BQ$8:BQ$425)</f>
        <v>80506.198917796049</v>
      </c>
      <c r="AC16" s="488">
        <f>SUMIF('Measure-Level Adjustments Tab'!$A$8:$A$425,$A16,'Measure-Level Adjustments Tab'!BR$8:BR$425)</f>
        <v>80506.198917796049</v>
      </c>
      <c r="AD16" s="488">
        <f t="shared" si="2"/>
        <v>313997.65857793624</v>
      </c>
    </row>
    <row r="17" spans="1:30" s="246" customFormat="1" ht="14">
      <c r="A17" s="250" t="s">
        <v>711</v>
      </c>
      <c r="B17" s="318">
        <v>521482.87233481859</v>
      </c>
      <c r="C17" s="351">
        <v>521482.87233481859</v>
      </c>
      <c r="D17" s="320">
        <f t="shared" si="3"/>
        <v>0</v>
      </c>
      <c r="E17" s="357"/>
      <c r="F17" s="318">
        <v>521482.87233481859</v>
      </c>
      <c r="G17" s="318">
        <v>521482.87233481859</v>
      </c>
      <c r="H17" s="320">
        <f t="shared" si="4"/>
        <v>0</v>
      </c>
      <c r="I17" s="245"/>
      <c r="J17" s="318">
        <v>455587.87233481859</v>
      </c>
      <c r="K17" s="318">
        <f>SUMIF('Measure-Level Adjustments Tab'!$A$8:$A$499,$A17,'Measure-Level Adjustments Tab'!$BA$8:$BA$499)</f>
        <v>456299.0164588709</v>
      </c>
      <c r="L17" s="320">
        <f t="shared" si="5"/>
        <v>711.14412405231269</v>
      </c>
      <c r="M17" s="244" t="s">
        <v>1443</v>
      </c>
      <c r="N17" s="318">
        <v>521482.87233481859</v>
      </c>
      <c r="O17" s="318">
        <f>SUMIF('Measure-Level Adjustments Tab'!$A$8:$A$499,$A17,'Measure-Level Adjustments Tab'!$BB$8:$BB$499)</f>
        <v>522194.0164588709</v>
      </c>
      <c r="P17" s="320">
        <f t="shared" si="6"/>
        <v>711.14412405231269</v>
      </c>
      <c r="Q17" s="244" t="s">
        <v>1443</v>
      </c>
      <c r="R17" s="251">
        <f t="shared" si="0"/>
        <v>2020036.4893392744</v>
      </c>
      <c r="S17" s="248">
        <f t="shared" si="1"/>
        <v>2021458.7775873789</v>
      </c>
      <c r="T17" s="249">
        <f t="shared" si="7"/>
        <v>1422.288248104509</v>
      </c>
      <c r="U17" s="488">
        <f>SUMIF('Measure-Level Adjustments Tab'!$A$8:$A$425,$A17,'Measure-Level Adjustments Tab'!BF$8:BF$425)</f>
        <v>7104868.8358899653</v>
      </c>
      <c r="V17" s="488">
        <f>SUMIF('Measure-Level Adjustments Tab'!$A$8:$A$425,$A17,'Measure-Level Adjustments Tab'!BG$8:BG$425)</f>
        <v>7104868.8358899653</v>
      </c>
      <c r="W17" s="488">
        <f>SUMIF('Measure-Level Adjustments Tab'!$A$8:$A$425,$A17,'Measure-Level Adjustments Tab'!BH$8:BH$425)</f>
        <v>6116443.8358899653</v>
      </c>
      <c r="X17" s="488">
        <f>SUMIF('Measure-Level Adjustments Tab'!$A$8:$A$425,$A17,'Measure-Level Adjustments Tab'!BI$8:BI$425)</f>
        <v>7104868.8358899653</v>
      </c>
      <c r="Y17" s="488">
        <f t="shared" si="8"/>
        <v>27431050.343559861</v>
      </c>
      <c r="Z17" s="488">
        <f>SUMIF('Measure-Level Adjustments Tab'!$A$8:$A$425,$A17,'Measure-Level Adjustments Tab'!BO$8:BO$425)</f>
        <v>7104868.8358899653</v>
      </c>
      <c r="AA17" s="488">
        <f>SUMIF('Measure-Level Adjustments Tab'!$A$8:$A$425,$A17,'Measure-Level Adjustments Tab'!BP$8:BP$425)</f>
        <v>7104868.8358899653</v>
      </c>
      <c r="AB17" s="488">
        <f>SUMIF('Measure-Level Adjustments Tab'!$A$8:$A$425,$A17,'Measure-Level Adjustments Tab'!BQ$8:BQ$425)</f>
        <v>6150945.4117840733</v>
      </c>
      <c r="AC17" s="488">
        <f>SUMIF('Measure-Level Adjustments Tab'!$A$8:$A$425,$A17,'Measure-Level Adjustments Tab'!BR$8:BR$425)</f>
        <v>7139370.4117840733</v>
      </c>
      <c r="AD17" s="488">
        <f t="shared" si="2"/>
        <v>27500053.495348081</v>
      </c>
    </row>
    <row r="18" spans="1:30" s="246" customFormat="1" ht="14">
      <c r="A18" s="250" t="s">
        <v>712</v>
      </c>
      <c r="B18" s="318">
        <v>38221.072399205528</v>
      </c>
      <c r="C18" s="351">
        <v>38221.072399205528</v>
      </c>
      <c r="D18" s="320">
        <f t="shared" si="3"/>
        <v>0</v>
      </c>
      <c r="E18" s="357"/>
      <c r="F18" s="318">
        <v>38221.072399205528</v>
      </c>
      <c r="G18" s="318">
        <v>38221.072399205528</v>
      </c>
      <c r="H18" s="320">
        <f t="shared" si="4"/>
        <v>0</v>
      </c>
      <c r="I18" s="245"/>
      <c r="J18" s="318">
        <v>34357.072399205528</v>
      </c>
      <c r="K18" s="318">
        <f>SUMIF('Measure-Level Adjustments Tab'!$A$8:$A$499,$A18,'Measure-Level Adjustments Tab'!$BA$8:$BA$499)</f>
        <v>34084.045153805535</v>
      </c>
      <c r="L18" s="320">
        <f t="shared" si="5"/>
        <v>-273.02724539999326</v>
      </c>
      <c r="M18" s="244" t="s">
        <v>1443</v>
      </c>
      <c r="N18" s="318">
        <v>38221.072399205528</v>
      </c>
      <c r="O18" s="318">
        <f>SUMIF('Measure-Level Adjustments Tab'!$A$8:$A$499,$A18,'Measure-Level Adjustments Tab'!$BB$8:$BB$499)</f>
        <v>37948.045153805535</v>
      </c>
      <c r="P18" s="320">
        <f t="shared" si="6"/>
        <v>-273.02724539999326</v>
      </c>
      <c r="Q18" s="244" t="s">
        <v>1443</v>
      </c>
      <c r="R18" s="251">
        <f t="shared" si="0"/>
        <v>149020.28959682211</v>
      </c>
      <c r="S18" s="248">
        <f t="shared" si="1"/>
        <v>148474.23510602213</v>
      </c>
      <c r="T18" s="249">
        <f t="shared" si="7"/>
        <v>-546.05449079998652</v>
      </c>
      <c r="U18" s="488">
        <f>SUMIF('Measure-Level Adjustments Tab'!$A$8:$A$425,$A18,'Measure-Level Adjustments Tab'!BF$8:BF$425)</f>
        <v>496849.33661226404</v>
      </c>
      <c r="V18" s="488">
        <f>SUMIF('Measure-Level Adjustments Tab'!$A$8:$A$425,$A18,'Measure-Level Adjustments Tab'!BG$8:BG$425)</f>
        <v>496849.33661226404</v>
      </c>
      <c r="W18" s="488">
        <f>SUMIF('Measure-Level Adjustments Tab'!$A$8:$A$425,$A18,'Measure-Level Adjustments Tab'!BH$8:BH$425)</f>
        <v>438889.33661226404</v>
      </c>
      <c r="X18" s="488">
        <f>SUMIF('Measure-Level Adjustments Tab'!$A$8:$A$425,$A18,'Measure-Level Adjustments Tab'!BI$8:BI$425)</f>
        <v>496849.33661226404</v>
      </c>
      <c r="Y18" s="488">
        <f t="shared" si="8"/>
        <v>1929437.3464490562</v>
      </c>
      <c r="Z18" s="488">
        <f>SUMIF('Measure-Level Adjustments Tab'!$A$8:$A$425,$A18,'Measure-Level Adjustments Tab'!BO$8:BO$425)</f>
        <v>496849.33661226404</v>
      </c>
      <c r="AA18" s="488">
        <f>SUMIF('Measure-Level Adjustments Tab'!$A$8:$A$425,$A18,'Measure-Level Adjustments Tab'!BP$8:BP$425)</f>
        <v>496849.33661226404</v>
      </c>
      <c r="AB18" s="488">
        <f>SUMIF('Measure-Level Adjustments Tab'!$A$8:$A$425,$A18,'Measure-Level Adjustments Tab'!BQ$8:BQ$425)</f>
        <v>437524.20038526406</v>
      </c>
      <c r="AC18" s="488">
        <f>SUMIF('Measure-Level Adjustments Tab'!$A$8:$A$425,$A18,'Measure-Level Adjustments Tab'!BR$8:BR$425)</f>
        <v>495484.20038526406</v>
      </c>
      <c r="AD18" s="488">
        <f t="shared" si="2"/>
        <v>1926707.0739950563</v>
      </c>
    </row>
    <row r="19" spans="1:30" s="246" customFormat="1" ht="14">
      <c r="A19" s="250" t="s">
        <v>791</v>
      </c>
      <c r="B19" s="318">
        <v>31883.730906921573</v>
      </c>
      <c r="C19" s="351">
        <v>31883.730906921573</v>
      </c>
      <c r="D19" s="320">
        <f t="shared" ref="D19" si="9">C19-B19</f>
        <v>0</v>
      </c>
      <c r="E19" s="357"/>
      <c r="F19" s="318">
        <v>31883.730906921573</v>
      </c>
      <c r="G19" s="318">
        <v>31811.899565235646</v>
      </c>
      <c r="H19" s="320">
        <f t="shared" ref="H19" si="10">G19-F19</f>
        <v>-71.831341685927327</v>
      </c>
      <c r="I19" s="245" t="s">
        <v>1476</v>
      </c>
      <c r="J19" s="318">
        <v>31883.730906921573</v>
      </c>
      <c r="K19" s="318">
        <f>SUMIF('Measure-Level Adjustments Tab'!$A$8:$A$499,$A19,'Measure-Level Adjustments Tab'!$BA$8:$BA$499)</f>
        <v>31945.300628366655</v>
      </c>
      <c r="L19" s="320">
        <f t="shared" ref="L19" si="11">K19-J19</f>
        <v>61.569721445081086</v>
      </c>
      <c r="M19" s="244" t="s">
        <v>1443</v>
      </c>
      <c r="N19" s="318">
        <v>31883.730906921573</v>
      </c>
      <c r="O19" s="318">
        <f>SUMIF('Measure-Level Adjustments Tab'!$A$8:$A$499,$A19,'Measure-Level Adjustments Tab'!$BB$8:$BB$499)</f>
        <v>31945.300628366655</v>
      </c>
      <c r="P19" s="320">
        <f t="shared" ref="P19" si="12">O19-N19</f>
        <v>61.569721445081086</v>
      </c>
      <c r="Q19" s="244" t="s">
        <v>1443</v>
      </c>
      <c r="R19" s="251">
        <f t="shared" si="0"/>
        <v>127534.92362768629</v>
      </c>
      <c r="S19" s="248">
        <f t="shared" si="1"/>
        <v>127586.23172889053</v>
      </c>
      <c r="T19" s="249">
        <f t="shared" ref="T19" si="13">S19-R19</f>
        <v>51.308101204238483</v>
      </c>
      <c r="U19" s="488">
        <f>SUMIF('Measure-Level Adjustments Tab'!$A$8:$A$425,$A19,'Measure-Level Adjustments Tab'!BF$8:BF$425)</f>
        <v>396179.86828795361</v>
      </c>
      <c r="V19" s="488">
        <f>SUMIF('Measure-Level Adjustments Tab'!$A$8:$A$425,$A19,'Measure-Level Adjustments Tab'!BG$8:BG$425)</f>
        <v>396179.86828795361</v>
      </c>
      <c r="W19" s="488">
        <f>SUMIF('Measure-Level Adjustments Tab'!$A$8:$A$425,$A19,'Measure-Level Adjustments Tab'!BH$8:BH$425)</f>
        <v>396179.86828795361</v>
      </c>
      <c r="X19" s="488">
        <f>SUMIF('Measure-Level Adjustments Tab'!$A$8:$A$425,$A19,'Measure-Level Adjustments Tab'!BI$8:BI$425)</f>
        <v>396179.86828795361</v>
      </c>
      <c r="Y19" s="488">
        <f t="shared" si="8"/>
        <v>1584719.4731518144</v>
      </c>
      <c r="Z19" s="488">
        <f>SUMIF('Measure-Level Adjustments Tab'!$A$8:$A$425,$A19,'Measure-Level Adjustments Tab'!BO$8:BO$425)</f>
        <v>396179.86828795361</v>
      </c>
      <c r="AA19" s="488">
        <f>SUMIF('Measure-Level Adjustments Tab'!$A$8:$A$425,$A19,'Measure-Level Adjustments Tab'!BP$8:BP$425)</f>
        <v>394814.83426289581</v>
      </c>
      <c r="AB19" s="488">
        <f>SUMIF('Measure-Level Adjustments Tab'!$A$8:$A$425,$A19,'Measure-Level Adjustments Tab'!BQ$8:BQ$425)</f>
        <v>402595.27745228884</v>
      </c>
      <c r="AC19" s="488">
        <f>SUMIF('Measure-Level Adjustments Tab'!$A$8:$A$425,$A19,'Measure-Level Adjustments Tab'!BR$8:BR$425)</f>
        <v>402595.27745228884</v>
      </c>
      <c r="AD19" s="488">
        <f t="shared" si="2"/>
        <v>1596185.2574554272</v>
      </c>
    </row>
    <row r="20" spans="1:30" s="246" customFormat="1" ht="14">
      <c r="A20" s="250" t="s">
        <v>725</v>
      </c>
      <c r="B20" s="318">
        <v>55107.477255090314</v>
      </c>
      <c r="C20" s="351">
        <v>55107.477255090314</v>
      </c>
      <c r="D20" s="320">
        <f t="shared" si="3"/>
        <v>0</v>
      </c>
      <c r="E20" s="357"/>
      <c r="F20" s="318">
        <v>55107.477255090314</v>
      </c>
      <c r="G20" s="318">
        <v>55107.477255090314</v>
      </c>
      <c r="H20" s="320">
        <f t="shared" si="4"/>
        <v>0</v>
      </c>
      <c r="I20" s="245"/>
      <c r="J20" s="318">
        <v>55107.477255090314</v>
      </c>
      <c r="K20" s="318">
        <f>SUMIF('Measure-Level Adjustments Tab'!$A$8:$A$499,$A20,'Measure-Level Adjustments Tab'!$BA$8:$BA$499)</f>
        <v>55938.225633677721</v>
      </c>
      <c r="L20" s="320">
        <f t="shared" si="5"/>
        <v>830.74837858740648</v>
      </c>
      <c r="M20" s="357" t="s">
        <v>1442</v>
      </c>
      <c r="N20" s="318">
        <v>55107.477255090314</v>
      </c>
      <c r="O20" s="318">
        <f>SUMIF('Measure-Level Adjustments Tab'!$A$8:$A$499,$A20,'Measure-Level Adjustments Tab'!$BB$8:$BB$499)</f>
        <v>55938.225633677721</v>
      </c>
      <c r="P20" s="320">
        <f t="shared" si="6"/>
        <v>830.74837858740648</v>
      </c>
      <c r="Q20" s="357" t="s">
        <v>1442</v>
      </c>
      <c r="R20" s="251">
        <f t="shared" si="0"/>
        <v>220429.90902036126</v>
      </c>
      <c r="S20" s="248">
        <f t="shared" si="1"/>
        <v>222091.4057775361</v>
      </c>
      <c r="T20" s="249">
        <f t="shared" si="7"/>
        <v>1661.4967571748421</v>
      </c>
      <c r="U20" s="488">
        <f>SUMIF('Measure-Level Adjustments Tab'!$A$8:$A$425,$A20,'Measure-Level Adjustments Tab'!BF$8:BF$425)</f>
        <v>796112.04331893125</v>
      </c>
      <c r="V20" s="488">
        <f>SUMIF('Measure-Level Adjustments Tab'!$A$8:$A$425,$A20,'Measure-Level Adjustments Tab'!BG$8:BG$425)</f>
        <v>796112.04331893125</v>
      </c>
      <c r="W20" s="488">
        <f>SUMIF('Measure-Level Adjustments Tab'!$A$8:$A$425,$A20,'Measure-Level Adjustments Tab'!BH$8:BH$425)</f>
        <v>796112.04331893125</v>
      </c>
      <c r="X20" s="488">
        <f>SUMIF('Measure-Level Adjustments Tab'!$A$8:$A$425,$A20,'Measure-Level Adjustments Tab'!BI$8:BI$425)</f>
        <v>796112.04331893125</v>
      </c>
      <c r="Y20" s="488">
        <f t="shared" si="8"/>
        <v>3184448.173275725</v>
      </c>
      <c r="Z20" s="488">
        <f>SUMIF('Measure-Level Adjustments Tab'!$A$8:$A$425,$A20,'Measure-Level Adjustments Tab'!BO$8:BO$425)</f>
        <v>796112.04331893125</v>
      </c>
      <c r="AA20" s="488">
        <f>SUMIF('Measure-Level Adjustments Tab'!$A$8:$A$425,$A20,'Measure-Level Adjustments Tab'!BP$8:BP$425)</f>
        <v>796112.04331893125</v>
      </c>
      <c r="AB20" s="488">
        <f>SUMIF('Measure-Level Adjustments Tab'!$A$8:$A$425,$A20,'Measure-Level Adjustments Tab'!BQ$8:BQ$425)</f>
        <v>800021.61897200532</v>
      </c>
      <c r="AC20" s="488">
        <f>SUMIF('Measure-Level Adjustments Tab'!$A$8:$A$425,$A20,'Measure-Level Adjustments Tab'!BR$8:BR$425)</f>
        <v>800021.61897200532</v>
      </c>
      <c r="AD20" s="488">
        <f t="shared" si="2"/>
        <v>3192267.3245818731</v>
      </c>
    </row>
    <row r="21" spans="1:30" s="246" customFormat="1" ht="14">
      <c r="A21" s="250" t="s">
        <v>728</v>
      </c>
      <c r="B21" s="318">
        <v>206449.4571176194</v>
      </c>
      <c r="C21" s="351">
        <v>206449.4571176194</v>
      </c>
      <c r="D21" s="320">
        <f t="shared" si="3"/>
        <v>0</v>
      </c>
      <c r="E21" s="357"/>
      <c r="F21" s="318">
        <v>206449.4571176194</v>
      </c>
      <c r="G21" s="318">
        <v>206449.4571176194</v>
      </c>
      <c r="H21" s="320">
        <f t="shared" si="4"/>
        <v>0</v>
      </c>
      <c r="I21" s="245"/>
      <c r="J21" s="318">
        <v>206449.4571176194</v>
      </c>
      <c r="K21" s="318">
        <f>SUMIF('Measure-Level Adjustments Tab'!$A$8:$A$499,$A21,'Measure-Level Adjustments Tab'!$BA$8:$BA$499)</f>
        <v>207432.35662981452</v>
      </c>
      <c r="L21" s="320">
        <f t="shared" si="5"/>
        <v>982.89951219511568</v>
      </c>
      <c r="M21" s="244" t="s">
        <v>1443</v>
      </c>
      <c r="N21" s="318">
        <v>206449.4571176194</v>
      </c>
      <c r="O21" s="318">
        <f>SUMIF('Measure-Level Adjustments Tab'!$A$8:$A$499,$A21,'Measure-Level Adjustments Tab'!$BB$8:$BB$499)</f>
        <v>207432.35662981452</v>
      </c>
      <c r="P21" s="320">
        <f t="shared" si="6"/>
        <v>982.89951219511568</v>
      </c>
      <c r="Q21" s="244" t="s">
        <v>1443</v>
      </c>
      <c r="R21" s="251">
        <f t="shared" si="0"/>
        <v>825797.8284704776</v>
      </c>
      <c r="S21" s="248">
        <f t="shared" si="1"/>
        <v>827763.62749486777</v>
      </c>
      <c r="T21" s="249">
        <f t="shared" si="7"/>
        <v>1965.7990243901731</v>
      </c>
      <c r="U21" s="488">
        <f>SUMIF('Measure-Level Adjustments Tab'!$A$8:$A$425,$A21,'Measure-Level Adjustments Tab'!BF$8:BF$425)</f>
        <v>2437842.8867953229</v>
      </c>
      <c r="V21" s="488">
        <f>SUMIF('Measure-Level Adjustments Tab'!$A$8:$A$425,$A21,'Measure-Level Adjustments Tab'!BG$8:BG$425)</f>
        <v>2437842.8867953229</v>
      </c>
      <c r="W21" s="488">
        <f>SUMIF('Measure-Level Adjustments Tab'!$A$8:$A$425,$A21,'Measure-Level Adjustments Tab'!BH$8:BH$425)</f>
        <v>2437842.8867953229</v>
      </c>
      <c r="X21" s="488">
        <f>SUMIF('Measure-Level Adjustments Tab'!$A$8:$A$425,$A21,'Measure-Level Adjustments Tab'!BI$8:BI$425)</f>
        <v>2437842.8867953229</v>
      </c>
      <c r="Y21" s="488">
        <f t="shared" si="8"/>
        <v>9751371.5471812915</v>
      </c>
      <c r="Z21" s="488">
        <f>SUMIF('Measure-Level Adjustments Tab'!$A$8:$A$425,$A21,'Measure-Level Adjustments Tab'!BO$8:BO$425)</f>
        <v>2437842.8867953229</v>
      </c>
      <c r="AA21" s="488">
        <f>SUMIF('Measure-Level Adjustments Tab'!$A$8:$A$425,$A21,'Measure-Level Adjustments Tab'!BP$8:BP$425)</f>
        <v>2437842.8867953229</v>
      </c>
      <c r="AB21" s="488">
        <f>SUMIF('Measure-Level Adjustments Tab'!$A$8:$A$425,$A21,'Measure-Level Adjustments Tab'!BQ$8:BQ$425)</f>
        <v>2485013.5287465421</v>
      </c>
      <c r="AC21" s="488">
        <f>SUMIF('Measure-Level Adjustments Tab'!$A$8:$A$425,$A21,'Measure-Level Adjustments Tab'!BR$8:BR$425)</f>
        <v>2485013.5287465421</v>
      </c>
      <c r="AD21" s="488">
        <f t="shared" si="2"/>
        <v>9845712.8310837299</v>
      </c>
    </row>
    <row r="22" spans="1:30" s="246" customFormat="1" ht="14">
      <c r="A22" s="250" t="s">
        <v>713</v>
      </c>
      <c r="B22" s="318">
        <v>0</v>
      </c>
      <c r="C22" s="351">
        <v>0</v>
      </c>
      <c r="D22" s="320">
        <f t="shared" si="3"/>
        <v>0</v>
      </c>
      <c r="E22" s="357"/>
      <c r="F22" s="318">
        <v>0</v>
      </c>
      <c r="G22" s="318">
        <v>0</v>
      </c>
      <c r="H22" s="320">
        <f t="shared" si="4"/>
        <v>0</v>
      </c>
      <c r="I22" s="245"/>
      <c r="J22" s="318">
        <v>0</v>
      </c>
      <c r="K22" s="318">
        <f>SUMIF('Measure-Level Adjustments Tab'!$A$8:$A$499,$A22,'Measure-Level Adjustments Tab'!$BA$8:$BA$499)</f>
        <v>0</v>
      </c>
      <c r="L22" s="320">
        <f t="shared" si="5"/>
        <v>0</v>
      </c>
      <c r="M22" s="357"/>
      <c r="N22" s="318">
        <v>0</v>
      </c>
      <c r="O22" s="318">
        <f>SUMIF('Measure-Level Adjustments Tab'!$A$8:$A$499,$A22,'Measure-Level Adjustments Tab'!$BB$8:$BB$499)</f>
        <v>0</v>
      </c>
      <c r="P22" s="320">
        <f t="shared" si="6"/>
        <v>0</v>
      </c>
      <c r="Q22" s="357"/>
      <c r="R22" s="251">
        <f t="shared" si="0"/>
        <v>0</v>
      </c>
      <c r="S22" s="248">
        <f t="shared" si="1"/>
        <v>0</v>
      </c>
      <c r="T22" s="249">
        <f t="shared" si="7"/>
        <v>0</v>
      </c>
      <c r="U22" s="488">
        <f>SUMIF('Measure-Level Adjustments Tab'!$A$8:$A$425,$A22,'Measure-Level Adjustments Tab'!BF$8:BF$425)</f>
        <v>0</v>
      </c>
      <c r="V22" s="488">
        <f>SUMIF('Measure-Level Adjustments Tab'!$A$8:$A$425,$A22,'Measure-Level Adjustments Tab'!BG$8:BG$425)</f>
        <v>0</v>
      </c>
      <c r="W22" s="488">
        <f>SUMIF('Measure-Level Adjustments Tab'!$A$8:$A$425,$A22,'Measure-Level Adjustments Tab'!BH$8:BH$425)</f>
        <v>0</v>
      </c>
      <c r="X22" s="488">
        <f>SUMIF('Measure-Level Adjustments Tab'!$A$8:$A$425,$A22,'Measure-Level Adjustments Tab'!BI$8:BI$425)</f>
        <v>0</v>
      </c>
      <c r="Y22" s="488">
        <f t="shared" si="8"/>
        <v>0</v>
      </c>
      <c r="Z22" s="488">
        <f>SUMIF('Measure-Level Adjustments Tab'!$A$8:$A$425,$A22,'Measure-Level Adjustments Tab'!BO$8:BO$425)</f>
        <v>0</v>
      </c>
      <c r="AA22" s="488">
        <f>SUMIF('Measure-Level Adjustments Tab'!$A$8:$A$425,$A22,'Measure-Level Adjustments Tab'!BP$8:BP$425)</f>
        <v>0</v>
      </c>
      <c r="AB22" s="488">
        <f>SUMIF('Measure-Level Adjustments Tab'!$A$8:$A$425,$A22,'Measure-Level Adjustments Tab'!BQ$8:BQ$425)</f>
        <v>0</v>
      </c>
      <c r="AC22" s="488">
        <f>SUMIF('Measure-Level Adjustments Tab'!$A$8:$A$425,$A22,'Measure-Level Adjustments Tab'!BR$8:BR$425)</f>
        <v>0</v>
      </c>
      <c r="AD22" s="488">
        <f t="shared" si="2"/>
        <v>0</v>
      </c>
    </row>
    <row r="23" spans="1:30" s="246" customFormat="1" ht="14">
      <c r="A23" s="250" t="s">
        <v>714</v>
      </c>
      <c r="B23" s="318">
        <v>38110.28884723784</v>
      </c>
      <c r="C23" s="351">
        <v>38110.28884723784</v>
      </c>
      <c r="D23" s="320">
        <f t="shared" si="3"/>
        <v>0</v>
      </c>
      <c r="E23" s="357"/>
      <c r="F23" s="318">
        <v>38110.28884723784</v>
      </c>
      <c r="G23" s="318">
        <v>36412.323375221873</v>
      </c>
      <c r="H23" s="320">
        <f t="shared" si="4"/>
        <v>-1697.965472015967</v>
      </c>
      <c r="I23" s="245" t="s">
        <v>1477</v>
      </c>
      <c r="J23" s="318">
        <v>38110.28884723784</v>
      </c>
      <c r="K23" s="318">
        <f>SUMIF('Measure-Level Adjustments Tab'!$A$8:$A$499,$A23,'Measure-Level Adjustments Tab'!$BA$8:$BA$499)</f>
        <v>37601.657778490917</v>
      </c>
      <c r="L23" s="320">
        <f t="shared" si="5"/>
        <v>-508.63106874692312</v>
      </c>
      <c r="M23" s="244" t="s">
        <v>1452</v>
      </c>
      <c r="N23" s="318">
        <v>38110.28884723784</v>
      </c>
      <c r="O23" s="318">
        <f>SUMIF('Measure-Level Adjustments Tab'!$A$8:$A$499,$A23,'Measure-Level Adjustments Tab'!$BB$8:$BB$499)</f>
        <v>37601.657778490917</v>
      </c>
      <c r="P23" s="320">
        <f t="shared" si="6"/>
        <v>-508.63106874692312</v>
      </c>
      <c r="Q23" s="244" t="s">
        <v>1452</v>
      </c>
      <c r="R23" s="251">
        <f t="shared" si="0"/>
        <v>152441.15538895136</v>
      </c>
      <c r="S23" s="248">
        <f t="shared" si="1"/>
        <v>149725.92777944155</v>
      </c>
      <c r="T23" s="249">
        <f t="shared" si="7"/>
        <v>-2715.2276095098059</v>
      </c>
      <c r="U23" s="488">
        <f>SUMIF('Measure-Level Adjustments Tab'!$A$8:$A$425,$A23,'Measure-Level Adjustments Tab'!BF$8:BF$425)</f>
        <v>587879.86970725656</v>
      </c>
      <c r="V23" s="488">
        <f>SUMIF('Measure-Level Adjustments Tab'!$A$8:$A$425,$A23,'Measure-Level Adjustments Tab'!BG$8:BG$425)</f>
        <v>587879.86970725656</v>
      </c>
      <c r="W23" s="488">
        <f>SUMIF('Measure-Level Adjustments Tab'!$A$8:$A$425,$A23,'Measure-Level Adjustments Tab'!BH$8:BH$425)</f>
        <v>587879.86970725656</v>
      </c>
      <c r="X23" s="488">
        <f>SUMIF('Measure-Level Adjustments Tab'!$A$8:$A$425,$A23,'Measure-Level Adjustments Tab'!BI$8:BI$425)</f>
        <v>587879.86970725656</v>
      </c>
      <c r="Y23" s="488">
        <f t="shared" ref="Y23:Y26" si="14">SUM(U23:X23)</f>
        <v>2351519.4788290262</v>
      </c>
      <c r="Z23" s="488">
        <f>SUMIF('Measure-Level Adjustments Tab'!$A$8:$A$425,$A23,'Measure-Level Adjustments Tab'!BO$8:BO$425)</f>
        <v>587879.86970725656</v>
      </c>
      <c r="AA23" s="488">
        <f>SUMIF('Measure-Level Adjustments Tab'!$A$8:$A$425,$A23,'Measure-Level Adjustments Tab'!BP$8:BP$425)</f>
        <v>555037.35058345902</v>
      </c>
      <c r="AB23" s="488">
        <f>SUMIF('Measure-Level Adjustments Tab'!$A$8:$A$425,$A23,'Measure-Level Adjustments Tab'!BQ$8:BQ$425)</f>
        <v>578869.34384107566</v>
      </c>
      <c r="AC23" s="488">
        <f>SUMIF('Measure-Level Adjustments Tab'!$A$8:$A$425,$A23,'Measure-Level Adjustments Tab'!BR$8:BR$425)</f>
        <v>578869.34384107566</v>
      </c>
      <c r="AD23" s="488">
        <f t="shared" ref="AD23:AD26" si="15">SUM(Z23:AC23)</f>
        <v>2300655.9079728667</v>
      </c>
    </row>
    <row r="24" spans="1:30" s="246" customFormat="1" ht="14">
      <c r="A24" s="247" t="s">
        <v>715</v>
      </c>
      <c r="B24" s="318">
        <v>43090.278088259787</v>
      </c>
      <c r="C24" s="351">
        <v>43090.278088259787</v>
      </c>
      <c r="D24" s="319">
        <f t="shared" si="3"/>
        <v>0</v>
      </c>
      <c r="E24" s="244"/>
      <c r="F24" s="318">
        <v>43090.278088259787</v>
      </c>
      <c r="G24" s="318">
        <v>42248.579699690221</v>
      </c>
      <c r="H24" s="319">
        <f t="shared" si="4"/>
        <v>-841.6983885695663</v>
      </c>
      <c r="I24" s="245" t="s">
        <v>1473</v>
      </c>
      <c r="J24" s="318">
        <v>43090.278088259787</v>
      </c>
      <c r="K24" s="318">
        <f>SUMIF('Measure-Level Adjustments Tab'!$A$8:$A$499,$A24,'Measure-Level Adjustments Tab'!$BA$8:$BA$499)</f>
        <v>42248.579699690221</v>
      </c>
      <c r="L24" s="319">
        <f t="shared" si="5"/>
        <v>-841.6983885695663</v>
      </c>
      <c r="M24" s="244"/>
      <c r="N24" s="318">
        <v>43090.278088259787</v>
      </c>
      <c r="O24" s="318">
        <f>SUMIF('Measure-Level Adjustments Tab'!$A$8:$A$499,$A24,'Measure-Level Adjustments Tab'!$BB$8:$BB$499)</f>
        <v>42248.579699690221</v>
      </c>
      <c r="P24" s="320">
        <f t="shared" si="6"/>
        <v>-841.6983885695663</v>
      </c>
      <c r="Q24" s="244"/>
      <c r="R24" s="251">
        <f t="shared" si="0"/>
        <v>172361.11235303915</v>
      </c>
      <c r="S24" s="248">
        <f t="shared" si="1"/>
        <v>169836.01718733046</v>
      </c>
      <c r="T24" s="249">
        <f t="shared" si="7"/>
        <v>-2525.0951657086844</v>
      </c>
      <c r="U24" s="488">
        <f>SUMIF('Measure-Level Adjustments Tab'!$A$8:$A$425,$A24,'Measure-Level Adjustments Tab'!BF$8:BF$425)</f>
        <v>565013.09626707551</v>
      </c>
      <c r="V24" s="488">
        <f>SUMIF('Measure-Level Adjustments Tab'!$A$8:$A$425,$A24,'Measure-Level Adjustments Tab'!BG$8:BG$425)</f>
        <v>565013.09626707551</v>
      </c>
      <c r="W24" s="488">
        <f>SUMIF('Measure-Level Adjustments Tab'!$A$8:$A$425,$A24,'Measure-Level Adjustments Tab'!BH$8:BH$425)</f>
        <v>565013.09626707551</v>
      </c>
      <c r="X24" s="488">
        <f>SUMIF('Measure-Level Adjustments Tab'!$A$8:$A$425,$A24,'Measure-Level Adjustments Tab'!BI$8:BI$425)</f>
        <v>565013.09626707551</v>
      </c>
      <c r="Y24" s="488">
        <f t="shared" si="14"/>
        <v>2260052.385068302</v>
      </c>
      <c r="Z24" s="488">
        <f>SUMIF('Measure-Level Adjustments Tab'!$A$8:$A$425,$A24,'Measure-Level Adjustments Tab'!BO$8:BO$425)</f>
        <v>565013.09626707551</v>
      </c>
      <c r="AA24" s="488">
        <f>SUMIF('Measure-Level Adjustments Tab'!$A$8:$A$425,$A24,'Measure-Level Adjustments Tab'!BP$8:BP$425)</f>
        <v>556165.48263137974</v>
      </c>
      <c r="AB24" s="488">
        <f>SUMIF('Measure-Level Adjustments Tab'!$A$8:$A$425,$A24,'Measure-Level Adjustments Tab'!BQ$8:BQ$425)</f>
        <v>556165.48263137974</v>
      </c>
      <c r="AC24" s="488">
        <f>SUMIF('Measure-Level Adjustments Tab'!$A$8:$A$425,$A24,'Measure-Level Adjustments Tab'!BR$8:BR$425)</f>
        <v>556165.48263137974</v>
      </c>
      <c r="AD24" s="488">
        <f t="shared" si="15"/>
        <v>2233509.5441612145</v>
      </c>
    </row>
    <row r="25" spans="1:30" s="246" customFormat="1" ht="14">
      <c r="A25" s="247" t="s">
        <v>716</v>
      </c>
      <c r="B25" s="318">
        <v>0</v>
      </c>
      <c r="C25" s="351">
        <v>0</v>
      </c>
      <c r="D25" s="319">
        <f t="shared" si="3"/>
        <v>0</v>
      </c>
      <c r="E25" s="244"/>
      <c r="F25" s="318">
        <v>0</v>
      </c>
      <c r="G25" s="318">
        <v>0</v>
      </c>
      <c r="H25" s="319">
        <f t="shared" si="4"/>
        <v>0</v>
      </c>
      <c r="I25" s="245"/>
      <c r="J25" s="318">
        <v>0</v>
      </c>
      <c r="K25" s="318">
        <f>SUMIF('Measure-Level Adjustments Tab'!$A$8:$A$499,$A25,'Measure-Level Adjustments Tab'!$BA$8:$BA$499)</f>
        <v>0</v>
      </c>
      <c r="L25" s="319">
        <f t="shared" si="5"/>
        <v>0</v>
      </c>
      <c r="M25" s="244"/>
      <c r="N25" s="318">
        <v>0</v>
      </c>
      <c r="O25" s="318">
        <f>SUMIF('Measure-Level Adjustments Tab'!$A$8:$A$499,$A25,'Measure-Level Adjustments Tab'!$BB$8:$BB$499)</f>
        <v>0</v>
      </c>
      <c r="P25" s="320">
        <f t="shared" si="6"/>
        <v>0</v>
      </c>
      <c r="Q25" s="244"/>
      <c r="R25" s="251">
        <f t="shared" si="0"/>
        <v>0</v>
      </c>
      <c r="S25" s="248">
        <f t="shared" si="1"/>
        <v>0</v>
      </c>
      <c r="T25" s="249">
        <f t="shared" si="7"/>
        <v>0</v>
      </c>
      <c r="U25" s="488">
        <f>SUMIF('Measure-Level Adjustments Tab'!$A$8:$A$425,$A25,'Measure-Level Adjustments Tab'!BF$8:BF$425)</f>
        <v>0</v>
      </c>
      <c r="V25" s="488">
        <f>SUMIF('Measure-Level Adjustments Tab'!$A$8:$A$425,$A25,'Measure-Level Adjustments Tab'!BG$8:BG$425)</f>
        <v>0</v>
      </c>
      <c r="W25" s="488">
        <f>SUMIF('Measure-Level Adjustments Tab'!$A$8:$A$425,$A25,'Measure-Level Adjustments Tab'!BH$8:BH$425)</f>
        <v>0</v>
      </c>
      <c r="X25" s="488">
        <f>SUMIF('Measure-Level Adjustments Tab'!$A$8:$A$425,$A25,'Measure-Level Adjustments Tab'!BI$8:BI$425)</f>
        <v>0</v>
      </c>
      <c r="Y25" s="488">
        <f t="shared" si="14"/>
        <v>0</v>
      </c>
      <c r="Z25" s="488">
        <f>SUMIF('Measure-Level Adjustments Tab'!$A$8:$A$425,$A25,'Measure-Level Adjustments Tab'!BO$8:BO$425)</f>
        <v>0</v>
      </c>
      <c r="AA25" s="488">
        <f>SUMIF('Measure-Level Adjustments Tab'!$A$8:$A$425,$A25,'Measure-Level Adjustments Tab'!BP$8:BP$425)</f>
        <v>0</v>
      </c>
      <c r="AB25" s="488">
        <f>SUMIF('Measure-Level Adjustments Tab'!$A$8:$A$425,$A25,'Measure-Level Adjustments Tab'!BQ$8:BQ$425)</f>
        <v>0</v>
      </c>
      <c r="AC25" s="488">
        <f>SUMIF('Measure-Level Adjustments Tab'!$A$8:$A$425,$A25,'Measure-Level Adjustments Tab'!BR$8:BR$425)</f>
        <v>0</v>
      </c>
      <c r="AD25" s="488">
        <f t="shared" si="15"/>
        <v>0</v>
      </c>
    </row>
    <row r="26" spans="1:30" s="246" customFormat="1" thickBot="1">
      <c r="A26" s="247" t="s">
        <v>717</v>
      </c>
      <c r="B26" s="318">
        <v>0</v>
      </c>
      <c r="C26" s="351">
        <v>0</v>
      </c>
      <c r="D26" s="319">
        <f t="shared" si="3"/>
        <v>0</v>
      </c>
      <c r="E26" s="244"/>
      <c r="F26" s="318">
        <v>0</v>
      </c>
      <c r="G26" s="318">
        <v>0</v>
      </c>
      <c r="H26" s="319">
        <f t="shared" si="4"/>
        <v>0</v>
      </c>
      <c r="I26" s="245"/>
      <c r="J26" s="318">
        <v>0</v>
      </c>
      <c r="K26" s="318">
        <f>SUMIF('Measure-Level Adjustments Tab'!$A$8:$A$499,$A26,'Measure-Level Adjustments Tab'!$BA$8:$BA$499)</f>
        <v>0</v>
      </c>
      <c r="L26" s="319">
        <f t="shared" si="5"/>
        <v>0</v>
      </c>
      <c r="M26" s="244"/>
      <c r="N26" s="318">
        <v>0</v>
      </c>
      <c r="O26" s="318">
        <f>SUMIF('Measure-Level Adjustments Tab'!$A$8:$A$499,$A26,'Measure-Level Adjustments Tab'!$BB$8:$BB$499)</f>
        <v>0</v>
      </c>
      <c r="P26" s="320">
        <f t="shared" si="6"/>
        <v>0</v>
      </c>
      <c r="Q26" s="244"/>
      <c r="R26" s="251">
        <f t="shared" si="0"/>
        <v>0</v>
      </c>
      <c r="S26" s="248">
        <f t="shared" si="1"/>
        <v>0</v>
      </c>
      <c r="T26" s="249">
        <f t="shared" si="7"/>
        <v>0</v>
      </c>
      <c r="U26" s="488">
        <f>SUMIF('Measure-Level Adjustments Tab'!$A$8:$A$425,$A26,'Measure-Level Adjustments Tab'!BF$8:BF$425)</f>
        <v>0</v>
      </c>
      <c r="V26" s="488">
        <f>SUMIF('Measure-Level Adjustments Tab'!$A$8:$A$425,$A26,'Measure-Level Adjustments Tab'!BG$8:BG$425)</f>
        <v>0</v>
      </c>
      <c r="W26" s="488">
        <f>SUMIF('Measure-Level Adjustments Tab'!$A$8:$A$425,$A26,'Measure-Level Adjustments Tab'!BH$8:BH$425)</f>
        <v>0</v>
      </c>
      <c r="X26" s="488">
        <f>SUMIF('Measure-Level Adjustments Tab'!$A$8:$A$425,$A26,'Measure-Level Adjustments Tab'!BI$8:BI$425)</f>
        <v>0</v>
      </c>
      <c r="Y26" s="488">
        <f t="shared" si="14"/>
        <v>0</v>
      </c>
      <c r="Z26" s="488">
        <f>SUMIF('Measure-Level Adjustments Tab'!$A$8:$A$425,$A26,'Measure-Level Adjustments Tab'!BO$8:BO$425)</f>
        <v>0</v>
      </c>
      <c r="AA26" s="488">
        <f>SUMIF('Measure-Level Adjustments Tab'!$A$8:$A$425,$A26,'Measure-Level Adjustments Tab'!BP$8:BP$425)</f>
        <v>0</v>
      </c>
      <c r="AB26" s="488">
        <f>SUMIF('Measure-Level Adjustments Tab'!$A$8:$A$425,$A26,'Measure-Level Adjustments Tab'!BQ$8:BQ$425)</f>
        <v>0</v>
      </c>
      <c r="AC26" s="488">
        <f>SUMIF('Measure-Level Adjustments Tab'!$A$8:$A$425,$A26,'Measure-Level Adjustments Tab'!BR$8:BR$425)</f>
        <v>0</v>
      </c>
      <c r="AD26" s="488">
        <f t="shared" si="15"/>
        <v>0</v>
      </c>
    </row>
    <row r="27" spans="1:30" s="252" customFormat="1" ht="15" thickTop="1">
      <c r="A27" s="253" t="s">
        <v>41</v>
      </c>
      <c r="B27" s="254">
        <f>SUM(B8:B26)</f>
        <v>2196540.0407004468</v>
      </c>
      <c r="C27" s="255">
        <f>SUM(C8:C26)</f>
        <v>2196540.0407004468</v>
      </c>
      <c r="D27" s="256">
        <f t="shared" ref="D27" si="16">SUM(D8:D26)</f>
        <v>0</v>
      </c>
      <c r="E27" s="257"/>
      <c r="F27" s="254">
        <f t="shared" ref="F27:G27" si="17">SUM(F8:F26)</f>
        <v>1941718.0737004804</v>
      </c>
      <c r="G27" s="258">
        <f t="shared" si="17"/>
        <v>1918174.5957664214</v>
      </c>
      <c r="H27" s="256">
        <f t="shared" ref="H27:T27" si="18">SUM(H8:H26)</f>
        <v>-23543.477934058854</v>
      </c>
      <c r="I27" s="257"/>
      <c r="J27" s="254">
        <f t="shared" si="18"/>
        <v>1790399.0887795186</v>
      </c>
      <c r="K27" s="259">
        <f t="shared" si="18"/>
        <v>1771603.4635780447</v>
      </c>
      <c r="L27" s="256">
        <f t="shared" si="18"/>
        <v>-18795.625201473653</v>
      </c>
      <c r="M27" s="257"/>
      <c r="N27" s="254">
        <f t="shared" si="18"/>
        <v>1931439.4754877195</v>
      </c>
      <c r="O27" s="260">
        <f t="shared" si="18"/>
        <v>1912268.6051936501</v>
      </c>
      <c r="P27" s="256">
        <f t="shared" si="18"/>
        <v>-19170.87029406902</v>
      </c>
      <c r="Q27" s="257"/>
      <c r="R27" s="254">
        <f t="shared" si="18"/>
        <v>7860096.6786681646</v>
      </c>
      <c r="S27" s="261">
        <f t="shared" si="18"/>
        <v>7798586.7052385639</v>
      </c>
      <c r="T27" s="256">
        <f t="shared" si="18"/>
        <v>-61509.973429601567</v>
      </c>
      <c r="U27" s="489">
        <f>SUM(U8:U26)</f>
        <v>21780506.462772034</v>
      </c>
      <c r="V27" s="489">
        <f t="shared" ref="V27:Z27" si="19">SUM(V8:V26)</f>
        <v>21525684.495772064</v>
      </c>
      <c r="W27" s="489">
        <f t="shared" si="19"/>
        <v>19339952.811794523</v>
      </c>
      <c r="X27" s="489">
        <f t="shared" si="19"/>
        <v>21515405.897559304</v>
      </c>
      <c r="Y27" s="489">
        <f t="shared" si="19"/>
        <v>84161549.667897925</v>
      </c>
      <c r="Z27" s="490">
        <f t="shared" si="19"/>
        <v>21780506.462772034</v>
      </c>
      <c r="AA27" s="491">
        <f>SUM(AA8:AA26)</f>
        <v>21222681.871567175</v>
      </c>
      <c r="AB27" s="491">
        <f t="shared" ref="AB27:AD27" si="20">SUM(AB8:AB26)</f>
        <v>19161644.954775967</v>
      </c>
      <c r="AC27" s="491">
        <f t="shared" si="20"/>
        <v>21333174.89460697</v>
      </c>
      <c r="AD27" s="491">
        <f t="shared" si="20"/>
        <v>83498008.183722153</v>
      </c>
    </row>
    <row r="28" spans="1:30">
      <c r="A28" s="1"/>
      <c r="T28" s="496" t="s">
        <v>1472</v>
      </c>
      <c r="U28" s="492">
        <f>U27/B27</f>
        <v>9.9158249151818456</v>
      </c>
      <c r="V28" s="492">
        <f>V27/F27</f>
        <v>11.085895932744203</v>
      </c>
      <c r="W28" s="492">
        <f>W27/J27</f>
        <v>10.802034548050516</v>
      </c>
      <c r="X28" s="492">
        <f>X27/N27</f>
        <v>11.139570341507241</v>
      </c>
      <c r="Y28" s="492">
        <f>Y27/SUM(B27,F27,J27,N27)</f>
        <v>10.707444591146999</v>
      </c>
      <c r="Z28" s="493">
        <f>Z27/(C27)</f>
        <v>9.9158249151818456</v>
      </c>
      <c r="AA28" s="493">
        <f>AA27/G27</f>
        <v>11.063999032417323</v>
      </c>
      <c r="AB28" s="493">
        <f>AB27/(K27)</f>
        <v>10.815989779155135</v>
      </c>
      <c r="AC28" s="493">
        <f>AC27/(O27)</f>
        <v>11.155951018945176</v>
      </c>
      <c r="AD28" s="493">
        <f>AD27/(C27+G27+K27+O27)</f>
        <v>10.706812829000649</v>
      </c>
    </row>
    <row r="29" spans="1:30">
      <c r="A29" s="355"/>
      <c r="B29" s="356"/>
      <c r="F29" s="356"/>
      <c r="J29" s="356"/>
      <c r="N29" s="356"/>
      <c r="U29" s="494"/>
      <c r="V29" s="494"/>
      <c r="W29" s="494"/>
      <c r="X29" s="494"/>
      <c r="Y29" s="494"/>
      <c r="Z29" s="494"/>
      <c r="AA29" s="494"/>
      <c r="AB29" s="494"/>
      <c r="AC29" s="494"/>
      <c r="AD29" s="494"/>
    </row>
    <row r="30" spans="1:30">
      <c r="O30" s="356"/>
      <c r="P30" s="356"/>
      <c r="Q30" s="356"/>
      <c r="AA30" s="495"/>
    </row>
    <row r="31" spans="1:30">
      <c r="A31" s="355"/>
      <c r="B31" s="356"/>
      <c r="C31" s="356"/>
      <c r="D31" s="356"/>
      <c r="E31" s="356"/>
      <c r="F31" s="356"/>
      <c r="G31" s="356"/>
      <c r="H31" s="356"/>
      <c r="I31" s="356"/>
      <c r="J31" s="356"/>
      <c r="K31" s="356"/>
      <c r="L31" s="356"/>
      <c r="M31" s="356"/>
      <c r="N31" s="356"/>
      <c r="O31" s="356"/>
      <c r="P31" s="356"/>
      <c r="Q31" s="356"/>
    </row>
    <row r="32" spans="1:30" hidden="1">
      <c r="A32" s="355" t="s">
        <v>828</v>
      </c>
      <c r="B32" s="356">
        <f>SUM(B22,B23,B24,B25,B26)</f>
        <v>81200.566935497627</v>
      </c>
      <c r="C32" s="356"/>
      <c r="D32" s="356"/>
      <c r="E32" s="356"/>
      <c r="F32" s="356">
        <f>SUM(F22,F23,F24,F25,F26)</f>
        <v>81200.566935497627</v>
      </c>
      <c r="G32" s="356"/>
      <c r="H32" s="356"/>
      <c r="I32" s="356"/>
      <c r="J32" s="356">
        <f>SUM(J22,J23,J24,J25,J26)</f>
        <v>81200.566935497627</v>
      </c>
      <c r="K32" s="356"/>
      <c r="L32" s="356"/>
      <c r="M32" s="356"/>
      <c r="N32" s="356">
        <f>SUM(N22,N23,N24,N25,N26)</f>
        <v>81200.566935497627</v>
      </c>
    </row>
    <row r="33" spans="1:14" hidden="1"/>
    <row r="34" spans="1:14" hidden="1">
      <c r="A34" s="214" t="s">
        <v>830</v>
      </c>
      <c r="B34" s="356">
        <f>SUM(B35:E37)</f>
        <v>956803.32061461033</v>
      </c>
      <c r="F34" s="356">
        <f>SUM(F35:I37)</f>
        <v>701981.35361464403</v>
      </c>
      <c r="J34" s="356">
        <f>SUM(J35:M37)</f>
        <v>692433.36869368237</v>
      </c>
      <c r="N34" s="356">
        <f>SUM(N35:Q37)</f>
        <v>691702.75540188304</v>
      </c>
    </row>
    <row r="35" spans="1:14" hidden="1">
      <c r="A35" s="367" t="s">
        <v>827</v>
      </c>
      <c r="B35" s="356">
        <f>B8</f>
        <v>588750</v>
      </c>
      <c r="F35" s="356">
        <f>F8</f>
        <v>333928.0330000337</v>
      </c>
      <c r="J35" s="356">
        <f>J8</f>
        <v>329179.80123732239</v>
      </c>
      <c r="N35" s="362">
        <f>N8</f>
        <v>323649.43478727271</v>
      </c>
    </row>
    <row r="36" spans="1:14" hidden="1">
      <c r="A36" s="363" t="s">
        <v>822</v>
      </c>
      <c r="B36" s="356">
        <f>SUM(B9,B11)</f>
        <v>336216.46908617974</v>
      </c>
      <c r="F36" s="356">
        <f>SUM(F9,F11)</f>
        <v>336216.46908617974</v>
      </c>
      <c r="J36" s="356">
        <f>SUM(J9,J11)</f>
        <v>334441.30166927917</v>
      </c>
      <c r="N36" s="362">
        <f>SUM(N9,N11)</f>
        <v>336216.46908617974</v>
      </c>
    </row>
    <row r="37" spans="1:14" hidden="1">
      <c r="A37" s="363" t="s">
        <v>823</v>
      </c>
      <c r="B37" s="356">
        <f>SUM(B10,B12,B13,B14)</f>
        <v>31836.85152843063</v>
      </c>
      <c r="F37" s="356">
        <f>SUM(F10,F12,F13,F14)</f>
        <v>31836.85152843063</v>
      </c>
      <c r="J37" s="356">
        <f>SUM(J10,J12,J13,J14)</f>
        <v>28812.265787080825</v>
      </c>
      <c r="N37" s="362">
        <f>SUM(N10,N12,N13,N14)</f>
        <v>31836.85152843063</v>
      </c>
    </row>
    <row r="38" spans="1:14" hidden="1">
      <c r="N38" s="361"/>
    </row>
    <row r="39" spans="1:14" hidden="1">
      <c r="A39" s="214" t="s">
        <v>829</v>
      </c>
      <c r="B39" s="356">
        <f>SUM(B40:B42)</f>
        <v>1158536.1531503387</v>
      </c>
      <c r="C39" s="356" t="e">
        <f>SUM(#REF!)</f>
        <v>#REF!</v>
      </c>
      <c r="D39" s="356" t="e">
        <f>SUM(#REF!)</f>
        <v>#REF!</v>
      </c>
      <c r="E39" s="356">
        <f>SUM(A40:A42)</f>
        <v>0</v>
      </c>
      <c r="F39" s="356">
        <f>SUM(F40:F42)</f>
        <v>1158536.1531503387</v>
      </c>
      <c r="G39" s="356">
        <f>SUM(C40:C42)</f>
        <v>0</v>
      </c>
      <c r="H39" s="356">
        <f>SUM(D40:D42)</f>
        <v>0</v>
      </c>
      <c r="I39" s="356">
        <f>SUM(E40:E42)</f>
        <v>0</v>
      </c>
      <c r="J39" s="356">
        <f>SUM(J40:J42)</f>
        <v>1016765.1531503386</v>
      </c>
      <c r="K39" s="356">
        <f>SUM(G40:G42)</f>
        <v>0</v>
      </c>
      <c r="L39" s="356">
        <f>SUM(H40:H42)</f>
        <v>0</v>
      </c>
      <c r="M39" s="356">
        <f>SUM(I40:I42)</f>
        <v>0</v>
      </c>
      <c r="N39" s="362">
        <f>SUM(N40:N42)</f>
        <v>1158536.1531503387</v>
      </c>
    </row>
    <row r="40" spans="1:14" hidden="1">
      <c r="A40" s="364" t="s">
        <v>824</v>
      </c>
      <c r="B40" s="362">
        <f>SUM(B15,B17)</f>
        <v>819599.94711921946</v>
      </c>
      <c r="C40" s="361"/>
      <c r="D40" s="361"/>
      <c r="E40" s="361"/>
      <c r="F40" s="362">
        <f>SUM(F15,F17)</f>
        <v>819599.94711921946</v>
      </c>
      <c r="G40" s="361"/>
      <c r="H40" s="361"/>
      <c r="I40" s="361"/>
      <c r="J40" s="362">
        <f>SUM(J15,J17)</f>
        <v>681692.94711921946</v>
      </c>
      <c r="K40" s="361"/>
      <c r="L40" s="361"/>
      <c r="M40" s="361"/>
      <c r="N40" s="362">
        <f>SUM(N15,N17)</f>
        <v>819599.94711921946</v>
      </c>
    </row>
    <row r="41" spans="1:14" hidden="1">
      <c r="A41" s="365" t="s">
        <v>825</v>
      </c>
      <c r="B41" s="356">
        <f>SUM(B16,B18,B19)</f>
        <v>77379.271658409329</v>
      </c>
      <c r="F41" s="356">
        <f>SUM(F16,F18,F19)</f>
        <v>77379.271658409329</v>
      </c>
      <c r="J41" s="356">
        <f>SUM(J16,J18,J19)</f>
        <v>73515.271658409329</v>
      </c>
      <c r="N41" s="362">
        <f>SUM(N16,N18,N19)</f>
        <v>77379.271658409329</v>
      </c>
    </row>
    <row r="42" spans="1:14" hidden="1">
      <c r="A42" s="366" t="s">
        <v>826</v>
      </c>
      <c r="B42" s="362">
        <f>SUM(B20:B21)</f>
        <v>261556.93437270971</v>
      </c>
      <c r="C42" s="361"/>
      <c r="D42" s="361"/>
      <c r="E42" s="361"/>
      <c r="F42" s="362">
        <f>SUM(F20:F21)</f>
        <v>261556.93437270971</v>
      </c>
      <c r="G42" s="361"/>
      <c r="H42" s="361"/>
      <c r="I42" s="361"/>
      <c r="J42" s="362">
        <f>SUM(J20:J21)</f>
        <v>261556.93437270971</v>
      </c>
      <c r="K42" s="361"/>
      <c r="L42" s="361"/>
      <c r="M42" s="361"/>
      <c r="N42" s="362">
        <f>SUM(N20:N21)</f>
        <v>261556.93437270971</v>
      </c>
    </row>
  </sheetData>
  <mergeCells count="7">
    <mergeCell ref="U4:Y4"/>
    <mergeCell ref="Z4:AD4"/>
    <mergeCell ref="B4:E4"/>
    <mergeCell ref="F4:I4"/>
    <mergeCell ref="J4:M4"/>
    <mergeCell ref="R4:T4"/>
    <mergeCell ref="N4:Q4"/>
  </mergeCells>
  <printOptions headings="1" gridLines="1"/>
  <pageMargins left="0.5" right="0.5" top="0.5" bottom="0.5" header="0.3" footer="0.3"/>
  <pageSetup scale="24" orientation="landscape" r:id="rId1"/>
  <headerFooter>
    <oddFooter>&amp;L&amp;"Arial,Regular"&amp;14&amp;A
&amp;F&amp;C&amp;"Arial,Regular"&amp;14&amp;P</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S428"/>
  <sheetViews>
    <sheetView showGridLines="0" zoomScale="70" zoomScaleNormal="70" zoomScaleSheetLayoutView="70" zoomScalePageLayoutView="60" workbookViewId="0">
      <pane xSplit="2" ySplit="7" topLeftCell="BE8" activePane="bottomRight" state="frozen"/>
      <selection pane="topRight" activeCell="C1" sqref="C1"/>
      <selection pane="bottomLeft" activeCell="A8" sqref="A8"/>
      <selection pane="bottomRight"/>
    </sheetView>
  </sheetViews>
  <sheetFormatPr defaultColWidth="9.1796875" defaultRowHeight="18"/>
  <cols>
    <col min="1" max="1" width="37.1796875" style="1" customWidth="1"/>
    <col min="2" max="2" width="57.453125" style="1" bestFit="1" customWidth="1"/>
    <col min="3" max="3" width="19.1796875" style="1" bestFit="1" customWidth="1"/>
    <col min="4" max="4" width="16.26953125" style="1" bestFit="1" customWidth="1"/>
    <col min="5" max="5" width="16" style="1" bestFit="1" customWidth="1"/>
    <col min="6" max="6" width="16.26953125" style="1" bestFit="1" customWidth="1"/>
    <col min="7" max="7" width="17.26953125" style="1" bestFit="1" customWidth="1"/>
    <col min="8" max="11" width="16.81640625" style="1" bestFit="1" customWidth="1"/>
    <col min="12" max="12" width="29.54296875" style="1" bestFit="1" customWidth="1"/>
    <col min="13" max="13" width="104.26953125" style="1" bestFit="1" customWidth="1"/>
    <col min="14" max="15" width="17.1796875" style="1" bestFit="1" customWidth="1"/>
    <col min="16" max="16" width="15.453125" style="1" bestFit="1" customWidth="1"/>
    <col min="17" max="17" width="17.1796875" style="1" bestFit="1" customWidth="1"/>
    <col min="18" max="19" width="19.26953125" style="1" bestFit="1" customWidth="1"/>
    <col min="20" max="20" width="18.81640625" style="1" bestFit="1" customWidth="1"/>
    <col min="21" max="21" width="19.26953125" style="1" bestFit="1" customWidth="1"/>
    <col min="22" max="23" width="22" style="1" bestFit="1" customWidth="1"/>
    <col min="24" max="24" width="22.453125" style="1" bestFit="1" customWidth="1"/>
    <col min="25" max="25" width="22" style="1" bestFit="1" customWidth="1"/>
    <col min="26" max="26" width="24" style="1" bestFit="1" customWidth="1"/>
    <col min="27" max="27" width="26.81640625" style="1" bestFit="1" customWidth="1"/>
    <col min="28" max="28" width="28.54296875" style="1" bestFit="1" customWidth="1"/>
    <col min="29" max="29" width="19.54296875" style="1" bestFit="1" customWidth="1"/>
    <col min="30" max="30" width="30.26953125" style="1" bestFit="1" customWidth="1"/>
    <col min="31" max="31" width="26.26953125" style="1" bestFit="1" customWidth="1"/>
    <col min="32" max="32" width="19.7265625" style="1" customWidth="1"/>
    <col min="33" max="33" width="37.453125" style="1" bestFit="1" customWidth="1"/>
    <col min="34" max="34" width="33.81640625" style="1" bestFit="1" customWidth="1"/>
    <col min="35" max="35" width="30.7265625" style="1" bestFit="1" customWidth="1"/>
    <col min="36" max="36" width="87.7265625" style="1" bestFit="1" customWidth="1"/>
    <col min="37" max="37" width="26.26953125" style="1" bestFit="1" customWidth="1"/>
    <col min="38" max="38" width="19.7265625" style="1" bestFit="1" customWidth="1"/>
    <col min="39" max="39" width="37.453125" style="1" bestFit="1" customWidth="1"/>
    <col min="40" max="40" width="36" style="1" bestFit="1" customWidth="1"/>
    <col min="41" max="41" width="24.26953125" style="1" bestFit="1" customWidth="1"/>
    <col min="42" max="42" width="37.1796875" style="1" bestFit="1" customWidth="1"/>
    <col min="43" max="43" width="26.7265625" style="1" bestFit="1" customWidth="1"/>
    <col min="44" max="44" width="20.1796875" style="1" bestFit="1" customWidth="1"/>
    <col min="45" max="45" width="31.1796875" style="1" bestFit="1" customWidth="1"/>
    <col min="46" max="46" width="33.81640625" style="1" bestFit="1" customWidth="1"/>
    <col min="47" max="47" width="30.7265625" style="1" bestFit="1" customWidth="1"/>
    <col min="48" max="48" width="37.1796875" style="1" bestFit="1" customWidth="1"/>
    <col min="49" max="49" width="23.81640625" style="1" bestFit="1" customWidth="1"/>
    <col min="50" max="50" width="19.7265625" style="1" bestFit="1" customWidth="1"/>
    <col min="51" max="52" width="46.7265625" style="1" bestFit="1" customWidth="1"/>
    <col min="53" max="53" width="47.1796875" style="1" bestFit="1" customWidth="1"/>
    <col min="54" max="54" width="46.7265625" style="1" bestFit="1" customWidth="1"/>
    <col min="55" max="55" width="44" style="1" bestFit="1" customWidth="1"/>
    <col min="56" max="56" width="81.54296875" style="1" bestFit="1" customWidth="1"/>
    <col min="57" max="57" width="104.26953125" style="1" bestFit="1" customWidth="1"/>
    <col min="58" max="60" width="14.453125" style="1" bestFit="1" customWidth="1"/>
    <col min="61" max="61" width="14" style="1" bestFit="1" customWidth="1"/>
    <col min="62" max="62" width="18.54296875" style="1" bestFit="1" customWidth="1"/>
    <col min="63" max="66" width="12.81640625" style="475" bestFit="1" customWidth="1"/>
    <col min="67" max="68" width="14.453125" style="476" bestFit="1" customWidth="1"/>
    <col min="69" max="69" width="13.54296875" style="476" bestFit="1" customWidth="1"/>
    <col min="70" max="70" width="14" style="476" bestFit="1" customWidth="1"/>
    <col min="71" max="71" width="18.54296875" style="476" bestFit="1" customWidth="1"/>
    <col min="72" max="16384" width="9.1796875" style="1"/>
  </cols>
  <sheetData>
    <row r="1" spans="1:71">
      <c r="A1" s="1" t="s">
        <v>761</v>
      </c>
    </row>
    <row r="2" spans="1:71">
      <c r="A2" s="218" t="s">
        <v>1458</v>
      </c>
      <c r="AY2" s="262"/>
    </row>
    <row r="3" spans="1:71" s="220" customFormat="1" ht="15.5">
      <c r="A3" s="219" t="s">
        <v>43</v>
      </c>
      <c r="B3" s="220" t="s">
        <v>831</v>
      </c>
      <c r="V3" s="444">
        <f>V8/V426</f>
        <v>0.2617753327258448</v>
      </c>
      <c r="W3" s="444">
        <f>W9/W426</f>
        <v>0.1648941920748804</v>
      </c>
      <c r="X3" s="444">
        <f>X10/X426</f>
        <v>0.17617848624596044</v>
      </c>
      <c r="Y3" s="444">
        <f>Y11/Y426</f>
        <v>0.16044998495695456</v>
      </c>
      <c r="Z3" s="444"/>
      <c r="BF3" s="477"/>
      <c r="BG3" s="477"/>
      <c r="BH3" s="477"/>
      <c r="BI3" s="477"/>
      <c r="BJ3" s="477"/>
      <c r="BK3" s="477"/>
      <c r="BL3" s="477"/>
      <c r="BM3" s="477"/>
      <c r="BN3" s="477"/>
      <c r="BO3" s="477"/>
      <c r="BP3" s="477"/>
      <c r="BQ3" s="477"/>
      <c r="BR3" s="477"/>
      <c r="BS3" s="477"/>
    </row>
    <row r="4" spans="1:71" s="246" customFormat="1" ht="14">
      <c r="A4" s="263"/>
      <c r="B4" s="264"/>
      <c r="C4" s="264"/>
      <c r="D4" s="264"/>
      <c r="E4" s="445"/>
      <c r="F4" s="437"/>
      <c r="G4" s="525" t="s">
        <v>20</v>
      </c>
      <c r="H4" s="526"/>
      <c r="I4" s="526"/>
      <c r="J4" s="526"/>
      <c r="K4" s="533"/>
      <c r="L4" s="525" t="s">
        <v>13</v>
      </c>
      <c r="M4" s="526"/>
      <c r="N4" s="526"/>
      <c r="O4" s="526"/>
      <c r="P4" s="526"/>
      <c r="Q4" s="533"/>
      <c r="R4" s="525" t="s">
        <v>13</v>
      </c>
      <c r="S4" s="526"/>
      <c r="T4" s="526"/>
      <c r="U4" s="526"/>
      <c r="V4" s="526"/>
      <c r="W4" s="526"/>
      <c r="X4" s="526"/>
      <c r="Y4" s="526"/>
      <c r="Z4" s="533"/>
      <c r="AA4" s="542" t="s">
        <v>132</v>
      </c>
      <c r="AB4" s="543"/>
      <c r="AC4" s="543"/>
      <c r="AD4" s="543"/>
      <c r="AE4" s="543"/>
      <c r="AF4" s="544"/>
      <c r="AG4" s="537" t="s">
        <v>131</v>
      </c>
      <c r="AH4" s="503"/>
      <c r="AI4" s="503"/>
      <c r="AJ4" s="503"/>
      <c r="AK4" s="503"/>
      <c r="AL4" s="538"/>
      <c r="AM4" s="539" t="s">
        <v>128</v>
      </c>
      <c r="AN4" s="540"/>
      <c r="AO4" s="540"/>
      <c r="AP4" s="540"/>
      <c r="AQ4" s="540"/>
      <c r="AR4" s="541"/>
      <c r="AS4" s="522" t="s">
        <v>126</v>
      </c>
      <c r="AT4" s="523"/>
      <c r="AU4" s="523"/>
      <c r="AV4" s="523"/>
      <c r="AW4" s="523"/>
      <c r="AX4" s="524"/>
      <c r="AY4" s="527" t="s">
        <v>21</v>
      </c>
      <c r="AZ4" s="528"/>
      <c r="BA4" s="528"/>
      <c r="BB4" s="528"/>
      <c r="BC4" s="529"/>
      <c r="BD4" s="525" t="s">
        <v>40</v>
      </c>
      <c r="BE4" s="526"/>
      <c r="BF4" s="509" t="s">
        <v>1455</v>
      </c>
      <c r="BG4" s="510"/>
      <c r="BH4" s="510"/>
      <c r="BI4" s="510"/>
      <c r="BJ4" s="511"/>
      <c r="BK4" s="515" t="s">
        <v>1065</v>
      </c>
      <c r="BL4" s="516"/>
      <c r="BM4" s="516"/>
      <c r="BN4" s="517"/>
      <c r="BO4" s="521" t="s">
        <v>1456</v>
      </c>
      <c r="BP4" s="521"/>
      <c r="BQ4" s="521"/>
      <c r="BR4" s="521"/>
      <c r="BS4" s="521"/>
    </row>
    <row r="5" spans="1:71" s="231" customFormat="1" ht="87">
      <c r="A5" s="265"/>
      <c r="B5" s="266"/>
      <c r="C5" s="266"/>
      <c r="D5" s="266"/>
      <c r="E5" s="446"/>
      <c r="F5" s="438">
        <f>IF(V5&gt;0,'Unit Savings Calculations'!I1,0)</f>
        <v>0</v>
      </c>
      <c r="G5" s="534" t="s">
        <v>50</v>
      </c>
      <c r="H5" s="535"/>
      <c r="I5" s="535"/>
      <c r="J5" s="535"/>
      <c r="K5" s="536"/>
      <c r="L5" s="525" t="s">
        <v>61</v>
      </c>
      <c r="M5" s="526"/>
      <c r="N5" s="526"/>
      <c r="O5" s="526"/>
      <c r="P5" s="526"/>
      <c r="Q5" s="533"/>
      <c r="R5" s="534" t="s">
        <v>135</v>
      </c>
      <c r="S5" s="535"/>
      <c r="T5" s="535"/>
      <c r="U5" s="536"/>
      <c r="V5" s="525" t="s">
        <v>62</v>
      </c>
      <c r="W5" s="526"/>
      <c r="X5" s="526"/>
      <c r="Y5" s="526"/>
      <c r="Z5" s="533"/>
      <c r="AA5" s="542" t="s">
        <v>92</v>
      </c>
      <c r="AB5" s="543"/>
      <c r="AC5" s="543"/>
      <c r="AD5" s="544"/>
      <c r="AE5" s="224" t="s">
        <v>57</v>
      </c>
      <c r="AF5" s="224" t="s">
        <v>58</v>
      </c>
      <c r="AG5" s="537" t="s">
        <v>101</v>
      </c>
      <c r="AH5" s="503"/>
      <c r="AI5" s="503"/>
      <c r="AJ5" s="538"/>
      <c r="AK5" s="226" t="s">
        <v>57</v>
      </c>
      <c r="AL5" s="226" t="s">
        <v>58</v>
      </c>
      <c r="AM5" s="539" t="s">
        <v>109</v>
      </c>
      <c r="AN5" s="540"/>
      <c r="AO5" s="540"/>
      <c r="AP5" s="541"/>
      <c r="AQ5" s="228" t="s">
        <v>57</v>
      </c>
      <c r="AR5" s="228" t="s">
        <v>58</v>
      </c>
      <c r="AS5" s="522" t="s">
        <v>117</v>
      </c>
      <c r="AT5" s="523"/>
      <c r="AU5" s="523"/>
      <c r="AV5" s="524"/>
      <c r="AW5" s="229" t="s">
        <v>57</v>
      </c>
      <c r="AX5" s="229" t="s">
        <v>58</v>
      </c>
      <c r="AY5" s="530"/>
      <c r="AZ5" s="531"/>
      <c r="BA5" s="531"/>
      <c r="BB5" s="531"/>
      <c r="BC5" s="532"/>
      <c r="BD5" s="267" t="s">
        <v>762</v>
      </c>
      <c r="BE5" s="268" t="s">
        <v>53</v>
      </c>
      <c r="BF5" s="512"/>
      <c r="BG5" s="513"/>
      <c r="BH5" s="513"/>
      <c r="BI5" s="513"/>
      <c r="BJ5" s="514"/>
      <c r="BK5" s="518"/>
      <c r="BL5" s="519"/>
      <c r="BM5" s="519"/>
      <c r="BN5" s="520"/>
      <c r="BO5" s="521"/>
      <c r="BP5" s="521"/>
      <c r="BQ5" s="521"/>
      <c r="BR5" s="521"/>
      <c r="BS5" s="521"/>
    </row>
    <row r="6" spans="1:71" s="231" customFormat="1" ht="42">
      <c r="A6" s="243" t="s">
        <v>0</v>
      </c>
      <c r="B6" s="243" t="s">
        <v>1</v>
      </c>
      <c r="C6" s="269" t="s">
        <v>52</v>
      </c>
      <c r="D6" s="269" t="s">
        <v>23</v>
      </c>
      <c r="E6" s="269" t="s">
        <v>1064</v>
      </c>
      <c r="F6" s="269" t="s">
        <v>1065</v>
      </c>
      <c r="G6" s="270" t="s">
        <v>2</v>
      </c>
      <c r="H6" s="271" t="s">
        <v>93</v>
      </c>
      <c r="I6" s="271" t="s">
        <v>102</v>
      </c>
      <c r="J6" s="271" t="s">
        <v>110</v>
      </c>
      <c r="K6" s="271" t="s">
        <v>118</v>
      </c>
      <c r="L6" s="272" t="s">
        <v>59</v>
      </c>
      <c r="M6" s="272" t="s">
        <v>29</v>
      </c>
      <c r="N6" s="272" t="s">
        <v>94</v>
      </c>
      <c r="O6" s="272" t="s">
        <v>103</v>
      </c>
      <c r="P6" s="272" t="s">
        <v>111</v>
      </c>
      <c r="Q6" s="272" t="s">
        <v>119</v>
      </c>
      <c r="R6" s="271" t="s">
        <v>136</v>
      </c>
      <c r="S6" s="271" t="s">
        <v>137</v>
      </c>
      <c r="T6" s="271" t="s">
        <v>138</v>
      </c>
      <c r="U6" s="271" t="s">
        <v>139</v>
      </c>
      <c r="V6" s="272" t="s">
        <v>95</v>
      </c>
      <c r="W6" s="272" t="s">
        <v>104</v>
      </c>
      <c r="X6" s="272" t="s">
        <v>112</v>
      </c>
      <c r="Y6" s="272" t="s">
        <v>120</v>
      </c>
      <c r="Z6" s="272" t="s">
        <v>133</v>
      </c>
      <c r="AA6" s="273" t="s">
        <v>96</v>
      </c>
      <c r="AB6" s="273" t="s">
        <v>29</v>
      </c>
      <c r="AC6" s="273" t="s">
        <v>97</v>
      </c>
      <c r="AD6" s="273" t="s">
        <v>3</v>
      </c>
      <c r="AE6" s="273" t="s">
        <v>98</v>
      </c>
      <c r="AF6" s="273" t="s">
        <v>99</v>
      </c>
      <c r="AG6" s="274" t="s">
        <v>130</v>
      </c>
      <c r="AH6" s="274" t="s">
        <v>29</v>
      </c>
      <c r="AI6" s="274" t="s">
        <v>105</v>
      </c>
      <c r="AJ6" s="274" t="s">
        <v>3</v>
      </c>
      <c r="AK6" s="274" t="s">
        <v>106</v>
      </c>
      <c r="AL6" s="274" t="s">
        <v>107</v>
      </c>
      <c r="AM6" s="275" t="s">
        <v>129</v>
      </c>
      <c r="AN6" s="275" t="s">
        <v>29</v>
      </c>
      <c r="AO6" s="275" t="s">
        <v>113</v>
      </c>
      <c r="AP6" s="275" t="s">
        <v>3</v>
      </c>
      <c r="AQ6" s="275" t="s">
        <v>114</v>
      </c>
      <c r="AR6" s="275" t="s">
        <v>115</v>
      </c>
      <c r="AS6" s="276" t="s">
        <v>127</v>
      </c>
      <c r="AT6" s="276" t="s">
        <v>29</v>
      </c>
      <c r="AU6" s="276" t="s">
        <v>121</v>
      </c>
      <c r="AV6" s="276" t="s">
        <v>3</v>
      </c>
      <c r="AW6" s="276" t="s">
        <v>122</v>
      </c>
      <c r="AX6" s="276" t="s">
        <v>123</v>
      </c>
      <c r="AY6" s="224" t="s">
        <v>100</v>
      </c>
      <c r="AZ6" s="226" t="s">
        <v>108</v>
      </c>
      <c r="BA6" s="228" t="s">
        <v>116</v>
      </c>
      <c r="BB6" s="229" t="s">
        <v>124</v>
      </c>
      <c r="BC6" s="277" t="s">
        <v>125</v>
      </c>
      <c r="BD6" s="271" t="s">
        <v>44</v>
      </c>
      <c r="BE6" s="278" t="s">
        <v>42</v>
      </c>
      <c r="BF6" s="478">
        <v>2018</v>
      </c>
      <c r="BG6" s="478">
        <v>2019</v>
      </c>
      <c r="BH6" s="478">
        <v>2020</v>
      </c>
      <c r="BI6" s="478">
        <v>2021</v>
      </c>
      <c r="BJ6" s="478" t="s">
        <v>1457</v>
      </c>
      <c r="BK6" s="479">
        <v>2018</v>
      </c>
      <c r="BL6" s="479">
        <v>2019</v>
      </c>
      <c r="BM6" s="479">
        <v>2020</v>
      </c>
      <c r="BN6" s="479">
        <v>2021</v>
      </c>
      <c r="BO6" s="479">
        <v>2018</v>
      </c>
      <c r="BP6" s="479">
        <v>2019</v>
      </c>
      <c r="BQ6" s="479">
        <v>2020</v>
      </c>
      <c r="BR6" s="479">
        <v>2021</v>
      </c>
      <c r="BS6" s="479" t="s">
        <v>1457</v>
      </c>
    </row>
    <row r="7" spans="1:71" s="291" customFormat="1" ht="15.5">
      <c r="A7" s="279" t="s">
        <v>4</v>
      </c>
      <c r="B7" s="279" t="s">
        <v>5</v>
      </c>
      <c r="C7" s="279" t="s">
        <v>6</v>
      </c>
      <c r="D7" s="279" t="s">
        <v>7</v>
      </c>
      <c r="E7" s="279"/>
      <c r="F7" s="279"/>
      <c r="G7" s="280" t="s">
        <v>8</v>
      </c>
      <c r="H7" s="280" t="s">
        <v>9</v>
      </c>
      <c r="I7" s="280" t="s">
        <v>10</v>
      </c>
      <c r="J7" s="280" t="s">
        <v>11</v>
      </c>
      <c r="K7" s="280" t="s">
        <v>12</v>
      </c>
      <c r="L7" s="281" t="s">
        <v>14</v>
      </c>
      <c r="M7" s="281" t="s">
        <v>15</v>
      </c>
      <c r="N7" s="281" t="s">
        <v>16</v>
      </c>
      <c r="O7" s="281" t="s">
        <v>17</v>
      </c>
      <c r="P7" s="281" t="s">
        <v>18</v>
      </c>
      <c r="Q7" s="281" t="s">
        <v>19</v>
      </c>
      <c r="R7" s="280" t="s">
        <v>24</v>
      </c>
      <c r="S7" s="280" t="s">
        <v>26</v>
      </c>
      <c r="T7" s="280" t="s">
        <v>63</v>
      </c>
      <c r="U7" s="280" t="s">
        <v>64</v>
      </c>
      <c r="V7" s="281" t="s">
        <v>65</v>
      </c>
      <c r="W7" s="281" t="s">
        <v>66</v>
      </c>
      <c r="X7" s="281" t="s">
        <v>67</v>
      </c>
      <c r="Y7" s="281" t="s">
        <v>68</v>
      </c>
      <c r="Z7" s="281" t="s">
        <v>69</v>
      </c>
      <c r="AA7" s="282" t="s">
        <v>30</v>
      </c>
      <c r="AB7" s="282" t="s">
        <v>70</v>
      </c>
      <c r="AC7" s="282" t="s">
        <v>71</v>
      </c>
      <c r="AD7" s="282" t="s">
        <v>72</v>
      </c>
      <c r="AE7" s="282" t="s">
        <v>73</v>
      </c>
      <c r="AF7" s="282" t="s">
        <v>75</v>
      </c>
      <c r="AG7" s="283" t="s">
        <v>25</v>
      </c>
      <c r="AH7" s="283" t="s">
        <v>27</v>
      </c>
      <c r="AI7" s="283" t="s">
        <v>31</v>
      </c>
      <c r="AJ7" s="283" t="s">
        <v>32</v>
      </c>
      <c r="AK7" s="283" t="s">
        <v>77</v>
      </c>
      <c r="AL7" s="283" t="s">
        <v>78</v>
      </c>
      <c r="AM7" s="284" t="s">
        <v>28</v>
      </c>
      <c r="AN7" s="284" t="s">
        <v>33</v>
      </c>
      <c r="AO7" s="284" t="s">
        <v>34</v>
      </c>
      <c r="AP7" s="284" t="s">
        <v>22</v>
      </c>
      <c r="AQ7" s="284" t="s">
        <v>79</v>
      </c>
      <c r="AR7" s="285" t="s">
        <v>80</v>
      </c>
      <c r="AS7" s="286" t="s">
        <v>35</v>
      </c>
      <c r="AT7" s="286" t="s">
        <v>36</v>
      </c>
      <c r="AU7" s="286" t="s">
        <v>37</v>
      </c>
      <c r="AV7" s="286" t="s">
        <v>38</v>
      </c>
      <c r="AW7" s="286" t="s">
        <v>81</v>
      </c>
      <c r="AX7" s="287" t="s">
        <v>82</v>
      </c>
      <c r="AY7" s="282" t="s">
        <v>83</v>
      </c>
      <c r="AZ7" s="283" t="s">
        <v>84</v>
      </c>
      <c r="BA7" s="284" t="s">
        <v>85</v>
      </c>
      <c r="BB7" s="286" t="s">
        <v>86</v>
      </c>
      <c r="BC7" s="288" t="s">
        <v>76</v>
      </c>
      <c r="BD7" s="289" t="s">
        <v>39</v>
      </c>
      <c r="BE7" s="290" t="s">
        <v>74</v>
      </c>
      <c r="BF7" s="480"/>
      <c r="BG7" s="480"/>
      <c r="BH7" s="480"/>
      <c r="BI7" s="480"/>
      <c r="BJ7" s="480"/>
      <c r="BK7" s="481"/>
      <c r="BL7" s="481"/>
      <c r="BM7" s="481"/>
      <c r="BN7" s="481"/>
      <c r="BO7" s="481"/>
      <c r="BP7" s="481"/>
      <c r="BQ7" s="481"/>
      <c r="BR7" s="481"/>
      <c r="BS7" s="481"/>
    </row>
    <row r="8" spans="1:71" s="220" customFormat="1" ht="15.75" customHeight="1">
      <c r="A8" s="292" t="str">
        <f>'Unit Savings Calculations'!C4</f>
        <v>Res - Outreach &amp; Education</v>
      </c>
      <c r="B8" s="292" t="str">
        <f>'Unit Savings Calculations'!D4</f>
        <v>Behavior 2018 1st Year</v>
      </c>
      <c r="C8" s="293">
        <f>IF(D8="Custom",0,1)</f>
        <v>1</v>
      </c>
      <c r="D8" s="292" t="str">
        <f>'Unit Savings Calculations'!T4</f>
        <v>6.1.1</v>
      </c>
      <c r="E8" s="438">
        <v>1</v>
      </c>
      <c r="F8" s="438">
        <v>1</v>
      </c>
      <c r="G8" s="292" t="str">
        <f>'Unit Savings Calculations'!E4</f>
        <v>each</v>
      </c>
      <c r="H8" s="294">
        <f>'Unit Savings Calculations'!$F4*'Unit Savings Calculations'!J4</f>
        <v>54000</v>
      </c>
      <c r="I8" s="294">
        <f>'Unit Savings Calculations'!$F4*'Unit Savings Calculations'!K4</f>
        <v>0</v>
      </c>
      <c r="J8" s="294">
        <f>'Unit Savings Calculations'!$F4*'Unit Savings Calculations'!L4</f>
        <v>0</v>
      </c>
      <c r="K8" s="294">
        <f>'Unit Savings Calculations'!$F4*'Unit Savings Calculations'!M4</f>
        <v>0</v>
      </c>
      <c r="L8" s="292" t="str">
        <f>'Unit Savings Calculations'!U4</f>
        <v>CC-BEH-BEHP-V02-16061</v>
      </c>
      <c r="M8" s="383" t="str">
        <f>'Unit Savings Calculations'!R4</f>
        <v>Exhibit 1.5A_R North Shore EEPS_Adjustable_Savings_Goal_Template.xlsx, Behavioral Tab</v>
      </c>
      <c r="N8" s="295">
        <v>10.648148148148149</v>
      </c>
      <c r="O8" s="295">
        <v>0</v>
      </c>
      <c r="P8" s="295">
        <v>0</v>
      </c>
      <c r="Q8" s="295">
        <v>0</v>
      </c>
      <c r="R8" s="296">
        <f>'Unit Savings Calculations'!$G4</f>
        <v>1</v>
      </c>
      <c r="S8" s="296">
        <f>'Unit Savings Calculations'!$G4</f>
        <v>1</v>
      </c>
      <c r="T8" s="296">
        <f>'Unit Savings Calculations'!$G4</f>
        <v>1</v>
      </c>
      <c r="U8" s="296">
        <f>'Unit Savings Calculations'!$G4</f>
        <v>1</v>
      </c>
      <c r="V8" s="297">
        <f>H8*N8*R8</f>
        <v>575000</v>
      </c>
      <c r="W8" s="297">
        <f t="shared" ref="W8" si="0">I8*O8*S8</f>
        <v>0</v>
      </c>
      <c r="X8" s="297">
        <f t="shared" ref="X8:Y8" si="1">J8*P8*T8</f>
        <v>0</v>
      </c>
      <c r="Y8" s="297">
        <f t="shared" si="1"/>
        <v>0</v>
      </c>
      <c r="Z8" s="297">
        <f>V8+W8+X8+Y8</f>
        <v>575000</v>
      </c>
      <c r="AA8" s="292"/>
      <c r="AB8" s="292"/>
      <c r="AC8" s="295">
        <v>10.648148148148149</v>
      </c>
      <c r="AD8" s="292"/>
      <c r="AE8" s="297">
        <f>H8*AC8*R8</f>
        <v>575000</v>
      </c>
      <c r="AF8" s="294">
        <f>AE8-V8</f>
        <v>0</v>
      </c>
      <c r="AG8" s="292"/>
      <c r="AH8" s="292">
        <f>AB8</f>
        <v>0</v>
      </c>
      <c r="AI8" s="295">
        <v>0</v>
      </c>
      <c r="AJ8" s="383" t="s">
        <v>878</v>
      </c>
      <c r="AK8" s="297">
        <f>I8*AI8*S8</f>
        <v>0</v>
      </c>
      <c r="AL8" s="294">
        <f>AK8-W8</f>
        <v>0</v>
      </c>
      <c r="AM8" s="292"/>
      <c r="AN8" s="292"/>
      <c r="AO8" s="295">
        <f>'Unit Savings Calculations'!P4</f>
        <v>0</v>
      </c>
      <c r="AP8" s="383" t="s">
        <v>763</v>
      </c>
      <c r="AQ8" s="297">
        <f>J8*AO8*T8</f>
        <v>0</v>
      </c>
      <c r="AR8" s="294">
        <f>AQ8-X8</f>
        <v>0</v>
      </c>
      <c r="AS8" s="292"/>
      <c r="AT8" s="292"/>
      <c r="AU8" s="295">
        <f>'Unit Savings Calculations'!Q4</f>
        <v>0</v>
      </c>
      <c r="AV8" s="383" t="str">
        <f>AP8</f>
        <v>n/a</v>
      </c>
      <c r="AW8" s="297">
        <f>K8*AU8*U8</f>
        <v>0</v>
      </c>
      <c r="AX8" s="294">
        <f>AW8-Y8</f>
        <v>0</v>
      </c>
      <c r="AY8" s="297">
        <f>IF(C8=1,AE8,V8)</f>
        <v>575000</v>
      </c>
      <c r="AZ8" s="297">
        <f>IF(C8=1,AK8,W8)</f>
        <v>0</v>
      </c>
      <c r="BA8" s="297">
        <f>IF(C8=1,AQ8,X8)</f>
        <v>0</v>
      </c>
      <c r="BB8" s="297">
        <f>IF(C8=1,AW8,Y8)</f>
        <v>0</v>
      </c>
      <c r="BC8" s="298">
        <f>AY8+AZ8+BA8+BB8</f>
        <v>575000</v>
      </c>
      <c r="BD8" s="292" t="s">
        <v>763</v>
      </c>
      <c r="BE8" s="299" t="str">
        <f>M8</f>
        <v>Exhibit 1.5A_R North Shore EEPS_Adjustable_Savings_Goal_Template.xlsx, Behavioral Tab</v>
      </c>
      <c r="BF8" s="298">
        <f>$F8*V8</f>
        <v>575000</v>
      </c>
      <c r="BG8" s="298">
        <f t="shared" ref="BG8:BI23" si="2">$F8*W8</f>
        <v>0</v>
      </c>
      <c r="BH8" s="298">
        <f t="shared" si="2"/>
        <v>0</v>
      </c>
      <c r="BI8" s="298">
        <f t="shared" si="2"/>
        <v>0</v>
      </c>
      <c r="BJ8" s="298">
        <f>SUM(BF8:BI8)</f>
        <v>575000</v>
      </c>
      <c r="BK8" s="482">
        <v>1</v>
      </c>
      <c r="BL8" s="482">
        <v>1</v>
      </c>
      <c r="BM8" s="482">
        <f>INDEX('Unit Savings Calculations'!$I$4:$I$421,MATCH('Measure-Level Adjustments Tab'!$A8&amp;"_"&amp;'Measure-Level Adjustments Tab'!$B8,'Unit Savings Calculations'!$A$4:$A$421,0))</f>
        <v>1</v>
      </c>
      <c r="BN8" s="482">
        <f>BM8</f>
        <v>1</v>
      </c>
      <c r="BO8" s="483">
        <f>AY8*BK8</f>
        <v>575000</v>
      </c>
      <c r="BP8" s="483">
        <f t="shared" ref="BP8:BR23" si="3">AZ8*BL8</f>
        <v>0</v>
      </c>
      <c r="BQ8" s="483">
        <f t="shared" si="3"/>
        <v>0</v>
      </c>
      <c r="BR8" s="483">
        <f t="shared" si="3"/>
        <v>0</v>
      </c>
      <c r="BS8" s="483">
        <f t="shared" ref="BS8:BS71" si="4">SUM(BO8:BR8)</f>
        <v>575000</v>
      </c>
    </row>
    <row r="9" spans="1:71" s="220" customFormat="1" ht="15.75" customHeight="1">
      <c r="A9" s="292" t="str">
        <f>'Unit Savings Calculations'!C5</f>
        <v>Res - Outreach &amp; Education</v>
      </c>
      <c r="B9" s="292" t="str">
        <f>'Unit Savings Calculations'!D5</f>
        <v>Behavior 2019 1st Year</v>
      </c>
      <c r="C9" s="293">
        <f>IF(D9="Custom",0,1)</f>
        <v>1</v>
      </c>
      <c r="D9" s="292" t="str">
        <f>'Unit Savings Calculations'!T5</f>
        <v>6.1.1</v>
      </c>
      <c r="E9" s="438">
        <v>1</v>
      </c>
      <c r="F9" s="438">
        <v>1</v>
      </c>
      <c r="G9" s="292" t="str">
        <f>'Unit Savings Calculations'!E5</f>
        <v>each</v>
      </c>
      <c r="H9" s="294">
        <f>'Unit Savings Calculations'!$F5*'Unit Savings Calculations'!J5</f>
        <v>0</v>
      </c>
      <c r="I9" s="294">
        <f>'Unit Savings Calculations'!$F5*'Unit Savings Calculations'!K5</f>
        <v>52800</v>
      </c>
      <c r="J9" s="294">
        <f>'Unit Savings Calculations'!$F5*'Unit Savings Calculations'!L5</f>
        <v>0</v>
      </c>
      <c r="K9" s="294">
        <f>'Unit Savings Calculations'!$F5*'Unit Savings Calculations'!M5</f>
        <v>0</v>
      </c>
      <c r="L9" s="292" t="str">
        <f>'Unit Savings Calculations'!U5</f>
        <v>CC-BEH-BEHP-V02-16061</v>
      </c>
      <c r="M9" s="383" t="str">
        <f>'Unit Savings Calculations'!R5</f>
        <v>Exhibit 1.5A_R North Shore EEPS_Adjustable_Savings_Goal_Template.xlsx, Behavioral Tab</v>
      </c>
      <c r="N9" s="295">
        <v>0</v>
      </c>
      <c r="O9" s="295">
        <v>6.0639778977279111</v>
      </c>
      <c r="P9" s="295">
        <v>0</v>
      </c>
      <c r="Q9" s="295">
        <v>0</v>
      </c>
      <c r="R9" s="296">
        <f>'Unit Savings Calculations'!$G5</f>
        <v>1</v>
      </c>
      <c r="S9" s="296">
        <f>'Unit Savings Calculations'!$G5</f>
        <v>1</v>
      </c>
      <c r="T9" s="296">
        <f>'Unit Savings Calculations'!$G5</f>
        <v>1</v>
      </c>
      <c r="U9" s="296">
        <f>'Unit Savings Calculations'!$G5</f>
        <v>1</v>
      </c>
      <c r="V9" s="297">
        <f t="shared" ref="V9" si="5">H9*N9*R9</f>
        <v>0</v>
      </c>
      <c r="W9" s="297">
        <f t="shared" ref="W9" si="6">I9*O9*S9</f>
        <v>320178.0330000337</v>
      </c>
      <c r="X9" s="297">
        <f t="shared" ref="X9" si="7">J9*P9*T9</f>
        <v>0</v>
      </c>
      <c r="Y9" s="297">
        <f t="shared" ref="Y9" si="8">K9*Q9*U9</f>
        <v>0</v>
      </c>
      <c r="Z9" s="297">
        <f t="shared" ref="Z9" si="9">V9+W9+X9+Y9</f>
        <v>320178.0330000337</v>
      </c>
      <c r="AA9" s="292"/>
      <c r="AB9" s="292"/>
      <c r="AC9" s="295">
        <v>0</v>
      </c>
      <c r="AD9" s="292"/>
      <c r="AE9" s="297">
        <f t="shared" ref="AE9:AE72" si="10">H9*AC9*R9</f>
        <v>0</v>
      </c>
      <c r="AF9" s="294">
        <f t="shared" ref="AF9:AF72" si="11">AE9-V9</f>
        <v>0</v>
      </c>
      <c r="AG9" s="292"/>
      <c r="AH9" s="292">
        <f t="shared" ref="AH9:AH72" si="12">AB9</f>
        <v>0</v>
      </c>
      <c r="AI9" s="295">
        <v>6.0639778977279111</v>
      </c>
      <c r="AJ9" s="383" t="s">
        <v>878</v>
      </c>
      <c r="AK9" s="297">
        <f t="shared" ref="AK9:AK72" si="13">I9*AI9*S9</f>
        <v>320178.0330000337</v>
      </c>
      <c r="AL9" s="294">
        <f t="shared" ref="AL9:AL72" si="14">AK9-W9</f>
        <v>0</v>
      </c>
      <c r="AM9" s="292"/>
      <c r="AN9" s="292"/>
      <c r="AO9" s="295">
        <f>'Unit Savings Calculations'!P5</f>
        <v>0</v>
      </c>
      <c r="AP9" s="383" t="s">
        <v>763</v>
      </c>
      <c r="AQ9" s="297">
        <f t="shared" ref="AQ9:AQ72" si="15">J9*AO9*T9</f>
        <v>0</v>
      </c>
      <c r="AR9" s="294">
        <f t="shared" ref="AR9:AR72" si="16">AQ9-X9</f>
        <v>0</v>
      </c>
      <c r="AS9" s="292"/>
      <c r="AT9" s="292"/>
      <c r="AU9" s="295">
        <f>'Unit Savings Calculations'!Q5</f>
        <v>0</v>
      </c>
      <c r="AV9" s="383" t="str">
        <f t="shared" ref="AV9:AV72" si="17">AP9</f>
        <v>n/a</v>
      </c>
      <c r="AW9" s="297">
        <f t="shared" ref="AW9:AW72" si="18">K9*AU9*U9</f>
        <v>0</v>
      </c>
      <c r="AX9" s="294">
        <f t="shared" ref="AX9:AX72" si="19">AW9-Y9</f>
        <v>0</v>
      </c>
      <c r="AY9" s="297">
        <f t="shared" ref="AY9:AY72" si="20">IF(C9=1,AE9,V9)</f>
        <v>0</v>
      </c>
      <c r="AZ9" s="297">
        <f t="shared" ref="AZ9:AZ72" si="21">IF(C9=1,AK9,W9)</f>
        <v>320178.0330000337</v>
      </c>
      <c r="BA9" s="297">
        <f t="shared" ref="BA9:BA72" si="22">IF(C9=1,AQ9,X9)</f>
        <v>0</v>
      </c>
      <c r="BB9" s="297">
        <f t="shared" ref="BB9:BB72" si="23">IF(C9=1,AW9,Y9)</f>
        <v>0</v>
      </c>
      <c r="BC9" s="298">
        <f t="shared" ref="BC9:BC72" si="24">AY9+AZ9+BA9+BB9</f>
        <v>320178.0330000337</v>
      </c>
      <c r="BD9" s="292" t="s">
        <v>763</v>
      </c>
      <c r="BE9" s="299" t="str">
        <f t="shared" ref="BE9:BE72" si="25">M9</f>
        <v>Exhibit 1.5A_R North Shore EEPS_Adjustable_Savings_Goal_Template.xlsx, Behavioral Tab</v>
      </c>
      <c r="BF9" s="298">
        <f t="shared" ref="BF9:BI72" si="26">$F9*V9</f>
        <v>0</v>
      </c>
      <c r="BG9" s="298">
        <f t="shared" si="2"/>
        <v>320178.0330000337</v>
      </c>
      <c r="BH9" s="298">
        <f t="shared" si="2"/>
        <v>0</v>
      </c>
      <c r="BI9" s="298">
        <f t="shared" si="2"/>
        <v>0</v>
      </c>
      <c r="BJ9" s="298">
        <f t="shared" ref="BJ9:BJ72" si="27">SUM(BF9:BI9)</f>
        <v>320178.0330000337</v>
      </c>
      <c r="BK9" s="482">
        <v>1</v>
      </c>
      <c r="BL9" s="482">
        <v>1</v>
      </c>
      <c r="BM9" s="482">
        <f>INDEX('Unit Savings Calculations'!$I$4:$I$421,MATCH('Measure-Level Adjustments Tab'!$A9&amp;"_"&amp;'Measure-Level Adjustments Tab'!$B9,'Unit Savings Calculations'!$A$4:$A$421,0))</f>
        <v>1</v>
      </c>
      <c r="BN9" s="482">
        <f t="shared" ref="BN9:BN72" si="28">BM9</f>
        <v>1</v>
      </c>
      <c r="BO9" s="483">
        <f t="shared" ref="BO9:BR72" si="29">AY9*BK9</f>
        <v>0</v>
      </c>
      <c r="BP9" s="483">
        <f t="shared" si="3"/>
        <v>320178.0330000337</v>
      </c>
      <c r="BQ9" s="483">
        <f t="shared" si="3"/>
        <v>0</v>
      </c>
      <c r="BR9" s="483">
        <f t="shared" si="3"/>
        <v>0</v>
      </c>
      <c r="BS9" s="483">
        <f t="shared" si="4"/>
        <v>320178.0330000337</v>
      </c>
    </row>
    <row r="10" spans="1:71" s="220" customFormat="1" ht="15.75" customHeight="1">
      <c r="A10" s="292" t="str">
        <f>'Unit Savings Calculations'!C6</f>
        <v>Res - Outreach &amp; Education</v>
      </c>
      <c r="B10" s="292" t="str">
        <f>'Unit Savings Calculations'!D6</f>
        <v>Behavior 2020 1st Year</v>
      </c>
      <c r="C10" s="293">
        <f t="shared" ref="C10:C73" si="30">IF(D10="Custom",0,1)</f>
        <v>1</v>
      </c>
      <c r="D10" s="292" t="str">
        <f>'Unit Savings Calculations'!T6</f>
        <v>6.1.1</v>
      </c>
      <c r="E10" s="438">
        <v>1</v>
      </c>
      <c r="F10" s="438">
        <v>1</v>
      </c>
      <c r="G10" s="292" t="str">
        <f>'Unit Savings Calculations'!E6</f>
        <v>each</v>
      </c>
      <c r="H10" s="294">
        <f>'Unit Savings Calculations'!$F6*'Unit Savings Calculations'!J6</f>
        <v>0</v>
      </c>
      <c r="I10" s="294">
        <f>'Unit Savings Calculations'!$F6*'Unit Savings Calculations'!K6</f>
        <v>0</v>
      </c>
      <c r="J10" s="294">
        <f>'Unit Savings Calculations'!$F6*'Unit Savings Calculations'!L6</f>
        <v>51600</v>
      </c>
      <c r="K10" s="294">
        <f>'Unit Savings Calculations'!$F6*'Unit Savings Calculations'!M6</f>
        <v>0</v>
      </c>
      <c r="L10" s="292" t="str">
        <f>'Unit Savings Calculations'!U6</f>
        <v>CC-BEH-BEHP-V02-16061</v>
      </c>
      <c r="M10" s="383" t="str">
        <f>'Unit Savings Calculations'!R6</f>
        <v>Exhibit 1.5A_R North Shore EEPS_Adjustable_Savings_Goal_Template.xlsx, Behavioral Tab</v>
      </c>
      <c r="N10" s="295">
        <v>0</v>
      </c>
      <c r="O10" s="295">
        <v>0</v>
      </c>
      <c r="P10" s="295">
        <v>6.1129806441341552</v>
      </c>
      <c r="Q10" s="295">
        <v>0</v>
      </c>
      <c r="R10" s="296">
        <f>'Unit Savings Calculations'!$G6</f>
        <v>1</v>
      </c>
      <c r="S10" s="296">
        <f>'Unit Savings Calculations'!$G6</f>
        <v>1</v>
      </c>
      <c r="T10" s="296">
        <f>'Unit Savings Calculations'!$G6</f>
        <v>1</v>
      </c>
      <c r="U10" s="296">
        <f>'Unit Savings Calculations'!$G6</f>
        <v>1</v>
      </c>
      <c r="V10" s="297">
        <f t="shared" ref="V10:V11" si="31">H10*N10*R10</f>
        <v>0</v>
      </c>
      <c r="W10" s="297">
        <f t="shared" ref="W10:W11" si="32">I10*O10*S10</f>
        <v>0</v>
      </c>
      <c r="X10" s="297">
        <f t="shared" ref="X10:X11" si="33">J10*P10*T10</f>
        <v>315429.80123732239</v>
      </c>
      <c r="Y10" s="297">
        <f t="shared" ref="Y10:Y11" si="34">K10*Q10*U10</f>
        <v>0</v>
      </c>
      <c r="Z10" s="297">
        <f t="shared" ref="Z10:Z11" si="35">V10+W10+X10+Y10</f>
        <v>315429.80123732239</v>
      </c>
      <c r="AA10" s="292"/>
      <c r="AB10" s="292"/>
      <c r="AC10" s="295">
        <v>0</v>
      </c>
      <c r="AD10" s="292"/>
      <c r="AE10" s="297">
        <f t="shared" si="10"/>
        <v>0</v>
      </c>
      <c r="AF10" s="294">
        <f t="shared" si="11"/>
        <v>0</v>
      </c>
      <c r="AG10" s="292"/>
      <c r="AH10" s="292">
        <f t="shared" si="12"/>
        <v>0</v>
      </c>
      <c r="AI10" s="295">
        <v>0</v>
      </c>
      <c r="AJ10" s="383" t="s">
        <v>878</v>
      </c>
      <c r="AK10" s="297">
        <f t="shared" si="13"/>
        <v>0</v>
      </c>
      <c r="AL10" s="294">
        <f t="shared" si="14"/>
        <v>0</v>
      </c>
      <c r="AM10" s="292"/>
      <c r="AN10" s="292"/>
      <c r="AO10" s="295">
        <f>'Unit Savings Calculations'!P6</f>
        <v>6.1129806441341552</v>
      </c>
      <c r="AP10" s="383" t="s">
        <v>763</v>
      </c>
      <c r="AQ10" s="297">
        <f t="shared" si="15"/>
        <v>315429.80123732239</v>
      </c>
      <c r="AR10" s="294">
        <f t="shared" si="16"/>
        <v>0</v>
      </c>
      <c r="AS10" s="292"/>
      <c r="AT10" s="292"/>
      <c r="AU10" s="295">
        <f>'Unit Savings Calculations'!Q6</f>
        <v>0</v>
      </c>
      <c r="AV10" s="383" t="str">
        <f t="shared" si="17"/>
        <v>n/a</v>
      </c>
      <c r="AW10" s="297">
        <f t="shared" si="18"/>
        <v>0</v>
      </c>
      <c r="AX10" s="294">
        <f t="shared" si="19"/>
        <v>0</v>
      </c>
      <c r="AY10" s="297">
        <f t="shared" si="20"/>
        <v>0</v>
      </c>
      <c r="AZ10" s="297">
        <f t="shared" si="21"/>
        <v>0</v>
      </c>
      <c r="BA10" s="297">
        <f t="shared" si="22"/>
        <v>315429.80123732239</v>
      </c>
      <c r="BB10" s="297">
        <f t="shared" si="23"/>
        <v>0</v>
      </c>
      <c r="BC10" s="298">
        <f t="shared" si="24"/>
        <v>315429.80123732239</v>
      </c>
      <c r="BD10" s="292" t="s">
        <v>763</v>
      </c>
      <c r="BE10" s="299" t="str">
        <f t="shared" si="25"/>
        <v>Exhibit 1.5A_R North Shore EEPS_Adjustable_Savings_Goal_Template.xlsx, Behavioral Tab</v>
      </c>
      <c r="BF10" s="298">
        <f t="shared" si="26"/>
        <v>0</v>
      </c>
      <c r="BG10" s="298">
        <f t="shared" si="2"/>
        <v>0</v>
      </c>
      <c r="BH10" s="298">
        <f t="shared" si="2"/>
        <v>315429.80123732239</v>
      </c>
      <c r="BI10" s="298">
        <f t="shared" si="2"/>
        <v>0</v>
      </c>
      <c r="BJ10" s="298">
        <f t="shared" si="27"/>
        <v>315429.80123732239</v>
      </c>
      <c r="BK10" s="482">
        <v>1</v>
      </c>
      <c r="BL10" s="482">
        <v>1</v>
      </c>
      <c r="BM10" s="482">
        <f>INDEX('Unit Savings Calculations'!$I$4:$I$421,MATCH('Measure-Level Adjustments Tab'!$A10&amp;"_"&amp;'Measure-Level Adjustments Tab'!$B10,'Unit Savings Calculations'!$A$4:$A$421,0))</f>
        <v>1</v>
      </c>
      <c r="BN10" s="482">
        <f t="shared" si="28"/>
        <v>1</v>
      </c>
      <c r="BO10" s="483">
        <f t="shared" si="29"/>
        <v>0</v>
      </c>
      <c r="BP10" s="483">
        <f t="shared" si="3"/>
        <v>0</v>
      </c>
      <c r="BQ10" s="483">
        <f t="shared" si="3"/>
        <v>315429.80123732239</v>
      </c>
      <c r="BR10" s="483">
        <f t="shared" si="3"/>
        <v>0</v>
      </c>
      <c r="BS10" s="483">
        <f t="shared" si="4"/>
        <v>315429.80123732239</v>
      </c>
    </row>
    <row r="11" spans="1:71" s="220" customFormat="1" ht="15.75" customHeight="1">
      <c r="A11" s="292" t="str">
        <f>'Unit Savings Calculations'!C7</f>
        <v>Res - Outreach &amp; Education</v>
      </c>
      <c r="B11" s="292" t="str">
        <f>'Unit Savings Calculations'!D7</f>
        <v>Behavior 2021 1st Year</v>
      </c>
      <c r="C11" s="293">
        <f t="shared" si="30"/>
        <v>1</v>
      </c>
      <c r="D11" s="292" t="str">
        <f>'Unit Savings Calculations'!T7</f>
        <v>6.1.1</v>
      </c>
      <c r="E11" s="438">
        <v>1</v>
      </c>
      <c r="F11" s="438">
        <v>1</v>
      </c>
      <c r="G11" s="292" t="str">
        <f>'Unit Savings Calculations'!E7</f>
        <v>each</v>
      </c>
      <c r="H11" s="294">
        <f>'Unit Savings Calculations'!$F7*'Unit Savings Calculations'!J7</f>
        <v>0</v>
      </c>
      <c r="I11" s="294">
        <f>'Unit Savings Calculations'!$F7*'Unit Savings Calculations'!K7</f>
        <v>0</v>
      </c>
      <c r="J11" s="294">
        <f>'Unit Savings Calculations'!$F7*'Unit Savings Calculations'!L7</f>
        <v>0</v>
      </c>
      <c r="K11" s="294">
        <f>'Unit Savings Calculations'!$F7*'Unit Savings Calculations'!M7</f>
        <v>50400</v>
      </c>
      <c r="L11" s="292" t="str">
        <f>'Unit Savings Calculations'!U7</f>
        <v>CC-BEH-BEHP-V02-16061</v>
      </c>
      <c r="M11" s="383" t="str">
        <f>'Unit Savings Calculations'!R7</f>
        <v>Exhibit 1.5A_R North Shore EEPS_Adjustable_Savings_Goal_Template.xlsx, Behavioral Tab</v>
      </c>
      <c r="N11" s="295">
        <v>0</v>
      </c>
      <c r="O11" s="295">
        <v>0</v>
      </c>
      <c r="P11" s="295">
        <v>0</v>
      </c>
      <c r="Q11" s="295">
        <v>6.1487983092712835</v>
      </c>
      <c r="R11" s="296">
        <f>'Unit Savings Calculations'!$G7</f>
        <v>1</v>
      </c>
      <c r="S11" s="296">
        <f>'Unit Savings Calculations'!$G7</f>
        <v>1</v>
      </c>
      <c r="T11" s="296">
        <f>'Unit Savings Calculations'!$G7</f>
        <v>1</v>
      </c>
      <c r="U11" s="296">
        <f>'Unit Savings Calculations'!$G7</f>
        <v>1</v>
      </c>
      <c r="V11" s="297">
        <f t="shared" si="31"/>
        <v>0</v>
      </c>
      <c r="W11" s="297">
        <f t="shared" si="32"/>
        <v>0</v>
      </c>
      <c r="X11" s="297">
        <f t="shared" si="33"/>
        <v>0</v>
      </c>
      <c r="Y11" s="297">
        <f t="shared" si="34"/>
        <v>309899.43478727271</v>
      </c>
      <c r="Z11" s="297">
        <f t="shared" si="35"/>
        <v>309899.43478727271</v>
      </c>
      <c r="AA11" s="292"/>
      <c r="AB11" s="292"/>
      <c r="AC11" s="295">
        <v>0</v>
      </c>
      <c r="AD11" s="292"/>
      <c r="AE11" s="297">
        <f t="shared" si="10"/>
        <v>0</v>
      </c>
      <c r="AF11" s="294">
        <f t="shared" si="11"/>
        <v>0</v>
      </c>
      <c r="AG11" s="292"/>
      <c r="AH11" s="292">
        <f t="shared" si="12"/>
        <v>0</v>
      </c>
      <c r="AI11" s="295">
        <v>0</v>
      </c>
      <c r="AJ11" s="383" t="s">
        <v>878</v>
      </c>
      <c r="AK11" s="297">
        <f t="shared" si="13"/>
        <v>0</v>
      </c>
      <c r="AL11" s="294">
        <f t="shared" si="14"/>
        <v>0</v>
      </c>
      <c r="AM11" s="292"/>
      <c r="AN11" s="292"/>
      <c r="AO11" s="295">
        <f>'Unit Savings Calculations'!P7</f>
        <v>0</v>
      </c>
      <c r="AP11" s="383" t="s">
        <v>763</v>
      </c>
      <c r="AQ11" s="297">
        <f t="shared" si="15"/>
        <v>0</v>
      </c>
      <c r="AR11" s="294">
        <f t="shared" si="16"/>
        <v>0</v>
      </c>
      <c r="AS11" s="292"/>
      <c r="AT11" s="292"/>
      <c r="AU11" s="295">
        <f>'Unit Savings Calculations'!Q7</f>
        <v>6.1487983092712835</v>
      </c>
      <c r="AV11" s="383" t="str">
        <f t="shared" si="17"/>
        <v>n/a</v>
      </c>
      <c r="AW11" s="297">
        <f t="shared" si="18"/>
        <v>309899.43478727271</v>
      </c>
      <c r="AX11" s="294">
        <f t="shared" si="19"/>
        <v>0</v>
      </c>
      <c r="AY11" s="297">
        <f t="shared" si="20"/>
        <v>0</v>
      </c>
      <c r="AZ11" s="297">
        <f t="shared" si="21"/>
        <v>0</v>
      </c>
      <c r="BA11" s="297">
        <f t="shared" si="22"/>
        <v>0</v>
      </c>
      <c r="BB11" s="297">
        <f t="shared" si="23"/>
        <v>309899.43478727271</v>
      </c>
      <c r="BC11" s="298">
        <f t="shared" si="24"/>
        <v>309899.43478727271</v>
      </c>
      <c r="BD11" s="292" t="s">
        <v>763</v>
      </c>
      <c r="BE11" s="299" t="str">
        <f t="shared" si="25"/>
        <v>Exhibit 1.5A_R North Shore EEPS_Adjustable_Savings_Goal_Template.xlsx, Behavioral Tab</v>
      </c>
      <c r="BF11" s="298">
        <f t="shared" si="26"/>
        <v>0</v>
      </c>
      <c r="BG11" s="298">
        <f t="shared" si="2"/>
        <v>0</v>
      </c>
      <c r="BH11" s="298">
        <f t="shared" si="2"/>
        <v>0</v>
      </c>
      <c r="BI11" s="298">
        <f t="shared" si="2"/>
        <v>309899.43478727271</v>
      </c>
      <c r="BJ11" s="298">
        <f t="shared" si="27"/>
        <v>309899.43478727271</v>
      </c>
      <c r="BK11" s="482">
        <v>1</v>
      </c>
      <c r="BL11" s="482">
        <v>1</v>
      </c>
      <c r="BM11" s="482">
        <f>INDEX('Unit Savings Calculations'!$I$4:$I$421,MATCH('Measure-Level Adjustments Tab'!$A11&amp;"_"&amp;'Measure-Level Adjustments Tab'!$B11,'Unit Savings Calculations'!$A$4:$A$421,0))</f>
        <v>1</v>
      </c>
      <c r="BN11" s="482">
        <f t="shared" si="28"/>
        <v>1</v>
      </c>
      <c r="BO11" s="483">
        <f t="shared" si="29"/>
        <v>0</v>
      </c>
      <c r="BP11" s="483">
        <f t="shared" si="3"/>
        <v>0</v>
      </c>
      <c r="BQ11" s="483">
        <f t="shared" si="3"/>
        <v>0</v>
      </c>
      <c r="BR11" s="483">
        <f t="shared" si="3"/>
        <v>309899.43478727271</v>
      </c>
      <c r="BS11" s="483">
        <f t="shared" si="4"/>
        <v>309899.43478727271</v>
      </c>
    </row>
    <row r="12" spans="1:71" ht="15.75" customHeight="1">
      <c r="A12" s="292" t="str">
        <f>'Unit Savings Calculations'!C8</f>
        <v>Res - Outreach &amp; Education</v>
      </c>
      <c r="B12" s="292" t="str">
        <f>'Unit Savings Calculations'!D8</f>
        <v>Behavior 2018 Y1 Persistence</v>
      </c>
      <c r="C12" s="293">
        <f t="shared" ref="C12:C28" si="36">IF(D12="Custom",0,1)</f>
        <v>1</v>
      </c>
      <c r="D12" s="292" t="str">
        <f>'Unit Savings Calculations'!T8</f>
        <v>6.1.1</v>
      </c>
      <c r="E12" s="438">
        <v>0</v>
      </c>
      <c r="F12" s="438">
        <v>0</v>
      </c>
      <c r="G12" s="292" t="str">
        <f>'Unit Savings Calculations'!E8</f>
        <v>each</v>
      </c>
      <c r="H12" s="294">
        <v>0</v>
      </c>
      <c r="I12" s="294">
        <v>0</v>
      </c>
      <c r="J12" s="294">
        <v>0</v>
      </c>
      <c r="K12" s="294">
        <f>'Unit Savings Calculations'!$F8*'Unit Savings Calculations'!M8</f>
        <v>0</v>
      </c>
      <c r="L12" s="292" t="str">
        <f>'Unit Savings Calculations'!U8</f>
        <v>CC-BEH-BEHP-V02-16061</v>
      </c>
      <c r="M12" s="383" t="str">
        <f>'Unit Savings Calculations'!R8</f>
        <v>Exhibit 1.5A_R North Shore EEPS_Adjustable_Savings_Goal_Template.xlsx, Behavioral Tab</v>
      </c>
      <c r="N12" s="295">
        <v>0</v>
      </c>
      <c r="O12" s="295">
        <v>0</v>
      </c>
      <c r="P12" s="295">
        <v>0</v>
      </c>
      <c r="Q12" s="295">
        <v>0</v>
      </c>
      <c r="R12" s="296">
        <f>'Unit Savings Calculations'!$G8</f>
        <v>1</v>
      </c>
      <c r="S12" s="296">
        <f>'Unit Savings Calculations'!$G8</f>
        <v>1</v>
      </c>
      <c r="T12" s="296">
        <f>'Unit Savings Calculations'!$G8</f>
        <v>1</v>
      </c>
      <c r="U12" s="296">
        <f>'Unit Savings Calculations'!$G8</f>
        <v>1</v>
      </c>
      <c r="V12" s="297">
        <f t="shared" ref="V12:V28" si="37">H12*N12*R12</f>
        <v>0</v>
      </c>
      <c r="W12" s="297">
        <f t="shared" ref="W12:W28" si="38">I12*O12*S12</f>
        <v>0</v>
      </c>
      <c r="X12" s="297">
        <f t="shared" ref="X12:X28" si="39">J12*P12*T12</f>
        <v>0</v>
      </c>
      <c r="Y12" s="297">
        <f t="shared" ref="Y12:Y28" si="40">K12*Q12*U12</f>
        <v>0</v>
      </c>
      <c r="Z12" s="297">
        <f t="shared" ref="Z12:Z28" si="41">V12+W12+X12+Y12</f>
        <v>0</v>
      </c>
      <c r="AA12" s="292"/>
      <c r="AB12" s="292"/>
      <c r="AC12" s="295">
        <v>0</v>
      </c>
      <c r="AD12" s="292"/>
      <c r="AE12" s="297">
        <f t="shared" ref="AE12:AE28" si="42">H12*AC12*R12</f>
        <v>0</v>
      </c>
      <c r="AF12" s="294">
        <f t="shared" ref="AF12:AF28" si="43">AE12-V12</f>
        <v>0</v>
      </c>
      <c r="AG12" s="292"/>
      <c r="AH12" s="292">
        <f t="shared" ref="AH12:AH28" si="44">AB12</f>
        <v>0</v>
      </c>
      <c r="AI12" s="295">
        <v>0</v>
      </c>
      <c r="AJ12" s="383" t="s">
        <v>878</v>
      </c>
      <c r="AK12" s="297">
        <f t="shared" ref="AK12:AK28" si="45">I12*AI12*S12</f>
        <v>0</v>
      </c>
      <c r="AL12" s="294">
        <f t="shared" ref="AL12:AL28" si="46">AK12-W12</f>
        <v>0</v>
      </c>
      <c r="AM12" s="292"/>
      <c r="AN12" s="292"/>
      <c r="AO12" s="295">
        <f>'Unit Savings Calculations'!P8</f>
        <v>0</v>
      </c>
      <c r="AP12" s="383" t="s">
        <v>763</v>
      </c>
      <c r="AQ12" s="297">
        <f t="shared" ref="AQ12:AQ28" si="47">J12*AO12*T12</f>
        <v>0</v>
      </c>
      <c r="AR12" s="294">
        <f t="shared" ref="AR12:AR28" si="48">AQ12-X12</f>
        <v>0</v>
      </c>
      <c r="AS12" s="292"/>
      <c r="AT12" s="292"/>
      <c r="AU12" s="295">
        <f>'Unit Savings Calculations'!Q8</f>
        <v>0</v>
      </c>
      <c r="AV12" s="383" t="str">
        <f t="shared" si="17"/>
        <v>n/a</v>
      </c>
      <c r="AW12" s="297">
        <f t="shared" ref="AW12:AW28" si="49">K12*AU12*U12</f>
        <v>0</v>
      </c>
      <c r="AX12" s="294">
        <f t="shared" ref="AX12:AX28" si="50">AW12-Y12</f>
        <v>0</v>
      </c>
      <c r="AY12" s="297">
        <f t="shared" si="20"/>
        <v>0</v>
      </c>
      <c r="AZ12" s="297">
        <f t="shared" si="21"/>
        <v>0</v>
      </c>
      <c r="BA12" s="297">
        <f t="shared" si="22"/>
        <v>0</v>
      </c>
      <c r="BB12" s="297">
        <f t="shared" si="23"/>
        <v>0</v>
      </c>
      <c r="BC12" s="298">
        <f t="shared" si="24"/>
        <v>0</v>
      </c>
      <c r="BD12" s="292" t="s">
        <v>763</v>
      </c>
      <c r="BE12" s="299" t="str">
        <f t="shared" si="25"/>
        <v>Exhibit 1.5A_R North Shore EEPS_Adjustable_Savings_Goal_Template.xlsx, Behavioral Tab</v>
      </c>
      <c r="BF12" s="298">
        <f t="shared" si="26"/>
        <v>0</v>
      </c>
      <c r="BG12" s="298">
        <f t="shared" si="2"/>
        <v>0</v>
      </c>
      <c r="BH12" s="298">
        <f t="shared" si="2"/>
        <v>0</v>
      </c>
      <c r="BI12" s="298">
        <f t="shared" si="2"/>
        <v>0</v>
      </c>
      <c r="BJ12" s="298">
        <f t="shared" si="27"/>
        <v>0</v>
      </c>
      <c r="BK12" s="482">
        <v>0</v>
      </c>
      <c r="BL12" s="482">
        <v>0</v>
      </c>
      <c r="BM12" s="482">
        <f>INDEX('Unit Savings Calculations'!$I$4:$I$421,MATCH('Measure-Level Adjustments Tab'!$A12&amp;"_"&amp;'Measure-Level Adjustments Tab'!$B12,'Unit Savings Calculations'!$A$4:$A$421,0))</f>
        <v>0</v>
      </c>
      <c r="BN12" s="482">
        <f t="shared" si="28"/>
        <v>0</v>
      </c>
      <c r="BO12" s="483">
        <f t="shared" si="29"/>
        <v>0</v>
      </c>
      <c r="BP12" s="483">
        <f t="shared" si="3"/>
        <v>0</v>
      </c>
      <c r="BQ12" s="483">
        <f t="shared" si="3"/>
        <v>0</v>
      </c>
      <c r="BR12" s="483">
        <f t="shared" si="3"/>
        <v>0</v>
      </c>
      <c r="BS12" s="483">
        <f t="shared" si="4"/>
        <v>0</v>
      </c>
    </row>
    <row r="13" spans="1:71" ht="15.75" customHeight="1">
      <c r="A13" s="292" t="str">
        <f>'Unit Savings Calculations'!C9</f>
        <v>Res - Outreach &amp; Education</v>
      </c>
      <c r="B13" s="292" t="str">
        <f>'Unit Savings Calculations'!D9</f>
        <v>Behavior 2018 Y2 Persistence</v>
      </c>
      <c r="C13" s="293">
        <f t="shared" si="36"/>
        <v>1</v>
      </c>
      <c r="D13" s="292" t="str">
        <f>'Unit Savings Calculations'!T9</f>
        <v>6.1.1</v>
      </c>
      <c r="E13" s="438">
        <v>0</v>
      </c>
      <c r="F13" s="438">
        <v>0</v>
      </c>
      <c r="G13" s="292" t="str">
        <f>'Unit Savings Calculations'!E9</f>
        <v>each</v>
      </c>
      <c r="H13" s="294">
        <v>0</v>
      </c>
      <c r="I13" s="294">
        <v>0</v>
      </c>
      <c r="J13" s="294">
        <v>0</v>
      </c>
      <c r="K13" s="294">
        <f>'Unit Savings Calculations'!$F9*'Unit Savings Calculations'!M9</f>
        <v>0</v>
      </c>
      <c r="L13" s="292" t="str">
        <f>'Unit Savings Calculations'!U9</f>
        <v>CC-BEH-BEHP-V02-16061</v>
      </c>
      <c r="M13" s="383" t="str">
        <f>'Unit Savings Calculations'!R9</f>
        <v>Exhibit 1.5A_R North Shore EEPS_Adjustable_Savings_Goal_Template.xlsx, Behavioral Tab</v>
      </c>
      <c r="N13" s="295">
        <v>0</v>
      </c>
      <c r="O13" s="295">
        <v>0</v>
      </c>
      <c r="P13" s="295">
        <v>0</v>
      </c>
      <c r="Q13" s="295">
        <v>0</v>
      </c>
      <c r="R13" s="296">
        <f>'Unit Savings Calculations'!$G9</f>
        <v>1</v>
      </c>
      <c r="S13" s="296">
        <f>'Unit Savings Calculations'!$G9</f>
        <v>1</v>
      </c>
      <c r="T13" s="296">
        <f>'Unit Savings Calculations'!$G9</f>
        <v>1</v>
      </c>
      <c r="U13" s="296">
        <f>'Unit Savings Calculations'!$G9</f>
        <v>1</v>
      </c>
      <c r="V13" s="297">
        <f t="shared" si="37"/>
        <v>0</v>
      </c>
      <c r="W13" s="297">
        <f t="shared" si="38"/>
        <v>0</v>
      </c>
      <c r="X13" s="297">
        <f t="shared" si="39"/>
        <v>0</v>
      </c>
      <c r="Y13" s="297">
        <f t="shared" si="40"/>
        <v>0</v>
      </c>
      <c r="Z13" s="297">
        <f t="shared" si="41"/>
        <v>0</v>
      </c>
      <c r="AA13" s="292"/>
      <c r="AB13" s="292"/>
      <c r="AC13" s="295">
        <v>0</v>
      </c>
      <c r="AD13" s="292"/>
      <c r="AE13" s="297">
        <f t="shared" si="42"/>
        <v>0</v>
      </c>
      <c r="AF13" s="294">
        <f t="shared" si="43"/>
        <v>0</v>
      </c>
      <c r="AG13" s="292"/>
      <c r="AH13" s="292">
        <f t="shared" si="44"/>
        <v>0</v>
      </c>
      <c r="AI13" s="295">
        <v>0</v>
      </c>
      <c r="AJ13" s="383" t="s">
        <v>878</v>
      </c>
      <c r="AK13" s="297">
        <f t="shared" si="45"/>
        <v>0</v>
      </c>
      <c r="AL13" s="294">
        <f t="shared" si="46"/>
        <v>0</v>
      </c>
      <c r="AM13" s="292"/>
      <c r="AN13" s="292"/>
      <c r="AO13" s="295">
        <f>'Unit Savings Calculations'!P9</f>
        <v>0</v>
      </c>
      <c r="AP13" s="383" t="s">
        <v>763</v>
      </c>
      <c r="AQ13" s="297">
        <f t="shared" si="47"/>
        <v>0</v>
      </c>
      <c r="AR13" s="294">
        <f t="shared" si="48"/>
        <v>0</v>
      </c>
      <c r="AS13" s="292"/>
      <c r="AT13" s="292"/>
      <c r="AU13" s="295">
        <f>'Unit Savings Calculations'!Q9</f>
        <v>0</v>
      </c>
      <c r="AV13" s="383" t="str">
        <f t="shared" si="17"/>
        <v>n/a</v>
      </c>
      <c r="AW13" s="297">
        <f t="shared" si="49"/>
        <v>0</v>
      </c>
      <c r="AX13" s="294">
        <f t="shared" si="50"/>
        <v>0</v>
      </c>
      <c r="AY13" s="297">
        <f t="shared" si="20"/>
        <v>0</v>
      </c>
      <c r="AZ13" s="297">
        <f t="shared" si="21"/>
        <v>0</v>
      </c>
      <c r="BA13" s="297">
        <f t="shared" si="22"/>
        <v>0</v>
      </c>
      <c r="BB13" s="297">
        <f t="shared" si="23"/>
        <v>0</v>
      </c>
      <c r="BC13" s="298">
        <f t="shared" si="24"/>
        <v>0</v>
      </c>
      <c r="BD13" s="292" t="s">
        <v>763</v>
      </c>
      <c r="BE13" s="299" t="str">
        <f t="shared" si="25"/>
        <v>Exhibit 1.5A_R North Shore EEPS_Adjustable_Savings_Goal_Template.xlsx, Behavioral Tab</v>
      </c>
      <c r="BF13" s="298">
        <f t="shared" si="26"/>
        <v>0</v>
      </c>
      <c r="BG13" s="298">
        <f t="shared" si="2"/>
        <v>0</v>
      </c>
      <c r="BH13" s="298">
        <f t="shared" si="2"/>
        <v>0</v>
      </c>
      <c r="BI13" s="298">
        <f t="shared" si="2"/>
        <v>0</v>
      </c>
      <c r="BJ13" s="298">
        <f t="shared" si="27"/>
        <v>0</v>
      </c>
      <c r="BK13" s="482">
        <v>0</v>
      </c>
      <c r="BL13" s="482">
        <v>0</v>
      </c>
      <c r="BM13" s="482">
        <f>INDEX('Unit Savings Calculations'!$I$4:$I$421,MATCH('Measure-Level Adjustments Tab'!$A13&amp;"_"&amp;'Measure-Level Adjustments Tab'!$B13,'Unit Savings Calculations'!$A$4:$A$421,0))</f>
        <v>0</v>
      </c>
      <c r="BN13" s="482">
        <f t="shared" si="28"/>
        <v>0</v>
      </c>
      <c r="BO13" s="483">
        <f t="shared" si="29"/>
        <v>0</v>
      </c>
      <c r="BP13" s="483">
        <f t="shared" si="3"/>
        <v>0</v>
      </c>
      <c r="BQ13" s="483">
        <f t="shared" si="3"/>
        <v>0</v>
      </c>
      <c r="BR13" s="483">
        <f t="shared" si="3"/>
        <v>0</v>
      </c>
      <c r="BS13" s="483">
        <f t="shared" si="4"/>
        <v>0</v>
      </c>
    </row>
    <row r="14" spans="1:71" ht="15.75" customHeight="1">
      <c r="A14" s="292" t="str">
        <f>'Unit Savings Calculations'!C10</f>
        <v>Res - Outreach &amp; Education</v>
      </c>
      <c r="B14" s="292" t="str">
        <f>'Unit Savings Calculations'!D10</f>
        <v>Behavior 2018 Y3 Persistence</v>
      </c>
      <c r="C14" s="293">
        <f t="shared" si="36"/>
        <v>1</v>
      </c>
      <c r="D14" s="292" t="str">
        <f>'Unit Savings Calculations'!T10</f>
        <v>6.1.1</v>
      </c>
      <c r="E14" s="438">
        <v>0</v>
      </c>
      <c r="F14" s="438">
        <v>0</v>
      </c>
      <c r="G14" s="292" t="str">
        <f>'Unit Savings Calculations'!E10</f>
        <v>each</v>
      </c>
      <c r="H14" s="294">
        <v>0</v>
      </c>
      <c r="I14" s="294">
        <v>0</v>
      </c>
      <c r="J14" s="294">
        <v>0</v>
      </c>
      <c r="K14" s="294">
        <f>'Unit Savings Calculations'!$F10*'Unit Savings Calculations'!M10</f>
        <v>0</v>
      </c>
      <c r="L14" s="292" t="str">
        <f>'Unit Savings Calculations'!U10</f>
        <v>CC-BEH-BEHP-V02-16061</v>
      </c>
      <c r="M14" s="383" t="str">
        <f>'Unit Savings Calculations'!R10</f>
        <v>Exhibit 1.5A_R North Shore EEPS_Adjustable_Savings_Goal_Template.xlsx, Behavioral Tab</v>
      </c>
      <c r="N14" s="295">
        <v>0</v>
      </c>
      <c r="O14" s="295">
        <v>0</v>
      </c>
      <c r="P14" s="295">
        <v>0</v>
      </c>
      <c r="Q14" s="295">
        <v>0</v>
      </c>
      <c r="R14" s="296">
        <f>'Unit Savings Calculations'!$G10</f>
        <v>1</v>
      </c>
      <c r="S14" s="296">
        <f>'Unit Savings Calculations'!$G10</f>
        <v>1</v>
      </c>
      <c r="T14" s="296">
        <f>'Unit Savings Calculations'!$G10</f>
        <v>1</v>
      </c>
      <c r="U14" s="296">
        <f>'Unit Savings Calculations'!$G10</f>
        <v>1</v>
      </c>
      <c r="V14" s="297">
        <f t="shared" si="37"/>
        <v>0</v>
      </c>
      <c r="W14" s="297">
        <f t="shared" si="38"/>
        <v>0</v>
      </c>
      <c r="X14" s="297">
        <f t="shared" si="39"/>
        <v>0</v>
      </c>
      <c r="Y14" s="297">
        <f t="shared" si="40"/>
        <v>0</v>
      </c>
      <c r="Z14" s="297">
        <f t="shared" si="41"/>
        <v>0</v>
      </c>
      <c r="AA14" s="292"/>
      <c r="AB14" s="292"/>
      <c r="AC14" s="295">
        <v>0</v>
      </c>
      <c r="AD14" s="292"/>
      <c r="AE14" s="297">
        <f t="shared" si="42"/>
        <v>0</v>
      </c>
      <c r="AF14" s="294">
        <f t="shared" si="43"/>
        <v>0</v>
      </c>
      <c r="AG14" s="292"/>
      <c r="AH14" s="292">
        <f t="shared" si="44"/>
        <v>0</v>
      </c>
      <c r="AI14" s="295">
        <v>0</v>
      </c>
      <c r="AJ14" s="383" t="s">
        <v>878</v>
      </c>
      <c r="AK14" s="297">
        <f t="shared" si="45"/>
        <v>0</v>
      </c>
      <c r="AL14" s="294">
        <f t="shared" si="46"/>
        <v>0</v>
      </c>
      <c r="AM14" s="292"/>
      <c r="AN14" s="292"/>
      <c r="AO14" s="295">
        <f>'Unit Savings Calculations'!P10</f>
        <v>0</v>
      </c>
      <c r="AP14" s="383" t="s">
        <v>763</v>
      </c>
      <c r="AQ14" s="297">
        <f t="shared" si="47"/>
        <v>0</v>
      </c>
      <c r="AR14" s="294">
        <f t="shared" si="48"/>
        <v>0</v>
      </c>
      <c r="AS14" s="292"/>
      <c r="AT14" s="292"/>
      <c r="AU14" s="295">
        <f>'Unit Savings Calculations'!Q10</f>
        <v>0</v>
      </c>
      <c r="AV14" s="383" t="str">
        <f t="shared" si="17"/>
        <v>n/a</v>
      </c>
      <c r="AW14" s="297">
        <f t="shared" si="49"/>
        <v>0</v>
      </c>
      <c r="AX14" s="294">
        <f t="shared" si="50"/>
        <v>0</v>
      </c>
      <c r="AY14" s="297">
        <f t="shared" si="20"/>
        <v>0</v>
      </c>
      <c r="AZ14" s="297">
        <f t="shared" si="21"/>
        <v>0</v>
      </c>
      <c r="BA14" s="297">
        <f t="shared" si="22"/>
        <v>0</v>
      </c>
      <c r="BB14" s="297">
        <f t="shared" si="23"/>
        <v>0</v>
      </c>
      <c r="BC14" s="298">
        <f t="shared" si="24"/>
        <v>0</v>
      </c>
      <c r="BD14" s="292" t="s">
        <v>763</v>
      </c>
      <c r="BE14" s="299" t="str">
        <f t="shared" si="25"/>
        <v>Exhibit 1.5A_R North Shore EEPS_Adjustable_Savings_Goal_Template.xlsx, Behavioral Tab</v>
      </c>
      <c r="BF14" s="298">
        <f t="shared" si="26"/>
        <v>0</v>
      </c>
      <c r="BG14" s="298">
        <f t="shared" si="2"/>
        <v>0</v>
      </c>
      <c r="BH14" s="298">
        <f t="shared" si="2"/>
        <v>0</v>
      </c>
      <c r="BI14" s="298">
        <f t="shared" si="2"/>
        <v>0</v>
      </c>
      <c r="BJ14" s="298">
        <f t="shared" si="27"/>
        <v>0</v>
      </c>
      <c r="BK14" s="482">
        <v>0</v>
      </c>
      <c r="BL14" s="482">
        <v>0</v>
      </c>
      <c r="BM14" s="482">
        <f>INDEX('Unit Savings Calculations'!$I$4:$I$421,MATCH('Measure-Level Adjustments Tab'!$A14&amp;"_"&amp;'Measure-Level Adjustments Tab'!$B14,'Unit Savings Calculations'!$A$4:$A$421,0))</f>
        <v>0</v>
      </c>
      <c r="BN14" s="482">
        <f t="shared" si="28"/>
        <v>0</v>
      </c>
      <c r="BO14" s="483">
        <f t="shared" si="29"/>
        <v>0</v>
      </c>
      <c r="BP14" s="483">
        <f t="shared" si="3"/>
        <v>0</v>
      </c>
      <c r="BQ14" s="483">
        <f t="shared" si="3"/>
        <v>0</v>
      </c>
      <c r="BR14" s="483">
        <f t="shared" si="3"/>
        <v>0</v>
      </c>
      <c r="BS14" s="483">
        <f t="shared" si="4"/>
        <v>0</v>
      </c>
    </row>
    <row r="15" spans="1:71" ht="15.75" customHeight="1">
      <c r="A15" s="292" t="str">
        <f>'Unit Savings Calculations'!C11</f>
        <v>Res - Outreach &amp; Education</v>
      </c>
      <c r="B15" s="292" t="str">
        <f>'Unit Savings Calculations'!D11</f>
        <v>Behavior 2018 Y4 Persistence</v>
      </c>
      <c r="C15" s="293">
        <f t="shared" si="36"/>
        <v>1</v>
      </c>
      <c r="D15" s="292" t="str">
        <f>'Unit Savings Calculations'!T11</f>
        <v>6.1.1</v>
      </c>
      <c r="E15" s="438">
        <v>0</v>
      </c>
      <c r="F15" s="438">
        <v>0</v>
      </c>
      <c r="G15" s="292" t="str">
        <f>'Unit Savings Calculations'!E11</f>
        <v>each</v>
      </c>
      <c r="H15" s="294">
        <v>0</v>
      </c>
      <c r="I15" s="294">
        <v>0</v>
      </c>
      <c r="J15" s="294">
        <v>0</v>
      </c>
      <c r="K15" s="294">
        <f>'Unit Savings Calculations'!$F11*'Unit Savings Calculations'!M11</f>
        <v>0</v>
      </c>
      <c r="L15" s="292" t="str">
        <f>'Unit Savings Calculations'!U11</f>
        <v>CC-BEH-BEHP-V02-16061</v>
      </c>
      <c r="M15" s="383" t="str">
        <f>'Unit Savings Calculations'!R11</f>
        <v>Exhibit 1.5A_R North Shore EEPS_Adjustable_Savings_Goal_Template.xlsx, Behavioral Tab</v>
      </c>
      <c r="N15" s="295">
        <v>0</v>
      </c>
      <c r="O15" s="295">
        <v>0</v>
      </c>
      <c r="P15" s="295">
        <v>0</v>
      </c>
      <c r="Q15" s="295">
        <v>0</v>
      </c>
      <c r="R15" s="296">
        <f>'Unit Savings Calculations'!$G11</f>
        <v>1</v>
      </c>
      <c r="S15" s="296">
        <f>'Unit Savings Calculations'!$G11</f>
        <v>1</v>
      </c>
      <c r="T15" s="296">
        <f>'Unit Savings Calculations'!$G11</f>
        <v>1</v>
      </c>
      <c r="U15" s="296">
        <f>'Unit Savings Calculations'!$G11</f>
        <v>1</v>
      </c>
      <c r="V15" s="297">
        <f t="shared" si="37"/>
        <v>0</v>
      </c>
      <c r="W15" s="297">
        <f t="shared" si="38"/>
        <v>0</v>
      </c>
      <c r="X15" s="297">
        <f t="shared" si="39"/>
        <v>0</v>
      </c>
      <c r="Y15" s="297">
        <f t="shared" si="40"/>
        <v>0</v>
      </c>
      <c r="Z15" s="297">
        <f t="shared" si="41"/>
        <v>0</v>
      </c>
      <c r="AA15" s="292"/>
      <c r="AB15" s="292"/>
      <c r="AC15" s="295">
        <v>0</v>
      </c>
      <c r="AD15" s="292"/>
      <c r="AE15" s="297">
        <f t="shared" si="42"/>
        <v>0</v>
      </c>
      <c r="AF15" s="294">
        <f t="shared" si="43"/>
        <v>0</v>
      </c>
      <c r="AG15" s="292"/>
      <c r="AH15" s="292">
        <f t="shared" si="44"/>
        <v>0</v>
      </c>
      <c r="AI15" s="295">
        <v>0</v>
      </c>
      <c r="AJ15" s="383" t="s">
        <v>878</v>
      </c>
      <c r="AK15" s="297">
        <f t="shared" si="45"/>
        <v>0</v>
      </c>
      <c r="AL15" s="294">
        <f t="shared" si="46"/>
        <v>0</v>
      </c>
      <c r="AM15" s="292"/>
      <c r="AN15" s="292"/>
      <c r="AO15" s="295">
        <f>'Unit Savings Calculations'!P11</f>
        <v>0</v>
      </c>
      <c r="AP15" s="383" t="s">
        <v>763</v>
      </c>
      <c r="AQ15" s="297">
        <f t="shared" si="47"/>
        <v>0</v>
      </c>
      <c r="AR15" s="294">
        <f t="shared" si="48"/>
        <v>0</v>
      </c>
      <c r="AS15" s="292"/>
      <c r="AT15" s="292"/>
      <c r="AU15" s="295">
        <f>'Unit Savings Calculations'!Q11</f>
        <v>0</v>
      </c>
      <c r="AV15" s="383" t="str">
        <f t="shared" si="17"/>
        <v>n/a</v>
      </c>
      <c r="AW15" s="297">
        <f t="shared" si="49"/>
        <v>0</v>
      </c>
      <c r="AX15" s="294">
        <f t="shared" si="50"/>
        <v>0</v>
      </c>
      <c r="AY15" s="297">
        <f t="shared" si="20"/>
        <v>0</v>
      </c>
      <c r="AZ15" s="297">
        <f t="shared" si="21"/>
        <v>0</v>
      </c>
      <c r="BA15" s="297">
        <f t="shared" si="22"/>
        <v>0</v>
      </c>
      <c r="BB15" s="297">
        <f t="shared" si="23"/>
        <v>0</v>
      </c>
      <c r="BC15" s="298">
        <f t="shared" si="24"/>
        <v>0</v>
      </c>
      <c r="BD15" s="292" t="s">
        <v>763</v>
      </c>
      <c r="BE15" s="299" t="str">
        <f t="shared" si="25"/>
        <v>Exhibit 1.5A_R North Shore EEPS_Adjustable_Savings_Goal_Template.xlsx, Behavioral Tab</v>
      </c>
      <c r="BF15" s="298">
        <f t="shared" si="26"/>
        <v>0</v>
      </c>
      <c r="BG15" s="298">
        <f t="shared" si="2"/>
        <v>0</v>
      </c>
      <c r="BH15" s="298">
        <f t="shared" si="2"/>
        <v>0</v>
      </c>
      <c r="BI15" s="298">
        <f t="shared" si="2"/>
        <v>0</v>
      </c>
      <c r="BJ15" s="298">
        <f t="shared" si="27"/>
        <v>0</v>
      </c>
      <c r="BK15" s="482">
        <v>0</v>
      </c>
      <c r="BL15" s="482">
        <v>0</v>
      </c>
      <c r="BM15" s="482">
        <f>INDEX('Unit Savings Calculations'!$I$4:$I$421,MATCH('Measure-Level Adjustments Tab'!$A15&amp;"_"&amp;'Measure-Level Adjustments Tab'!$B15,'Unit Savings Calculations'!$A$4:$A$421,0))</f>
        <v>0</v>
      </c>
      <c r="BN15" s="482">
        <f t="shared" si="28"/>
        <v>0</v>
      </c>
      <c r="BO15" s="483">
        <f t="shared" si="29"/>
        <v>0</v>
      </c>
      <c r="BP15" s="483">
        <f t="shared" si="3"/>
        <v>0</v>
      </c>
      <c r="BQ15" s="483">
        <f t="shared" si="3"/>
        <v>0</v>
      </c>
      <c r="BR15" s="483">
        <f t="shared" si="3"/>
        <v>0</v>
      </c>
      <c r="BS15" s="483">
        <f t="shared" si="4"/>
        <v>0</v>
      </c>
    </row>
    <row r="16" spans="1:71" ht="15.75" customHeight="1">
      <c r="A16" s="292" t="str">
        <f>'Unit Savings Calculations'!C12</f>
        <v>Res - Outreach &amp; Education</v>
      </c>
      <c r="B16" s="292" t="str">
        <f>'Unit Savings Calculations'!D12</f>
        <v>Behavior 2019 Y1 Persistence</v>
      </c>
      <c r="C16" s="293">
        <f t="shared" si="36"/>
        <v>1</v>
      </c>
      <c r="D16" s="292" t="str">
        <f>'Unit Savings Calculations'!T12</f>
        <v>6.1.1</v>
      </c>
      <c r="E16" s="438">
        <v>0</v>
      </c>
      <c r="F16" s="438">
        <v>0</v>
      </c>
      <c r="G16" s="292" t="str">
        <f>'Unit Savings Calculations'!E12</f>
        <v>each</v>
      </c>
      <c r="H16" s="294">
        <v>0</v>
      </c>
      <c r="I16" s="294">
        <v>0</v>
      </c>
      <c r="J16" s="294">
        <v>0</v>
      </c>
      <c r="K16" s="294">
        <f>'Unit Savings Calculations'!$F12*'Unit Savings Calculations'!M12</f>
        <v>0</v>
      </c>
      <c r="L16" s="292" t="str">
        <f>'Unit Savings Calculations'!U12</f>
        <v>CC-BEH-BEHP-V02-16061</v>
      </c>
      <c r="M16" s="383" t="str">
        <f>'Unit Savings Calculations'!R12</f>
        <v>Exhibit 1.5A_R North Shore EEPS_Adjustable_Savings_Goal_Template.xlsx, Behavioral Tab</v>
      </c>
      <c r="N16" s="295">
        <v>0</v>
      </c>
      <c r="O16" s="295">
        <v>0</v>
      </c>
      <c r="P16" s="295">
        <v>0</v>
      </c>
      <c r="Q16" s="295">
        <v>0</v>
      </c>
      <c r="R16" s="296">
        <f>'Unit Savings Calculations'!$G12</f>
        <v>1</v>
      </c>
      <c r="S16" s="296">
        <f>'Unit Savings Calculations'!$G12</f>
        <v>1</v>
      </c>
      <c r="T16" s="296">
        <f>'Unit Savings Calculations'!$G12</f>
        <v>1</v>
      </c>
      <c r="U16" s="296">
        <f>'Unit Savings Calculations'!$G12</f>
        <v>1</v>
      </c>
      <c r="V16" s="297">
        <f t="shared" si="37"/>
        <v>0</v>
      </c>
      <c r="W16" s="297">
        <f t="shared" si="38"/>
        <v>0</v>
      </c>
      <c r="X16" s="297">
        <f t="shared" si="39"/>
        <v>0</v>
      </c>
      <c r="Y16" s="297">
        <f t="shared" si="40"/>
        <v>0</v>
      </c>
      <c r="Z16" s="297">
        <f t="shared" si="41"/>
        <v>0</v>
      </c>
      <c r="AA16" s="292"/>
      <c r="AB16" s="292"/>
      <c r="AC16" s="295">
        <v>0</v>
      </c>
      <c r="AD16" s="292"/>
      <c r="AE16" s="297">
        <f t="shared" si="42"/>
        <v>0</v>
      </c>
      <c r="AF16" s="294">
        <f t="shared" si="43"/>
        <v>0</v>
      </c>
      <c r="AG16" s="292"/>
      <c r="AH16" s="292">
        <f t="shared" si="44"/>
        <v>0</v>
      </c>
      <c r="AI16" s="295">
        <v>2.6662727303441587</v>
      </c>
      <c r="AJ16" s="383" t="s">
        <v>878</v>
      </c>
      <c r="AK16" s="297">
        <f t="shared" si="45"/>
        <v>0</v>
      </c>
      <c r="AL16" s="294">
        <f t="shared" si="46"/>
        <v>0</v>
      </c>
      <c r="AM16" s="292"/>
      <c r="AN16" s="292"/>
      <c r="AO16" s="295">
        <f>'Unit Savings Calculations'!P12</f>
        <v>0</v>
      </c>
      <c r="AP16" s="383" t="s">
        <v>763</v>
      </c>
      <c r="AQ16" s="297">
        <f t="shared" si="47"/>
        <v>0</v>
      </c>
      <c r="AR16" s="294">
        <f t="shared" si="48"/>
        <v>0</v>
      </c>
      <c r="AS16" s="292"/>
      <c r="AT16" s="292"/>
      <c r="AU16" s="295">
        <f>'Unit Savings Calculations'!Q12</f>
        <v>0</v>
      </c>
      <c r="AV16" s="383" t="str">
        <f t="shared" si="17"/>
        <v>n/a</v>
      </c>
      <c r="AW16" s="297">
        <f t="shared" si="49"/>
        <v>0</v>
      </c>
      <c r="AX16" s="294">
        <f t="shared" si="50"/>
        <v>0</v>
      </c>
      <c r="AY16" s="297">
        <f t="shared" si="20"/>
        <v>0</v>
      </c>
      <c r="AZ16" s="297">
        <f t="shared" si="21"/>
        <v>0</v>
      </c>
      <c r="BA16" s="297">
        <f t="shared" si="22"/>
        <v>0</v>
      </c>
      <c r="BB16" s="297">
        <f t="shared" si="23"/>
        <v>0</v>
      </c>
      <c r="BC16" s="298">
        <f t="shared" si="24"/>
        <v>0</v>
      </c>
      <c r="BD16" s="292" t="s">
        <v>763</v>
      </c>
      <c r="BE16" s="299" t="str">
        <f t="shared" si="25"/>
        <v>Exhibit 1.5A_R North Shore EEPS_Adjustable_Savings_Goal_Template.xlsx, Behavioral Tab</v>
      </c>
      <c r="BF16" s="298">
        <f t="shared" si="26"/>
        <v>0</v>
      </c>
      <c r="BG16" s="298">
        <f t="shared" si="2"/>
        <v>0</v>
      </c>
      <c r="BH16" s="298">
        <f t="shared" si="2"/>
        <v>0</v>
      </c>
      <c r="BI16" s="298">
        <f t="shared" si="2"/>
        <v>0</v>
      </c>
      <c r="BJ16" s="298">
        <f t="shared" si="27"/>
        <v>0</v>
      </c>
      <c r="BK16" s="482">
        <v>0</v>
      </c>
      <c r="BL16" s="482">
        <v>0</v>
      </c>
      <c r="BM16" s="482">
        <f>INDEX('Unit Savings Calculations'!$I$4:$I$421,MATCH('Measure-Level Adjustments Tab'!$A16&amp;"_"&amp;'Measure-Level Adjustments Tab'!$B16,'Unit Savings Calculations'!$A$4:$A$421,0))</f>
        <v>0</v>
      </c>
      <c r="BN16" s="482">
        <f t="shared" si="28"/>
        <v>0</v>
      </c>
      <c r="BO16" s="483">
        <f t="shared" si="29"/>
        <v>0</v>
      </c>
      <c r="BP16" s="483">
        <f t="shared" si="3"/>
        <v>0</v>
      </c>
      <c r="BQ16" s="483">
        <f t="shared" si="3"/>
        <v>0</v>
      </c>
      <c r="BR16" s="483">
        <f t="shared" si="3"/>
        <v>0</v>
      </c>
      <c r="BS16" s="483">
        <f t="shared" si="4"/>
        <v>0</v>
      </c>
    </row>
    <row r="17" spans="1:71" ht="15.75" customHeight="1">
      <c r="A17" s="292" t="str">
        <f>'Unit Savings Calculations'!C13</f>
        <v>Res - Outreach &amp; Education</v>
      </c>
      <c r="B17" s="292" t="str">
        <f>'Unit Savings Calculations'!D13</f>
        <v>Behavior 2019 Y2 Persistence</v>
      </c>
      <c r="C17" s="293">
        <f t="shared" si="36"/>
        <v>1</v>
      </c>
      <c r="D17" s="292" t="str">
        <f>'Unit Savings Calculations'!T13</f>
        <v>6.1.1</v>
      </c>
      <c r="E17" s="438">
        <v>0</v>
      </c>
      <c r="F17" s="438">
        <v>0</v>
      </c>
      <c r="G17" s="292" t="str">
        <f>'Unit Savings Calculations'!E13</f>
        <v>each</v>
      </c>
      <c r="H17" s="294">
        <v>0</v>
      </c>
      <c r="I17" s="294">
        <v>0</v>
      </c>
      <c r="J17" s="294">
        <v>0</v>
      </c>
      <c r="K17" s="294">
        <f>'Unit Savings Calculations'!$F13*'Unit Savings Calculations'!M13</f>
        <v>0</v>
      </c>
      <c r="L17" s="292" t="str">
        <f>'Unit Savings Calculations'!U13</f>
        <v>CC-BEH-BEHP-V02-16061</v>
      </c>
      <c r="M17" s="383" t="str">
        <f>'Unit Savings Calculations'!R13</f>
        <v>Exhibit 1.5A_R North Shore EEPS_Adjustable_Savings_Goal_Template.xlsx, Behavioral Tab</v>
      </c>
      <c r="N17" s="295">
        <v>0</v>
      </c>
      <c r="O17" s="295">
        <v>0</v>
      </c>
      <c r="P17" s="295">
        <v>0</v>
      </c>
      <c r="Q17" s="295">
        <v>0</v>
      </c>
      <c r="R17" s="296">
        <f>'Unit Savings Calculations'!$G13</f>
        <v>1</v>
      </c>
      <c r="S17" s="296">
        <f>'Unit Savings Calculations'!$G13</f>
        <v>1</v>
      </c>
      <c r="T17" s="296">
        <f>'Unit Savings Calculations'!$G13</f>
        <v>1</v>
      </c>
      <c r="U17" s="296">
        <f>'Unit Savings Calculations'!$G13</f>
        <v>1</v>
      </c>
      <c r="V17" s="297">
        <f t="shared" si="37"/>
        <v>0</v>
      </c>
      <c r="W17" s="297">
        <f t="shared" si="38"/>
        <v>0</v>
      </c>
      <c r="X17" s="297">
        <f t="shared" si="39"/>
        <v>0</v>
      </c>
      <c r="Y17" s="297">
        <f t="shared" si="40"/>
        <v>0</v>
      </c>
      <c r="Z17" s="297">
        <f t="shared" si="41"/>
        <v>0</v>
      </c>
      <c r="AA17" s="292"/>
      <c r="AB17" s="292"/>
      <c r="AC17" s="295">
        <v>0</v>
      </c>
      <c r="AD17" s="292"/>
      <c r="AE17" s="297">
        <f t="shared" si="42"/>
        <v>0</v>
      </c>
      <c r="AF17" s="294">
        <f t="shared" si="43"/>
        <v>0</v>
      </c>
      <c r="AG17" s="292"/>
      <c r="AH17" s="292">
        <f t="shared" si="44"/>
        <v>0</v>
      </c>
      <c r="AI17" s="295">
        <v>1.1578611980572944</v>
      </c>
      <c r="AJ17" s="383" t="s">
        <v>878</v>
      </c>
      <c r="AK17" s="297">
        <f t="shared" si="45"/>
        <v>0</v>
      </c>
      <c r="AL17" s="294">
        <f t="shared" si="46"/>
        <v>0</v>
      </c>
      <c r="AM17" s="292"/>
      <c r="AN17" s="292"/>
      <c r="AO17" s="295">
        <f>'Unit Savings Calculations'!P13</f>
        <v>0</v>
      </c>
      <c r="AP17" s="383" t="s">
        <v>763</v>
      </c>
      <c r="AQ17" s="297">
        <f t="shared" si="47"/>
        <v>0</v>
      </c>
      <c r="AR17" s="294">
        <f t="shared" si="48"/>
        <v>0</v>
      </c>
      <c r="AS17" s="292"/>
      <c r="AT17" s="292"/>
      <c r="AU17" s="295">
        <f>'Unit Savings Calculations'!Q13</f>
        <v>0</v>
      </c>
      <c r="AV17" s="383" t="str">
        <f t="shared" si="17"/>
        <v>n/a</v>
      </c>
      <c r="AW17" s="297">
        <f t="shared" si="49"/>
        <v>0</v>
      </c>
      <c r="AX17" s="294">
        <f t="shared" si="50"/>
        <v>0</v>
      </c>
      <c r="AY17" s="297">
        <f t="shared" si="20"/>
        <v>0</v>
      </c>
      <c r="AZ17" s="297">
        <f t="shared" si="21"/>
        <v>0</v>
      </c>
      <c r="BA17" s="297">
        <f t="shared" si="22"/>
        <v>0</v>
      </c>
      <c r="BB17" s="297">
        <f t="shared" si="23"/>
        <v>0</v>
      </c>
      <c r="BC17" s="298">
        <f t="shared" si="24"/>
        <v>0</v>
      </c>
      <c r="BD17" s="292" t="s">
        <v>763</v>
      </c>
      <c r="BE17" s="299" t="str">
        <f t="shared" si="25"/>
        <v>Exhibit 1.5A_R North Shore EEPS_Adjustable_Savings_Goal_Template.xlsx, Behavioral Tab</v>
      </c>
      <c r="BF17" s="298">
        <f t="shared" si="26"/>
        <v>0</v>
      </c>
      <c r="BG17" s="298">
        <f t="shared" si="2"/>
        <v>0</v>
      </c>
      <c r="BH17" s="298">
        <f t="shared" si="2"/>
        <v>0</v>
      </c>
      <c r="BI17" s="298">
        <f t="shared" si="2"/>
        <v>0</v>
      </c>
      <c r="BJ17" s="298">
        <f t="shared" si="27"/>
        <v>0</v>
      </c>
      <c r="BK17" s="482">
        <v>0</v>
      </c>
      <c r="BL17" s="482">
        <v>0</v>
      </c>
      <c r="BM17" s="482">
        <f>INDEX('Unit Savings Calculations'!$I$4:$I$421,MATCH('Measure-Level Adjustments Tab'!$A17&amp;"_"&amp;'Measure-Level Adjustments Tab'!$B17,'Unit Savings Calculations'!$A$4:$A$421,0))</f>
        <v>0</v>
      </c>
      <c r="BN17" s="482">
        <f t="shared" si="28"/>
        <v>0</v>
      </c>
      <c r="BO17" s="483">
        <f t="shared" si="29"/>
        <v>0</v>
      </c>
      <c r="BP17" s="483">
        <f t="shared" si="3"/>
        <v>0</v>
      </c>
      <c r="BQ17" s="483">
        <f t="shared" si="3"/>
        <v>0</v>
      </c>
      <c r="BR17" s="483">
        <f t="shared" si="3"/>
        <v>0</v>
      </c>
      <c r="BS17" s="483">
        <f t="shared" si="4"/>
        <v>0</v>
      </c>
    </row>
    <row r="18" spans="1:71" ht="15.75" customHeight="1">
      <c r="A18" s="292" t="str">
        <f>'Unit Savings Calculations'!C14</f>
        <v>Res - Outreach &amp; Education</v>
      </c>
      <c r="B18" s="292" t="str">
        <f>'Unit Savings Calculations'!D14</f>
        <v>Behavior 2019 Y3 Persistence</v>
      </c>
      <c r="C18" s="293">
        <f t="shared" si="36"/>
        <v>1</v>
      </c>
      <c r="D18" s="292" t="str">
        <f>'Unit Savings Calculations'!T14</f>
        <v>6.1.1</v>
      </c>
      <c r="E18" s="438">
        <v>0</v>
      </c>
      <c r="F18" s="438">
        <v>0</v>
      </c>
      <c r="G18" s="292" t="str">
        <f>'Unit Savings Calculations'!E14</f>
        <v>each</v>
      </c>
      <c r="H18" s="294">
        <v>0</v>
      </c>
      <c r="I18" s="294">
        <v>0</v>
      </c>
      <c r="J18" s="294">
        <v>0</v>
      </c>
      <c r="K18" s="294">
        <f>'Unit Savings Calculations'!$F14*'Unit Savings Calculations'!M14</f>
        <v>0</v>
      </c>
      <c r="L18" s="292" t="str">
        <f>'Unit Savings Calculations'!U14</f>
        <v>CC-BEH-BEHP-V02-16061</v>
      </c>
      <c r="M18" s="383" t="str">
        <f>'Unit Savings Calculations'!R14</f>
        <v>Exhibit 1.5A_R North Shore EEPS_Adjustable_Savings_Goal_Template.xlsx, Behavioral Tab</v>
      </c>
      <c r="N18" s="295">
        <v>0</v>
      </c>
      <c r="O18" s="295">
        <v>0</v>
      </c>
      <c r="P18" s="295">
        <v>0</v>
      </c>
      <c r="Q18" s="295">
        <v>0</v>
      </c>
      <c r="R18" s="296">
        <f>'Unit Savings Calculations'!$G14</f>
        <v>1</v>
      </c>
      <c r="S18" s="296">
        <f>'Unit Savings Calculations'!$G14</f>
        <v>1</v>
      </c>
      <c r="T18" s="296">
        <f>'Unit Savings Calculations'!$G14</f>
        <v>1</v>
      </c>
      <c r="U18" s="296">
        <f>'Unit Savings Calculations'!$G14</f>
        <v>1</v>
      </c>
      <c r="V18" s="297">
        <f t="shared" si="37"/>
        <v>0</v>
      </c>
      <c r="W18" s="297">
        <f t="shared" si="38"/>
        <v>0</v>
      </c>
      <c r="X18" s="297">
        <f t="shared" si="39"/>
        <v>0</v>
      </c>
      <c r="Y18" s="297">
        <f t="shared" si="40"/>
        <v>0</v>
      </c>
      <c r="Z18" s="297">
        <f t="shared" si="41"/>
        <v>0</v>
      </c>
      <c r="AA18" s="292"/>
      <c r="AB18" s="292"/>
      <c r="AC18" s="295">
        <v>0</v>
      </c>
      <c r="AD18" s="292"/>
      <c r="AE18" s="297">
        <f t="shared" si="42"/>
        <v>0</v>
      </c>
      <c r="AF18" s="294">
        <f t="shared" si="43"/>
        <v>0</v>
      </c>
      <c r="AG18" s="292"/>
      <c r="AH18" s="292">
        <f t="shared" si="44"/>
        <v>0</v>
      </c>
      <c r="AI18" s="295">
        <v>0.50910042714049175</v>
      </c>
      <c r="AJ18" s="383" t="s">
        <v>878</v>
      </c>
      <c r="AK18" s="297">
        <f t="shared" si="45"/>
        <v>0</v>
      </c>
      <c r="AL18" s="294">
        <f t="shared" si="46"/>
        <v>0</v>
      </c>
      <c r="AM18" s="292"/>
      <c r="AN18" s="292"/>
      <c r="AO18" s="295">
        <f>'Unit Savings Calculations'!P14</f>
        <v>0</v>
      </c>
      <c r="AP18" s="383" t="s">
        <v>763</v>
      </c>
      <c r="AQ18" s="297">
        <f t="shared" si="47"/>
        <v>0</v>
      </c>
      <c r="AR18" s="294">
        <f t="shared" si="48"/>
        <v>0</v>
      </c>
      <c r="AS18" s="292"/>
      <c r="AT18" s="292"/>
      <c r="AU18" s="295">
        <f>'Unit Savings Calculations'!Q14</f>
        <v>0</v>
      </c>
      <c r="AV18" s="383" t="str">
        <f t="shared" si="17"/>
        <v>n/a</v>
      </c>
      <c r="AW18" s="297">
        <f t="shared" si="49"/>
        <v>0</v>
      </c>
      <c r="AX18" s="294">
        <f t="shared" si="50"/>
        <v>0</v>
      </c>
      <c r="AY18" s="297">
        <f t="shared" si="20"/>
        <v>0</v>
      </c>
      <c r="AZ18" s="297">
        <f t="shared" si="21"/>
        <v>0</v>
      </c>
      <c r="BA18" s="297">
        <f t="shared" si="22"/>
        <v>0</v>
      </c>
      <c r="BB18" s="297">
        <f t="shared" si="23"/>
        <v>0</v>
      </c>
      <c r="BC18" s="298">
        <f t="shared" si="24"/>
        <v>0</v>
      </c>
      <c r="BD18" s="292" t="s">
        <v>763</v>
      </c>
      <c r="BE18" s="299" t="str">
        <f t="shared" si="25"/>
        <v>Exhibit 1.5A_R North Shore EEPS_Adjustable_Savings_Goal_Template.xlsx, Behavioral Tab</v>
      </c>
      <c r="BF18" s="298">
        <f t="shared" si="26"/>
        <v>0</v>
      </c>
      <c r="BG18" s="298">
        <f t="shared" si="2"/>
        <v>0</v>
      </c>
      <c r="BH18" s="298">
        <f t="shared" si="2"/>
        <v>0</v>
      </c>
      <c r="BI18" s="298">
        <f t="shared" si="2"/>
        <v>0</v>
      </c>
      <c r="BJ18" s="298">
        <f t="shared" si="27"/>
        <v>0</v>
      </c>
      <c r="BK18" s="482">
        <v>0</v>
      </c>
      <c r="BL18" s="482">
        <v>0</v>
      </c>
      <c r="BM18" s="482">
        <f>INDEX('Unit Savings Calculations'!$I$4:$I$421,MATCH('Measure-Level Adjustments Tab'!$A18&amp;"_"&amp;'Measure-Level Adjustments Tab'!$B18,'Unit Savings Calculations'!$A$4:$A$421,0))</f>
        <v>0</v>
      </c>
      <c r="BN18" s="482">
        <f t="shared" si="28"/>
        <v>0</v>
      </c>
      <c r="BO18" s="483">
        <f t="shared" si="29"/>
        <v>0</v>
      </c>
      <c r="BP18" s="483">
        <f t="shared" si="3"/>
        <v>0</v>
      </c>
      <c r="BQ18" s="483">
        <f t="shared" si="3"/>
        <v>0</v>
      </c>
      <c r="BR18" s="483">
        <f t="shared" si="3"/>
        <v>0</v>
      </c>
      <c r="BS18" s="483">
        <f t="shared" si="4"/>
        <v>0</v>
      </c>
    </row>
    <row r="19" spans="1:71" ht="15.75" customHeight="1">
      <c r="A19" s="292" t="str">
        <f>'Unit Savings Calculations'!C15</f>
        <v>Res - Outreach &amp; Education</v>
      </c>
      <c r="B19" s="292" t="str">
        <f>'Unit Savings Calculations'!D15</f>
        <v>Behavior 2019 Y4 Persistence</v>
      </c>
      <c r="C19" s="293">
        <f t="shared" si="36"/>
        <v>1</v>
      </c>
      <c r="D19" s="292" t="str">
        <f>'Unit Savings Calculations'!T15</f>
        <v>6.1.1</v>
      </c>
      <c r="E19" s="438">
        <v>0</v>
      </c>
      <c r="F19" s="438">
        <v>0</v>
      </c>
      <c r="G19" s="292" t="str">
        <f>'Unit Savings Calculations'!E15</f>
        <v>each</v>
      </c>
      <c r="H19" s="294">
        <v>0</v>
      </c>
      <c r="I19" s="294">
        <v>0</v>
      </c>
      <c r="J19" s="294">
        <v>0</v>
      </c>
      <c r="K19" s="294">
        <f>'Unit Savings Calculations'!$F15*'Unit Savings Calculations'!M15</f>
        <v>0</v>
      </c>
      <c r="L19" s="292" t="str">
        <f>'Unit Savings Calculations'!U15</f>
        <v>CC-BEH-BEHP-V02-16061</v>
      </c>
      <c r="M19" s="383" t="str">
        <f>'Unit Savings Calculations'!R15</f>
        <v>Exhibit 1.5A_R North Shore EEPS_Adjustable_Savings_Goal_Template.xlsx, Behavioral Tab</v>
      </c>
      <c r="N19" s="295">
        <v>0</v>
      </c>
      <c r="O19" s="295">
        <v>0</v>
      </c>
      <c r="P19" s="295">
        <v>0</v>
      </c>
      <c r="Q19" s="295">
        <v>0</v>
      </c>
      <c r="R19" s="296">
        <f>'Unit Savings Calculations'!$G15</f>
        <v>1</v>
      </c>
      <c r="S19" s="296">
        <f>'Unit Savings Calculations'!$G15</f>
        <v>1</v>
      </c>
      <c r="T19" s="296">
        <f>'Unit Savings Calculations'!$G15</f>
        <v>1</v>
      </c>
      <c r="U19" s="296">
        <f>'Unit Savings Calculations'!$G15</f>
        <v>1</v>
      </c>
      <c r="V19" s="297">
        <f t="shared" si="37"/>
        <v>0</v>
      </c>
      <c r="W19" s="297">
        <f t="shared" si="38"/>
        <v>0</v>
      </c>
      <c r="X19" s="297">
        <f t="shared" si="39"/>
        <v>0</v>
      </c>
      <c r="Y19" s="297">
        <f t="shared" si="40"/>
        <v>0</v>
      </c>
      <c r="Z19" s="297">
        <f t="shared" si="41"/>
        <v>0</v>
      </c>
      <c r="AA19" s="292"/>
      <c r="AB19" s="292"/>
      <c r="AC19" s="295">
        <v>0</v>
      </c>
      <c r="AD19" s="292"/>
      <c r="AE19" s="297">
        <f t="shared" si="42"/>
        <v>0</v>
      </c>
      <c r="AF19" s="294">
        <f t="shared" si="43"/>
        <v>0</v>
      </c>
      <c r="AG19" s="292"/>
      <c r="AH19" s="292">
        <f t="shared" si="44"/>
        <v>0</v>
      </c>
      <c r="AI19" s="295">
        <v>0.22108302117476269</v>
      </c>
      <c r="AJ19" s="383" t="s">
        <v>878</v>
      </c>
      <c r="AK19" s="297">
        <f t="shared" si="45"/>
        <v>0</v>
      </c>
      <c r="AL19" s="294">
        <f t="shared" si="46"/>
        <v>0</v>
      </c>
      <c r="AM19" s="292"/>
      <c r="AN19" s="292"/>
      <c r="AO19" s="295">
        <f>'Unit Savings Calculations'!P15</f>
        <v>0</v>
      </c>
      <c r="AP19" s="383" t="s">
        <v>763</v>
      </c>
      <c r="AQ19" s="297">
        <f t="shared" si="47"/>
        <v>0</v>
      </c>
      <c r="AR19" s="294">
        <f t="shared" si="48"/>
        <v>0</v>
      </c>
      <c r="AS19" s="292"/>
      <c r="AT19" s="292"/>
      <c r="AU19" s="295">
        <f>'Unit Savings Calculations'!Q15</f>
        <v>0</v>
      </c>
      <c r="AV19" s="383" t="str">
        <f t="shared" si="17"/>
        <v>n/a</v>
      </c>
      <c r="AW19" s="297">
        <f t="shared" si="49"/>
        <v>0</v>
      </c>
      <c r="AX19" s="294">
        <f t="shared" si="50"/>
        <v>0</v>
      </c>
      <c r="AY19" s="297">
        <f t="shared" si="20"/>
        <v>0</v>
      </c>
      <c r="AZ19" s="297">
        <f t="shared" si="21"/>
        <v>0</v>
      </c>
      <c r="BA19" s="297">
        <f t="shared" si="22"/>
        <v>0</v>
      </c>
      <c r="BB19" s="297">
        <f t="shared" si="23"/>
        <v>0</v>
      </c>
      <c r="BC19" s="298">
        <f t="shared" si="24"/>
        <v>0</v>
      </c>
      <c r="BD19" s="292" t="s">
        <v>763</v>
      </c>
      <c r="BE19" s="299" t="str">
        <f t="shared" si="25"/>
        <v>Exhibit 1.5A_R North Shore EEPS_Adjustable_Savings_Goal_Template.xlsx, Behavioral Tab</v>
      </c>
      <c r="BF19" s="298">
        <f t="shared" si="26"/>
        <v>0</v>
      </c>
      <c r="BG19" s="298">
        <f t="shared" si="2"/>
        <v>0</v>
      </c>
      <c r="BH19" s="298">
        <f t="shared" si="2"/>
        <v>0</v>
      </c>
      <c r="BI19" s="298">
        <f t="shared" si="2"/>
        <v>0</v>
      </c>
      <c r="BJ19" s="298">
        <f t="shared" si="27"/>
        <v>0</v>
      </c>
      <c r="BK19" s="482">
        <v>0</v>
      </c>
      <c r="BL19" s="482">
        <v>0</v>
      </c>
      <c r="BM19" s="482">
        <f>INDEX('Unit Savings Calculations'!$I$4:$I$421,MATCH('Measure-Level Adjustments Tab'!$A19&amp;"_"&amp;'Measure-Level Adjustments Tab'!$B19,'Unit Savings Calculations'!$A$4:$A$421,0))</f>
        <v>0</v>
      </c>
      <c r="BN19" s="482">
        <f t="shared" si="28"/>
        <v>0</v>
      </c>
      <c r="BO19" s="483">
        <f t="shared" si="29"/>
        <v>0</v>
      </c>
      <c r="BP19" s="483">
        <f t="shared" si="3"/>
        <v>0</v>
      </c>
      <c r="BQ19" s="483">
        <f t="shared" si="3"/>
        <v>0</v>
      </c>
      <c r="BR19" s="483">
        <f t="shared" si="3"/>
        <v>0</v>
      </c>
      <c r="BS19" s="483">
        <f t="shared" si="4"/>
        <v>0</v>
      </c>
    </row>
    <row r="20" spans="1:71" ht="15.75" customHeight="1">
      <c r="A20" s="292" t="str">
        <f>'Unit Savings Calculations'!C16</f>
        <v>Res - Outreach &amp; Education</v>
      </c>
      <c r="B20" s="292" t="str">
        <f>'Unit Savings Calculations'!D16</f>
        <v>Behavior 2020 Y1 Persistence</v>
      </c>
      <c r="C20" s="293">
        <f t="shared" si="36"/>
        <v>1</v>
      </c>
      <c r="D20" s="292" t="str">
        <f>'Unit Savings Calculations'!T16</f>
        <v>6.1.1</v>
      </c>
      <c r="E20" s="438">
        <v>0</v>
      </c>
      <c r="F20" s="438">
        <v>0</v>
      </c>
      <c r="G20" s="292" t="str">
        <f>'Unit Savings Calculations'!E16</f>
        <v>each</v>
      </c>
      <c r="H20" s="294">
        <v>0</v>
      </c>
      <c r="I20" s="294">
        <v>0</v>
      </c>
      <c r="J20" s="294">
        <v>0</v>
      </c>
      <c r="K20" s="294">
        <f>'Unit Savings Calculations'!$F16*'Unit Savings Calculations'!M16</f>
        <v>0</v>
      </c>
      <c r="L20" s="292" t="str">
        <f>'Unit Savings Calculations'!U16</f>
        <v>CC-BEH-BEHP-V02-16061</v>
      </c>
      <c r="M20" s="383" t="str">
        <f>'Unit Savings Calculations'!R16</f>
        <v>Exhibit 1.5A_R North Shore EEPS_Adjustable_Savings_Goal_Template.xlsx, Behavioral Tab</v>
      </c>
      <c r="N20" s="295">
        <v>0</v>
      </c>
      <c r="O20" s="295">
        <v>0</v>
      </c>
      <c r="P20" s="295">
        <v>0</v>
      </c>
      <c r="Q20" s="295">
        <v>0</v>
      </c>
      <c r="R20" s="296">
        <f>'Unit Savings Calculations'!$G16</f>
        <v>1</v>
      </c>
      <c r="S20" s="296">
        <f>'Unit Savings Calculations'!$G16</f>
        <v>1</v>
      </c>
      <c r="T20" s="296">
        <f>'Unit Savings Calculations'!$G16</f>
        <v>1</v>
      </c>
      <c r="U20" s="296">
        <f>'Unit Savings Calculations'!$G16</f>
        <v>1</v>
      </c>
      <c r="V20" s="297">
        <f t="shared" si="37"/>
        <v>0</v>
      </c>
      <c r="W20" s="297">
        <f t="shared" si="38"/>
        <v>0</v>
      </c>
      <c r="X20" s="297">
        <f t="shared" si="39"/>
        <v>0</v>
      </c>
      <c r="Y20" s="297">
        <f t="shared" si="40"/>
        <v>0</v>
      </c>
      <c r="Z20" s="297">
        <f t="shared" si="41"/>
        <v>0</v>
      </c>
      <c r="AA20" s="292"/>
      <c r="AB20" s="292"/>
      <c r="AC20" s="295">
        <v>0</v>
      </c>
      <c r="AD20" s="292"/>
      <c r="AE20" s="297">
        <f t="shared" si="42"/>
        <v>0</v>
      </c>
      <c r="AF20" s="294">
        <f t="shared" si="43"/>
        <v>0</v>
      </c>
      <c r="AG20" s="292"/>
      <c r="AH20" s="292">
        <f t="shared" si="44"/>
        <v>0</v>
      </c>
      <c r="AI20" s="295">
        <v>0</v>
      </c>
      <c r="AJ20" s="383" t="s">
        <v>878</v>
      </c>
      <c r="AK20" s="297">
        <f t="shared" si="45"/>
        <v>0</v>
      </c>
      <c r="AL20" s="294">
        <f t="shared" si="46"/>
        <v>0</v>
      </c>
      <c r="AM20" s="292"/>
      <c r="AN20" s="292"/>
      <c r="AO20" s="295">
        <f>'Unit Savings Calculations'!P16</f>
        <v>2.6878187664047273</v>
      </c>
      <c r="AP20" s="383" t="s">
        <v>763</v>
      </c>
      <c r="AQ20" s="297">
        <f t="shared" si="47"/>
        <v>0</v>
      </c>
      <c r="AR20" s="294">
        <f t="shared" si="48"/>
        <v>0</v>
      </c>
      <c r="AS20" s="292"/>
      <c r="AT20" s="292"/>
      <c r="AU20" s="295">
        <f>'Unit Savings Calculations'!Q16</f>
        <v>0</v>
      </c>
      <c r="AV20" s="383" t="str">
        <f t="shared" si="17"/>
        <v>n/a</v>
      </c>
      <c r="AW20" s="297">
        <f t="shared" si="49"/>
        <v>0</v>
      </c>
      <c r="AX20" s="294">
        <f t="shared" si="50"/>
        <v>0</v>
      </c>
      <c r="AY20" s="297">
        <f t="shared" si="20"/>
        <v>0</v>
      </c>
      <c r="AZ20" s="297">
        <f t="shared" si="21"/>
        <v>0</v>
      </c>
      <c r="BA20" s="297">
        <f t="shared" si="22"/>
        <v>0</v>
      </c>
      <c r="BB20" s="297">
        <f t="shared" si="23"/>
        <v>0</v>
      </c>
      <c r="BC20" s="298">
        <f t="shared" si="24"/>
        <v>0</v>
      </c>
      <c r="BD20" s="292" t="s">
        <v>763</v>
      </c>
      <c r="BE20" s="299" t="str">
        <f t="shared" si="25"/>
        <v>Exhibit 1.5A_R North Shore EEPS_Adjustable_Savings_Goal_Template.xlsx, Behavioral Tab</v>
      </c>
      <c r="BF20" s="298">
        <f t="shared" si="26"/>
        <v>0</v>
      </c>
      <c r="BG20" s="298">
        <f t="shared" si="2"/>
        <v>0</v>
      </c>
      <c r="BH20" s="298">
        <f t="shared" si="2"/>
        <v>0</v>
      </c>
      <c r="BI20" s="298">
        <f t="shared" si="2"/>
        <v>0</v>
      </c>
      <c r="BJ20" s="298">
        <f t="shared" si="27"/>
        <v>0</v>
      </c>
      <c r="BK20" s="482">
        <v>0</v>
      </c>
      <c r="BL20" s="482">
        <v>0</v>
      </c>
      <c r="BM20" s="482">
        <f>INDEX('Unit Savings Calculations'!$I$4:$I$421,MATCH('Measure-Level Adjustments Tab'!$A20&amp;"_"&amp;'Measure-Level Adjustments Tab'!$B20,'Unit Savings Calculations'!$A$4:$A$421,0))</f>
        <v>0</v>
      </c>
      <c r="BN20" s="482">
        <f t="shared" si="28"/>
        <v>0</v>
      </c>
      <c r="BO20" s="483">
        <f t="shared" si="29"/>
        <v>0</v>
      </c>
      <c r="BP20" s="483">
        <f t="shared" si="3"/>
        <v>0</v>
      </c>
      <c r="BQ20" s="483">
        <f t="shared" si="3"/>
        <v>0</v>
      </c>
      <c r="BR20" s="483">
        <f t="shared" si="3"/>
        <v>0</v>
      </c>
      <c r="BS20" s="483">
        <f t="shared" si="4"/>
        <v>0</v>
      </c>
    </row>
    <row r="21" spans="1:71" ht="15.75" customHeight="1">
      <c r="A21" s="292" t="str">
        <f>'Unit Savings Calculations'!C17</f>
        <v>Res - Outreach &amp; Education</v>
      </c>
      <c r="B21" s="292" t="str">
        <f>'Unit Savings Calculations'!D17</f>
        <v>Behavior 2020 Y2 Persistence</v>
      </c>
      <c r="C21" s="293">
        <f t="shared" si="36"/>
        <v>1</v>
      </c>
      <c r="D21" s="292" t="str">
        <f>'Unit Savings Calculations'!T17</f>
        <v>6.1.1</v>
      </c>
      <c r="E21" s="438">
        <v>0</v>
      </c>
      <c r="F21" s="438">
        <v>0</v>
      </c>
      <c r="G21" s="292" t="str">
        <f>'Unit Savings Calculations'!E17</f>
        <v>each</v>
      </c>
      <c r="H21" s="294">
        <v>0</v>
      </c>
      <c r="I21" s="294">
        <v>0</v>
      </c>
      <c r="J21" s="294">
        <v>0</v>
      </c>
      <c r="K21" s="294">
        <f>'Unit Savings Calculations'!$F17*'Unit Savings Calculations'!M17</f>
        <v>0</v>
      </c>
      <c r="L21" s="292" t="str">
        <f>'Unit Savings Calculations'!U17</f>
        <v>CC-BEH-BEHP-V02-16061</v>
      </c>
      <c r="M21" s="383" t="str">
        <f>'Unit Savings Calculations'!R17</f>
        <v>Exhibit 1.5A_R North Shore EEPS_Adjustable_Savings_Goal_Template.xlsx, Behavioral Tab</v>
      </c>
      <c r="N21" s="295">
        <v>0</v>
      </c>
      <c r="O21" s="295">
        <v>0</v>
      </c>
      <c r="P21" s="295">
        <v>0</v>
      </c>
      <c r="Q21" s="295">
        <v>0</v>
      </c>
      <c r="R21" s="296">
        <f>'Unit Savings Calculations'!$G17</f>
        <v>1</v>
      </c>
      <c r="S21" s="296">
        <f>'Unit Savings Calculations'!$G17</f>
        <v>1</v>
      </c>
      <c r="T21" s="296">
        <f>'Unit Savings Calculations'!$G17</f>
        <v>1</v>
      </c>
      <c r="U21" s="296">
        <f>'Unit Savings Calculations'!$G17</f>
        <v>1</v>
      </c>
      <c r="V21" s="297">
        <f t="shared" si="37"/>
        <v>0</v>
      </c>
      <c r="W21" s="297">
        <f t="shared" si="38"/>
        <v>0</v>
      </c>
      <c r="X21" s="297">
        <f t="shared" si="39"/>
        <v>0</v>
      </c>
      <c r="Y21" s="297">
        <f t="shared" si="40"/>
        <v>0</v>
      </c>
      <c r="Z21" s="297">
        <f t="shared" si="41"/>
        <v>0</v>
      </c>
      <c r="AA21" s="292"/>
      <c r="AB21" s="292"/>
      <c r="AC21" s="295">
        <v>0</v>
      </c>
      <c r="AD21" s="292"/>
      <c r="AE21" s="297">
        <f t="shared" si="42"/>
        <v>0</v>
      </c>
      <c r="AF21" s="294">
        <f t="shared" si="43"/>
        <v>0</v>
      </c>
      <c r="AG21" s="292"/>
      <c r="AH21" s="292">
        <f t="shared" si="44"/>
        <v>0</v>
      </c>
      <c r="AI21" s="295">
        <v>0</v>
      </c>
      <c r="AJ21" s="383" t="s">
        <v>878</v>
      </c>
      <c r="AK21" s="297">
        <f t="shared" si="45"/>
        <v>0</v>
      </c>
      <c r="AL21" s="294">
        <f t="shared" si="46"/>
        <v>0</v>
      </c>
      <c r="AM21" s="292"/>
      <c r="AN21" s="292"/>
      <c r="AO21" s="295">
        <f>'Unit Savings Calculations'!P17</f>
        <v>1.1672178249479184</v>
      </c>
      <c r="AP21" s="383" t="s">
        <v>763</v>
      </c>
      <c r="AQ21" s="297">
        <f t="shared" si="47"/>
        <v>0</v>
      </c>
      <c r="AR21" s="294">
        <f t="shared" si="48"/>
        <v>0</v>
      </c>
      <c r="AS21" s="292"/>
      <c r="AT21" s="292"/>
      <c r="AU21" s="295">
        <f>'Unit Savings Calculations'!Q17</f>
        <v>0</v>
      </c>
      <c r="AV21" s="383" t="str">
        <f t="shared" si="17"/>
        <v>n/a</v>
      </c>
      <c r="AW21" s="297">
        <f t="shared" si="49"/>
        <v>0</v>
      </c>
      <c r="AX21" s="294">
        <f t="shared" si="50"/>
        <v>0</v>
      </c>
      <c r="AY21" s="297">
        <f t="shared" si="20"/>
        <v>0</v>
      </c>
      <c r="AZ21" s="297">
        <f t="shared" si="21"/>
        <v>0</v>
      </c>
      <c r="BA21" s="297">
        <f t="shared" si="22"/>
        <v>0</v>
      </c>
      <c r="BB21" s="297">
        <f t="shared" si="23"/>
        <v>0</v>
      </c>
      <c r="BC21" s="298">
        <f t="shared" si="24"/>
        <v>0</v>
      </c>
      <c r="BD21" s="292" t="s">
        <v>763</v>
      </c>
      <c r="BE21" s="299" t="str">
        <f t="shared" si="25"/>
        <v>Exhibit 1.5A_R North Shore EEPS_Adjustable_Savings_Goal_Template.xlsx, Behavioral Tab</v>
      </c>
      <c r="BF21" s="298">
        <f t="shared" si="26"/>
        <v>0</v>
      </c>
      <c r="BG21" s="298">
        <f t="shared" si="2"/>
        <v>0</v>
      </c>
      <c r="BH21" s="298">
        <f t="shared" si="2"/>
        <v>0</v>
      </c>
      <c r="BI21" s="298">
        <f t="shared" si="2"/>
        <v>0</v>
      </c>
      <c r="BJ21" s="298">
        <f t="shared" si="27"/>
        <v>0</v>
      </c>
      <c r="BK21" s="482">
        <v>0</v>
      </c>
      <c r="BL21" s="482">
        <v>0</v>
      </c>
      <c r="BM21" s="482">
        <f>INDEX('Unit Savings Calculations'!$I$4:$I$421,MATCH('Measure-Level Adjustments Tab'!$A21&amp;"_"&amp;'Measure-Level Adjustments Tab'!$B21,'Unit Savings Calculations'!$A$4:$A$421,0))</f>
        <v>0</v>
      </c>
      <c r="BN21" s="482">
        <f t="shared" si="28"/>
        <v>0</v>
      </c>
      <c r="BO21" s="483">
        <f t="shared" si="29"/>
        <v>0</v>
      </c>
      <c r="BP21" s="483">
        <f t="shared" si="3"/>
        <v>0</v>
      </c>
      <c r="BQ21" s="483">
        <f t="shared" si="3"/>
        <v>0</v>
      </c>
      <c r="BR21" s="483">
        <f t="shared" si="3"/>
        <v>0</v>
      </c>
      <c r="BS21" s="483">
        <f t="shared" si="4"/>
        <v>0</v>
      </c>
    </row>
    <row r="22" spans="1:71" ht="15.75" customHeight="1">
      <c r="A22" s="292" t="str">
        <f>'Unit Savings Calculations'!C18</f>
        <v>Res - Outreach &amp; Education</v>
      </c>
      <c r="B22" s="292" t="str">
        <f>'Unit Savings Calculations'!D18</f>
        <v>Behavior 2020 Y3 Persistence</v>
      </c>
      <c r="C22" s="293">
        <f t="shared" si="36"/>
        <v>1</v>
      </c>
      <c r="D22" s="292" t="str">
        <f>'Unit Savings Calculations'!T18</f>
        <v>6.1.1</v>
      </c>
      <c r="E22" s="438">
        <v>0</v>
      </c>
      <c r="F22" s="438">
        <v>0</v>
      </c>
      <c r="G22" s="292" t="str">
        <f>'Unit Savings Calculations'!E18</f>
        <v>each</v>
      </c>
      <c r="H22" s="294">
        <v>0</v>
      </c>
      <c r="I22" s="294">
        <v>0</v>
      </c>
      <c r="J22" s="294">
        <v>0</v>
      </c>
      <c r="K22" s="294">
        <f>'Unit Savings Calculations'!$F18*'Unit Savings Calculations'!M18</f>
        <v>0</v>
      </c>
      <c r="L22" s="292" t="str">
        <f>'Unit Savings Calculations'!U18</f>
        <v>CC-BEH-BEHP-V02-16061</v>
      </c>
      <c r="M22" s="383" t="str">
        <f>'Unit Savings Calculations'!R18</f>
        <v>Exhibit 1.5A_R North Shore EEPS_Adjustable_Savings_Goal_Template.xlsx, Behavioral Tab</v>
      </c>
      <c r="N22" s="295">
        <v>0</v>
      </c>
      <c r="O22" s="295">
        <v>0</v>
      </c>
      <c r="P22" s="295">
        <v>0</v>
      </c>
      <c r="Q22" s="295">
        <v>0</v>
      </c>
      <c r="R22" s="296">
        <f>'Unit Savings Calculations'!$G18</f>
        <v>1</v>
      </c>
      <c r="S22" s="296">
        <f>'Unit Savings Calculations'!$G18</f>
        <v>1</v>
      </c>
      <c r="T22" s="296">
        <f>'Unit Savings Calculations'!$G18</f>
        <v>1</v>
      </c>
      <c r="U22" s="296">
        <f>'Unit Savings Calculations'!$G18</f>
        <v>1</v>
      </c>
      <c r="V22" s="297">
        <f t="shared" si="37"/>
        <v>0</v>
      </c>
      <c r="W22" s="297">
        <f t="shared" si="38"/>
        <v>0</v>
      </c>
      <c r="X22" s="297">
        <f t="shared" si="39"/>
        <v>0</v>
      </c>
      <c r="Y22" s="297">
        <f t="shared" si="40"/>
        <v>0</v>
      </c>
      <c r="Z22" s="297">
        <f t="shared" si="41"/>
        <v>0</v>
      </c>
      <c r="AA22" s="292"/>
      <c r="AB22" s="292"/>
      <c r="AC22" s="295">
        <v>0</v>
      </c>
      <c r="AD22" s="292"/>
      <c r="AE22" s="297">
        <f t="shared" si="42"/>
        <v>0</v>
      </c>
      <c r="AF22" s="294">
        <f t="shared" si="43"/>
        <v>0</v>
      </c>
      <c r="AG22" s="292"/>
      <c r="AH22" s="292">
        <f t="shared" si="44"/>
        <v>0</v>
      </c>
      <c r="AI22" s="295">
        <v>0</v>
      </c>
      <c r="AJ22" s="383" t="s">
        <v>878</v>
      </c>
      <c r="AK22" s="297">
        <f t="shared" si="45"/>
        <v>0</v>
      </c>
      <c r="AL22" s="294">
        <f t="shared" si="46"/>
        <v>0</v>
      </c>
      <c r="AM22" s="292"/>
      <c r="AN22" s="292"/>
      <c r="AO22" s="295">
        <f>'Unit Savings Calculations'!P18</f>
        <v>0.51321444594913934</v>
      </c>
      <c r="AP22" s="383" t="s">
        <v>763</v>
      </c>
      <c r="AQ22" s="297">
        <f t="shared" si="47"/>
        <v>0</v>
      </c>
      <c r="AR22" s="294">
        <f t="shared" si="48"/>
        <v>0</v>
      </c>
      <c r="AS22" s="292"/>
      <c r="AT22" s="292"/>
      <c r="AU22" s="295">
        <f>'Unit Savings Calculations'!Q18</f>
        <v>0</v>
      </c>
      <c r="AV22" s="383" t="str">
        <f t="shared" si="17"/>
        <v>n/a</v>
      </c>
      <c r="AW22" s="297">
        <f t="shared" si="49"/>
        <v>0</v>
      </c>
      <c r="AX22" s="294">
        <f t="shared" si="50"/>
        <v>0</v>
      </c>
      <c r="AY22" s="297">
        <f t="shared" si="20"/>
        <v>0</v>
      </c>
      <c r="AZ22" s="297">
        <f t="shared" si="21"/>
        <v>0</v>
      </c>
      <c r="BA22" s="297">
        <f t="shared" si="22"/>
        <v>0</v>
      </c>
      <c r="BB22" s="297">
        <f t="shared" si="23"/>
        <v>0</v>
      </c>
      <c r="BC22" s="298">
        <f t="shared" si="24"/>
        <v>0</v>
      </c>
      <c r="BD22" s="292" t="s">
        <v>763</v>
      </c>
      <c r="BE22" s="299" t="str">
        <f t="shared" si="25"/>
        <v>Exhibit 1.5A_R North Shore EEPS_Adjustable_Savings_Goal_Template.xlsx, Behavioral Tab</v>
      </c>
      <c r="BF22" s="298">
        <f t="shared" si="26"/>
        <v>0</v>
      </c>
      <c r="BG22" s="298">
        <f t="shared" si="2"/>
        <v>0</v>
      </c>
      <c r="BH22" s="298">
        <f t="shared" si="2"/>
        <v>0</v>
      </c>
      <c r="BI22" s="298">
        <f t="shared" si="2"/>
        <v>0</v>
      </c>
      <c r="BJ22" s="298">
        <f t="shared" si="27"/>
        <v>0</v>
      </c>
      <c r="BK22" s="482">
        <v>0</v>
      </c>
      <c r="BL22" s="482">
        <v>0</v>
      </c>
      <c r="BM22" s="482">
        <f>INDEX('Unit Savings Calculations'!$I$4:$I$421,MATCH('Measure-Level Adjustments Tab'!$A22&amp;"_"&amp;'Measure-Level Adjustments Tab'!$B22,'Unit Savings Calculations'!$A$4:$A$421,0))</f>
        <v>0</v>
      </c>
      <c r="BN22" s="482">
        <f t="shared" si="28"/>
        <v>0</v>
      </c>
      <c r="BO22" s="483">
        <f t="shared" si="29"/>
        <v>0</v>
      </c>
      <c r="BP22" s="483">
        <f t="shared" si="3"/>
        <v>0</v>
      </c>
      <c r="BQ22" s="483">
        <f t="shared" si="3"/>
        <v>0</v>
      </c>
      <c r="BR22" s="483">
        <f t="shared" si="3"/>
        <v>0</v>
      </c>
      <c r="BS22" s="483">
        <f t="shared" si="4"/>
        <v>0</v>
      </c>
    </row>
    <row r="23" spans="1:71" ht="15.75" customHeight="1">
      <c r="A23" s="292" t="str">
        <f>'Unit Savings Calculations'!C19</f>
        <v>Res - Outreach &amp; Education</v>
      </c>
      <c r="B23" s="292" t="str">
        <f>'Unit Savings Calculations'!D19</f>
        <v>Behavior 2020 Y4 Persistence</v>
      </c>
      <c r="C23" s="293">
        <f t="shared" si="36"/>
        <v>1</v>
      </c>
      <c r="D23" s="292" t="str">
        <f>'Unit Savings Calculations'!T19</f>
        <v>6.1.1</v>
      </c>
      <c r="E23" s="438">
        <v>0</v>
      </c>
      <c r="F23" s="438">
        <v>0</v>
      </c>
      <c r="G23" s="292" t="str">
        <f>'Unit Savings Calculations'!E19</f>
        <v>each</v>
      </c>
      <c r="H23" s="294">
        <v>0</v>
      </c>
      <c r="I23" s="294">
        <v>0</v>
      </c>
      <c r="J23" s="294">
        <v>0</v>
      </c>
      <c r="K23" s="294">
        <f>'Unit Savings Calculations'!$F19*'Unit Savings Calculations'!M19</f>
        <v>0</v>
      </c>
      <c r="L23" s="292" t="str">
        <f>'Unit Savings Calculations'!U19</f>
        <v>CC-BEH-BEHP-V02-16061</v>
      </c>
      <c r="M23" s="383" t="str">
        <f>'Unit Savings Calculations'!R19</f>
        <v>Exhibit 1.5A_R North Shore EEPS_Adjustable_Savings_Goal_Template.xlsx, Behavioral Tab</v>
      </c>
      <c r="N23" s="295">
        <v>0</v>
      </c>
      <c r="O23" s="295">
        <v>0</v>
      </c>
      <c r="P23" s="295">
        <v>0</v>
      </c>
      <c r="Q23" s="295">
        <v>0</v>
      </c>
      <c r="R23" s="296">
        <f>'Unit Savings Calculations'!$G19</f>
        <v>1</v>
      </c>
      <c r="S23" s="296">
        <f>'Unit Savings Calculations'!$G19</f>
        <v>1</v>
      </c>
      <c r="T23" s="296">
        <f>'Unit Savings Calculations'!$G19</f>
        <v>1</v>
      </c>
      <c r="U23" s="296">
        <f>'Unit Savings Calculations'!$G19</f>
        <v>1</v>
      </c>
      <c r="V23" s="297">
        <f t="shared" si="37"/>
        <v>0</v>
      </c>
      <c r="W23" s="297">
        <f t="shared" si="38"/>
        <v>0</v>
      </c>
      <c r="X23" s="297">
        <f t="shared" si="39"/>
        <v>0</v>
      </c>
      <c r="Y23" s="297">
        <f t="shared" si="40"/>
        <v>0</v>
      </c>
      <c r="Z23" s="297">
        <f t="shared" si="41"/>
        <v>0</v>
      </c>
      <c r="AA23" s="292"/>
      <c r="AB23" s="292"/>
      <c r="AC23" s="295">
        <v>0</v>
      </c>
      <c r="AD23" s="292"/>
      <c r="AE23" s="297">
        <f t="shared" si="42"/>
        <v>0</v>
      </c>
      <c r="AF23" s="294">
        <f t="shared" si="43"/>
        <v>0</v>
      </c>
      <c r="AG23" s="292"/>
      <c r="AH23" s="292">
        <f t="shared" si="44"/>
        <v>0</v>
      </c>
      <c r="AI23" s="295">
        <v>0</v>
      </c>
      <c r="AJ23" s="383" t="s">
        <v>878</v>
      </c>
      <c r="AK23" s="297">
        <f t="shared" si="45"/>
        <v>0</v>
      </c>
      <c r="AL23" s="294">
        <f t="shared" si="46"/>
        <v>0</v>
      </c>
      <c r="AM23" s="292"/>
      <c r="AN23" s="292"/>
      <c r="AO23" s="295">
        <f>'Unit Savings Calculations'!P19</f>
        <v>0.22286958362668266</v>
      </c>
      <c r="AP23" s="383" t="s">
        <v>763</v>
      </c>
      <c r="AQ23" s="297">
        <f t="shared" si="47"/>
        <v>0</v>
      </c>
      <c r="AR23" s="294">
        <f t="shared" si="48"/>
        <v>0</v>
      </c>
      <c r="AS23" s="292"/>
      <c r="AT23" s="292"/>
      <c r="AU23" s="295">
        <f>'Unit Savings Calculations'!Q19</f>
        <v>0</v>
      </c>
      <c r="AV23" s="383" t="str">
        <f t="shared" si="17"/>
        <v>n/a</v>
      </c>
      <c r="AW23" s="297">
        <f t="shared" si="49"/>
        <v>0</v>
      </c>
      <c r="AX23" s="294">
        <f t="shared" si="50"/>
        <v>0</v>
      </c>
      <c r="AY23" s="297">
        <f t="shared" si="20"/>
        <v>0</v>
      </c>
      <c r="AZ23" s="297">
        <f t="shared" si="21"/>
        <v>0</v>
      </c>
      <c r="BA23" s="297">
        <f t="shared" si="22"/>
        <v>0</v>
      </c>
      <c r="BB23" s="297">
        <f t="shared" si="23"/>
        <v>0</v>
      </c>
      <c r="BC23" s="298">
        <f t="shared" si="24"/>
        <v>0</v>
      </c>
      <c r="BD23" s="292" t="s">
        <v>763</v>
      </c>
      <c r="BE23" s="299" t="str">
        <f t="shared" si="25"/>
        <v>Exhibit 1.5A_R North Shore EEPS_Adjustable_Savings_Goal_Template.xlsx, Behavioral Tab</v>
      </c>
      <c r="BF23" s="298">
        <f t="shared" si="26"/>
        <v>0</v>
      </c>
      <c r="BG23" s="298">
        <f t="shared" si="2"/>
        <v>0</v>
      </c>
      <c r="BH23" s="298">
        <f t="shared" si="2"/>
        <v>0</v>
      </c>
      <c r="BI23" s="298">
        <f t="shared" si="2"/>
        <v>0</v>
      </c>
      <c r="BJ23" s="298">
        <f t="shared" si="27"/>
        <v>0</v>
      </c>
      <c r="BK23" s="482">
        <v>0</v>
      </c>
      <c r="BL23" s="482">
        <v>0</v>
      </c>
      <c r="BM23" s="482">
        <f>INDEX('Unit Savings Calculations'!$I$4:$I$421,MATCH('Measure-Level Adjustments Tab'!$A23&amp;"_"&amp;'Measure-Level Adjustments Tab'!$B23,'Unit Savings Calculations'!$A$4:$A$421,0))</f>
        <v>0</v>
      </c>
      <c r="BN23" s="482">
        <f t="shared" si="28"/>
        <v>0</v>
      </c>
      <c r="BO23" s="483">
        <f t="shared" si="29"/>
        <v>0</v>
      </c>
      <c r="BP23" s="483">
        <f t="shared" si="3"/>
        <v>0</v>
      </c>
      <c r="BQ23" s="483">
        <f t="shared" si="3"/>
        <v>0</v>
      </c>
      <c r="BR23" s="483">
        <f t="shared" si="3"/>
        <v>0</v>
      </c>
      <c r="BS23" s="483">
        <f t="shared" si="4"/>
        <v>0</v>
      </c>
    </row>
    <row r="24" spans="1:71" ht="15.75" customHeight="1">
      <c r="A24" s="292" t="str">
        <f>'Unit Savings Calculations'!C20</f>
        <v>Res - Outreach &amp; Education</v>
      </c>
      <c r="B24" s="292" t="str">
        <f>'Unit Savings Calculations'!D20</f>
        <v>Behavior 2021 Y1 Persistence</v>
      </c>
      <c r="C24" s="293">
        <f t="shared" si="36"/>
        <v>1</v>
      </c>
      <c r="D24" s="292" t="str">
        <f>'Unit Savings Calculations'!T20</f>
        <v>6.1.1</v>
      </c>
      <c r="E24" s="438">
        <v>0</v>
      </c>
      <c r="F24" s="438">
        <v>0</v>
      </c>
      <c r="G24" s="292" t="str">
        <f>'Unit Savings Calculations'!E20</f>
        <v>each</v>
      </c>
      <c r="H24" s="294">
        <v>0</v>
      </c>
      <c r="I24" s="294">
        <v>0</v>
      </c>
      <c r="J24" s="294">
        <v>0</v>
      </c>
      <c r="K24" s="294">
        <v>0</v>
      </c>
      <c r="L24" s="292" t="str">
        <f>'Unit Savings Calculations'!U20</f>
        <v>CC-BEH-BEHP-V02-16061</v>
      </c>
      <c r="M24" s="383" t="str">
        <f>'Unit Savings Calculations'!R20</f>
        <v>Exhibit 1.5A_R North Shore EEPS_Adjustable_Savings_Goal_Template.xlsx, Behavioral Tab</v>
      </c>
      <c r="N24" s="295">
        <v>0</v>
      </c>
      <c r="O24" s="295">
        <v>0</v>
      </c>
      <c r="P24" s="295">
        <v>0</v>
      </c>
      <c r="Q24" s="295">
        <v>0</v>
      </c>
      <c r="R24" s="296">
        <f>'Unit Savings Calculations'!$G20</f>
        <v>1</v>
      </c>
      <c r="S24" s="296">
        <f>'Unit Savings Calculations'!$G20</f>
        <v>1</v>
      </c>
      <c r="T24" s="296">
        <f>'Unit Savings Calculations'!$G20</f>
        <v>1</v>
      </c>
      <c r="U24" s="296">
        <f>'Unit Savings Calculations'!$G20</f>
        <v>1</v>
      </c>
      <c r="V24" s="297">
        <f t="shared" si="37"/>
        <v>0</v>
      </c>
      <c r="W24" s="297">
        <f t="shared" si="38"/>
        <v>0</v>
      </c>
      <c r="X24" s="297">
        <f t="shared" si="39"/>
        <v>0</v>
      </c>
      <c r="Y24" s="297">
        <f t="shared" si="40"/>
        <v>0</v>
      </c>
      <c r="Z24" s="297">
        <f t="shared" si="41"/>
        <v>0</v>
      </c>
      <c r="AA24" s="292"/>
      <c r="AB24" s="292"/>
      <c r="AC24" s="295">
        <v>0</v>
      </c>
      <c r="AD24" s="292"/>
      <c r="AE24" s="297">
        <f t="shared" si="42"/>
        <v>0</v>
      </c>
      <c r="AF24" s="294">
        <f t="shared" si="43"/>
        <v>0</v>
      </c>
      <c r="AG24" s="292"/>
      <c r="AH24" s="292">
        <f t="shared" si="44"/>
        <v>0</v>
      </c>
      <c r="AI24" s="295">
        <v>0</v>
      </c>
      <c r="AJ24" s="383" t="s">
        <v>878</v>
      </c>
      <c r="AK24" s="297">
        <f t="shared" si="45"/>
        <v>0</v>
      </c>
      <c r="AL24" s="294">
        <f t="shared" si="46"/>
        <v>0</v>
      </c>
      <c r="AM24" s="292"/>
      <c r="AN24" s="292"/>
      <c r="AO24" s="295">
        <f>'Unit Savings Calculations'!P20</f>
        <v>0</v>
      </c>
      <c r="AP24" s="383" t="s">
        <v>763</v>
      </c>
      <c r="AQ24" s="297">
        <f t="shared" si="47"/>
        <v>0</v>
      </c>
      <c r="AR24" s="294">
        <f t="shared" si="48"/>
        <v>0</v>
      </c>
      <c r="AS24" s="292"/>
      <c r="AT24" s="292"/>
      <c r="AU24" s="295">
        <f>'Unit Savings Calculations'!Q20</f>
        <v>2.7035674491061457</v>
      </c>
      <c r="AV24" s="383" t="str">
        <f t="shared" si="17"/>
        <v>n/a</v>
      </c>
      <c r="AW24" s="297">
        <f t="shared" si="49"/>
        <v>0</v>
      </c>
      <c r="AX24" s="294">
        <f t="shared" si="50"/>
        <v>0</v>
      </c>
      <c r="AY24" s="297">
        <f t="shared" si="20"/>
        <v>0</v>
      </c>
      <c r="AZ24" s="297">
        <f t="shared" si="21"/>
        <v>0</v>
      </c>
      <c r="BA24" s="297">
        <f t="shared" si="22"/>
        <v>0</v>
      </c>
      <c r="BB24" s="297">
        <f t="shared" si="23"/>
        <v>0</v>
      </c>
      <c r="BC24" s="298">
        <f t="shared" si="24"/>
        <v>0</v>
      </c>
      <c r="BD24" s="292" t="s">
        <v>763</v>
      </c>
      <c r="BE24" s="299" t="str">
        <f t="shared" si="25"/>
        <v>Exhibit 1.5A_R North Shore EEPS_Adjustable_Savings_Goal_Template.xlsx, Behavioral Tab</v>
      </c>
      <c r="BF24" s="298">
        <f t="shared" si="26"/>
        <v>0</v>
      </c>
      <c r="BG24" s="298">
        <f t="shared" si="26"/>
        <v>0</v>
      </c>
      <c r="BH24" s="298">
        <f t="shared" si="26"/>
        <v>0</v>
      </c>
      <c r="BI24" s="298">
        <f t="shared" si="26"/>
        <v>0</v>
      </c>
      <c r="BJ24" s="298">
        <f t="shared" si="27"/>
        <v>0</v>
      </c>
      <c r="BK24" s="482">
        <v>0</v>
      </c>
      <c r="BL24" s="482">
        <v>0</v>
      </c>
      <c r="BM24" s="482">
        <f>INDEX('Unit Savings Calculations'!$I$4:$I$421,MATCH('Measure-Level Adjustments Tab'!$A24&amp;"_"&amp;'Measure-Level Adjustments Tab'!$B24,'Unit Savings Calculations'!$A$4:$A$421,0))</f>
        <v>0</v>
      </c>
      <c r="BN24" s="482">
        <f t="shared" si="28"/>
        <v>0</v>
      </c>
      <c r="BO24" s="483">
        <f t="shared" si="29"/>
        <v>0</v>
      </c>
      <c r="BP24" s="483">
        <f t="shared" si="29"/>
        <v>0</v>
      </c>
      <c r="BQ24" s="483">
        <f t="shared" si="29"/>
        <v>0</v>
      </c>
      <c r="BR24" s="483">
        <f t="shared" si="29"/>
        <v>0</v>
      </c>
      <c r="BS24" s="483">
        <f t="shared" si="4"/>
        <v>0</v>
      </c>
    </row>
    <row r="25" spans="1:71" ht="15.75" customHeight="1">
      <c r="A25" s="292" t="str">
        <f>'Unit Savings Calculations'!C21</f>
        <v>Res - Outreach &amp; Education</v>
      </c>
      <c r="B25" s="292" t="str">
        <f>'Unit Savings Calculations'!D21</f>
        <v>Behavior 2021 Y2 Persistence</v>
      </c>
      <c r="C25" s="293">
        <f t="shared" si="36"/>
        <v>1</v>
      </c>
      <c r="D25" s="292" t="str">
        <f>'Unit Savings Calculations'!T21</f>
        <v>6.1.1</v>
      </c>
      <c r="E25" s="438">
        <v>0</v>
      </c>
      <c r="F25" s="438">
        <v>0</v>
      </c>
      <c r="G25" s="292" t="str">
        <f>'Unit Savings Calculations'!E21</f>
        <v>each</v>
      </c>
      <c r="H25" s="294">
        <v>0</v>
      </c>
      <c r="I25" s="294">
        <v>0</v>
      </c>
      <c r="J25" s="294">
        <v>0</v>
      </c>
      <c r="K25" s="294">
        <v>0</v>
      </c>
      <c r="L25" s="292" t="str">
        <f>'Unit Savings Calculations'!U21</f>
        <v>CC-BEH-BEHP-V02-16061</v>
      </c>
      <c r="M25" s="383" t="str">
        <f>'Unit Savings Calculations'!R21</f>
        <v>Exhibit 1.5A_R North Shore EEPS_Adjustable_Savings_Goal_Template.xlsx, Behavioral Tab</v>
      </c>
      <c r="N25" s="295">
        <v>0</v>
      </c>
      <c r="O25" s="295">
        <v>0</v>
      </c>
      <c r="P25" s="295">
        <v>0</v>
      </c>
      <c r="Q25" s="295">
        <v>0</v>
      </c>
      <c r="R25" s="296">
        <f>'Unit Savings Calculations'!$G21</f>
        <v>1</v>
      </c>
      <c r="S25" s="296">
        <f>'Unit Savings Calculations'!$G21</f>
        <v>1</v>
      </c>
      <c r="T25" s="296">
        <f>'Unit Savings Calculations'!$G21</f>
        <v>1</v>
      </c>
      <c r="U25" s="296">
        <f>'Unit Savings Calculations'!$G21</f>
        <v>1</v>
      </c>
      <c r="V25" s="297">
        <f t="shared" si="37"/>
        <v>0</v>
      </c>
      <c r="W25" s="297">
        <f t="shared" si="38"/>
        <v>0</v>
      </c>
      <c r="X25" s="297">
        <f t="shared" si="39"/>
        <v>0</v>
      </c>
      <c r="Y25" s="297">
        <f t="shared" si="40"/>
        <v>0</v>
      </c>
      <c r="Z25" s="297">
        <f t="shared" si="41"/>
        <v>0</v>
      </c>
      <c r="AA25" s="292"/>
      <c r="AB25" s="292"/>
      <c r="AC25" s="295">
        <v>0</v>
      </c>
      <c r="AD25" s="292"/>
      <c r="AE25" s="297">
        <f t="shared" si="42"/>
        <v>0</v>
      </c>
      <c r="AF25" s="294">
        <f t="shared" si="43"/>
        <v>0</v>
      </c>
      <c r="AG25" s="292"/>
      <c r="AH25" s="292">
        <f t="shared" si="44"/>
        <v>0</v>
      </c>
      <c r="AI25" s="295">
        <v>0</v>
      </c>
      <c r="AJ25" s="383" t="s">
        <v>878</v>
      </c>
      <c r="AK25" s="297">
        <f t="shared" si="45"/>
        <v>0</v>
      </c>
      <c r="AL25" s="294">
        <f t="shared" si="46"/>
        <v>0</v>
      </c>
      <c r="AM25" s="292"/>
      <c r="AN25" s="292"/>
      <c r="AO25" s="295">
        <f>'Unit Savings Calculations'!P21</f>
        <v>0</v>
      </c>
      <c r="AP25" s="383" t="s">
        <v>763</v>
      </c>
      <c r="AQ25" s="297">
        <f t="shared" si="47"/>
        <v>0</v>
      </c>
      <c r="AR25" s="294">
        <f t="shared" si="48"/>
        <v>0</v>
      </c>
      <c r="AS25" s="292"/>
      <c r="AT25" s="292"/>
      <c r="AU25" s="295">
        <f>'Unit Savings Calculations'!Q21</f>
        <v>1.1740568809878209</v>
      </c>
      <c r="AV25" s="383" t="str">
        <f t="shared" si="17"/>
        <v>n/a</v>
      </c>
      <c r="AW25" s="297">
        <f t="shared" si="49"/>
        <v>0</v>
      </c>
      <c r="AX25" s="294">
        <f t="shared" si="50"/>
        <v>0</v>
      </c>
      <c r="AY25" s="297">
        <f t="shared" si="20"/>
        <v>0</v>
      </c>
      <c r="AZ25" s="297">
        <f t="shared" si="21"/>
        <v>0</v>
      </c>
      <c r="BA25" s="297">
        <f t="shared" si="22"/>
        <v>0</v>
      </c>
      <c r="BB25" s="297">
        <f t="shared" si="23"/>
        <v>0</v>
      </c>
      <c r="BC25" s="298">
        <f t="shared" si="24"/>
        <v>0</v>
      </c>
      <c r="BD25" s="292" t="s">
        <v>763</v>
      </c>
      <c r="BE25" s="299" t="str">
        <f t="shared" si="25"/>
        <v>Exhibit 1.5A_R North Shore EEPS_Adjustable_Savings_Goal_Template.xlsx, Behavioral Tab</v>
      </c>
      <c r="BF25" s="298">
        <f t="shared" si="26"/>
        <v>0</v>
      </c>
      <c r="BG25" s="298">
        <f t="shared" si="26"/>
        <v>0</v>
      </c>
      <c r="BH25" s="298">
        <f t="shared" si="26"/>
        <v>0</v>
      </c>
      <c r="BI25" s="298">
        <f t="shared" si="26"/>
        <v>0</v>
      </c>
      <c r="BJ25" s="298">
        <f t="shared" si="27"/>
        <v>0</v>
      </c>
      <c r="BK25" s="482">
        <v>0</v>
      </c>
      <c r="BL25" s="482">
        <v>0</v>
      </c>
      <c r="BM25" s="482">
        <f>INDEX('Unit Savings Calculations'!$I$4:$I$421,MATCH('Measure-Level Adjustments Tab'!$A25&amp;"_"&amp;'Measure-Level Adjustments Tab'!$B25,'Unit Savings Calculations'!$A$4:$A$421,0))</f>
        <v>0</v>
      </c>
      <c r="BN25" s="482">
        <f t="shared" si="28"/>
        <v>0</v>
      </c>
      <c r="BO25" s="483">
        <f t="shared" si="29"/>
        <v>0</v>
      </c>
      <c r="BP25" s="483">
        <f t="shared" si="29"/>
        <v>0</v>
      </c>
      <c r="BQ25" s="483">
        <f t="shared" si="29"/>
        <v>0</v>
      </c>
      <c r="BR25" s="483">
        <f t="shared" si="29"/>
        <v>0</v>
      </c>
      <c r="BS25" s="483">
        <f t="shared" si="4"/>
        <v>0</v>
      </c>
    </row>
    <row r="26" spans="1:71" ht="15.75" customHeight="1">
      <c r="A26" s="292" t="str">
        <f>'Unit Savings Calculations'!C22</f>
        <v>Res - Outreach &amp; Education</v>
      </c>
      <c r="B26" s="292" t="str">
        <f>'Unit Savings Calculations'!D22</f>
        <v>Behavior 2021 Y3 Persistence</v>
      </c>
      <c r="C26" s="293">
        <f t="shared" si="36"/>
        <v>1</v>
      </c>
      <c r="D26" s="292" t="str">
        <f>'Unit Savings Calculations'!T22</f>
        <v>6.1.1</v>
      </c>
      <c r="E26" s="438">
        <v>0</v>
      </c>
      <c r="F26" s="438">
        <v>0</v>
      </c>
      <c r="G26" s="292" t="str">
        <f>'Unit Savings Calculations'!E22</f>
        <v>each</v>
      </c>
      <c r="H26" s="294">
        <v>0</v>
      </c>
      <c r="I26" s="294">
        <v>0</v>
      </c>
      <c r="J26" s="294">
        <v>0</v>
      </c>
      <c r="K26" s="294">
        <v>0</v>
      </c>
      <c r="L26" s="292" t="str">
        <f>'Unit Savings Calculations'!U22</f>
        <v>CC-BEH-BEHP-V02-16061</v>
      </c>
      <c r="M26" s="383" t="str">
        <f>'Unit Savings Calculations'!R22</f>
        <v>Exhibit 1.5A_R North Shore EEPS_Adjustable_Savings_Goal_Template.xlsx, Behavioral Tab</v>
      </c>
      <c r="N26" s="295">
        <v>0</v>
      </c>
      <c r="O26" s="295">
        <v>0</v>
      </c>
      <c r="P26" s="295">
        <v>0</v>
      </c>
      <c r="Q26" s="295">
        <v>0</v>
      </c>
      <c r="R26" s="296">
        <f>'Unit Savings Calculations'!$G22</f>
        <v>1</v>
      </c>
      <c r="S26" s="296">
        <f>'Unit Savings Calculations'!$G22</f>
        <v>1</v>
      </c>
      <c r="T26" s="296">
        <f>'Unit Savings Calculations'!$G22</f>
        <v>1</v>
      </c>
      <c r="U26" s="296">
        <f>'Unit Savings Calculations'!$G22</f>
        <v>1</v>
      </c>
      <c r="V26" s="297">
        <f t="shared" si="37"/>
        <v>0</v>
      </c>
      <c r="W26" s="297">
        <f t="shared" si="38"/>
        <v>0</v>
      </c>
      <c r="X26" s="297">
        <f t="shared" si="39"/>
        <v>0</v>
      </c>
      <c r="Y26" s="297">
        <f t="shared" si="40"/>
        <v>0</v>
      </c>
      <c r="Z26" s="297">
        <f t="shared" si="41"/>
        <v>0</v>
      </c>
      <c r="AA26" s="292"/>
      <c r="AB26" s="292"/>
      <c r="AC26" s="295">
        <v>0</v>
      </c>
      <c r="AD26" s="292"/>
      <c r="AE26" s="297">
        <f t="shared" si="42"/>
        <v>0</v>
      </c>
      <c r="AF26" s="294">
        <f t="shared" si="43"/>
        <v>0</v>
      </c>
      <c r="AG26" s="292"/>
      <c r="AH26" s="292">
        <f t="shared" si="44"/>
        <v>0</v>
      </c>
      <c r="AI26" s="295">
        <v>0</v>
      </c>
      <c r="AJ26" s="383" t="s">
        <v>878</v>
      </c>
      <c r="AK26" s="297">
        <f t="shared" si="45"/>
        <v>0</v>
      </c>
      <c r="AL26" s="294">
        <f t="shared" si="46"/>
        <v>0</v>
      </c>
      <c r="AM26" s="292"/>
      <c r="AN26" s="292"/>
      <c r="AO26" s="295">
        <f>'Unit Savings Calculations'!P22</f>
        <v>0</v>
      </c>
      <c r="AP26" s="383" t="s">
        <v>763</v>
      </c>
      <c r="AQ26" s="297">
        <f t="shared" si="47"/>
        <v>0</v>
      </c>
      <c r="AR26" s="294">
        <f t="shared" si="48"/>
        <v>0</v>
      </c>
      <c r="AS26" s="292"/>
      <c r="AT26" s="292"/>
      <c r="AU26" s="295">
        <f>'Unit Savings Calculations'!Q22</f>
        <v>0.51622151308032393</v>
      </c>
      <c r="AV26" s="383" t="str">
        <f t="shared" si="17"/>
        <v>n/a</v>
      </c>
      <c r="AW26" s="297">
        <f t="shared" si="49"/>
        <v>0</v>
      </c>
      <c r="AX26" s="294">
        <f t="shared" si="50"/>
        <v>0</v>
      </c>
      <c r="AY26" s="297">
        <f t="shared" si="20"/>
        <v>0</v>
      </c>
      <c r="AZ26" s="297">
        <f t="shared" si="21"/>
        <v>0</v>
      </c>
      <c r="BA26" s="297">
        <f t="shared" si="22"/>
        <v>0</v>
      </c>
      <c r="BB26" s="297">
        <f t="shared" si="23"/>
        <v>0</v>
      </c>
      <c r="BC26" s="298">
        <f t="shared" si="24"/>
        <v>0</v>
      </c>
      <c r="BD26" s="292" t="s">
        <v>763</v>
      </c>
      <c r="BE26" s="299" t="str">
        <f t="shared" si="25"/>
        <v>Exhibit 1.5A_R North Shore EEPS_Adjustable_Savings_Goal_Template.xlsx, Behavioral Tab</v>
      </c>
      <c r="BF26" s="298">
        <f t="shared" si="26"/>
        <v>0</v>
      </c>
      <c r="BG26" s="298">
        <f t="shared" si="26"/>
        <v>0</v>
      </c>
      <c r="BH26" s="298">
        <f t="shared" si="26"/>
        <v>0</v>
      </c>
      <c r="BI26" s="298">
        <f t="shared" si="26"/>
        <v>0</v>
      </c>
      <c r="BJ26" s="298">
        <f t="shared" si="27"/>
        <v>0</v>
      </c>
      <c r="BK26" s="482">
        <v>0</v>
      </c>
      <c r="BL26" s="482">
        <v>0</v>
      </c>
      <c r="BM26" s="482">
        <f>INDEX('Unit Savings Calculations'!$I$4:$I$421,MATCH('Measure-Level Adjustments Tab'!$A26&amp;"_"&amp;'Measure-Level Adjustments Tab'!$B26,'Unit Savings Calculations'!$A$4:$A$421,0))</f>
        <v>0</v>
      </c>
      <c r="BN26" s="482">
        <f t="shared" si="28"/>
        <v>0</v>
      </c>
      <c r="BO26" s="483">
        <f t="shared" si="29"/>
        <v>0</v>
      </c>
      <c r="BP26" s="483">
        <f t="shared" si="29"/>
        <v>0</v>
      </c>
      <c r="BQ26" s="483">
        <f t="shared" si="29"/>
        <v>0</v>
      </c>
      <c r="BR26" s="483">
        <f t="shared" si="29"/>
        <v>0</v>
      </c>
      <c r="BS26" s="483">
        <f t="shared" si="4"/>
        <v>0</v>
      </c>
    </row>
    <row r="27" spans="1:71" ht="15.75" customHeight="1">
      <c r="A27" s="292" t="str">
        <f>'Unit Savings Calculations'!C23</f>
        <v>Res - Outreach &amp; Education</v>
      </c>
      <c r="B27" s="292" t="str">
        <f>'Unit Savings Calculations'!D23</f>
        <v>Behavior 2021 Y4 Persistence</v>
      </c>
      <c r="C27" s="293">
        <f t="shared" si="36"/>
        <v>1</v>
      </c>
      <c r="D27" s="292" t="str">
        <f>'Unit Savings Calculations'!T23</f>
        <v>6.1.1</v>
      </c>
      <c r="E27" s="438">
        <v>0</v>
      </c>
      <c r="F27" s="438">
        <v>0</v>
      </c>
      <c r="G27" s="292" t="str">
        <f>'Unit Savings Calculations'!E23</f>
        <v>each</v>
      </c>
      <c r="H27" s="294">
        <v>0</v>
      </c>
      <c r="I27" s="294">
        <v>0</v>
      </c>
      <c r="J27" s="294">
        <v>0</v>
      </c>
      <c r="K27" s="294">
        <v>0</v>
      </c>
      <c r="L27" s="292" t="str">
        <f>'Unit Savings Calculations'!U23</f>
        <v>CC-BEH-BEHP-V02-16061</v>
      </c>
      <c r="M27" s="383" t="str">
        <f>'Unit Savings Calculations'!R23</f>
        <v>Exhibit 1.5A_R North Shore EEPS_Adjustable_Savings_Goal_Template.xlsx, Behavioral Tab</v>
      </c>
      <c r="N27" s="295">
        <v>0</v>
      </c>
      <c r="O27" s="295">
        <v>0</v>
      </c>
      <c r="P27" s="295">
        <v>0</v>
      </c>
      <c r="Q27" s="295">
        <v>0</v>
      </c>
      <c r="R27" s="296">
        <f>'Unit Savings Calculations'!$G23</f>
        <v>1</v>
      </c>
      <c r="S27" s="296">
        <f>'Unit Savings Calculations'!$G23</f>
        <v>1</v>
      </c>
      <c r="T27" s="296">
        <f>'Unit Savings Calculations'!$G23</f>
        <v>1</v>
      </c>
      <c r="U27" s="296">
        <f>'Unit Savings Calculations'!$G23</f>
        <v>1</v>
      </c>
      <c r="V27" s="297">
        <f t="shared" si="37"/>
        <v>0</v>
      </c>
      <c r="W27" s="297">
        <f t="shared" si="38"/>
        <v>0</v>
      </c>
      <c r="X27" s="297">
        <f t="shared" si="39"/>
        <v>0</v>
      </c>
      <c r="Y27" s="297">
        <f t="shared" si="40"/>
        <v>0</v>
      </c>
      <c r="Z27" s="297">
        <f t="shared" si="41"/>
        <v>0</v>
      </c>
      <c r="AA27" s="292"/>
      <c r="AB27" s="292"/>
      <c r="AC27" s="295">
        <v>0</v>
      </c>
      <c r="AD27" s="292"/>
      <c r="AE27" s="297">
        <f t="shared" si="42"/>
        <v>0</v>
      </c>
      <c r="AF27" s="294">
        <f t="shared" si="43"/>
        <v>0</v>
      </c>
      <c r="AG27" s="292"/>
      <c r="AH27" s="292">
        <f t="shared" si="44"/>
        <v>0</v>
      </c>
      <c r="AI27" s="295">
        <v>0</v>
      </c>
      <c r="AJ27" s="383" t="s">
        <v>878</v>
      </c>
      <c r="AK27" s="297">
        <f t="shared" si="45"/>
        <v>0</v>
      </c>
      <c r="AL27" s="294">
        <f t="shared" si="46"/>
        <v>0</v>
      </c>
      <c r="AM27" s="292"/>
      <c r="AN27" s="292"/>
      <c r="AO27" s="295">
        <f>'Unit Savings Calculations'!P23</f>
        <v>0</v>
      </c>
      <c r="AP27" s="383" t="s">
        <v>763</v>
      </c>
      <c r="AQ27" s="297">
        <f t="shared" si="47"/>
        <v>0</v>
      </c>
      <c r="AR27" s="294">
        <f t="shared" si="48"/>
        <v>0</v>
      </c>
      <c r="AS27" s="292"/>
      <c r="AT27" s="292"/>
      <c r="AU27" s="295">
        <f>'Unit Savings Calculations'!Q23</f>
        <v>0.22417543891730132</v>
      </c>
      <c r="AV27" s="383" t="str">
        <f t="shared" si="17"/>
        <v>n/a</v>
      </c>
      <c r="AW27" s="297">
        <f t="shared" si="49"/>
        <v>0</v>
      </c>
      <c r="AX27" s="294">
        <f t="shared" si="50"/>
        <v>0</v>
      </c>
      <c r="AY27" s="297">
        <f t="shared" si="20"/>
        <v>0</v>
      </c>
      <c r="AZ27" s="297">
        <f t="shared" si="21"/>
        <v>0</v>
      </c>
      <c r="BA27" s="297">
        <f t="shared" si="22"/>
        <v>0</v>
      </c>
      <c r="BB27" s="297">
        <f t="shared" si="23"/>
        <v>0</v>
      </c>
      <c r="BC27" s="298">
        <f t="shared" si="24"/>
        <v>0</v>
      </c>
      <c r="BD27" s="292" t="s">
        <v>763</v>
      </c>
      <c r="BE27" s="299" t="str">
        <f t="shared" si="25"/>
        <v>Exhibit 1.5A_R North Shore EEPS_Adjustable_Savings_Goal_Template.xlsx, Behavioral Tab</v>
      </c>
      <c r="BF27" s="298">
        <f t="shared" si="26"/>
        <v>0</v>
      </c>
      <c r="BG27" s="298">
        <f t="shared" si="26"/>
        <v>0</v>
      </c>
      <c r="BH27" s="298">
        <f t="shared" si="26"/>
        <v>0</v>
      </c>
      <c r="BI27" s="298">
        <f t="shared" si="26"/>
        <v>0</v>
      </c>
      <c r="BJ27" s="298">
        <f t="shared" si="27"/>
        <v>0</v>
      </c>
      <c r="BK27" s="482">
        <v>0</v>
      </c>
      <c r="BL27" s="482">
        <v>0</v>
      </c>
      <c r="BM27" s="482">
        <f>INDEX('Unit Savings Calculations'!$I$4:$I$421,MATCH('Measure-Level Adjustments Tab'!$A27&amp;"_"&amp;'Measure-Level Adjustments Tab'!$B27,'Unit Savings Calculations'!$A$4:$A$421,0))</f>
        <v>0</v>
      </c>
      <c r="BN27" s="482">
        <f t="shared" si="28"/>
        <v>0</v>
      </c>
      <c r="BO27" s="483">
        <f t="shared" si="29"/>
        <v>0</v>
      </c>
      <c r="BP27" s="483">
        <f t="shared" si="29"/>
        <v>0</v>
      </c>
      <c r="BQ27" s="483">
        <f t="shared" si="29"/>
        <v>0</v>
      </c>
      <c r="BR27" s="483">
        <f t="shared" si="29"/>
        <v>0</v>
      </c>
      <c r="BS27" s="483">
        <f t="shared" si="4"/>
        <v>0</v>
      </c>
    </row>
    <row r="28" spans="1:71" ht="15.75" customHeight="1">
      <c r="A28" s="292" t="str">
        <f>'Unit Savings Calculations'!C24</f>
        <v>Res - Outreach &amp; Education</v>
      </c>
      <c r="B28" s="292" t="str">
        <f>'Unit Savings Calculations'!D24</f>
        <v>Energy Education</v>
      </c>
      <c r="C28" s="293">
        <f t="shared" si="36"/>
        <v>0</v>
      </c>
      <c r="D28" s="292" t="str">
        <f>'Unit Savings Calculations'!T24</f>
        <v>Custom</v>
      </c>
      <c r="E28" s="438">
        <v>4</v>
      </c>
      <c r="F28" s="438">
        <v>4</v>
      </c>
      <c r="G28" s="292" t="str">
        <f>'Unit Savings Calculations'!E24</f>
        <v>each</v>
      </c>
      <c r="H28" s="294">
        <f>'Unit Savings Calculations'!$F24*'Unit Savings Calculations'!J24</f>
        <v>1375</v>
      </c>
      <c r="I28" s="294">
        <f>'Unit Savings Calculations'!$F24*'Unit Savings Calculations'!K24</f>
        <v>1375</v>
      </c>
      <c r="J28" s="294">
        <f>'Unit Savings Calculations'!$F24*'Unit Savings Calculations'!L24</f>
        <v>1375</v>
      </c>
      <c r="K28" s="294">
        <f>'Unit Savings Calculations'!$F24*'Unit Savings Calculations'!M24</f>
        <v>1375</v>
      </c>
      <c r="L28" s="292" t="str">
        <f>'Unit Savings Calculations'!U24</f>
        <v>Custom</v>
      </c>
      <c r="M28" s="383" t="str">
        <f>'Unit Savings Calculations'!R24</f>
        <v>Custom</v>
      </c>
      <c r="N28" s="295">
        <v>10</v>
      </c>
      <c r="O28" s="295">
        <v>10</v>
      </c>
      <c r="P28" s="295">
        <v>10</v>
      </c>
      <c r="Q28" s="295">
        <v>10</v>
      </c>
      <c r="R28" s="296">
        <f>'Unit Savings Calculations'!$G24</f>
        <v>1</v>
      </c>
      <c r="S28" s="296">
        <f>'Unit Savings Calculations'!$G24</f>
        <v>1</v>
      </c>
      <c r="T28" s="296">
        <f>'Unit Savings Calculations'!$G24</f>
        <v>1</v>
      </c>
      <c r="U28" s="296">
        <f>'Unit Savings Calculations'!$G24</f>
        <v>1</v>
      </c>
      <c r="V28" s="297">
        <f t="shared" si="37"/>
        <v>13750</v>
      </c>
      <c r="W28" s="297">
        <f t="shared" si="38"/>
        <v>13750</v>
      </c>
      <c r="X28" s="297">
        <f t="shared" si="39"/>
        <v>13750</v>
      </c>
      <c r="Y28" s="297">
        <f t="shared" si="40"/>
        <v>13750</v>
      </c>
      <c r="Z28" s="297">
        <f t="shared" si="41"/>
        <v>55000</v>
      </c>
      <c r="AA28" s="384"/>
      <c r="AB28" s="384"/>
      <c r="AC28" s="387">
        <v>10</v>
      </c>
      <c r="AD28" s="384"/>
      <c r="AE28" s="385">
        <f t="shared" si="42"/>
        <v>13750</v>
      </c>
      <c r="AF28" s="386">
        <f t="shared" si="43"/>
        <v>0</v>
      </c>
      <c r="AG28" s="384"/>
      <c r="AH28" s="384">
        <f t="shared" si="44"/>
        <v>0</v>
      </c>
      <c r="AI28" s="387">
        <v>10</v>
      </c>
      <c r="AJ28" s="435" t="s">
        <v>878</v>
      </c>
      <c r="AK28" s="385">
        <f t="shared" si="45"/>
        <v>13750</v>
      </c>
      <c r="AL28" s="386">
        <f t="shared" si="46"/>
        <v>0</v>
      </c>
      <c r="AM28" s="384"/>
      <c r="AN28" s="384"/>
      <c r="AO28" s="387">
        <f>'Unit Savings Calculations'!P24</f>
        <v>10</v>
      </c>
      <c r="AP28" s="435" t="s">
        <v>763</v>
      </c>
      <c r="AQ28" s="385">
        <f t="shared" si="47"/>
        <v>13750</v>
      </c>
      <c r="AR28" s="386">
        <f t="shared" si="48"/>
        <v>0</v>
      </c>
      <c r="AS28" s="384"/>
      <c r="AT28" s="384"/>
      <c r="AU28" s="387">
        <f>'Unit Savings Calculations'!Q24</f>
        <v>10</v>
      </c>
      <c r="AV28" s="435" t="str">
        <f t="shared" si="17"/>
        <v>n/a</v>
      </c>
      <c r="AW28" s="385">
        <f t="shared" si="49"/>
        <v>13750</v>
      </c>
      <c r="AX28" s="386">
        <f t="shared" si="50"/>
        <v>0</v>
      </c>
      <c r="AY28" s="297">
        <f t="shared" si="20"/>
        <v>13750</v>
      </c>
      <c r="AZ28" s="297">
        <f t="shared" si="21"/>
        <v>13750</v>
      </c>
      <c r="BA28" s="297">
        <f t="shared" si="22"/>
        <v>13750</v>
      </c>
      <c r="BB28" s="297">
        <f t="shared" si="23"/>
        <v>13750</v>
      </c>
      <c r="BC28" s="298">
        <f t="shared" si="24"/>
        <v>55000</v>
      </c>
      <c r="BD28" s="292" t="s">
        <v>763</v>
      </c>
      <c r="BE28" s="299" t="str">
        <f t="shared" si="25"/>
        <v>Custom</v>
      </c>
      <c r="BF28" s="298">
        <f t="shared" si="26"/>
        <v>55000</v>
      </c>
      <c r="BG28" s="298">
        <f t="shared" si="26"/>
        <v>55000</v>
      </c>
      <c r="BH28" s="298">
        <f t="shared" si="26"/>
        <v>55000</v>
      </c>
      <c r="BI28" s="298">
        <f t="shared" si="26"/>
        <v>55000</v>
      </c>
      <c r="BJ28" s="298">
        <f t="shared" si="27"/>
        <v>220000</v>
      </c>
      <c r="BK28" s="482">
        <v>4</v>
      </c>
      <c r="BL28" s="482">
        <v>4</v>
      </c>
      <c r="BM28" s="482">
        <f>INDEX('Unit Savings Calculations'!$I$4:$I$421,MATCH('Measure-Level Adjustments Tab'!$A28&amp;"_"&amp;'Measure-Level Adjustments Tab'!$B28,'Unit Savings Calculations'!$A$4:$A$421,0))</f>
        <v>4</v>
      </c>
      <c r="BN28" s="482">
        <f t="shared" si="28"/>
        <v>4</v>
      </c>
      <c r="BO28" s="483">
        <f t="shared" si="29"/>
        <v>55000</v>
      </c>
      <c r="BP28" s="483">
        <f t="shared" si="29"/>
        <v>55000</v>
      </c>
      <c r="BQ28" s="483">
        <f t="shared" si="29"/>
        <v>55000</v>
      </c>
      <c r="BR28" s="483">
        <f t="shared" si="29"/>
        <v>55000</v>
      </c>
      <c r="BS28" s="483">
        <f t="shared" si="4"/>
        <v>220000</v>
      </c>
    </row>
    <row r="29" spans="1:71" ht="15.75" customHeight="1">
      <c r="A29" s="292" t="str">
        <f>'Unit Savings Calculations'!C25</f>
        <v>Res - SF Assessments</v>
      </c>
      <c r="B29" s="292" t="str">
        <f>'Unit Savings Calculations'!D25</f>
        <v>Bathroom Aerator</v>
      </c>
      <c r="C29" s="293">
        <f t="shared" si="30"/>
        <v>1</v>
      </c>
      <c r="D29" s="292" t="str">
        <f>'Unit Savings Calculations'!T25</f>
        <v>5.4.4</v>
      </c>
      <c r="E29" s="438">
        <v>9</v>
      </c>
      <c r="F29" s="438">
        <v>10</v>
      </c>
      <c r="G29" s="292" t="str">
        <f>'Unit Savings Calculations'!E25</f>
        <v>each</v>
      </c>
      <c r="H29" s="294">
        <f>'Unit Savings Calculations'!$F25*'Unit Savings Calculations'!J25</f>
        <v>3920</v>
      </c>
      <c r="I29" s="294">
        <f>'Unit Savings Calculations'!$F25*'Unit Savings Calculations'!K25</f>
        <v>3920</v>
      </c>
      <c r="J29" s="294">
        <f>'Unit Savings Calculations'!$F25*'Unit Savings Calculations'!L25</f>
        <v>3864</v>
      </c>
      <c r="K29" s="294">
        <f>'Unit Savings Calculations'!$F25*'Unit Savings Calculations'!M25</f>
        <v>3920</v>
      </c>
      <c r="L29" s="292" t="str">
        <f>'Unit Savings Calculations'!U25</f>
        <v>RS-HWE-LFFA-V06-180101</v>
      </c>
      <c r="M29" s="383" t="str">
        <f>'Unit Savings Calculations'!R25</f>
        <v>Exhibit 1.5A_R North Shore EEPS_Adjustable_Savings_Goal_Template.xlsx, Unit Savings Calculations Tab</v>
      </c>
      <c r="N29" s="295">
        <v>0.69292055940766484</v>
      </c>
      <c r="O29" s="295">
        <v>0.69292055940766484</v>
      </c>
      <c r="P29" s="295">
        <v>0.69292055940766484</v>
      </c>
      <c r="Q29" s="295">
        <v>0.69292055940766484</v>
      </c>
      <c r="R29" s="296">
        <f>'Unit Savings Calculations'!$G25</f>
        <v>0.96</v>
      </c>
      <c r="S29" s="296">
        <f>'Unit Savings Calculations'!$G25</f>
        <v>0.96</v>
      </c>
      <c r="T29" s="296">
        <f>'Unit Savings Calculations'!$G25</f>
        <v>0.96</v>
      </c>
      <c r="U29" s="296">
        <f>'Unit Savings Calculations'!$G25</f>
        <v>0.96</v>
      </c>
      <c r="V29" s="297">
        <f t="shared" ref="V29:V92" si="51">H29*N29*R29</f>
        <v>2607.5986491629242</v>
      </c>
      <c r="W29" s="297">
        <f t="shared" ref="W29:W92" si="52">I29*O29*S29</f>
        <v>2607.5986491629242</v>
      </c>
      <c r="X29" s="297">
        <f t="shared" ref="X29:X92" si="53">J29*P29*T29</f>
        <v>2570.3472398891681</v>
      </c>
      <c r="Y29" s="297">
        <f t="shared" ref="Y29:Y92" si="54">K29*Q29*U29</f>
        <v>2607.5986491629242</v>
      </c>
      <c r="Z29" s="297">
        <f t="shared" ref="Z29:Z92" si="55">V29+W29+X29+Y29</f>
        <v>10393.14318737794</v>
      </c>
      <c r="AA29" s="292"/>
      <c r="AB29" s="292"/>
      <c r="AC29" s="295">
        <v>0.69292055940766484</v>
      </c>
      <c r="AD29" s="292"/>
      <c r="AE29" s="297">
        <f t="shared" si="10"/>
        <v>2607.5986491629242</v>
      </c>
      <c r="AF29" s="294">
        <f t="shared" si="11"/>
        <v>0</v>
      </c>
      <c r="AG29" s="292"/>
      <c r="AH29" s="292">
        <f t="shared" si="12"/>
        <v>0</v>
      </c>
      <c r="AI29" s="295">
        <v>0.90849584455671673</v>
      </c>
      <c r="AJ29" s="383" t="s">
        <v>1016</v>
      </c>
      <c r="AK29" s="297">
        <f t="shared" si="13"/>
        <v>3418.8515622358364</v>
      </c>
      <c r="AL29" s="294">
        <f t="shared" si="14"/>
        <v>811.25291307291218</v>
      </c>
      <c r="AM29" s="292"/>
      <c r="AN29" s="292"/>
      <c r="AO29" s="295">
        <f>'Unit Savings Calculations'!P25</f>
        <v>0.90849584455671673</v>
      </c>
      <c r="AP29" s="383" t="s">
        <v>763</v>
      </c>
      <c r="AQ29" s="297">
        <f t="shared" si="15"/>
        <v>3370.0108256324675</v>
      </c>
      <c r="AR29" s="294">
        <f t="shared" si="16"/>
        <v>799.66358574329934</v>
      </c>
      <c r="AS29" s="292"/>
      <c r="AT29" s="292"/>
      <c r="AU29" s="295">
        <f>'Unit Savings Calculations'!Q25</f>
        <v>0.90849584455671673</v>
      </c>
      <c r="AV29" s="383" t="str">
        <f t="shared" si="17"/>
        <v>n/a</v>
      </c>
      <c r="AW29" s="297">
        <f t="shared" si="18"/>
        <v>3418.8515622358364</v>
      </c>
      <c r="AX29" s="294">
        <f t="shared" si="19"/>
        <v>811.25291307291218</v>
      </c>
      <c r="AY29" s="297">
        <f t="shared" si="20"/>
        <v>2607.5986491629242</v>
      </c>
      <c r="AZ29" s="297">
        <f t="shared" si="21"/>
        <v>3418.8515622358364</v>
      </c>
      <c r="BA29" s="297">
        <f t="shared" si="22"/>
        <v>3370.0108256324675</v>
      </c>
      <c r="BB29" s="297">
        <f t="shared" si="23"/>
        <v>3418.8515622358364</v>
      </c>
      <c r="BC29" s="298">
        <f t="shared" si="24"/>
        <v>12815.312599267065</v>
      </c>
      <c r="BD29" s="292" t="s">
        <v>763</v>
      </c>
      <c r="BE29" s="299" t="str">
        <f t="shared" si="25"/>
        <v>Exhibit 1.5A_R North Shore EEPS_Adjustable_Savings_Goal_Template.xlsx, Unit Savings Calculations Tab</v>
      </c>
      <c r="BF29" s="298">
        <f t="shared" si="26"/>
        <v>26075.986491629243</v>
      </c>
      <c r="BG29" s="298">
        <f t="shared" si="26"/>
        <v>26075.986491629243</v>
      </c>
      <c r="BH29" s="298">
        <f t="shared" si="26"/>
        <v>25703.472398891681</v>
      </c>
      <c r="BI29" s="298">
        <f t="shared" si="26"/>
        <v>26075.986491629243</v>
      </c>
      <c r="BJ29" s="298">
        <f t="shared" si="27"/>
        <v>103931.43187377941</v>
      </c>
      <c r="BK29" s="482">
        <v>10</v>
      </c>
      <c r="BL29" s="482">
        <v>10</v>
      </c>
      <c r="BM29" s="482">
        <f>INDEX('Unit Savings Calculations'!$I$4:$I$421,MATCH('Measure-Level Adjustments Tab'!$A29&amp;"_"&amp;'Measure-Level Adjustments Tab'!$B29,'Unit Savings Calculations'!$A$4:$A$421,0))</f>
        <v>10</v>
      </c>
      <c r="BN29" s="482">
        <f t="shared" si="28"/>
        <v>10</v>
      </c>
      <c r="BO29" s="483">
        <f t="shared" si="29"/>
        <v>26075.986491629243</v>
      </c>
      <c r="BP29" s="483">
        <f t="shared" si="29"/>
        <v>34188.515622358362</v>
      </c>
      <c r="BQ29" s="483">
        <f t="shared" si="29"/>
        <v>33700.108256324675</v>
      </c>
      <c r="BR29" s="483">
        <f t="shared" si="29"/>
        <v>34188.515622358362</v>
      </c>
      <c r="BS29" s="483">
        <f t="shared" si="4"/>
        <v>128153.12599267064</v>
      </c>
    </row>
    <row r="30" spans="1:71" ht="15.75" customHeight="1">
      <c r="A30" s="292" t="str">
        <f>'Unit Savings Calculations'!C26</f>
        <v>Res - SF Assessments</v>
      </c>
      <c r="B30" s="292" t="str">
        <f>'Unit Savings Calculations'!D26</f>
        <v>Kitchen Aerator</v>
      </c>
      <c r="C30" s="293">
        <f t="shared" si="30"/>
        <v>1</v>
      </c>
      <c r="D30" s="292" t="str">
        <f>'Unit Savings Calculations'!T26</f>
        <v>5.4.4</v>
      </c>
      <c r="E30" s="438">
        <v>9</v>
      </c>
      <c r="F30" s="438">
        <v>10</v>
      </c>
      <c r="G30" s="292" t="str">
        <f>'Unit Savings Calculations'!E26</f>
        <v>each</v>
      </c>
      <c r="H30" s="294">
        <f>'Unit Savings Calculations'!$F26*'Unit Savings Calculations'!J26</f>
        <v>823</v>
      </c>
      <c r="I30" s="294">
        <f>'Unit Savings Calculations'!$F26*'Unit Savings Calculations'!K26</f>
        <v>823</v>
      </c>
      <c r="J30" s="294">
        <f>'Unit Savings Calculations'!$F26*'Unit Savings Calculations'!L26</f>
        <v>811</v>
      </c>
      <c r="K30" s="294">
        <f>'Unit Savings Calculations'!$F26*'Unit Savings Calculations'!M26</f>
        <v>823</v>
      </c>
      <c r="L30" s="292" t="str">
        <f>'Unit Savings Calculations'!U26</f>
        <v>RS-HWE-LFFA-V06-180101</v>
      </c>
      <c r="M30" s="383" t="str">
        <f>'Unit Savings Calculations'!R26</f>
        <v>Exhibit 1.5A_R North Shore EEPS_Adjustable_Savings_Goal_Template.xlsx, Unit Savings Calculations Tab</v>
      </c>
      <c r="N30" s="295">
        <v>5.6045414594076925</v>
      </c>
      <c r="O30" s="295">
        <v>5.6045414594076925</v>
      </c>
      <c r="P30" s="295">
        <v>5.6045414594076925</v>
      </c>
      <c r="Q30" s="295">
        <v>5.6045414594076925</v>
      </c>
      <c r="R30" s="296">
        <f>'Unit Savings Calculations'!$G26</f>
        <v>0.96</v>
      </c>
      <c r="S30" s="296">
        <f>'Unit Savings Calculations'!$G26</f>
        <v>0.96</v>
      </c>
      <c r="T30" s="296">
        <f>'Unit Savings Calculations'!$G26</f>
        <v>0.96</v>
      </c>
      <c r="U30" s="296">
        <f>'Unit Savings Calculations'!$G26</f>
        <v>0.96</v>
      </c>
      <c r="V30" s="297">
        <f t="shared" si="51"/>
        <v>4428.0361162488289</v>
      </c>
      <c r="W30" s="297">
        <f t="shared" si="52"/>
        <v>4428.0361162488289</v>
      </c>
      <c r="X30" s="297">
        <f t="shared" si="53"/>
        <v>4363.4717986364531</v>
      </c>
      <c r="Y30" s="297">
        <f t="shared" si="54"/>
        <v>4428.0361162488289</v>
      </c>
      <c r="Z30" s="297">
        <f t="shared" si="55"/>
        <v>17647.580147382942</v>
      </c>
      <c r="AA30" s="292"/>
      <c r="AB30" s="292"/>
      <c r="AC30" s="295">
        <v>5.6045414594076925</v>
      </c>
      <c r="AD30" s="292"/>
      <c r="AE30" s="297">
        <f t="shared" si="10"/>
        <v>4428.0361162488289</v>
      </c>
      <c r="AF30" s="294">
        <f t="shared" si="11"/>
        <v>0</v>
      </c>
      <c r="AG30" s="292"/>
      <c r="AH30" s="292">
        <f t="shared" si="12"/>
        <v>0</v>
      </c>
      <c r="AI30" s="295">
        <v>8.5936302377584592</v>
      </c>
      <c r="AJ30" s="383" t="s">
        <v>1016</v>
      </c>
      <c r="AK30" s="297">
        <f t="shared" si="13"/>
        <v>6789.6553782482033</v>
      </c>
      <c r="AL30" s="294">
        <f t="shared" si="14"/>
        <v>2361.6192619993744</v>
      </c>
      <c r="AM30" s="292"/>
      <c r="AN30" s="292"/>
      <c r="AO30" s="295">
        <f>'Unit Savings Calculations'!P26</f>
        <v>8.5936302377584592</v>
      </c>
      <c r="AP30" s="383" t="s">
        <v>763</v>
      </c>
      <c r="AQ30" s="297">
        <f t="shared" si="15"/>
        <v>6690.6567579092252</v>
      </c>
      <c r="AR30" s="294">
        <f t="shared" si="16"/>
        <v>2327.1849592727722</v>
      </c>
      <c r="AS30" s="292"/>
      <c r="AT30" s="292"/>
      <c r="AU30" s="295">
        <f>'Unit Savings Calculations'!Q26</f>
        <v>8.5936302377584592</v>
      </c>
      <c r="AV30" s="383" t="str">
        <f t="shared" si="17"/>
        <v>n/a</v>
      </c>
      <c r="AW30" s="297">
        <f t="shared" si="18"/>
        <v>6789.6553782482033</v>
      </c>
      <c r="AX30" s="294">
        <f t="shared" si="19"/>
        <v>2361.6192619993744</v>
      </c>
      <c r="AY30" s="297">
        <f t="shared" si="20"/>
        <v>4428.0361162488289</v>
      </c>
      <c r="AZ30" s="297">
        <f t="shared" si="21"/>
        <v>6789.6553782482033</v>
      </c>
      <c r="BA30" s="297">
        <f t="shared" si="22"/>
        <v>6690.6567579092252</v>
      </c>
      <c r="BB30" s="297">
        <f t="shared" si="23"/>
        <v>6789.6553782482033</v>
      </c>
      <c r="BC30" s="298">
        <f t="shared" si="24"/>
        <v>24698.003630654461</v>
      </c>
      <c r="BD30" s="292" t="s">
        <v>763</v>
      </c>
      <c r="BE30" s="299" t="str">
        <f t="shared" si="25"/>
        <v>Exhibit 1.5A_R North Shore EEPS_Adjustable_Savings_Goal_Template.xlsx, Unit Savings Calculations Tab</v>
      </c>
      <c r="BF30" s="298">
        <f t="shared" si="26"/>
        <v>44280.361162488291</v>
      </c>
      <c r="BG30" s="298">
        <f t="shared" si="26"/>
        <v>44280.361162488291</v>
      </c>
      <c r="BH30" s="298">
        <f t="shared" si="26"/>
        <v>43634.717986364529</v>
      </c>
      <c r="BI30" s="298">
        <f t="shared" si="26"/>
        <v>44280.361162488291</v>
      </c>
      <c r="BJ30" s="298">
        <f t="shared" si="27"/>
        <v>176475.8014738294</v>
      </c>
      <c r="BK30" s="482">
        <v>10</v>
      </c>
      <c r="BL30" s="482">
        <v>10</v>
      </c>
      <c r="BM30" s="482">
        <f>INDEX('Unit Savings Calculations'!$I$4:$I$421,MATCH('Measure-Level Adjustments Tab'!$A30&amp;"_"&amp;'Measure-Level Adjustments Tab'!$B30,'Unit Savings Calculations'!$A$4:$A$421,0))</f>
        <v>10</v>
      </c>
      <c r="BN30" s="482">
        <f t="shared" si="28"/>
        <v>10</v>
      </c>
      <c r="BO30" s="483">
        <f t="shared" si="29"/>
        <v>44280.361162488291</v>
      </c>
      <c r="BP30" s="483">
        <f t="shared" si="29"/>
        <v>67896.553782482035</v>
      </c>
      <c r="BQ30" s="483">
        <f t="shared" si="29"/>
        <v>66906.567579092254</v>
      </c>
      <c r="BR30" s="483">
        <f t="shared" si="29"/>
        <v>67896.553782482035</v>
      </c>
      <c r="BS30" s="483">
        <f t="shared" si="4"/>
        <v>246980.03630654461</v>
      </c>
    </row>
    <row r="31" spans="1:71" ht="15.75" customHeight="1">
      <c r="A31" s="292" t="str">
        <f>'Unit Savings Calculations'!C27</f>
        <v>Res - SF Assessments</v>
      </c>
      <c r="B31" s="292" t="str">
        <f>'Unit Savings Calculations'!D27</f>
        <v>Showerhead</v>
      </c>
      <c r="C31" s="293">
        <f t="shared" si="30"/>
        <v>1</v>
      </c>
      <c r="D31" s="292" t="str">
        <f>'Unit Savings Calculations'!T27</f>
        <v>5.4.5</v>
      </c>
      <c r="E31" s="438">
        <v>10</v>
      </c>
      <c r="F31" s="438">
        <v>10</v>
      </c>
      <c r="G31" s="292" t="str">
        <f>'Unit Savings Calculations'!E27</f>
        <v>each</v>
      </c>
      <c r="H31" s="294">
        <f>'Unit Savings Calculations'!$F27*'Unit Savings Calculations'!J27</f>
        <v>3315</v>
      </c>
      <c r="I31" s="294">
        <f>'Unit Savings Calculations'!$F27*'Unit Savings Calculations'!K27</f>
        <v>3315</v>
      </c>
      <c r="J31" s="294">
        <f>'Unit Savings Calculations'!$F27*'Unit Savings Calculations'!L27</f>
        <v>3267</v>
      </c>
      <c r="K31" s="294">
        <f>'Unit Savings Calculations'!$F27*'Unit Savings Calculations'!M27</f>
        <v>3315</v>
      </c>
      <c r="L31" s="292" t="str">
        <f>'Unit Savings Calculations'!U27</f>
        <v>RS-HWE-LFSH-V05-180101</v>
      </c>
      <c r="M31" s="383" t="str">
        <f>'Unit Savings Calculations'!R27</f>
        <v>Exhibit 1.5A_R North Shore EEPS_Adjustable_Savings_Goal_Template.xlsx, Unit Savings Calculations Tab</v>
      </c>
      <c r="N31" s="295">
        <v>14.03971173442217</v>
      </c>
      <c r="O31" s="295">
        <v>14.03971173442217</v>
      </c>
      <c r="P31" s="295">
        <v>14.03971173442217</v>
      </c>
      <c r="Q31" s="295">
        <v>14.03971173442217</v>
      </c>
      <c r="R31" s="296">
        <f>'Unit Savings Calculations'!$G27</f>
        <v>0.96</v>
      </c>
      <c r="S31" s="296">
        <f>'Unit Savings Calculations'!$G27</f>
        <v>0.96</v>
      </c>
      <c r="T31" s="296">
        <f>'Unit Savings Calculations'!$G27</f>
        <v>0.96</v>
      </c>
      <c r="U31" s="296">
        <f>'Unit Savings Calculations'!$G27</f>
        <v>0.96</v>
      </c>
      <c r="V31" s="297">
        <f t="shared" si="51"/>
        <v>44679.978623625109</v>
      </c>
      <c r="W31" s="297">
        <f t="shared" si="52"/>
        <v>44679.978623625109</v>
      </c>
      <c r="X31" s="297">
        <f t="shared" si="53"/>
        <v>44033.028706902936</v>
      </c>
      <c r="Y31" s="297">
        <f t="shared" si="54"/>
        <v>44679.978623625109</v>
      </c>
      <c r="Z31" s="297">
        <f t="shared" si="55"/>
        <v>178072.96457777824</v>
      </c>
      <c r="AA31" s="292"/>
      <c r="AB31" s="292"/>
      <c r="AC31" s="295">
        <v>14.03971173442217</v>
      </c>
      <c r="AD31" s="292"/>
      <c r="AE31" s="297">
        <f t="shared" si="10"/>
        <v>44679.978623625109</v>
      </c>
      <c r="AF31" s="294">
        <f t="shared" si="11"/>
        <v>0</v>
      </c>
      <c r="AG31" s="292"/>
      <c r="AH31" s="292">
        <f t="shared" si="12"/>
        <v>0</v>
      </c>
      <c r="AI31" s="295">
        <v>8.8798176781815439</v>
      </c>
      <c r="AJ31" s="383" t="s">
        <v>1016</v>
      </c>
      <c r="AK31" s="297">
        <f t="shared" si="13"/>
        <v>28259.131779044947</v>
      </c>
      <c r="AL31" s="294">
        <f t="shared" si="14"/>
        <v>-16420.846844580163</v>
      </c>
      <c r="AM31" s="292"/>
      <c r="AN31" s="292"/>
      <c r="AO31" s="295">
        <f>'Unit Savings Calculations'!P27</f>
        <v>8.7892072937103034</v>
      </c>
      <c r="AP31" s="383" t="s">
        <v>1439</v>
      </c>
      <c r="AQ31" s="297">
        <f t="shared" si="15"/>
        <v>27565.7666194095</v>
      </c>
      <c r="AR31" s="294">
        <f t="shared" si="16"/>
        <v>-16467.262087493436</v>
      </c>
      <c r="AS31" s="292"/>
      <c r="AT31" s="292"/>
      <c r="AU31" s="295">
        <f>'Unit Savings Calculations'!Q27</f>
        <v>8.7892072937103034</v>
      </c>
      <c r="AV31" s="383" t="str">
        <f t="shared" si="17"/>
        <v>Updated SF ISR</v>
      </c>
      <c r="AW31" s="297">
        <f t="shared" si="18"/>
        <v>27970.773291503669</v>
      </c>
      <c r="AX31" s="294">
        <f t="shared" si="19"/>
        <v>-16709.205332121441</v>
      </c>
      <c r="AY31" s="297">
        <f t="shared" si="20"/>
        <v>44679.978623625109</v>
      </c>
      <c r="AZ31" s="297">
        <f t="shared" si="21"/>
        <v>28259.131779044947</v>
      </c>
      <c r="BA31" s="297">
        <f t="shared" si="22"/>
        <v>27565.7666194095</v>
      </c>
      <c r="BB31" s="297">
        <f t="shared" si="23"/>
        <v>27970.773291503669</v>
      </c>
      <c r="BC31" s="298">
        <f t="shared" si="24"/>
        <v>128475.6503135832</v>
      </c>
      <c r="BD31" s="292" t="s">
        <v>763</v>
      </c>
      <c r="BE31" s="299" t="str">
        <f t="shared" si="25"/>
        <v>Exhibit 1.5A_R North Shore EEPS_Adjustable_Savings_Goal_Template.xlsx, Unit Savings Calculations Tab</v>
      </c>
      <c r="BF31" s="298">
        <f t="shared" si="26"/>
        <v>446799.78623625112</v>
      </c>
      <c r="BG31" s="298">
        <f t="shared" si="26"/>
        <v>446799.78623625112</v>
      </c>
      <c r="BH31" s="298">
        <f t="shared" si="26"/>
        <v>440330.28706902935</v>
      </c>
      <c r="BI31" s="298">
        <f t="shared" si="26"/>
        <v>446799.78623625112</v>
      </c>
      <c r="BJ31" s="298">
        <f t="shared" si="27"/>
        <v>1780729.6457777829</v>
      </c>
      <c r="BK31" s="482">
        <v>10</v>
      </c>
      <c r="BL31" s="482">
        <v>10</v>
      </c>
      <c r="BM31" s="482">
        <f>INDEX('Unit Savings Calculations'!$I$4:$I$421,MATCH('Measure-Level Adjustments Tab'!$A31&amp;"_"&amp;'Measure-Level Adjustments Tab'!$B31,'Unit Savings Calculations'!$A$4:$A$421,0))</f>
        <v>10</v>
      </c>
      <c r="BN31" s="482">
        <f t="shared" si="28"/>
        <v>10</v>
      </c>
      <c r="BO31" s="483">
        <f t="shared" si="29"/>
        <v>446799.78623625112</v>
      </c>
      <c r="BP31" s="483">
        <f t="shared" si="29"/>
        <v>282591.31779044948</v>
      </c>
      <c r="BQ31" s="483">
        <f t="shared" si="29"/>
        <v>275657.66619409499</v>
      </c>
      <c r="BR31" s="483">
        <f t="shared" si="29"/>
        <v>279707.73291503667</v>
      </c>
      <c r="BS31" s="483">
        <f t="shared" si="4"/>
        <v>1284756.5031358323</v>
      </c>
    </row>
    <row r="32" spans="1:71" ht="15.75" customHeight="1">
      <c r="A32" s="292" t="str">
        <f>'Unit Savings Calculations'!C28</f>
        <v>Res - SF Assessments</v>
      </c>
      <c r="B32" s="292" t="str">
        <f>'Unit Savings Calculations'!D28</f>
        <v>Pipe Insulation (DHW)</v>
      </c>
      <c r="C32" s="293">
        <f t="shared" si="30"/>
        <v>1</v>
      </c>
      <c r="D32" s="292" t="str">
        <f>'Unit Savings Calculations'!T28</f>
        <v>5.4.1</v>
      </c>
      <c r="E32" s="438">
        <v>15</v>
      </c>
      <c r="F32" s="438">
        <v>15</v>
      </c>
      <c r="G32" s="292" t="str">
        <f>'Unit Savings Calculations'!E28</f>
        <v>ft</v>
      </c>
      <c r="H32" s="294">
        <f>'Unit Savings Calculations'!$F28*'Unit Savings Calculations'!J28</f>
        <v>5715</v>
      </c>
      <c r="I32" s="294">
        <f>'Unit Savings Calculations'!$F28*'Unit Savings Calculations'!K28</f>
        <v>5715</v>
      </c>
      <c r="J32" s="294">
        <f>'Unit Savings Calculations'!$F28*'Unit Savings Calculations'!L28</f>
        <v>5631</v>
      </c>
      <c r="K32" s="294">
        <f>'Unit Savings Calculations'!$F28*'Unit Savings Calculations'!M28</f>
        <v>5715</v>
      </c>
      <c r="L32" s="292" t="str">
        <f>'Unit Savings Calculations'!U28</f>
        <v>RS-HVC-PINS-V02-150601</v>
      </c>
      <c r="M32" s="383" t="str">
        <f>'Unit Savings Calculations'!R28</f>
        <v>Exhibit 1.5A_R North Shore EEPS_Adjustable_Savings_Goal_Template.xlsx, Unit Savings Calculations Tab</v>
      </c>
      <c r="N32" s="295">
        <v>0.99123230769230763</v>
      </c>
      <c r="O32" s="295">
        <v>0.99123230769230763</v>
      </c>
      <c r="P32" s="295">
        <v>0.99123230769230763</v>
      </c>
      <c r="Q32" s="295">
        <v>0.99123230769230763</v>
      </c>
      <c r="R32" s="296">
        <f>'Unit Savings Calculations'!$G28</f>
        <v>0.96</v>
      </c>
      <c r="S32" s="296">
        <f>'Unit Savings Calculations'!$G28</f>
        <v>0.96</v>
      </c>
      <c r="T32" s="296">
        <f>'Unit Savings Calculations'!$G28</f>
        <v>0.96</v>
      </c>
      <c r="U32" s="296">
        <f>'Unit Savings Calculations'!$G28</f>
        <v>0.96</v>
      </c>
      <c r="V32" s="297">
        <f t="shared" si="51"/>
        <v>5438.2969329230764</v>
      </c>
      <c r="W32" s="297">
        <f t="shared" si="52"/>
        <v>5438.2969329230764</v>
      </c>
      <c r="X32" s="297">
        <f t="shared" si="53"/>
        <v>5358.3639596307685</v>
      </c>
      <c r="Y32" s="297">
        <f t="shared" si="54"/>
        <v>5438.2969329230764</v>
      </c>
      <c r="Z32" s="297">
        <f t="shared" si="55"/>
        <v>21673.254758399999</v>
      </c>
      <c r="AA32" s="292"/>
      <c r="AB32" s="292"/>
      <c r="AC32" s="295">
        <v>0.99123230769230763</v>
      </c>
      <c r="AD32" s="292"/>
      <c r="AE32" s="297">
        <f t="shared" si="10"/>
        <v>5438.2969329230764</v>
      </c>
      <c r="AF32" s="294">
        <f t="shared" si="11"/>
        <v>0</v>
      </c>
      <c r="AG32" s="292"/>
      <c r="AH32" s="292">
        <f t="shared" si="12"/>
        <v>0</v>
      </c>
      <c r="AI32" s="295">
        <v>0.77039653846153844</v>
      </c>
      <c r="AJ32" s="383" t="s">
        <v>1011</v>
      </c>
      <c r="AK32" s="297">
        <f t="shared" si="13"/>
        <v>4226.7035686153849</v>
      </c>
      <c r="AL32" s="294">
        <f t="shared" si="14"/>
        <v>-1211.5933643076914</v>
      </c>
      <c r="AM32" s="292"/>
      <c r="AN32" s="292"/>
      <c r="AO32" s="295">
        <f>'Unit Savings Calculations'!P28</f>
        <v>0.77039653846153844</v>
      </c>
      <c r="AP32" s="383" t="s">
        <v>763</v>
      </c>
      <c r="AQ32" s="297">
        <f t="shared" si="15"/>
        <v>4164.5787917538464</v>
      </c>
      <c r="AR32" s="294">
        <f t="shared" si="16"/>
        <v>-1193.7851678769221</v>
      </c>
      <c r="AS32" s="292"/>
      <c r="AT32" s="292"/>
      <c r="AU32" s="295">
        <f>'Unit Savings Calculations'!Q28</f>
        <v>0.77039653846153844</v>
      </c>
      <c r="AV32" s="383" t="str">
        <f t="shared" si="17"/>
        <v>n/a</v>
      </c>
      <c r="AW32" s="297">
        <f t="shared" si="18"/>
        <v>4226.7035686153849</v>
      </c>
      <c r="AX32" s="294">
        <f t="shared" si="19"/>
        <v>-1211.5933643076914</v>
      </c>
      <c r="AY32" s="297">
        <f t="shared" si="20"/>
        <v>5438.2969329230764</v>
      </c>
      <c r="AZ32" s="297">
        <f t="shared" si="21"/>
        <v>4226.7035686153849</v>
      </c>
      <c r="BA32" s="297">
        <f t="shared" si="22"/>
        <v>4164.5787917538464</v>
      </c>
      <c r="BB32" s="297">
        <f t="shared" si="23"/>
        <v>4226.7035686153849</v>
      </c>
      <c r="BC32" s="298">
        <f t="shared" si="24"/>
        <v>18056.28286190769</v>
      </c>
      <c r="BD32" s="292" t="s">
        <v>763</v>
      </c>
      <c r="BE32" s="299" t="str">
        <f t="shared" si="25"/>
        <v>Exhibit 1.5A_R North Shore EEPS_Adjustable_Savings_Goal_Template.xlsx, Unit Savings Calculations Tab</v>
      </c>
      <c r="BF32" s="298">
        <f t="shared" si="26"/>
        <v>81574.453993846138</v>
      </c>
      <c r="BG32" s="298">
        <f t="shared" si="26"/>
        <v>81574.453993846138</v>
      </c>
      <c r="BH32" s="298">
        <f t="shared" si="26"/>
        <v>80375.459394461534</v>
      </c>
      <c r="BI32" s="298">
        <f t="shared" si="26"/>
        <v>81574.453993846138</v>
      </c>
      <c r="BJ32" s="298">
        <f t="shared" si="27"/>
        <v>325098.82137599995</v>
      </c>
      <c r="BK32" s="482">
        <v>15</v>
      </c>
      <c r="BL32" s="482">
        <v>15</v>
      </c>
      <c r="BM32" s="482">
        <f>INDEX('Unit Savings Calculations'!$I$4:$I$421,MATCH('Measure-Level Adjustments Tab'!$A32&amp;"_"&amp;'Measure-Level Adjustments Tab'!$B32,'Unit Savings Calculations'!$A$4:$A$421,0))</f>
        <v>15</v>
      </c>
      <c r="BN32" s="482">
        <f t="shared" si="28"/>
        <v>15</v>
      </c>
      <c r="BO32" s="483">
        <f t="shared" si="29"/>
        <v>81574.453993846138</v>
      </c>
      <c r="BP32" s="483">
        <f t="shared" si="29"/>
        <v>63400.553529230776</v>
      </c>
      <c r="BQ32" s="483">
        <f t="shared" si="29"/>
        <v>62468.681876307695</v>
      </c>
      <c r="BR32" s="483">
        <f t="shared" si="29"/>
        <v>63400.553529230776</v>
      </c>
      <c r="BS32" s="483">
        <f t="shared" si="4"/>
        <v>270844.24292861536</v>
      </c>
    </row>
    <row r="33" spans="1:71" ht="15.75" customHeight="1">
      <c r="A33" s="292" t="str">
        <f>'Unit Savings Calculations'!C29</f>
        <v>Res - SF Assessments</v>
      </c>
      <c r="B33" s="292" t="str">
        <f>'Unit Savings Calculations'!D29</f>
        <v>Pipe Insulation (Boiler)</v>
      </c>
      <c r="C33" s="293">
        <f t="shared" si="30"/>
        <v>1</v>
      </c>
      <c r="D33" s="292" t="str">
        <f>'Unit Savings Calculations'!T29</f>
        <v>5.3.2</v>
      </c>
      <c r="E33" s="438">
        <v>15</v>
      </c>
      <c r="F33" s="438">
        <v>15</v>
      </c>
      <c r="G33" s="292" t="str">
        <f>'Unit Savings Calculations'!E29</f>
        <v>ft</v>
      </c>
      <c r="H33" s="294">
        <f>'Unit Savings Calculations'!$F29*'Unit Savings Calculations'!J29</f>
        <v>72</v>
      </c>
      <c r="I33" s="294">
        <f>'Unit Savings Calculations'!$F29*'Unit Savings Calculations'!K29</f>
        <v>72</v>
      </c>
      <c r="J33" s="294">
        <f>'Unit Savings Calculations'!$F29*'Unit Savings Calculations'!L29</f>
        <v>72</v>
      </c>
      <c r="K33" s="294">
        <f>'Unit Savings Calculations'!$F29*'Unit Savings Calculations'!M29</f>
        <v>72</v>
      </c>
      <c r="L33" s="292" t="str">
        <f>'Unit Savings Calculations'!U29</f>
        <v>RS-HVC-PINS-V02-160601</v>
      </c>
      <c r="M33" s="383" t="str">
        <f>'Unit Savings Calculations'!R29</f>
        <v>Exhibit 1.5A_R North Shore EEPS_Adjustable_Savings_Goal_Template.xlsx, Unit Savings Calculations Tab</v>
      </c>
      <c r="N33" s="295">
        <v>0.41554055468341189</v>
      </c>
      <c r="O33" s="295">
        <v>0.41554055468341189</v>
      </c>
      <c r="P33" s="295">
        <v>0.41554055468341189</v>
      </c>
      <c r="Q33" s="295">
        <v>0.41554055468341189</v>
      </c>
      <c r="R33" s="296">
        <f>'Unit Savings Calculations'!$G29</f>
        <v>0.96</v>
      </c>
      <c r="S33" s="296">
        <f>'Unit Savings Calculations'!$G29</f>
        <v>0.96</v>
      </c>
      <c r="T33" s="296">
        <f>'Unit Savings Calculations'!$G29</f>
        <v>0.96</v>
      </c>
      <c r="U33" s="296">
        <f>'Unit Savings Calculations'!$G29</f>
        <v>0.96</v>
      </c>
      <c r="V33" s="297">
        <f t="shared" si="51"/>
        <v>28.722163139717431</v>
      </c>
      <c r="W33" s="297">
        <f t="shared" si="52"/>
        <v>28.722163139717431</v>
      </c>
      <c r="X33" s="297">
        <f t="shared" si="53"/>
        <v>28.722163139717431</v>
      </c>
      <c r="Y33" s="297">
        <f t="shared" si="54"/>
        <v>28.722163139717431</v>
      </c>
      <c r="Z33" s="297">
        <f t="shared" si="55"/>
        <v>114.88865255886972</v>
      </c>
      <c r="AA33" s="292"/>
      <c r="AB33" s="292"/>
      <c r="AC33" s="295">
        <v>0.41554055468341189</v>
      </c>
      <c r="AD33" s="292"/>
      <c r="AE33" s="297">
        <f t="shared" si="10"/>
        <v>28.722163139717431</v>
      </c>
      <c r="AF33" s="294">
        <f t="shared" si="11"/>
        <v>0</v>
      </c>
      <c r="AG33" s="292"/>
      <c r="AH33" s="292">
        <f t="shared" si="12"/>
        <v>0</v>
      </c>
      <c r="AI33" s="295">
        <v>0.41554055468341189</v>
      </c>
      <c r="AJ33" s="383" t="s">
        <v>878</v>
      </c>
      <c r="AK33" s="297">
        <f t="shared" si="13"/>
        <v>28.722163139717431</v>
      </c>
      <c r="AL33" s="294">
        <f t="shared" si="14"/>
        <v>0</v>
      </c>
      <c r="AM33" s="292"/>
      <c r="AN33" s="292"/>
      <c r="AO33" s="295">
        <f>'Unit Savings Calculations'!P29</f>
        <v>0.41554055468341189</v>
      </c>
      <c r="AP33" s="383" t="s">
        <v>763</v>
      </c>
      <c r="AQ33" s="297">
        <f t="shared" si="15"/>
        <v>28.722163139717431</v>
      </c>
      <c r="AR33" s="294">
        <f t="shared" si="16"/>
        <v>0</v>
      </c>
      <c r="AS33" s="292"/>
      <c r="AT33" s="292"/>
      <c r="AU33" s="295">
        <f>'Unit Savings Calculations'!Q29</f>
        <v>0.41554055468341189</v>
      </c>
      <c r="AV33" s="383" t="str">
        <f t="shared" si="17"/>
        <v>n/a</v>
      </c>
      <c r="AW33" s="297">
        <f t="shared" si="18"/>
        <v>28.722163139717431</v>
      </c>
      <c r="AX33" s="294">
        <f t="shared" si="19"/>
        <v>0</v>
      </c>
      <c r="AY33" s="297">
        <f t="shared" si="20"/>
        <v>28.722163139717431</v>
      </c>
      <c r="AZ33" s="297">
        <f t="shared" si="21"/>
        <v>28.722163139717431</v>
      </c>
      <c r="BA33" s="297">
        <f t="shared" si="22"/>
        <v>28.722163139717431</v>
      </c>
      <c r="BB33" s="297">
        <f t="shared" si="23"/>
        <v>28.722163139717431</v>
      </c>
      <c r="BC33" s="298">
        <f t="shared" si="24"/>
        <v>114.88865255886972</v>
      </c>
      <c r="BD33" s="292" t="s">
        <v>763</v>
      </c>
      <c r="BE33" s="299" t="str">
        <f t="shared" si="25"/>
        <v>Exhibit 1.5A_R North Shore EEPS_Adjustable_Savings_Goal_Template.xlsx, Unit Savings Calculations Tab</v>
      </c>
      <c r="BF33" s="298">
        <f t="shared" si="26"/>
        <v>430.83244709576144</v>
      </c>
      <c r="BG33" s="298">
        <f t="shared" si="26"/>
        <v>430.83244709576144</v>
      </c>
      <c r="BH33" s="298">
        <f t="shared" si="26"/>
        <v>430.83244709576144</v>
      </c>
      <c r="BI33" s="298">
        <f t="shared" si="26"/>
        <v>430.83244709576144</v>
      </c>
      <c r="BJ33" s="298">
        <f t="shared" si="27"/>
        <v>1723.3297883830458</v>
      </c>
      <c r="BK33" s="482">
        <v>15</v>
      </c>
      <c r="BL33" s="482">
        <v>15</v>
      </c>
      <c r="BM33" s="482">
        <f>INDEX('Unit Savings Calculations'!$I$4:$I$421,MATCH('Measure-Level Adjustments Tab'!$A33&amp;"_"&amp;'Measure-Level Adjustments Tab'!$B33,'Unit Savings Calculations'!$A$4:$A$421,0))</f>
        <v>15</v>
      </c>
      <c r="BN33" s="482">
        <f t="shared" si="28"/>
        <v>15</v>
      </c>
      <c r="BO33" s="483">
        <f t="shared" si="29"/>
        <v>430.83244709576144</v>
      </c>
      <c r="BP33" s="483">
        <f t="shared" si="29"/>
        <v>430.83244709576144</v>
      </c>
      <c r="BQ33" s="483">
        <f t="shared" si="29"/>
        <v>430.83244709576144</v>
      </c>
      <c r="BR33" s="483">
        <f t="shared" si="29"/>
        <v>430.83244709576144</v>
      </c>
      <c r="BS33" s="483">
        <f t="shared" si="4"/>
        <v>1723.3297883830458</v>
      </c>
    </row>
    <row r="34" spans="1:71" ht="15.75" customHeight="1">
      <c r="A34" s="292" t="str">
        <f>'Unit Savings Calculations'!C30</f>
        <v>Res - SF Assessments</v>
      </c>
      <c r="B34" s="292" t="str">
        <f>'Unit Savings Calculations'!D30</f>
        <v>Programmable Thermostat - Furnace</v>
      </c>
      <c r="C34" s="293">
        <f t="shared" si="30"/>
        <v>1</v>
      </c>
      <c r="D34" s="292" t="str">
        <f>'Unit Savings Calculations'!T30</f>
        <v>5.3.11</v>
      </c>
      <c r="E34" s="438">
        <v>5</v>
      </c>
      <c r="F34" s="438">
        <v>8</v>
      </c>
      <c r="G34" s="292" t="str">
        <f>'Unit Savings Calculations'!E30</f>
        <v>each</v>
      </c>
      <c r="H34" s="294">
        <f>'Unit Savings Calculations'!$F30*'Unit Savings Calculations'!J30</f>
        <v>484</v>
      </c>
      <c r="I34" s="294">
        <f>'Unit Savings Calculations'!$F30*'Unit Savings Calculations'!K30</f>
        <v>484</v>
      </c>
      <c r="J34" s="294">
        <f>'Unit Savings Calculations'!$F30*'Unit Savings Calculations'!L30</f>
        <v>477</v>
      </c>
      <c r="K34" s="294">
        <f>'Unit Savings Calculations'!$F30*'Unit Savings Calculations'!M30</f>
        <v>484</v>
      </c>
      <c r="L34" s="292" t="str">
        <f>'Unit Savings Calculations'!U30</f>
        <v>RS-HVC-PROG-V04-180101</v>
      </c>
      <c r="M34" s="383" t="str">
        <f>'Unit Savings Calculations'!R30</f>
        <v>Exhibit 1.5A_R North Shore EEPS_Adjustable_Savings_Goal_Template.xlsx, Unit Savings Calculations Tab</v>
      </c>
      <c r="N34" s="295">
        <v>62.31</v>
      </c>
      <c r="O34" s="295">
        <v>62.31</v>
      </c>
      <c r="P34" s="295">
        <v>62.31</v>
      </c>
      <c r="Q34" s="295">
        <v>62.31</v>
      </c>
      <c r="R34" s="296">
        <f>'Unit Savings Calculations'!$G30</f>
        <v>0.96</v>
      </c>
      <c r="S34" s="296">
        <f>'Unit Savings Calculations'!$G30</f>
        <v>0.96</v>
      </c>
      <c r="T34" s="296">
        <f>'Unit Savings Calculations'!$G30</f>
        <v>0.96</v>
      </c>
      <c r="U34" s="296">
        <f>'Unit Savings Calculations'!$G30</f>
        <v>0.96</v>
      </c>
      <c r="V34" s="297">
        <f t="shared" si="51"/>
        <v>28951.718400000002</v>
      </c>
      <c r="W34" s="297">
        <f t="shared" si="52"/>
        <v>28951.718400000002</v>
      </c>
      <c r="X34" s="297">
        <f t="shared" si="53"/>
        <v>28532.995200000001</v>
      </c>
      <c r="Y34" s="297">
        <f t="shared" si="54"/>
        <v>28951.718400000002</v>
      </c>
      <c r="Z34" s="297">
        <f t="shared" si="55"/>
        <v>115388.1504</v>
      </c>
      <c r="AA34" s="292"/>
      <c r="AB34" s="292"/>
      <c r="AC34" s="295">
        <v>62.31</v>
      </c>
      <c r="AD34" s="292"/>
      <c r="AE34" s="297">
        <f t="shared" si="10"/>
        <v>28951.718400000002</v>
      </c>
      <c r="AF34" s="294">
        <f t="shared" si="11"/>
        <v>0</v>
      </c>
      <c r="AG34" s="292"/>
      <c r="AH34" s="292">
        <f t="shared" si="12"/>
        <v>0</v>
      </c>
      <c r="AI34" s="295">
        <v>62.31</v>
      </c>
      <c r="AJ34" s="383" t="s">
        <v>878</v>
      </c>
      <c r="AK34" s="297">
        <f t="shared" si="13"/>
        <v>28951.718400000002</v>
      </c>
      <c r="AL34" s="294">
        <f t="shared" si="14"/>
        <v>0</v>
      </c>
      <c r="AM34" s="292"/>
      <c r="AN34" s="292"/>
      <c r="AO34" s="295">
        <f>'Unit Savings Calculations'!P30</f>
        <v>62.31</v>
      </c>
      <c r="AP34" s="383" t="s">
        <v>763</v>
      </c>
      <c r="AQ34" s="297">
        <f t="shared" si="15"/>
        <v>28532.995200000001</v>
      </c>
      <c r="AR34" s="294">
        <f t="shared" si="16"/>
        <v>0</v>
      </c>
      <c r="AS34" s="292"/>
      <c r="AT34" s="292"/>
      <c r="AU34" s="295">
        <f>'Unit Savings Calculations'!Q30</f>
        <v>62.31</v>
      </c>
      <c r="AV34" s="383" t="str">
        <f t="shared" si="17"/>
        <v>n/a</v>
      </c>
      <c r="AW34" s="297">
        <f t="shared" si="18"/>
        <v>28951.718400000002</v>
      </c>
      <c r="AX34" s="294">
        <f t="shared" si="19"/>
        <v>0</v>
      </c>
      <c r="AY34" s="297">
        <f t="shared" si="20"/>
        <v>28951.718400000002</v>
      </c>
      <c r="AZ34" s="297">
        <f t="shared" si="21"/>
        <v>28951.718400000002</v>
      </c>
      <c r="BA34" s="297">
        <f t="shared" si="22"/>
        <v>28532.995200000001</v>
      </c>
      <c r="BB34" s="297">
        <f t="shared" si="23"/>
        <v>28951.718400000002</v>
      </c>
      <c r="BC34" s="298">
        <f t="shared" si="24"/>
        <v>115388.1504</v>
      </c>
      <c r="BD34" s="292" t="s">
        <v>763</v>
      </c>
      <c r="BE34" s="299" t="str">
        <f t="shared" si="25"/>
        <v>Exhibit 1.5A_R North Shore EEPS_Adjustable_Savings_Goal_Template.xlsx, Unit Savings Calculations Tab</v>
      </c>
      <c r="BF34" s="298">
        <f t="shared" si="26"/>
        <v>231613.74720000001</v>
      </c>
      <c r="BG34" s="298">
        <f t="shared" si="26"/>
        <v>231613.74720000001</v>
      </c>
      <c r="BH34" s="298">
        <f t="shared" si="26"/>
        <v>228263.96160000001</v>
      </c>
      <c r="BI34" s="298">
        <f t="shared" si="26"/>
        <v>231613.74720000001</v>
      </c>
      <c r="BJ34" s="298">
        <f t="shared" si="27"/>
        <v>923105.20319999999</v>
      </c>
      <c r="BK34" s="482">
        <v>8</v>
      </c>
      <c r="BL34" s="482">
        <v>8</v>
      </c>
      <c r="BM34" s="482">
        <f>INDEX('Unit Savings Calculations'!$I$4:$I$421,MATCH('Measure-Level Adjustments Tab'!$A34&amp;"_"&amp;'Measure-Level Adjustments Tab'!$B34,'Unit Savings Calculations'!$A$4:$A$421,0))</f>
        <v>8</v>
      </c>
      <c r="BN34" s="482">
        <f t="shared" si="28"/>
        <v>8</v>
      </c>
      <c r="BO34" s="483">
        <f t="shared" si="29"/>
        <v>231613.74720000001</v>
      </c>
      <c r="BP34" s="483">
        <f t="shared" si="29"/>
        <v>231613.74720000001</v>
      </c>
      <c r="BQ34" s="483">
        <f t="shared" si="29"/>
        <v>228263.96160000001</v>
      </c>
      <c r="BR34" s="483">
        <f t="shared" si="29"/>
        <v>231613.74720000001</v>
      </c>
      <c r="BS34" s="483">
        <f t="shared" si="4"/>
        <v>923105.20319999999</v>
      </c>
    </row>
    <row r="35" spans="1:71" ht="15.75" customHeight="1">
      <c r="A35" s="292" t="str">
        <f>'Unit Savings Calculations'!C31</f>
        <v>Res - SF Assessments</v>
      </c>
      <c r="B35" s="292" t="str">
        <f>'Unit Savings Calculations'!D31</f>
        <v>Programmable Thermostat - Boiler</v>
      </c>
      <c r="C35" s="293">
        <f t="shared" si="30"/>
        <v>1</v>
      </c>
      <c r="D35" s="292" t="str">
        <f>'Unit Savings Calculations'!T31</f>
        <v>5.3.11</v>
      </c>
      <c r="E35" s="438">
        <v>5</v>
      </c>
      <c r="F35" s="438">
        <v>8</v>
      </c>
      <c r="G35" s="292" t="str">
        <f>'Unit Savings Calculations'!E31</f>
        <v>each</v>
      </c>
      <c r="H35" s="294">
        <f>'Unit Savings Calculations'!$F31*'Unit Savings Calculations'!J31</f>
        <v>0</v>
      </c>
      <c r="I35" s="294">
        <f>'Unit Savings Calculations'!$F31*'Unit Savings Calculations'!K31</f>
        <v>0</v>
      </c>
      <c r="J35" s="294">
        <f>'Unit Savings Calculations'!$F31*'Unit Savings Calculations'!L31</f>
        <v>0</v>
      </c>
      <c r="K35" s="294">
        <f>'Unit Savings Calculations'!$F31*'Unit Savings Calculations'!M31</f>
        <v>0</v>
      </c>
      <c r="L35" s="292" t="str">
        <f>'Unit Savings Calculations'!U31</f>
        <v>RS-HVC-PROG-V04-180101</v>
      </c>
      <c r="M35" s="383" t="str">
        <f>'Unit Savings Calculations'!R31</f>
        <v>Exhibit 1.5A_R North Shore EEPS_Adjustable_Savings_Goal_Template.xlsx, Unit Savings Calculations Tab</v>
      </c>
      <c r="N35" s="295">
        <v>75.516000000000005</v>
      </c>
      <c r="O35" s="295">
        <v>75.516000000000005</v>
      </c>
      <c r="P35" s="295">
        <v>75.516000000000005</v>
      </c>
      <c r="Q35" s="295">
        <v>75.516000000000005</v>
      </c>
      <c r="R35" s="296">
        <f>'Unit Savings Calculations'!$G31</f>
        <v>0.96</v>
      </c>
      <c r="S35" s="296">
        <f>'Unit Savings Calculations'!$G31</f>
        <v>0.96</v>
      </c>
      <c r="T35" s="296">
        <f>'Unit Savings Calculations'!$G31</f>
        <v>0.96</v>
      </c>
      <c r="U35" s="296">
        <f>'Unit Savings Calculations'!$G31</f>
        <v>0.96</v>
      </c>
      <c r="V35" s="297">
        <f t="shared" si="51"/>
        <v>0</v>
      </c>
      <c r="W35" s="297">
        <f t="shared" si="52"/>
        <v>0</v>
      </c>
      <c r="X35" s="297">
        <f t="shared" si="53"/>
        <v>0</v>
      </c>
      <c r="Y35" s="297">
        <f t="shared" si="54"/>
        <v>0</v>
      </c>
      <c r="Z35" s="297">
        <f t="shared" si="55"/>
        <v>0</v>
      </c>
      <c r="AA35" s="292"/>
      <c r="AB35" s="292"/>
      <c r="AC35" s="295">
        <v>75.516000000000005</v>
      </c>
      <c r="AD35" s="292"/>
      <c r="AE35" s="297">
        <f t="shared" si="10"/>
        <v>0</v>
      </c>
      <c r="AF35" s="294">
        <f t="shared" si="11"/>
        <v>0</v>
      </c>
      <c r="AG35" s="292"/>
      <c r="AH35" s="292">
        <f t="shared" si="12"/>
        <v>0</v>
      </c>
      <c r="AI35" s="295">
        <v>75.516000000000005</v>
      </c>
      <c r="AJ35" s="383" t="s">
        <v>878</v>
      </c>
      <c r="AK35" s="297">
        <f t="shared" si="13"/>
        <v>0</v>
      </c>
      <c r="AL35" s="294">
        <f t="shared" si="14"/>
        <v>0</v>
      </c>
      <c r="AM35" s="292"/>
      <c r="AN35" s="292"/>
      <c r="AO35" s="295">
        <f>'Unit Savings Calculations'!P31</f>
        <v>75.516000000000005</v>
      </c>
      <c r="AP35" s="383" t="s">
        <v>763</v>
      </c>
      <c r="AQ35" s="297">
        <f t="shared" si="15"/>
        <v>0</v>
      </c>
      <c r="AR35" s="294">
        <f t="shared" si="16"/>
        <v>0</v>
      </c>
      <c r="AS35" s="292"/>
      <c r="AT35" s="292"/>
      <c r="AU35" s="295">
        <f>'Unit Savings Calculations'!Q31</f>
        <v>75.516000000000005</v>
      </c>
      <c r="AV35" s="383" t="str">
        <f t="shared" si="17"/>
        <v>n/a</v>
      </c>
      <c r="AW35" s="297">
        <f t="shared" si="18"/>
        <v>0</v>
      </c>
      <c r="AX35" s="294">
        <f t="shared" si="19"/>
        <v>0</v>
      </c>
      <c r="AY35" s="297">
        <f t="shared" si="20"/>
        <v>0</v>
      </c>
      <c r="AZ35" s="297">
        <f t="shared" si="21"/>
        <v>0</v>
      </c>
      <c r="BA35" s="297">
        <f t="shared" si="22"/>
        <v>0</v>
      </c>
      <c r="BB35" s="297">
        <f t="shared" si="23"/>
        <v>0</v>
      </c>
      <c r="BC35" s="298">
        <f t="shared" si="24"/>
        <v>0</v>
      </c>
      <c r="BD35" s="292" t="s">
        <v>763</v>
      </c>
      <c r="BE35" s="299" t="str">
        <f t="shared" si="25"/>
        <v>Exhibit 1.5A_R North Shore EEPS_Adjustable_Savings_Goal_Template.xlsx, Unit Savings Calculations Tab</v>
      </c>
      <c r="BF35" s="298">
        <f t="shared" si="26"/>
        <v>0</v>
      </c>
      <c r="BG35" s="298">
        <f t="shared" si="26"/>
        <v>0</v>
      </c>
      <c r="BH35" s="298">
        <f t="shared" si="26"/>
        <v>0</v>
      </c>
      <c r="BI35" s="298">
        <f t="shared" si="26"/>
        <v>0</v>
      </c>
      <c r="BJ35" s="298">
        <f t="shared" si="27"/>
        <v>0</v>
      </c>
      <c r="BK35" s="482">
        <v>8</v>
      </c>
      <c r="BL35" s="482">
        <v>8</v>
      </c>
      <c r="BM35" s="482">
        <f>INDEX('Unit Savings Calculations'!$I$4:$I$421,MATCH('Measure-Level Adjustments Tab'!$A35&amp;"_"&amp;'Measure-Level Adjustments Tab'!$B35,'Unit Savings Calculations'!$A$4:$A$421,0))</f>
        <v>8</v>
      </c>
      <c r="BN35" s="482">
        <f t="shared" si="28"/>
        <v>8</v>
      </c>
      <c r="BO35" s="483">
        <f t="shared" si="29"/>
        <v>0</v>
      </c>
      <c r="BP35" s="483">
        <f t="shared" si="29"/>
        <v>0</v>
      </c>
      <c r="BQ35" s="483">
        <f t="shared" si="29"/>
        <v>0</v>
      </c>
      <c r="BR35" s="483">
        <f t="shared" si="29"/>
        <v>0</v>
      </c>
      <c r="BS35" s="483">
        <f t="shared" si="4"/>
        <v>0</v>
      </c>
    </row>
    <row r="36" spans="1:71" ht="15.75" customHeight="1">
      <c r="A36" s="292" t="str">
        <f>'Unit Savings Calculations'!C32</f>
        <v>Res - SF Assessments</v>
      </c>
      <c r="B36" s="292" t="str">
        <f>'Unit Savings Calculations'!D32</f>
        <v>Advanced Thermostat - Furnace (Replace Manual)</v>
      </c>
      <c r="C36" s="293">
        <f t="shared" si="30"/>
        <v>1</v>
      </c>
      <c r="D36" s="292" t="str">
        <f>'Unit Savings Calculations'!T32</f>
        <v>5.3.16</v>
      </c>
      <c r="E36" s="438">
        <v>10</v>
      </c>
      <c r="F36" s="438">
        <v>11</v>
      </c>
      <c r="G36" s="292" t="str">
        <f>'Unit Savings Calculations'!E32</f>
        <v>each</v>
      </c>
      <c r="H36" s="294">
        <f>'Unit Savings Calculations'!$F32*'Unit Savings Calculations'!J32</f>
        <v>12</v>
      </c>
      <c r="I36" s="294">
        <f>'Unit Savings Calculations'!$F32*'Unit Savings Calculations'!K32</f>
        <v>12</v>
      </c>
      <c r="J36" s="294">
        <f>'Unit Savings Calculations'!$F32*'Unit Savings Calculations'!L32</f>
        <v>12</v>
      </c>
      <c r="K36" s="294">
        <f>'Unit Savings Calculations'!$F32*'Unit Savings Calculations'!M32</f>
        <v>12</v>
      </c>
      <c r="L36" s="292" t="str">
        <f>'Unit Savings Calculations'!U32</f>
        <v>RS-HVC-ADTH-V02-180101</v>
      </c>
      <c r="M36" s="383" t="str">
        <f>'Unit Savings Calculations'!R32</f>
        <v>Exhibit 1.5A_R North Shore EEPS_Adjustable_Savings_Goal_Template.xlsx, Unit Savings Calculations Tab</v>
      </c>
      <c r="N36" s="295">
        <v>88.44</v>
      </c>
      <c r="O36" s="295">
        <v>88.44</v>
      </c>
      <c r="P36" s="295">
        <v>88.44</v>
      </c>
      <c r="Q36" s="295">
        <v>88.44</v>
      </c>
      <c r="R36" s="296">
        <f>'Unit Savings Calculations'!$G32</f>
        <v>1</v>
      </c>
      <c r="S36" s="296">
        <f>'Unit Savings Calculations'!$G32</f>
        <v>1</v>
      </c>
      <c r="T36" s="296">
        <f>'Unit Savings Calculations'!$G32</f>
        <v>1</v>
      </c>
      <c r="U36" s="296">
        <f>'Unit Savings Calculations'!$G32</f>
        <v>1</v>
      </c>
      <c r="V36" s="297">
        <f t="shared" si="51"/>
        <v>1061.28</v>
      </c>
      <c r="W36" s="297">
        <f t="shared" si="52"/>
        <v>1061.28</v>
      </c>
      <c r="X36" s="297">
        <f t="shared" si="53"/>
        <v>1061.28</v>
      </c>
      <c r="Y36" s="297">
        <f t="shared" si="54"/>
        <v>1061.28</v>
      </c>
      <c r="Z36" s="297">
        <f t="shared" si="55"/>
        <v>4245.12</v>
      </c>
      <c r="AA36" s="292"/>
      <c r="AB36" s="292"/>
      <c r="AC36" s="295">
        <v>88.44</v>
      </c>
      <c r="AD36" s="292"/>
      <c r="AE36" s="297">
        <f t="shared" si="10"/>
        <v>1061.28</v>
      </c>
      <c r="AF36" s="294">
        <f t="shared" si="11"/>
        <v>0</v>
      </c>
      <c r="AG36" s="292"/>
      <c r="AH36" s="292">
        <f t="shared" si="12"/>
        <v>0</v>
      </c>
      <c r="AI36" s="295">
        <v>88.44</v>
      </c>
      <c r="AJ36" s="383" t="s">
        <v>878</v>
      </c>
      <c r="AK36" s="297">
        <f t="shared" si="13"/>
        <v>1061.28</v>
      </c>
      <c r="AL36" s="294">
        <f t="shared" si="14"/>
        <v>0</v>
      </c>
      <c r="AM36" s="292"/>
      <c r="AN36" s="292"/>
      <c r="AO36" s="295">
        <f>'Unit Savings Calculations'!P32</f>
        <v>88.44</v>
      </c>
      <c r="AP36" s="383" t="s">
        <v>763</v>
      </c>
      <c r="AQ36" s="297">
        <f t="shared" si="15"/>
        <v>1061.28</v>
      </c>
      <c r="AR36" s="294">
        <f t="shared" si="16"/>
        <v>0</v>
      </c>
      <c r="AS36" s="292"/>
      <c r="AT36" s="292"/>
      <c r="AU36" s="295">
        <f>'Unit Savings Calculations'!Q32</f>
        <v>88.44</v>
      </c>
      <c r="AV36" s="383" t="str">
        <f t="shared" si="17"/>
        <v>n/a</v>
      </c>
      <c r="AW36" s="297">
        <f t="shared" si="18"/>
        <v>1061.28</v>
      </c>
      <c r="AX36" s="294">
        <f t="shared" si="19"/>
        <v>0</v>
      </c>
      <c r="AY36" s="297">
        <f t="shared" si="20"/>
        <v>1061.28</v>
      </c>
      <c r="AZ36" s="297">
        <f t="shared" si="21"/>
        <v>1061.28</v>
      </c>
      <c r="BA36" s="297">
        <f t="shared" si="22"/>
        <v>1061.28</v>
      </c>
      <c r="BB36" s="297">
        <f t="shared" si="23"/>
        <v>1061.28</v>
      </c>
      <c r="BC36" s="298">
        <f t="shared" si="24"/>
        <v>4245.12</v>
      </c>
      <c r="BD36" s="292" t="s">
        <v>763</v>
      </c>
      <c r="BE36" s="299" t="str">
        <f t="shared" si="25"/>
        <v>Exhibit 1.5A_R North Shore EEPS_Adjustable_Savings_Goal_Template.xlsx, Unit Savings Calculations Tab</v>
      </c>
      <c r="BF36" s="298">
        <f t="shared" si="26"/>
        <v>11674.08</v>
      </c>
      <c r="BG36" s="298">
        <f t="shared" si="26"/>
        <v>11674.08</v>
      </c>
      <c r="BH36" s="298">
        <f t="shared" si="26"/>
        <v>11674.08</v>
      </c>
      <c r="BI36" s="298">
        <f t="shared" si="26"/>
        <v>11674.08</v>
      </c>
      <c r="BJ36" s="298">
        <f t="shared" si="27"/>
        <v>46696.32</v>
      </c>
      <c r="BK36" s="482">
        <v>11</v>
      </c>
      <c r="BL36" s="482">
        <v>11</v>
      </c>
      <c r="BM36" s="482">
        <f>INDEX('Unit Savings Calculations'!$I$4:$I$421,MATCH('Measure-Level Adjustments Tab'!$A36&amp;"_"&amp;'Measure-Level Adjustments Tab'!$B36,'Unit Savings Calculations'!$A$4:$A$421,0))</f>
        <v>11</v>
      </c>
      <c r="BN36" s="482">
        <f t="shared" si="28"/>
        <v>11</v>
      </c>
      <c r="BO36" s="483">
        <f t="shared" si="29"/>
        <v>11674.08</v>
      </c>
      <c r="BP36" s="483">
        <f t="shared" si="29"/>
        <v>11674.08</v>
      </c>
      <c r="BQ36" s="483">
        <f t="shared" si="29"/>
        <v>11674.08</v>
      </c>
      <c r="BR36" s="483">
        <f t="shared" si="29"/>
        <v>11674.08</v>
      </c>
      <c r="BS36" s="483">
        <f t="shared" si="4"/>
        <v>46696.32</v>
      </c>
    </row>
    <row r="37" spans="1:71" ht="15.75" customHeight="1">
      <c r="A37" s="292" t="str">
        <f>'Unit Savings Calculations'!C33</f>
        <v>Res - SF Assessments</v>
      </c>
      <c r="B37" s="292" t="str">
        <f>'Unit Savings Calculations'!D33</f>
        <v>Advanced Thermostat - Boiler (Replace Manual)</v>
      </c>
      <c r="C37" s="293">
        <f t="shared" si="30"/>
        <v>1</v>
      </c>
      <c r="D37" s="292" t="str">
        <f>'Unit Savings Calculations'!T33</f>
        <v>5.3.16</v>
      </c>
      <c r="E37" s="438">
        <v>10</v>
      </c>
      <c r="F37" s="438">
        <v>11</v>
      </c>
      <c r="G37" s="292" t="str">
        <f>'Unit Savings Calculations'!E33</f>
        <v>each</v>
      </c>
      <c r="H37" s="294">
        <f>'Unit Savings Calculations'!$F33*'Unit Savings Calculations'!J33</f>
        <v>0</v>
      </c>
      <c r="I37" s="294">
        <f>'Unit Savings Calculations'!$F33*'Unit Savings Calculations'!K33</f>
        <v>0</v>
      </c>
      <c r="J37" s="294">
        <f>'Unit Savings Calculations'!$F33*'Unit Savings Calculations'!L33</f>
        <v>0</v>
      </c>
      <c r="K37" s="294">
        <f>'Unit Savings Calculations'!$F33*'Unit Savings Calculations'!M33</f>
        <v>0</v>
      </c>
      <c r="L37" s="292" t="str">
        <f>'Unit Savings Calculations'!U33</f>
        <v>RS-HVC-ADTH-V02-180101</v>
      </c>
      <c r="M37" s="383" t="str">
        <f>'Unit Savings Calculations'!R33</f>
        <v>Exhibit 1.5A_R North Shore EEPS_Adjustable_Savings_Goal_Template.xlsx, Unit Savings Calculations Tab</v>
      </c>
      <c r="N37" s="295">
        <v>107.184</v>
      </c>
      <c r="O37" s="295">
        <v>107.184</v>
      </c>
      <c r="P37" s="295">
        <v>107.184</v>
      </c>
      <c r="Q37" s="295">
        <v>107.184</v>
      </c>
      <c r="R37" s="296">
        <f>'Unit Savings Calculations'!$G33</f>
        <v>1</v>
      </c>
      <c r="S37" s="296">
        <f>'Unit Savings Calculations'!$G33</f>
        <v>1</v>
      </c>
      <c r="T37" s="296">
        <f>'Unit Savings Calculations'!$G33</f>
        <v>1</v>
      </c>
      <c r="U37" s="296">
        <f>'Unit Savings Calculations'!$G33</f>
        <v>1</v>
      </c>
      <c r="V37" s="297">
        <f t="shared" si="51"/>
        <v>0</v>
      </c>
      <c r="W37" s="297">
        <f t="shared" si="52"/>
        <v>0</v>
      </c>
      <c r="X37" s="297">
        <f t="shared" si="53"/>
        <v>0</v>
      </c>
      <c r="Y37" s="297">
        <f t="shared" si="54"/>
        <v>0</v>
      </c>
      <c r="Z37" s="297">
        <f t="shared" si="55"/>
        <v>0</v>
      </c>
      <c r="AA37" s="292"/>
      <c r="AB37" s="292"/>
      <c r="AC37" s="295">
        <v>107.184</v>
      </c>
      <c r="AD37" s="292"/>
      <c r="AE37" s="297">
        <f t="shared" si="10"/>
        <v>0</v>
      </c>
      <c r="AF37" s="294">
        <f t="shared" si="11"/>
        <v>0</v>
      </c>
      <c r="AG37" s="292"/>
      <c r="AH37" s="292">
        <f t="shared" si="12"/>
        <v>0</v>
      </c>
      <c r="AI37" s="295">
        <v>107.184</v>
      </c>
      <c r="AJ37" s="383" t="s">
        <v>878</v>
      </c>
      <c r="AK37" s="297">
        <f t="shared" si="13"/>
        <v>0</v>
      </c>
      <c r="AL37" s="294">
        <f t="shared" si="14"/>
        <v>0</v>
      </c>
      <c r="AM37" s="292"/>
      <c r="AN37" s="292"/>
      <c r="AO37" s="295">
        <f>'Unit Savings Calculations'!P33</f>
        <v>107.184</v>
      </c>
      <c r="AP37" s="383" t="s">
        <v>763</v>
      </c>
      <c r="AQ37" s="297">
        <f t="shared" si="15"/>
        <v>0</v>
      </c>
      <c r="AR37" s="294">
        <f t="shared" si="16"/>
        <v>0</v>
      </c>
      <c r="AS37" s="292"/>
      <c r="AT37" s="292"/>
      <c r="AU37" s="295">
        <f>'Unit Savings Calculations'!Q33</f>
        <v>107.184</v>
      </c>
      <c r="AV37" s="383" t="str">
        <f t="shared" si="17"/>
        <v>n/a</v>
      </c>
      <c r="AW37" s="297">
        <f t="shared" si="18"/>
        <v>0</v>
      </c>
      <c r="AX37" s="294">
        <f t="shared" si="19"/>
        <v>0</v>
      </c>
      <c r="AY37" s="297">
        <f t="shared" si="20"/>
        <v>0</v>
      </c>
      <c r="AZ37" s="297">
        <f t="shared" si="21"/>
        <v>0</v>
      </c>
      <c r="BA37" s="297">
        <f t="shared" si="22"/>
        <v>0</v>
      </c>
      <c r="BB37" s="297">
        <f t="shared" si="23"/>
        <v>0</v>
      </c>
      <c r="BC37" s="298">
        <f t="shared" si="24"/>
        <v>0</v>
      </c>
      <c r="BD37" s="292" t="s">
        <v>763</v>
      </c>
      <c r="BE37" s="299" t="str">
        <f t="shared" si="25"/>
        <v>Exhibit 1.5A_R North Shore EEPS_Adjustable_Savings_Goal_Template.xlsx, Unit Savings Calculations Tab</v>
      </c>
      <c r="BF37" s="298">
        <f t="shared" si="26"/>
        <v>0</v>
      </c>
      <c r="BG37" s="298">
        <f t="shared" si="26"/>
        <v>0</v>
      </c>
      <c r="BH37" s="298">
        <f t="shared" si="26"/>
        <v>0</v>
      </c>
      <c r="BI37" s="298">
        <f t="shared" si="26"/>
        <v>0</v>
      </c>
      <c r="BJ37" s="298">
        <f t="shared" si="27"/>
        <v>0</v>
      </c>
      <c r="BK37" s="482">
        <v>11</v>
      </c>
      <c r="BL37" s="482">
        <v>11</v>
      </c>
      <c r="BM37" s="482">
        <f>INDEX('Unit Savings Calculations'!$I$4:$I$421,MATCH('Measure-Level Adjustments Tab'!$A37&amp;"_"&amp;'Measure-Level Adjustments Tab'!$B37,'Unit Savings Calculations'!$A$4:$A$421,0))</f>
        <v>11</v>
      </c>
      <c r="BN37" s="482">
        <f t="shared" si="28"/>
        <v>11</v>
      </c>
      <c r="BO37" s="483">
        <f t="shared" si="29"/>
        <v>0</v>
      </c>
      <c r="BP37" s="483">
        <f t="shared" si="29"/>
        <v>0</v>
      </c>
      <c r="BQ37" s="483">
        <f t="shared" si="29"/>
        <v>0</v>
      </c>
      <c r="BR37" s="483">
        <f t="shared" si="29"/>
        <v>0</v>
      </c>
      <c r="BS37" s="483">
        <f t="shared" si="4"/>
        <v>0</v>
      </c>
    </row>
    <row r="38" spans="1:71" ht="15.75" customHeight="1">
      <c r="A38" s="292" t="str">
        <f>'Unit Savings Calculations'!C34</f>
        <v>Res - SF Assessments</v>
      </c>
      <c r="B38" s="292" t="str">
        <f>'Unit Savings Calculations'!D34</f>
        <v>Advanced Thermostat - Furnace (Replace Programmable)</v>
      </c>
      <c r="C38" s="293">
        <f t="shared" si="30"/>
        <v>1</v>
      </c>
      <c r="D38" s="292" t="str">
        <f>'Unit Savings Calculations'!T34</f>
        <v>5.3.16</v>
      </c>
      <c r="E38" s="438">
        <v>10</v>
      </c>
      <c r="F38" s="438">
        <v>11</v>
      </c>
      <c r="G38" s="292" t="str">
        <f>'Unit Savings Calculations'!E34</f>
        <v>each</v>
      </c>
      <c r="H38" s="294">
        <f>'Unit Savings Calculations'!$F34*'Unit Savings Calculations'!J34</f>
        <v>218</v>
      </c>
      <c r="I38" s="294">
        <f>'Unit Savings Calculations'!$F34*'Unit Savings Calculations'!K34</f>
        <v>218</v>
      </c>
      <c r="J38" s="294">
        <f>'Unit Savings Calculations'!$F34*'Unit Savings Calculations'!L34</f>
        <v>215</v>
      </c>
      <c r="K38" s="294">
        <f>'Unit Savings Calculations'!$F34*'Unit Savings Calculations'!M34</f>
        <v>218</v>
      </c>
      <c r="L38" s="292" t="str">
        <f>'Unit Savings Calculations'!U34</f>
        <v>RS-HVC-ADTH-V02-180101</v>
      </c>
      <c r="M38" s="383" t="str">
        <f>'Unit Savings Calculations'!R34</f>
        <v>Exhibit 1.5A_R North Shore EEPS_Adjustable_Savings_Goal_Template.xlsx, Unit Savings Calculations Tab</v>
      </c>
      <c r="N38" s="295">
        <v>56.28</v>
      </c>
      <c r="O38" s="295">
        <v>56.28</v>
      </c>
      <c r="P38" s="295">
        <v>56.28</v>
      </c>
      <c r="Q38" s="295">
        <v>56.28</v>
      </c>
      <c r="R38" s="296">
        <f>'Unit Savings Calculations'!$G34</f>
        <v>1</v>
      </c>
      <c r="S38" s="296">
        <f>'Unit Savings Calculations'!$G34</f>
        <v>1</v>
      </c>
      <c r="T38" s="296">
        <f>'Unit Savings Calculations'!$G34</f>
        <v>1</v>
      </c>
      <c r="U38" s="296">
        <f>'Unit Savings Calculations'!$G34</f>
        <v>1</v>
      </c>
      <c r="V38" s="297">
        <f t="shared" si="51"/>
        <v>12269.04</v>
      </c>
      <c r="W38" s="297">
        <f t="shared" si="52"/>
        <v>12269.04</v>
      </c>
      <c r="X38" s="297">
        <f t="shared" si="53"/>
        <v>12100.2</v>
      </c>
      <c r="Y38" s="297">
        <f t="shared" si="54"/>
        <v>12269.04</v>
      </c>
      <c r="Z38" s="297">
        <f t="shared" si="55"/>
        <v>48907.32</v>
      </c>
      <c r="AA38" s="292"/>
      <c r="AB38" s="292"/>
      <c r="AC38" s="295">
        <v>56.28</v>
      </c>
      <c r="AD38" s="292"/>
      <c r="AE38" s="297">
        <f t="shared" si="10"/>
        <v>12269.04</v>
      </c>
      <c r="AF38" s="294">
        <f t="shared" si="11"/>
        <v>0</v>
      </c>
      <c r="AG38" s="292"/>
      <c r="AH38" s="292">
        <f t="shared" si="12"/>
        <v>0</v>
      </c>
      <c r="AI38" s="295">
        <v>56.28</v>
      </c>
      <c r="AJ38" s="383" t="s">
        <v>878</v>
      </c>
      <c r="AK38" s="297">
        <f t="shared" si="13"/>
        <v>12269.04</v>
      </c>
      <c r="AL38" s="294">
        <f t="shared" si="14"/>
        <v>0</v>
      </c>
      <c r="AM38" s="292"/>
      <c r="AN38" s="292"/>
      <c r="AO38" s="295">
        <f>'Unit Savings Calculations'!P34</f>
        <v>56.28</v>
      </c>
      <c r="AP38" s="383" t="s">
        <v>763</v>
      </c>
      <c r="AQ38" s="297">
        <f t="shared" si="15"/>
        <v>12100.2</v>
      </c>
      <c r="AR38" s="294">
        <f t="shared" si="16"/>
        <v>0</v>
      </c>
      <c r="AS38" s="292"/>
      <c r="AT38" s="292"/>
      <c r="AU38" s="295">
        <f>'Unit Savings Calculations'!Q34</f>
        <v>56.28</v>
      </c>
      <c r="AV38" s="383" t="str">
        <f t="shared" si="17"/>
        <v>n/a</v>
      </c>
      <c r="AW38" s="297">
        <f t="shared" si="18"/>
        <v>12269.04</v>
      </c>
      <c r="AX38" s="294">
        <f t="shared" si="19"/>
        <v>0</v>
      </c>
      <c r="AY38" s="297">
        <f t="shared" si="20"/>
        <v>12269.04</v>
      </c>
      <c r="AZ38" s="297">
        <f t="shared" si="21"/>
        <v>12269.04</v>
      </c>
      <c r="BA38" s="297">
        <f t="shared" si="22"/>
        <v>12100.2</v>
      </c>
      <c r="BB38" s="297">
        <f t="shared" si="23"/>
        <v>12269.04</v>
      </c>
      <c r="BC38" s="298">
        <f t="shared" si="24"/>
        <v>48907.32</v>
      </c>
      <c r="BD38" s="292" t="s">
        <v>763</v>
      </c>
      <c r="BE38" s="299" t="str">
        <f t="shared" si="25"/>
        <v>Exhibit 1.5A_R North Shore EEPS_Adjustable_Savings_Goal_Template.xlsx, Unit Savings Calculations Tab</v>
      </c>
      <c r="BF38" s="298">
        <f t="shared" si="26"/>
        <v>134959.44</v>
      </c>
      <c r="BG38" s="298">
        <f t="shared" si="26"/>
        <v>134959.44</v>
      </c>
      <c r="BH38" s="298">
        <f t="shared" si="26"/>
        <v>133102.20000000001</v>
      </c>
      <c r="BI38" s="298">
        <f t="shared" si="26"/>
        <v>134959.44</v>
      </c>
      <c r="BJ38" s="298">
        <f t="shared" si="27"/>
        <v>537980.52</v>
      </c>
      <c r="BK38" s="482">
        <v>11</v>
      </c>
      <c r="BL38" s="482">
        <v>11</v>
      </c>
      <c r="BM38" s="482">
        <f>INDEX('Unit Savings Calculations'!$I$4:$I$421,MATCH('Measure-Level Adjustments Tab'!$A38&amp;"_"&amp;'Measure-Level Adjustments Tab'!$B38,'Unit Savings Calculations'!$A$4:$A$421,0))</f>
        <v>11</v>
      </c>
      <c r="BN38" s="482">
        <f t="shared" si="28"/>
        <v>11</v>
      </c>
      <c r="BO38" s="483">
        <f t="shared" si="29"/>
        <v>134959.44</v>
      </c>
      <c r="BP38" s="483">
        <f t="shared" si="29"/>
        <v>134959.44</v>
      </c>
      <c r="BQ38" s="483">
        <f t="shared" si="29"/>
        <v>133102.20000000001</v>
      </c>
      <c r="BR38" s="483">
        <f t="shared" si="29"/>
        <v>134959.44</v>
      </c>
      <c r="BS38" s="483">
        <f t="shared" si="4"/>
        <v>537980.52</v>
      </c>
    </row>
    <row r="39" spans="1:71" ht="15.75" customHeight="1">
      <c r="A39" s="292" t="str">
        <f>'Unit Savings Calculations'!C35</f>
        <v>Res - SF Assessments</v>
      </c>
      <c r="B39" s="292" t="str">
        <f>'Unit Savings Calculations'!D35</f>
        <v>Advanced Thermostat - Boiler (Replace Programmable)</v>
      </c>
      <c r="C39" s="293">
        <f t="shared" si="30"/>
        <v>1</v>
      </c>
      <c r="D39" s="292" t="str">
        <f>'Unit Savings Calculations'!T35</f>
        <v>5.3.16</v>
      </c>
      <c r="E39" s="438">
        <v>10</v>
      </c>
      <c r="F39" s="438">
        <v>11</v>
      </c>
      <c r="G39" s="292" t="str">
        <f>'Unit Savings Calculations'!E35</f>
        <v>each</v>
      </c>
      <c r="H39" s="294">
        <f>'Unit Savings Calculations'!$F35*'Unit Savings Calculations'!J35</f>
        <v>0</v>
      </c>
      <c r="I39" s="294">
        <f>'Unit Savings Calculations'!$F35*'Unit Savings Calculations'!K35</f>
        <v>0</v>
      </c>
      <c r="J39" s="294">
        <f>'Unit Savings Calculations'!$F35*'Unit Savings Calculations'!L35</f>
        <v>0</v>
      </c>
      <c r="K39" s="294">
        <f>'Unit Savings Calculations'!$F35*'Unit Savings Calculations'!M35</f>
        <v>0</v>
      </c>
      <c r="L39" s="292" t="str">
        <f>'Unit Savings Calculations'!U35</f>
        <v>RS-HVC-ADTH-V02-180101</v>
      </c>
      <c r="M39" s="383" t="str">
        <f>'Unit Savings Calculations'!R35</f>
        <v>Exhibit 1.5A_R North Shore EEPS_Adjustable_Savings_Goal_Template.xlsx, Unit Savings Calculations Tab</v>
      </c>
      <c r="N39" s="295">
        <v>68.207999999999998</v>
      </c>
      <c r="O39" s="295">
        <v>68.207999999999998</v>
      </c>
      <c r="P39" s="295">
        <v>68.207999999999998</v>
      </c>
      <c r="Q39" s="295">
        <v>68.207999999999998</v>
      </c>
      <c r="R39" s="296">
        <f>'Unit Savings Calculations'!$G35</f>
        <v>1</v>
      </c>
      <c r="S39" s="296">
        <f>'Unit Savings Calculations'!$G35</f>
        <v>1</v>
      </c>
      <c r="T39" s="296">
        <f>'Unit Savings Calculations'!$G35</f>
        <v>1</v>
      </c>
      <c r="U39" s="296">
        <f>'Unit Savings Calculations'!$G35</f>
        <v>1</v>
      </c>
      <c r="V39" s="297">
        <f t="shared" si="51"/>
        <v>0</v>
      </c>
      <c r="W39" s="297">
        <f t="shared" si="52"/>
        <v>0</v>
      </c>
      <c r="X39" s="297">
        <f t="shared" si="53"/>
        <v>0</v>
      </c>
      <c r="Y39" s="297">
        <f t="shared" si="54"/>
        <v>0</v>
      </c>
      <c r="Z39" s="297">
        <f t="shared" si="55"/>
        <v>0</v>
      </c>
      <c r="AA39" s="292"/>
      <c r="AB39" s="292"/>
      <c r="AC39" s="295">
        <v>68.207999999999998</v>
      </c>
      <c r="AD39" s="292"/>
      <c r="AE39" s="297">
        <f t="shared" si="10"/>
        <v>0</v>
      </c>
      <c r="AF39" s="294">
        <f t="shared" si="11"/>
        <v>0</v>
      </c>
      <c r="AG39" s="292"/>
      <c r="AH39" s="292">
        <f t="shared" si="12"/>
        <v>0</v>
      </c>
      <c r="AI39" s="295">
        <v>68.207999999999998</v>
      </c>
      <c r="AJ39" s="383" t="s">
        <v>878</v>
      </c>
      <c r="AK39" s="297">
        <f t="shared" si="13"/>
        <v>0</v>
      </c>
      <c r="AL39" s="294">
        <f t="shared" si="14"/>
        <v>0</v>
      </c>
      <c r="AM39" s="292"/>
      <c r="AN39" s="292"/>
      <c r="AO39" s="295">
        <f>'Unit Savings Calculations'!P35</f>
        <v>68.207999999999998</v>
      </c>
      <c r="AP39" s="383" t="s">
        <v>763</v>
      </c>
      <c r="AQ39" s="297">
        <f t="shared" si="15"/>
        <v>0</v>
      </c>
      <c r="AR39" s="294">
        <f t="shared" si="16"/>
        <v>0</v>
      </c>
      <c r="AS39" s="292"/>
      <c r="AT39" s="292"/>
      <c r="AU39" s="295">
        <f>'Unit Savings Calculations'!Q35</f>
        <v>68.207999999999998</v>
      </c>
      <c r="AV39" s="383" t="str">
        <f t="shared" si="17"/>
        <v>n/a</v>
      </c>
      <c r="AW39" s="297">
        <f t="shared" si="18"/>
        <v>0</v>
      </c>
      <c r="AX39" s="294">
        <f t="shared" si="19"/>
        <v>0</v>
      </c>
      <c r="AY39" s="297">
        <f t="shared" si="20"/>
        <v>0</v>
      </c>
      <c r="AZ39" s="297">
        <f t="shared" si="21"/>
        <v>0</v>
      </c>
      <c r="BA39" s="297">
        <f t="shared" si="22"/>
        <v>0</v>
      </c>
      <c r="BB39" s="297">
        <f t="shared" si="23"/>
        <v>0</v>
      </c>
      <c r="BC39" s="298">
        <f t="shared" si="24"/>
        <v>0</v>
      </c>
      <c r="BD39" s="292" t="s">
        <v>763</v>
      </c>
      <c r="BE39" s="299" t="str">
        <f t="shared" si="25"/>
        <v>Exhibit 1.5A_R North Shore EEPS_Adjustable_Savings_Goal_Template.xlsx, Unit Savings Calculations Tab</v>
      </c>
      <c r="BF39" s="298">
        <f t="shared" si="26"/>
        <v>0</v>
      </c>
      <c r="BG39" s="298">
        <f t="shared" si="26"/>
        <v>0</v>
      </c>
      <c r="BH39" s="298">
        <f t="shared" si="26"/>
        <v>0</v>
      </c>
      <c r="BI39" s="298">
        <f t="shared" si="26"/>
        <v>0</v>
      </c>
      <c r="BJ39" s="298">
        <f t="shared" si="27"/>
        <v>0</v>
      </c>
      <c r="BK39" s="482">
        <v>11</v>
      </c>
      <c r="BL39" s="482">
        <v>11</v>
      </c>
      <c r="BM39" s="482">
        <f>INDEX('Unit Savings Calculations'!$I$4:$I$421,MATCH('Measure-Level Adjustments Tab'!$A39&amp;"_"&amp;'Measure-Level Adjustments Tab'!$B39,'Unit Savings Calculations'!$A$4:$A$421,0))</f>
        <v>11</v>
      </c>
      <c r="BN39" s="482">
        <f t="shared" si="28"/>
        <v>11</v>
      </c>
      <c r="BO39" s="483">
        <f t="shared" si="29"/>
        <v>0</v>
      </c>
      <c r="BP39" s="483">
        <f t="shared" si="29"/>
        <v>0</v>
      </c>
      <c r="BQ39" s="483">
        <f t="shared" si="29"/>
        <v>0</v>
      </c>
      <c r="BR39" s="483">
        <f t="shared" si="29"/>
        <v>0</v>
      </c>
      <c r="BS39" s="483">
        <f t="shared" si="4"/>
        <v>0</v>
      </c>
    </row>
    <row r="40" spans="1:71" ht="15.75" customHeight="1">
      <c r="A40" s="292" t="str">
        <f>'Unit Savings Calculations'!C36</f>
        <v>Res - SF Assessments</v>
      </c>
      <c r="B40" s="292" t="str">
        <f>'Unit Savings Calculations'!D36</f>
        <v>Thermostat - Reprogram</v>
      </c>
      <c r="C40" s="293">
        <f t="shared" si="30"/>
        <v>1</v>
      </c>
      <c r="D40" s="292" t="str">
        <f>'Unit Savings Calculations'!T36</f>
        <v>5.3.11</v>
      </c>
      <c r="E40" s="438">
        <v>2</v>
      </c>
      <c r="F40" s="438">
        <v>2</v>
      </c>
      <c r="G40" s="292" t="str">
        <f>'Unit Savings Calculations'!E36</f>
        <v>each</v>
      </c>
      <c r="H40" s="294">
        <f>'Unit Savings Calculations'!$F36*'Unit Savings Calculations'!J36</f>
        <v>411</v>
      </c>
      <c r="I40" s="294">
        <f>'Unit Savings Calculations'!$F36*'Unit Savings Calculations'!K36</f>
        <v>411</v>
      </c>
      <c r="J40" s="294">
        <f>'Unit Savings Calculations'!$F36*'Unit Savings Calculations'!L36</f>
        <v>405</v>
      </c>
      <c r="K40" s="294">
        <f>'Unit Savings Calculations'!$F36*'Unit Savings Calculations'!M36</f>
        <v>411</v>
      </c>
      <c r="L40" s="292" t="str">
        <f>'Unit Savings Calculations'!U36</f>
        <v>RS-HVC-PROG-V04-180101</v>
      </c>
      <c r="M40" s="383" t="str">
        <f>'Unit Savings Calculations'!R36</f>
        <v>Exhibit 1.5A_R North Shore EEPS_Adjustable_Savings_Goal_Template.xlsx, Unit Savings Calculations Tab</v>
      </c>
      <c r="N40" s="295">
        <v>62.31</v>
      </c>
      <c r="O40" s="295">
        <v>62.31</v>
      </c>
      <c r="P40" s="295">
        <v>62.31</v>
      </c>
      <c r="Q40" s="295">
        <v>62.31</v>
      </c>
      <c r="R40" s="296">
        <f>'Unit Savings Calculations'!$G36</f>
        <v>0.96</v>
      </c>
      <c r="S40" s="296">
        <f>'Unit Savings Calculations'!$G36</f>
        <v>0.96</v>
      </c>
      <c r="T40" s="296">
        <f>'Unit Savings Calculations'!$G36</f>
        <v>0.96</v>
      </c>
      <c r="U40" s="296">
        <f>'Unit Savings Calculations'!$G36</f>
        <v>0.96</v>
      </c>
      <c r="V40" s="297">
        <f t="shared" si="51"/>
        <v>24585.033599999999</v>
      </c>
      <c r="W40" s="297">
        <f t="shared" si="52"/>
        <v>24585.033599999999</v>
      </c>
      <c r="X40" s="297">
        <f t="shared" si="53"/>
        <v>24226.127999999997</v>
      </c>
      <c r="Y40" s="297">
        <f t="shared" si="54"/>
        <v>24585.033599999999</v>
      </c>
      <c r="Z40" s="297">
        <f t="shared" si="55"/>
        <v>97981.228799999983</v>
      </c>
      <c r="AA40" s="292"/>
      <c r="AB40" s="292"/>
      <c r="AC40" s="295">
        <v>62.31</v>
      </c>
      <c r="AD40" s="292"/>
      <c r="AE40" s="297">
        <f t="shared" si="10"/>
        <v>24585.033599999999</v>
      </c>
      <c r="AF40" s="294">
        <f t="shared" si="11"/>
        <v>0</v>
      </c>
      <c r="AG40" s="292"/>
      <c r="AH40" s="292">
        <f t="shared" si="12"/>
        <v>0</v>
      </c>
      <c r="AI40" s="295">
        <v>62.31</v>
      </c>
      <c r="AJ40" s="383" t="s">
        <v>878</v>
      </c>
      <c r="AK40" s="297">
        <f t="shared" si="13"/>
        <v>24585.033599999999</v>
      </c>
      <c r="AL40" s="294">
        <f t="shared" si="14"/>
        <v>0</v>
      </c>
      <c r="AM40" s="292"/>
      <c r="AN40" s="292"/>
      <c r="AO40" s="295">
        <f>'Unit Savings Calculations'!P36</f>
        <v>62.31</v>
      </c>
      <c r="AP40" s="383" t="s">
        <v>763</v>
      </c>
      <c r="AQ40" s="297">
        <f t="shared" si="15"/>
        <v>24226.127999999997</v>
      </c>
      <c r="AR40" s="294">
        <f t="shared" si="16"/>
        <v>0</v>
      </c>
      <c r="AS40" s="292"/>
      <c r="AT40" s="292"/>
      <c r="AU40" s="295">
        <f>'Unit Savings Calculations'!Q36</f>
        <v>62.31</v>
      </c>
      <c r="AV40" s="383" t="str">
        <f t="shared" si="17"/>
        <v>n/a</v>
      </c>
      <c r="AW40" s="297">
        <f t="shared" si="18"/>
        <v>24585.033599999999</v>
      </c>
      <c r="AX40" s="294">
        <f t="shared" si="19"/>
        <v>0</v>
      </c>
      <c r="AY40" s="297">
        <f t="shared" si="20"/>
        <v>24585.033599999999</v>
      </c>
      <c r="AZ40" s="297">
        <f t="shared" si="21"/>
        <v>24585.033599999999</v>
      </c>
      <c r="BA40" s="297">
        <f t="shared" si="22"/>
        <v>24226.127999999997</v>
      </c>
      <c r="BB40" s="297">
        <f t="shared" si="23"/>
        <v>24585.033599999999</v>
      </c>
      <c r="BC40" s="298">
        <f t="shared" si="24"/>
        <v>97981.228799999983</v>
      </c>
      <c r="BD40" s="292" t="s">
        <v>763</v>
      </c>
      <c r="BE40" s="299" t="str">
        <f t="shared" si="25"/>
        <v>Exhibit 1.5A_R North Shore EEPS_Adjustable_Savings_Goal_Template.xlsx, Unit Savings Calculations Tab</v>
      </c>
      <c r="BF40" s="298">
        <f t="shared" si="26"/>
        <v>49170.067199999998</v>
      </c>
      <c r="BG40" s="298">
        <f t="shared" si="26"/>
        <v>49170.067199999998</v>
      </c>
      <c r="BH40" s="298">
        <f t="shared" si="26"/>
        <v>48452.255999999994</v>
      </c>
      <c r="BI40" s="298">
        <f t="shared" si="26"/>
        <v>49170.067199999998</v>
      </c>
      <c r="BJ40" s="298">
        <f t="shared" si="27"/>
        <v>195962.45759999997</v>
      </c>
      <c r="BK40" s="482">
        <v>2</v>
      </c>
      <c r="BL40" s="482">
        <v>2</v>
      </c>
      <c r="BM40" s="482">
        <f>INDEX('Unit Savings Calculations'!$I$4:$I$421,MATCH('Measure-Level Adjustments Tab'!$A40&amp;"_"&amp;'Measure-Level Adjustments Tab'!$B40,'Unit Savings Calculations'!$A$4:$A$421,0))</f>
        <v>2</v>
      </c>
      <c r="BN40" s="482">
        <f t="shared" si="28"/>
        <v>2</v>
      </c>
      <c r="BO40" s="483">
        <f t="shared" si="29"/>
        <v>49170.067199999998</v>
      </c>
      <c r="BP40" s="483">
        <f t="shared" si="29"/>
        <v>49170.067199999998</v>
      </c>
      <c r="BQ40" s="483">
        <f t="shared" si="29"/>
        <v>48452.255999999994</v>
      </c>
      <c r="BR40" s="483">
        <f t="shared" si="29"/>
        <v>49170.067199999998</v>
      </c>
      <c r="BS40" s="483">
        <f t="shared" si="4"/>
        <v>195962.45759999997</v>
      </c>
    </row>
    <row r="41" spans="1:71" ht="15.75" customHeight="1">
      <c r="A41" s="292" t="str">
        <f>'Unit Savings Calculations'!C37</f>
        <v>Res - MF Assessments</v>
      </c>
      <c r="B41" s="292" t="str">
        <f>'Unit Savings Calculations'!D37</f>
        <v>Bathroom Aerator</v>
      </c>
      <c r="C41" s="293">
        <f t="shared" si="30"/>
        <v>1</v>
      </c>
      <c r="D41" s="292" t="str">
        <f>'Unit Savings Calculations'!T37</f>
        <v>5.4.4</v>
      </c>
      <c r="E41" s="438">
        <v>9</v>
      </c>
      <c r="F41" s="438">
        <v>10</v>
      </c>
      <c r="G41" s="292" t="str">
        <f>'Unit Savings Calculations'!E37</f>
        <v>each</v>
      </c>
      <c r="H41" s="294">
        <f>'Unit Savings Calculations'!$F37*'Unit Savings Calculations'!J37</f>
        <v>564</v>
      </c>
      <c r="I41" s="294">
        <f>'Unit Savings Calculations'!$F37*'Unit Savings Calculations'!K37</f>
        <v>564</v>
      </c>
      <c r="J41" s="294">
        <f>'Unit Savings Calculations'!$F37*'Unit Savings Calculations'!L37</f>
        <v>522</v>
      </c>
      <c r="K41" s="294">
        <f>'Unit Savings Calculations'!$F37*'Unit Savings Calculations'!M37</f>
        <v>564</v>
      </c>
      <c r="L41" s="292" t="str">
        <f>'Unit Savings Calculations'!U37</f>
        <v>RS-HWE-LFFA-V06-180101</v>
      </c>
      <c r="M41" s="383" t="str">
        <f>'Unit Savings Calculations'!R37</f>
        <v>Exhibit 1.5A_R North Shore EEPS_Adjustable_Savings_Goal_Template.xlsx, Unit Savings Calculations Tab</v>
      </c>
      <c r="N41" s="295">
        <v>1.2484689715316413</v>
      </c>
      <c r="O41" s="295">
        <v>1.2484689715316413</v>
      </c>
      <c r="P41" s="295">
        <v>1.2484689715316413</v>
      </c>
      <c r="Q41" s="295">
        <v>1.2484689715316413</v>
      </c>
      <c r="R41" s="296">
        <f>'Unit Savings Calculations'!$G37</f>
        <v>0.85</v>
      </c>
      <c r="S41" s="296">
        <f>'Unit Savings Calculations'!$G37</f>
        <v>0.85</v>
      </c>
      <c r="T41" s="296">
        <f>'Unit Savings Calculations'!$G37</f>
        <v>0.85</v>
      </c>
      <c r="U41" s="296">
        <f>'Unit Savings Calculations'!$G37</f>
        <v>0.85</v>
      </c>
      <c r="V41" s="297">
        <f t="shared" si="51"/>
        <v>598.51602495226882</v>
      </c>
      <c r="W41" s="297">
        <f t="shared" si="52"/>
        <v>598.51602495226882</v>
      </c>
      <c r="X41" s="297">
        <f t="shared" si="53"/>
        <v>553.94568266858926</v>
      </c>
      <c r="Y41" s="297">
        <f t="shared" si="54"/>
        <v>598.51602495226882</v>
      </c>
      <c r="Z41" s="297">
        <f t="shared" si="55"/>
        <v>2349.4937575253957</v>
      </c>
      <c r="AA41" s="292"/>
      <c r="AB41" s="292"/>
      <c r="AC41" s="295">
        <v>1.2484689715316413</v>
      </c>
      <c r="AD41" s="292"/>
      <c r="AE41" s="297">
        <f t="shared" si="10"/>
        <v>598.51602495226882</v>
      </c>
      <c r="AF41" s="294">
        <f t="shared" si="11"/>
        <v>0</v>
      </c>
      <c r="AG41" s="292"/>
      <c r="AH41" s="292">
        <f t="shared" si="12"/>
        <v>0</v>
      </c>
      <c r="AI41" s="295">
        <v>1.6368815404525978</v>
      </c>
      <c r="AJ41" s="383" t="s">
        <v>1016</v>
      </c>
      <c r="AK41" s="297">
        <f t="shared" si="13"/>
        <v>784.72101049297532</v>
      </c>
      <c r="AL41" s="294">
        <f t="shared" si="14"/>
        <v>186.2049855407065</v>
      </c>
      <c r="AM41" s="292"/>
      <c r="AN41" s="292"/>
      <c r="AO41" s="295">
        <f>'Unit Savings Calculations'!P37</f>
        <v>1.6368815404525978</v>
      </c>
      <c r="AP41" s="383" t="s">
        <v>763</v>
      </c>
      <c r="AQ41" s="297">
        <f t="shared" si="15"/>
        <v>726.28433949881764</v>
      </c>
      <c r="AR41" s="294">
        <f t="shared" si="16"/>
        <v>172.33865683022839</v>
      </c>
      <c r="AS41" s="292"/>
      <c r="AT41" s="292"/>
      <c r="AU41" s="295">
        <f>'Unit Savings Calculations'!Q37</f>
        <v>1.6368815404525978</v>
      </c>
      <c r="AV41" s="383" t="str">
        <f t="shared" si="17"/>
        <v>n/a</v>
      </c>
      <c r="AW41" s="297">
        <f t="shared" si="18"/>
        <v>784.72101049297532</v>
      </c>
      <c r="AX41" s="294">
        <f t="shared" si="19"/>
        <v>186.2049855407065</v>
      </c>
      <c r="AY41" s="297">
        <f t="shared" si="20"/>
        <v>598.51602495226882</v>
      </c>
      <c r="AZ41" s="297">
        <f t="shared" si="21"/>
        <v>784.72101049297532</v>
      </c>
      <c r="BA41" s="297">
        <f t="shared" si="22"/>
        <v>726.28433949881764</v>
      </c>
      <c r="BB41" s="297">
        <f t="shared" si="23"/>
        <v>784.72101049297532</v>
      </c>
      <c r="BC41" s="298">
        <f t="shared" si="24"/>
        <v>2894.2423854370372</v>
      </c>
      <c r="BD41" s="292" t="s">
        <v>763</v>
      </c>
      <c r="BE41" s="299" t="str">
        <f t="shared" si="25"/>
        <v>Exhibit 1.5A_R North Shore EEPS_Adjustable_Savings_Goal_Template.xlsx, Unit Savings Calculations Tab</v>
      </c>
      <c r="BF41" s="298">
        <f t="shared" si="26"/>
        <v>5985.160249522688</v>
      </c>
      <c r="BG41" s="298">
        <f t="shared" si="26"/>
        <v>5985.160249522688</v>
      </c>
      <c r="BH41" s="298">
        <f t="shared" si="26"/>
        <v>5539.4568266858923</v>
      </c>
      <c r="BI41" s="298">
        <f t="shared" si="26"/>
        <v>5985.160249522688</v>
      </c>
      <c r="BJ41" s="298">
        <f t="shared" si="27"/>
        <v>23494.937575253956</v>
      </c>
      <c r="BK41" s="482">
        <v>10</v>
      </c>
      <c r="BL41" s="482">
        <v>10</v>
      </c>
      <c r="BM41" s="482">
        <f>INDEX('Unit Savings Calculations'!$I$4:$I$421,MATCH('Measure-Level Adjustments Tab'!$A41&amp;"_"&amp;'Measure-Level Adjustments Tab'!$B41,'Unit Savings Calculations'!$A$4:$A$421,0))</f>
        <v>10</v>
      </c>
      <c r="BN41" s="482">
        <f t="shared" si="28"/>
        <v>10</v>
      </c>
      <c r="BO41" s="483">
        <f t="shared" si="29"/>
        <v>5985.160249522688</v>
      </c>
      <c r="BP41" s="483">
        <f t="shared" si="29"/>
        <v>7847.2101049297535</v>
      </c>
      <c r="BQ41" s="483">
        <f t="shared" si="29"/>
        <v>7262.8433949881764</v>
      </c>
      <c r="BR41" s="483">
        <f t="shared" si="29"/>
        <v>7847.2101049297535</v>
      </c>
      <c r="BS41" s="483">
        <f t="shared" si="4"/>
        <v>28942.423854370372</v>
      </c>
    </row>
    <row r="42" spans="1:71" ht="15.75" customHeight="1">
      <c r="A42" s="292" t="str">
        <f>'Unit Savings Calculations'!C38</f>
        <v>Res - MF Assessments</v>
      </c>
      <c r="B42" s="292" t="str">
        <f>'Unit Savings Calculations'!D38</f>
        <v>Kitchen Aerator</v>
      </c>
      <c r="C42" s="293">
        <f t="shared" si="30"/>
        <v>1</v>
      </c>
      <c r="D42" s="292" t="str">
        <f>'Unit Savings Calculations'!T38</f>
        <v>5.4.4</v>
      </c>
      <c r="E42" s="438">
        <v>9</v>
      </c>
      <c r="F42" s="438">
        <v>10</v>
      </c>
      <c r="G42" s="292" t="str">
        <f>'Unit Savings Calculations'!E38</f>
        <v>each</v>
      </c>
      <c r="H42" s="294">
        <f>'Unit Savings Calculations'!$F38*'Unit Savings Calculations'!J38</f>
        <v>462</v>
      </c>
      <c r="I42" s="294">
        <f>'Unit Savings Calculations'!$F38*'Unit Savings Calculations'!K38</f>
        <v>462</v>
      </c>
      <c r="J42" s="294">
        <f>'Unit Savings Calculations'!$F38*'Unit Savings Calculations'!L38</f>
        <v>427</v>
      </c>
      <c r="K42" s="294">
        <f>'Unit Savings Calculations'!$F38*'Unit Savings Calculations'!M38</f>
        <v>462</v>
      </c>
      <c r="L42" s="292" t="str">
        <f>'Unit Savings Calculations'!U38</f>
        <v>RS-HWE-LFFA-V06-180101</v>
      </c>
      <c r="M42" s="383" t="str">
        <f>'Unit Savings Calculations'!R38</f>
        <v>Exhibit 1.5A_R North Shore EEPS_Adjustable_Savings_Goal_Template.xlsx, Unit Savings Calculations Tab</v>
      </c>
      <c r="N42" s="295">
        <v>5.1269254520350058</v>
      </c>
      <c r="O42" s="295">
        <v>5.1269254520350058</v>
      </c>
      <c r="P42" s="295">
        <v>5.1269254520350058</v>
      </c>
      <c r="Q42" s="295">
        <v>5.1269254520350058</v>
      </c>
      <c r="R42" s="296">
        <f>'Unit Savings Calculations'!$G38</f>
        <v>0.85</v>
      </c>
      <c r="S42" s="296">
        <f>'Unit Savings Calculations'!$G38</f>
        <v>0.85</v>
      </c>
      <c r="T42" s="296">
        <f>'Unit Savings Calculations'!$G38</f>
        <v>0.85</v>
      </c>
      <c r="U42" s="296">
        <f>'Unit Savings Calculations'!$G38</f>
        <v>0.85</v>
      </c>
      <c r="V42" s="297">
        <f t="shared" si="51"/>
        <v>2013.3436250141469</v>
      </c>
      <c r="W42" s="297">
        <f t="shared" si="52"/>
        <v>2013.3436250141469</v>
      </c>
      <c r="X42" s="297">
        <f t="shared" si="53"/>
        <v>1860.8175928161054</v>
      </c>
      <c r="Y42" s="297">
        <f t="shared" si="54"/>
        <v>2013.3436250141469</v>
      </c>
      <c r="Z42" s="297">
        <f t="shared" si="55"/>
        <v>7900.8484678585455</v>
      </c>
      <c r="AA42" s="292"/>
      <c r="AB42" s="292"/>
      <c r="AC42" s="295">
        <v>5.1269254520350058</v>
      </c>
      <c r="AD42" s="292"/>
      <c r="AE42" s="297">
        <f t="shared" si="10"/>
        <v>2013.3436250141469</v>
      </c>
      <c r="AF42" s="294">
        <f t="shared" si="11"/>
        <v>0</v>
      </c>
      <c r="AG42" s="292"/>
      <c r="AH42" s="292">
        <f t="shared" si="12"/>
        <v>0</v>
      </c>
      <c r="AI42" s="295">
        <v>7.8612856931203403</v>
      </c>
      <c r="AJ42" s="383" t="s">
        <v>1016</v>
      </c>
      <c r="AK42" s="297">
        <f t="shared" si="13"/>
        <v>3087.1268916883573</v>
      </c>
      <c r="AL42" s="294">
        <f t="shared" si="14"/>
        <v>1073.7832666742104</v>
      </c>
      <c r="AM42" s="292"/>
      <c r="AN42" s="292"/>
      <c r="AO42" s="295">
        <f>'Unit Savings Calculations'!P38</f>
        <v>7.8612856931203403</v>
      </c>
      <c r="AP42" s="383" t="s">
        <v>763</v>
      </c>
      <c r="AQ42" s="297">
        <f t="shared" si="15"/>
        <v>2853.2536423180277</v>
      </c>
      <c r="AR42" s="294">
        <f t="shared" si="16"/>
        <v>992.4360495019223</v>
      </c>
      <c r="AS42" s="292"/>
      <c r="AT42" s="292"/>
      <c r="AU42" s="295">
        <f>'Unit Savings Calculations'!Q38</f>
        <v>7.8612856931203403</v>
      </c>
      <c r="AV42" s="383" t="str">
        <f t="shared" si="17"/>
        <v>n/a</v>
      </c>
      <c r="AW42" s="297">
        <f t="shared" si="18"/>
        <v>3087.1268916883573</v>
      </c>
      <c r="AX42" s="294">
        <f t="shared" si="19"/>
        <v>1073.7832666742104</v>
      </c>
      <c r="AY42" s="297">
        <f t="shared" si="20"/>
        <v>2013.3436250141469</v>
      </c>
      <c r="AZ42" s="297">
        <f t="shared" si="21"/>
        <v>3087.1268916883573</v>
      </c>
      <c r="BA42" s="297">
        <f t="shared" si="22"/>
        <v>2853.2536423180277</v>
      </c>
      <c r="BB42" s="297">
        <f t="shared" si="23"/>
        <v>3087.1268916883573</v>
      </c>
      <c r="BC42" s="298">
        <f t="shared" si="24"/>
        <v>11040.85105070889</v>
      </c>
      <c r="BD42" s="292" t="s">
        <v>763</v>
      </c>
      <c r="BE42" s="299" t="str">
        <f t="shared" si="25"/>
        <v>Exhibit 1.5A_R North Shore EEPS_Adjustable_Savings_Goal_Template.xlsx, Unit Savings Calculations Tab</v>
      </c>
      <c r="BF42" s="298">
        <f t="shared" si="26"/>
        <v>20133.436250141469</v>
      </c>
      <c r="BG42" s="298">
        <f t="shared" si="26"/>
        <v>20133.436250141469</v>
      </c>
      <c r="BH42" s="298">
        <f t="shared" si="26"/>
        <v>18608.175928161054</v>
      </c>
      <c r="BI42" s="298">
        <f t="shared" si="26"/>
        <v>20133.436250141469</v>
      </c>
      <c r="BJ42" s="298">
        <f t="shared" si="27"/>
        <v>79008.484678585461</v>
      </c>
      <c r="BK42" s="482">
        <v>10</v>
      </c>
      <c r="BL42" s="482">
        <v>10</v>
      </c>
      <c r="BM42" s="482">
        <f>INDEX('Unit Savings Calculations'!$I$4:$I$421,MATCH('Measure-Level Adjustments Tab'!$A42&amp;"_"&amp;'Measure-Level Adjustments Tab'!$B42,'Unit Savings Calculations'!$A$4:$A$421,0))</f>
        <v>10</v>
      </c>
      <c r="BN42" s="482">
        <f t="shared" si="28"/>
        <v>10</v>
      </c>
      <c r="BO42" s="483">
        <f t="shared" si="29"/>
        <v>20133.436250141469</v>
      </c>
      <c r="BP42" s="483">
        <f t="shared" si="29"/>
        <v>30871.268916883571</v>
      </c>
      <c r="BQ42" s="483">
        <f t="shared" si="29"/>
        <v>28532.536423180278</v>
      </c>
      <c r="BR42" s="483">
        <f t="shared" si="29"/>
        <v>30871.268916883571</v>
      </c>
      <c r="BS42" s="483">
        <f t="shared" si="4"/>
        <v>110408.51050708888</v>
      </c>
    </row>
    <row r="43" spans="1:71" ht="15.75" customHeight="1">
      <c r="A43" s="292" t="str">
        <f>'Unit Savings Calculations'!C39</f>
        <v>Res - MF Assessments</v>
      </c>
      <c r="B43" s="292" t="str">
        <f>'Unit Savings Calculations'!D39</f>
        <v>Showerhead</v>
      </c>
      <c r="C43" s="293">
        <f t="shared" si="30"/>
        <v>1</v>
      </c>
      <c r="D43" s="292" t="str">
        <f>'Unit Savings Calculations'!T39</f>
        <v>5.4.5</v>
      </c>
      <c r="E43" s="438">
        <v>10</v>
      </c>
      <c r="F43" s="438">
        <v>10</v>
      </c>
      <c r="G43" s="292" t="str">
        <f>'Unit Savings Calculations'!E39</f>
        <v>each</v>
      </c>
      <c r="H43" s="294">
        <f>'Unit Savings Calculations'!$F39*'Unit Savings Calculations'!J39</f>
        <v>570</v>
      </c>
      <c r="I43" s="294">
        <f>'Unit Savings Calculations'!$F39*'Unit Savings Calculations'!K39</f>
        <v>570</v>
      </c>
      <c r="J43" s="294">
        <f>'Unit Savings Calculations'!$F39*'Unit Savings Calculations'!L39</f>
        <v>527</v>
      </c>
      <c r="K43" s="294">
        <f>'Unit Savings Calculations'!$F39*'Unit Savings Calculations'!M39</f>
        <v>570</v>
      </c>
      <c r="L43" s="292" t="str">
        <f>'Unit Savings Calculations'!U39</f>
        <v>RS-HWE-LFSH-V05-180101</v>
      </c>
      <c r="M43" s="383" t="str">
        <f>'Unit Savings Calculations'!R39</f>
        <v>Exhibit 1.5A_R North Shore EEPS_Adjustable_Savings_Goal_Template.xlsx, Unit Savings Calculations Tab</v>
      </c>
      <c r="N43" s="295">
        <v>17.896352631884998</v>
      </c>
      <c r="O43" s="295">
        <v>17.896352631884998</v>
      </c>
      <c r="P43" s="295">
        <v>17.896352631884998</v>
      </c>
      <c r="Q43" s="295">
        <v>17.896352631884998</v>
      </c>
      <c r="R43" s="296">
        <f>'Unit Savings Calculations'!$G39</f>
        <v>0.85</v>
      </c>
      <c r="S43" s="296">
        <f>'Unit Savings Calculations'!$G39</f>
        <v>0.85</v>
      </c>
      <c r="T43" s="296">
        <f>'Unit Savings Calculations'!$G39</f>
        <v>0.85</v>
      </c>
      <c r="U43" s="296">
        <f>'Unit Savings Calculations'!$G39</f>
        <v>0.85</v>
      </c>
      <c r="V43" s="297">
        <f t="shared" si="51"/>
        <v>8670.7828501482818</v>
      </c>
      <c r="W43" s="297">
        <f t="shared" si="52"/>
        <v>8670.7828501482818</v>
      </c>
      <c r="X43" s="297">
        <f t="shared" si="53"/>
        <v>8016.6711614528849</v>
      </c>
      <c r="Y43" s="297">
        <f t="shared" si="54"/>
        <v>8670.7828501482818</v>
      </c>
      <c r="Z43" s="297">
        <f t="shared" si="55"/>
        <v>34029.01971189773</v>
      </c>
      <c r="AA43" s="292"/>
      <c r="AB43" s="292"/>
      <c r="AC43" s="295">
        <v>17.896352631884998</v>
      </c>
      <c r="AD43" s="292"/>
      <c r="AE43" s="297">
        <f t="shared" si="10"/>
        <v>8670.7828501482818</v>
      </c>
      <c r="AF43" s="294">
        <f t="shared" si="11"/>
        <v>0</v>
      </c>
      <c r="AG43" s="292"/>
      <c r="AH43" s="292">
        <f t="shared" si="12"/>
        <v>0</v>
      </c>
      <c r="AI43" s="295">
        <v>11.319060638970004</v>
      </c>
      <c r="AJ43" s="383" t="s">
        <v>1016</v>
      </c>
      <c r="AK43" s="297">
        <f t="shared" si="13"/>
        <v>5484.084879580967</v>
      </c>
      <c r="AL43" s="294">
        <f t="shared" si="14"/>
        <v>-3186.6979705673148</v>
      </c>
      <c r="AM43" s="292"/>
      <c r="AN43" s="292"/>
      <c r="AO43" s="295">
        <f>'Unit Savings Calculations'!P39</f>
        <v>11.319060638970004</v>
      </c>
      <c r="AP43" s="383" t="s">
        <v>763</v>
      </c>
      <c r="AQ43" s="297">
        <f t="shared" si="15"/>
        <v>5070.3732132266132</v>
      </c>
      <c r="AR43" s="294">
        <f t="shared" si="16"/>
        <v>-2946.2979482262717</v>
      </c>
      <c r="AS43" s="292"/>
      <c r="AT43" s="292"/>
      <c r="AU43" s="295">
        <f>'Unit Savings Calculations'!Q39</f>
        <v>11.319060638970004</v>
      </c>
      <c r="AV43" s="383" t="str">
        <f t="shared" si="17"/>
        <v>n/a</v>
      </c>
      <c r="AW43" s="297">
        <f t="shared" si="18"/>
        <v>5484.084879580967</v>
      </c>
      <c r="AX43" s="294">
        <f t="shared" si="19"/>
        <v>-3186.6979705673148</v>
      </c>
      <c r="AY43" s="297">
        <f t="shared" si="20"/>
        <v>8670.7828501482818</v>
      </c>
      <c r="AZ43" s="297">
        <f t="shared" si="21"/>
        <v>5484.084879580967</v>
      </c>
      <c r="BA43" s="297">
        <f t="shared" si="22"/>
        <v>5070.3732132266132</v>
      </c>
      <c r="BB43" s="297">
        <f t="shared" si="23"/>
        <v>5484.084879580967</v>
      </c>
      <c r="BC43" s="298">
        <f t="shared" si="24"/>
        <v>24709.325822536826</v>
      </c>
      <c r="BD43" s="292" t="s">
        <v>763</v>
      </c>
      <c r="BE43" s="299" t="str">
        <f t="shared" si="25"/>
        <v>Exhibit 1.5A_R North Shore EEPS_Adjustable_Savings_Goal_Template.xlsx, Unit Savings Calculations Tab</v>
      </c>
      <c r="BF43" s="298">
        <f t="shared" si="26"/>
        <v>86707.828501482814</v>
      </c>
      <c r="BG43" s="298">
        <f t="shared" si="26"/>
        <v>86707.828501482814</v>
      </c>
      <c r="BH43" s="298">
        <f t="shared" si="26"/>
        <v>80166.711614528846</v>
      </c>
      <c r="BI43" s="298">
        <f t="shared" si="26"/>
        <v>86707.828501482814</v>
      </c>
      <c r="BJ43" s="298">
        <f t="shared" si="27"/>
        <v>340290.19711897732</v>
      </c>
      <c r="BK43" s="482">
        <v>10</v>
      </c>
      <c r="BL43" s="482">
        <v>10</v>
      </c>
      <c r="BM43" s="482">
        <f>INDEX('Unit Savings Calculations'!$I$4:$I$421,MATCH('Measure-Level Adjustments Tab'!$A43&amp;"_"&amp;'Measure-Level Adjustments Tab'!$B43,'Unit Savings Calculations'!$A$4:$A$421,0))</f>
        <v>10</v>
      </c>
      <c r="BN43" s="482">
        <f t="shared" si="28"/>
        <v>10</v>
      </c>
      <c r="BO43" s="483">
        <f t="shared" si="29"/>
        <v>86707.828501482814</v>
      </c>
      <c r="BP43" s="483">
        <f t="shared" si="29"/>
        <v>54840.848795809667</v>
      </c>
      <c r="BQ43" s="483">
        <f t="shared" si="29"/>
        <v>50703.73213226613</v>
      </c>
      <c r="BR43" s="483">
        <f t="shared" si="29"/>
        <v>54840.848795809667</v>
      </c>
      <c r="BS43" s="483">
        <f t="shared" si="4"/>
        <v>247093.25822536828</v>
      </c>
    </row>
    <row r="44" spans="1:71" ht="15.75" customHeight="1">
      <c r="A44" s="292" t="str">
        <f>'Unit Savings Calculations'!C40</f>
        <v>Res - MF Assessments</v>
      </c>
      <c r="B44" s="292" t="str">
        <f>'Unit Savings Calculations'!D40</f>
        <v>Pipe Insulation (DHW)</v>
      </c>
      <c r="C44" s="293">
        <f t="shared" si="30"/>
        <v>1</v>
      </c>
      <c r="D44" s="292" t="str">
        <f>'Unit Savings Calculations'!T40</f>
        <v>5.4.1</v>
      </c>
      <c r="E44" s="438">
        <v>15</v>
      </c>
      <c r="F44" s="438">
        <v>15</v>
      </c>
      <c r="G44" s="292" t="str">
        <f>'Unit Savings Calculations'!E40</f>
        <v>ft</v>
      </c>
      <c r="H44" s="294">
        <f>'Unit Savings Calculations'!$F40*'Unit Savings Calculations'!J40</f>
        <v>1170</v>
      </c>
      <c r="I44" s="294">
        <f>'Unit Savings Calculations'!$F40*'Unit Savings Calculations'!K40</f>
        <v>1170</v>
      </c>
      <c r="J44" s="294">
        <f>'Unit Savings Calculations'!$F40*'Unit Savings Calculations'!L40</f>
        <v>1083</v>
      </c>
      <c r="K44" s="294">
        <f>'Unit Savings Calculations'!$F40*'Unit Savings Calculations'!M40</f>
        <v>1170</v>
      </c>
      <c r="L44" s="292" t="str">
        <f>'Unit Savings Calculations'!U40</f>
        <v>RS-HVC-PINS-V02-150601</v>
      </c>
      <c r="M44" s="383" t="str">
        <f>'Unit Savings Calculations'!R40</f>
        <v>Exhibit 1.5A_R North Shore EEPS_Adjustable_Savings_Goal_Template.xlsx, Unit Savings Calculations Tab</v>
      </c>
      <c r="N44" s="295">
        <v>0.99123230769230763</v>
      </c>
      <c r="O44" s="295">
        <v>0.99123230769230763</v>
      </c>
      <c r="P44" s="295">
        <v>0.99123230769230763</v>
      </c>
      <c r="Q44" s="295">
        <v>0.99123230769230763</v>
      </c>
      <c r="R44" s="296">
        <f>'Unit Savings Calculations'!$G40</f>
        <v>0.85</v>
      </c>
      <c r="S44" s="296">
        <f>'Unit Savings Calculations'!$G40</f>
        <v>0.85</v>
      </c>
      <c r="T44" s="296">
        <f>'Unit Savings Calculations'!$G40</f>
        <v>0.85</v>
      </c>
      <c r="U44" s="296">
        <f>'Unit Savings Calculations'!$G40</f>
        <v>0.85</v>
      </c>
      <c r="V44" s="297">
        <f t="shared" si="51"/>
        <v>985.78053</v>
      </c>
      <c r="W44" s="297">
        <f t="shared" si="52"/>
        <v>985.78053</v>
      </c>
      <c r="X44" s="297">
        <f t="shared" si="53"/>
        <v>912.47890084615381</v>
      </c>
      <c r="Y44" s="297">
        <f t="shared" si="54"/>
        <v>985.78053</v>
      </c>
      <c r="Z44" s="297">
        <f t="shared" si="55"/>
        <v>3869.8204908461539</v>
      </c>
      <c r="AA44" s="292"/>
      <c r="AB44" s="292"/>
      <c r="AC44" s="295">
        <v>0.99123230769230763</v>
      </c>
      <c r="AD44" s="292"/>
      <c r="AE44" s="297">
        <f t="shared" si="10"/>
        <v>985.78053</v>
      </c>
      <c r="AF44" s="294">
        <f t="shared" si="11"/>
        <v>0</v>
      </c>
      <c r="AG44" s="292"/>
      <c r="AH44" s="292">
        <f t="shared" si="12"/>
        <v>0</v>
      </c>
      <c r="AI44" s="295">
        <v>0.77039653846153844</v>
      </c>
      <c r="AJ44" s="383" t="s">
        <v>1011</v>
      </c>
      <c r="AK44" s="297">
        <f t="shared" si="13"/>
        <v>766.15935749999994</v>
      </c>
      <c r="AL44" s="294">
        <f t="shared" si="14"/>
        <v>-219.62117250000006</v>
      </c>
      <c r="AM44" s="292"/>
      <c r="AN44" s="292"/>
      <c r="AO44" s="295">
        <f>'Unit Savings Calculations'!P40</f>
        <v>0.77039653846153844</v>
      </c>
      <c r="AP44" s="383" t="s">
        <v>763</v>
      </c>
      <c r="AQ44" s="297">
        <f t="shared" si="15"/>
        <v>709.18853348076914</v>
      </c>
      <c r="AR44" s="294">
        <f t="shared" si="16"/>
        <v>-203.29036736538467</v>
      </c>
      <c r="AS44" s="292"/>
      <c r="AT44" s="292"/>
      <c r="AU44" s="295">
        <f>'Unit Savings Calculations'!Q40</f>
        <v>0.77039653846153844</v>
      </c>
      <c r="AV44" s="383" t="str">
        <f t="shared" si="17"/>
        <v>n/a</v>
      </c>
      <c r="AW44" s="297">
        <f t="shared" si="18"/>
        <v>766.15935749999994</v>
      </c>
      <c r="AX44" s="294">
        <f t="shared" si="19"/>
        <v>-219.62117250000006</v>
      </c>
      <c r="AY44" s="297">
        <f t="shared" si="20"/>
        <v>985.78053</v>
      </c>
      <c r="AZ44" s="297">
        <f t="shared" si="21"/>
        <v>766.15935749999994</v>
      </c>
      <c r="BA44" s="297">
        <f t="shared" si="22"/>
        <v>709.18853348076914</v>
      </c>
      <c r="BB44" s="297">
        <f t="shared" si="23"/>
        <v>766.15935749999994</v>
      </c>
      <c r="BC44" s="298">
        <f t="shared" si="24"/>
        <v>3227.2877784807688</v>
      </c>
      <c r="BD44" s="292" t="s">
        <v>763</v>
      </c>
      <c r="BE44" s="299" t="str">
        <f t="shared" si="25"/>
        <v>Exhibit 1.5A_R North Shore EEPS_Adjustable_Savings_Goal_Template.xlsx, Unit Savings Calculations Tab</v>
      </c>
      <c r="BF44" s="298">
        <f t="shared" si="26"/>
        <v>14786.70795</v>
      </c>
      <c r="BG44" s="298">
        <f t="shared" si="26"/>
        <v>14786.70795</v>
      </c>
      <c r="BH44" s="298">
        <f t="shared" si="26"/>
        <v>13687.183512692307</v>
      </c>
      <c r="BI44" s="298">
        <f t="shared" si="26"/>
        <v>14786.70795</v>
      </c>
      <c r="BJ44" s="298">
        <f t="shared" si="27"/>
        <v>58047.3073626923</v>
      </c>
      <c r="BK44" s="482">
        <v>15</v>
      </c>
      <c r="BL44" s="482">
        <v>15</v>
      </c>
      <c r="BM44" s="482">
        <f>INDEX('Unit Savings Calculations'!$I$4:$I$421,MATCH('Measure-Level Adjustments Tab'!$A44&amp;"_"&amp;'Measure-Level Adjustments Tab'!$B44,'Unit Savings Calculations'!$A$4:$A$421,0))</f>
        <v>15</v>
      </c>
      <c r="BN44" s="482">
        <f t="shared" si="28"/>
        <v>15</v>
      </c>
      <c r="BO44" s="483">
        <f t="shared" si="29"/>
        <v>14786.70795</v>
      </c>
      <c r="BP44" s="483">
        <f t="shared" si="29"/>
        <v>11492.390362499998</v>
      </c>
      <c r="BQ44" s="483">
        <f t="shared" si="29"/>
        <v>10637.828002211538</v>
      </c>
      <c r="BR44" s="483">
        <f t="shared" si="29"/>
        <v>11492.390362499998</v>
      </c>
      <c r="BS44" s="483">
        <f t="shared" si="4"/>
        <v>48409.316677211536</v>
      </c>
    </row>
    <row r="45" spans="1:71" ht="15.75" customHeight="1">
      <c r="A45" s="292" t="str">
        <f>'Unit Savings Calculations'!C41</f>
        <v>Res - MF Assessments</v>
      </c>
      <c r="B45" s="292" t="str">
        <f>'Unit Savings Calculations'!D41</f>
        <v>Pipe Insulation (Boiler)</v>
      </c>
      <c r="C45" s="293">
        <f t="shared" si="30"/>
        <v>1</v>
      </c>
      <c r="D45" s="292" t="str">
        <f>'Unit Savings Calculations'!T41</f>
        <v>5.3.2</v>
      </c>
      <c r="E45" s="438">
        <v>15</v>
      </c>
      <c r="F45" s="438">
        <v>15</v>
      </c>
      <c r="G45" s="292" t="str">
        <f>'Unit Savings Calculations'!E41</f>
        <v>ft</v>
      </c>
      <c r="H45" s="294">
        <f>'Unit Savings Calculations'!$F41*'Unit Savings Calculations'!J41</f>
        <v>1170</v>
      </c>
      <c r="I45" s="294">
        <f>'Unit Savings Calculations'!$F41*'Unit Savings Calculations'!K41</f>
        <v>1170</v>
      </c>
      <c r="J45" s="294">
        <f>'Unit Savings Calculations'!$F41*'Unit Savings Calculations'!L41</f>
        <v>1083</v>
      </c>
      <c r="K45" s="294">
        <f>'Unit Savings Calculations'!$F41*'Unit Savings Calculations'!M41</f>
        <v>1170</v>
      </c>
      <c r="L45" s="292" t="str">
        <f>'Unit Savings Calculations'!U41</f>
        <v>RS-HVC-PINS-V02-160601</v>
      </c>
      <c r="M45" s="383" t="str">
        <f>'Unit Savings Calculations'!R41</f>
        <v>Exhibit 1.5A_R North Shore EEPS_Adjustable_Savings_Goal_Template.xlsx, Unit Savings Calculations Tab</v>
      </c>
      <c r="N45" s="295">
        <v>0.41554055468341189</v>
      </c>
      <c r="O45" s="295">
        <v>0.41554055468341189</v>
      </c>
      <c r="P45" s="295">
        <v>0.41554055468341189</v>
      </c>
      <c r="Q45" s="295">
        <v>0.41554055468341189</v>
      </c>
      <c r="R45" s="296">
        <f>'Unit Savings Calculations'!$G41</f>
        <v>0.85</v>
      </c>
      <c r="S45" s="296">
        <f>'Unit Savings Calculations'!$G41</f>
        <v>0.85</v>
      </c>
      <c r="T45" s="296">
        <f>'Unit Savings Calculations'!$G41</f>
        <v>0.85</v>
      </c>
      <c r="U45" s="296">
        <f>'Unit Savings Calculations'!$G41</f>
        <v>0.85</v>
      </c>
      <c r="V45" s="297">
        <f t="shared" si="51"/>
        <v>413.25508163265312</v>
      </c>
      <c r="W45" s="297">
        <f t="shared" si="52"/>
        <v>413.25508163265312</v>
      </c>
      <c r="X45" s="297">
        <f t="shared" si="53"/>
        <v>382.52585761381482</v>
      </c>
      <c r="Y45" s="297">
        <f t="shared" si="54"/>
        <v>413.25508163265312</v>
      </c>
      <c r="Z45" s="297">
        <f t="shared" si="55"/>
        <v>1622.2911025117742</v>
      </c>
      <c r="AA45" s="292"/>
      <c r="AB45" s="292"/>
      <c r="AC45" s="295">
        <v>0.41554055468341189</v>
      </c>
      <c r="AD45" s="292"/>
      <c r="AE45" s="297">
        <f t="shared" si="10"/>
        <v>413.25508163265312</v>
      </c>
      <c r="AF45" s="294">
        <f t="shared" si="11"/>
        <v>0</v>
      </c>
      <c r="AG45" s="292"/>
      <c r="AH45" s="292">
        <f t="shared" si="12"/>
        <v>0</v>
      </c>
      <c r="AI45" s="295">
        <v>0.41554055468341189</v>
      </c>
      <c r="AJ45" s="383" t="s">
        <v>878</v>
      </c>
      <c r="AK45" s="297">
        <f t="shared" si="13"/>
        <v>413.25508163265312</v>
      </c>
      <c r="AL45" s="294">
        <f t="shared" si="14"/>
        <v>0</v>
      </c>
      <c r="AM45" s="292"/>
      <c r="AN45" s="292"/>
      <c r="AO45" s="295">
        <f>'Unit Savings Calculations'!P41</f>
        <v>0.41554055468341189</v>
      </c>
      <c r="AP45" s="383" t="s">
        <v>763</v>
      </c>
      <c r="AQ45" s="297">
        <f t="shared" si="15"/>
        <v>382.52585761381482</v>
      </c>
      <c r="AR45" s="294">
        <f t="shared" si="16"/>
        <v>0</v>
      </c>
      <c r="AS45" s="292"/>
      <c r="AT45" s="292"/>
      <c r="AU45" s="295">
        <f>'Unit Savings Calculations'!Q41</f>
        <v>0.41554055468341189</v>
      </c>
      <c r="AV45" s="383" t="str">
        <f t="shared" si="17"/>
        <v>n/a</v>
      </c>
      <c r="AW45" s="297">
        <f t="shared" si="18"/>
        <v>413.25508163265312</v>
      </c>
      <c r="AX45" s="294">
        <f t="shared" si="19"/>
        <v>0</v>
      </c>
      <c r="AY45" s="297">
        <f t="shared" si="20"/>
        <v>413.25508163265312</v>
      </c>
      <c r="AZ45" s="297">
        <f t="shared" si="21"/>
        <v>413.25508163265312</v>
      </c>
      <c r="BA45" s="297">
        <f t="shared" si="22"/>
        <v>382.52585761381482</v>
      </c>
      <c r="BB45" s="297">
        <f t="shared" si="23"/>
        <v>413.25508163265312</v>
      </c>
      <c r="BC45" s="298">
        <f t="shared" si="24"/>
        <v>1622.2911025117742</v>
      </c>
      <c r="BD45" s="292" t="s">
        <v>763</v>
      </c>
      <c r="BE45" s="299" t="str">
        <f t="shared" si="25"/>
        <v>Exhibit 1.5A_R North Shore EEPS_Adjustable_Savings_Goal_Template.xlsx, Unit Savings Calculations Tab</v>
      </c>
      <c r="BF45" s="298">
        <f t="shared" si="26"/>
        <v>6198.8262244897969</v>
      </c>
      <c r="BG45" s="298">
        <f t="shared" si="26"/>
        <v>6198.8262244897969</v>
      </c>
      <c r="BH45" s="298">
        <f t="shared" si="26"/>
        <v>5737.8878642072223</v>
      </c>
      <c r="BI45" s="298">
        <f t="shared" si="26"/>
        <v>6198.8262244897969</v>
      </c>
      <c r="BJ45" s="298">
        <f t="shared" si="27"/>
        <v>24334.366537676611</v>
      </c>
      <c r="BK45" s="482">
        <v>15</v>
      </c>
      <c r="BL45" s="482">
        <v>15</v>
      </c>
      <c r="BM45" s="482">
        <f>INDEX('Unit Savings Calculations'!$I$4:$I$421,MATCH('Measure-Level Adjustments Tab'!$A45&amp;"_"&amp;'Measure-Level Adjustments Tab'!$B45,'Unit Savings Calculations'!$A$4:$A$421,0))</f>
        <v>15</v>
      </c>
      <c r="BN45" s="482">
        <f t="shared" si="28"/>
        <v>15</v>
      </c>
      <c r="BO45" s="483">
        <f t="shared" si="29"/>
        <v>6198.8262244897969</v>
      </c>
      <c r="BP45" s="483">
        <f t="shared" si="29"/>
        <v>6198.8262244897969</v>
      </c>
      <c r="BQ45" s="483">
        <f t="shared" si="29"/>
        <v>5737.8878642072223</v>
      </c>
      <c r="BR45" s="483">
        <f t="shared" si="29"/>
        <v>6198.8262244897969</v>
      </c>
      <c r="BS45" s="483">
        <f t="shared" si="4"/>
        <v>24334.366537676611</v>
      </c>
    </row>
    <row r="46" spans="1:71" ht="15.75" customHeight="1">
      <c r="A46" s="292" t="str">
        <f>'Unit Savings Calculations'!C42</f>
        <v>Res - MF Assessments</v>
      </c>
      <c r="B46" s="292" t="str">
        <f>'Unit Savings Calculations'!D42</f>
        <v>Programmable Thermostat - Furnace</v>
      </c>
      <c r="C46" s="293">
        <f t="shared" si="30"/>
        <v>1</v>
      </c>
      <c r="D46" s="292" t="str">
        <f>'Unit Savings Calculations'!T42</f>
        <v>5.3.11</v>
      </c>
      <c r="E46" s="438">
        <v>5</v>
      </c>
      <c r="F46" s="438">
        <v>8</v>
      </c>
      <c r="G46" s="292" t="str">
        <f>'Unit Savings Calculations'!E42</f>
        <v>each</v>
      </c>
      <c r="H46" s="294">
        <f>'Unit Savings Calculations'!$F42*'Unit Savings Calculations'!J42</f>
        <v>30</v>
      </c>
      <c r="I46" s="294">
        <f>'Unit Savings Calculations'!$F42*'Unit Savings Calculations'!K42</f>
        <v>30</v>
      </c>
      <c r="J46" s="294">
        <f>'Unit Savings Calculations'!$F42*'Unit Savings Calculations'!L42</f>
        <v>28</v>
      </c>
      <c r="K46" s="294">
        <f>'Unit Savings Calculations'!$F42*'Unit Savings Calculations'!M42</f>
        <v>30</v>
      </c>
      <c r="L46" s="292" t="str">
        <f>'Unit Savings Calculations'!U42</f>
        <v>RS-HVC-PROG-V04-180101</v>
      </c>
      <c r="M46" s="383" t="str">
        <f>'Unit Savings Calculations'!R42</f>
        <v>Exhibit 1.5A_R North Shore EEPS_Adjustable_Savings_Goal_Template.xlsx, Unit Savings Calculations Tab</v>
      </c>
      <c r="N46" s="295">
        <v>40.5015</v>
      </c>
      <c r="O46" s="295">
        <v>40.5015</v>
      </c>
      <c r="P46" s="295">
        <v>40.5015</v>
      </c>
      <c r="Q46" s="295">
        <v>40.5015</v>
      </c>
      <c r="R46" s="296">
        <f>'Unit Savings Calculations'!$G42</f>
        <v>0.85</v>
      </c>
      <c r="S46" s="296">
        <f>'Unit Savings Calculations'!$G42</f>
        <v>0.85</v>
      </c>
      <c r="T46" s="296">
        <f>'Unit Savings Calculations'!$G42</f>
        <v>0.85</v>
      </c>
      <c r="U46" s="296">
        <f>'Unit Savings Calculations'!$G42</f>
        <v>0.85</v>
      </c>
      <c r="V46" s="297">
        <f t="shared" si="51"/>
        <v>1032.7882500000001</v>
      </c>
      <c r="W46" s="297">
        <f t="shared" si="52"/>
        <v>1032.7882500000001</v>
      </c>
      <c r="X46" s="297">
        <f t="shared" si="53"/>
        <v>963.93569999999988</v>
      </c>
      <c r="Y46" s="297">
        <f t="shared" si="54"/>
        <v>1032.7882500000001</v>
      </c>
      <c r="Z46" s="297">
        <f t="shared" si="55"/>
        <v>4062.3004500000002</v>
      </c>
      <c r="AA46" s="292"/>
      <c r="AB46" s="292"/>
      <c r="AC46" s="295">
        <v>40.5015</v>
      </c>
      <c r="AD46" s="292"/>
      <c r="AE46" s="297">
        <f t="shared" si="10"/>
        <v>1032.7882500000001</v>
      </c>
      <c r="AF46" s="294">
        <f t="shared" si="11"/>
        <v>0</v>
      </c>
      <c r="AG46" s="292"/>
      <c r="AH46" s="292">
        <f t="shared" si="12"/>
        <v>0</v>
      </c>
      <c r="AI46" s="295">
        <v>40.5015</v>
      </c>
      <c r="AJ46" s="383" t="s">
        <v>878</v>
      </c>
      <c r="AK46" s="297">
        <f t="shared" si="13"/>
        <v>1032.7882500000001</v>
      </c>
      <c r="AL46" s="294">
        <f t="shared" si="14"/>
        <v>0</v>
      </c>
      <c r="AM46" s="292"/>
      <c r="AN46" s="292"/>
      <c r="AO46" s="295">
        <f>'Unit Savings Calculations'!P42</f>
        <v>40.5015</v>
      </c>
      <c r="AP46" s="383" t="s">
        <v>763</v>
      </c>
      <c r="AQ46" s="297">
        <f t="shared" si="15"/>
        <v>963.93569999999988</v>
      </c>
      <c r="AR46" s="294">
        <f t="shared" si="16"/>
        <v>0</v>
      </c>
      <c r="AS46" s="292"/>
      <c r="AT46" s="292"/>
      <c r="AU46" s="295">
        <f>'Unit Savings Calculations'!Q42</f>
        <v>40.5015</v>
      </c>
      <c r="AV46" s="383" t="str">
        <f t="shared" si="17"/>
        <v>n/a</v>
      </c>
      <c r="AW46" s="297">
        <f t="shared" si="18"/>
        <v>1032.7882500000001</v>
      </c>
      <c r="AX46" s="294">
        <f t="shared" si="19"/>
        <v>0</v>
      </c>
      <c r="AY46" s="297">
        <f t="shared" si="20"/>
        <v>1032.7882500000001</v>
      </c>
      <c r="AZ46" s="297">
        <f t="shared" si="21"/>
        <v>1032.7882500000001</v>
      </c>
      <c r="BA46" s="297">
        <f t="shared" si="22"/>
        <v>963.93569999999988</v>
      </c>
      <c r="BB46" s="297">
        <f t="shared" si="23"/>
        <v>1032.7882500000001</v>
      </c>
      <c r="BC46" s="298">
        <f t="shared" si="24"/>
        <v>4062.3004500000002</v>
      </c>
      <c r="BD46" s="292" t="s">
        <v>763</v>
      </c>
      <c r="BE46" s="299" t="str">
        <f t="shared" si="25"/>
        <v>Exhibit 1.5A_R North Shore EEPS_Adjustable_Savings_Goal_Template.xlsx, Unit Savings Calculations Tab</v>
      </c>
      <c r="BF46" s="298">
        <f t="shared" si="26"/>
        <v>8262.3060000000005</v>
      </c>
      <c r="BG46" s="298">
        <f t="shared" si="26"/>
        <v>8262.3060000000005</v>
      </c>
      <c r="BH46" s="298">
        <f t="shared" si="26"/>
        <v>7711.4855999999991</v>
      </c>
      <c r="BI46" s="298">
        <f t="shared" si="26"/>
        <v>8262.3060000000005</v>
      </c>
      <c r="BJ46" s="298">
        <f t="shared" si="27"/>
        <v>32498.403600000001</v>
      </c>
      <c r="BK46" s="482">
        <v>8</v>
      </c>
      <c r="BL46" s="482">
        <v>8</v>
      </c>
      <c r="BM46" s="482">
        <f>INDEX('Unit Savings Calculations'!$I$4:$I$421,MATCH('Measure-Level Adjustments Tab'!$A46&amp;"_"&amp;'Measure-Level Adjustments Tab'!$B46,'Unit Savings Calculations'!$A$4:$A$421,0))</f>
        <v>8</v>
      </c>
      <c r="BN46" s="482">
        <f t="shared" si="28"/>
        <v>8</v>
      </c>
      <c r="BO46" s="483">
        <f t="shared" si="29"/>
        <v>8262.3060000000005</v>
      </c>
      <c r="BP46" s="483">
        <f t="shared" si="29"/>
        <v>8262.3060000000005</v>
      </c>
      <c r="BQ46" s="483">
        <f t="shared" si="29"/>
        <v>7711.4855999999991</v>
      </c>
      <c r="BR46" s="483">
        <f t="shared" si="29"/>
        <v>8262.3060000000005</v>
      </c>
      <c r="BS46" s="483">
        <f t="shared" si="4"/>
        <v>32498.403600000001</v>
      </c>
    </row>
    <row r="47" spans="1:71" ht="15.75" customHeight="1">
      <c r="A47" s="292" t="str">
        <f>'Unit Savings Calculations'!C43</f>
        <v>Res - MF Assessments</v>
      </c>
      <c r="B47" s="292" t="str">
        <f>'Unit Savings Calculations'!D43</f>
        <v>Programmable Thermostat - Boiler</v>
      </c>
      <c r="C47" s="293">
        <f t="shared" si="30"/>
        <v>1</v>
      </c>
      <c r="D47" s="292" t="str">
        <f>'Unit Savings Calculations'!T43</f>
        <v>5.3.11</v>
      </c>
      <c r="E47" s="438">
        <v>5</v>
      </c>
      <c r="F47" s="438">
        <v>8</v>
      </c>
      <c r="G47" s="292" t="str">
        <f>'Unit Savings Calculations'!E43</f>
        <v>each</v>
      </c>
      <c r="H47" s="294">
        <f>'Unit Savings Calculations'!$F43*'Unit Savings Calculations'!J43</f>
        <v>0</v>
      </c>
      <c r="I47" s="294">
        <f>'Unit Savings Calculations'!$F43*'Unit Savings Calculations'!K43</f>
        <v>0</v>
      </c>
      <c r="J47" s="294">
        <f>'Unit Savings Calculations'!$F43*'Unit Savings Calculations'!L43</f>
        <v>0</v>
      </c>
      <c r="K47" s="294">
        <f>'Unit Savings Calculations'!$F43*'Unit Savings Calculations'!M43</f>
        <v>0</v>
      </c>
      <c r="L47" s="292" t="str">
        <f>'Unit Savings Calculations'!U43</f>
        <v>RS-HVC-PROG-V04-180101</v>
      </c>
      <c r="M47" s="383" t="str">
        <f>'Unit Savings Calculations'!R43</f>
        <v>Exhibit 1.5A_R North Shore EEPS_Adjustable_Savings_Goal_Template.xlsx, Unit Savings Calculations Tab</v>
      </c>
      <c r="N47" s="295">
        <v>49.085400000000007</v>
      </c>
      <c r="O47" s="295">
        <v>49.085400000000007</v>
      </c>
      <c r="P47" s="295">
        <v>49.085400000000007</v>
      </c>
      <c r="Q47" s="295">
        <v>49.085400000000007</v>
      </c>
      <c r="R47" s="296">
        <f>'Unit Savings Calculations'!$G43</f>
        <v>0.85</v>
      </c>
      <c r="S47" s="296">
        <f>'Unit Savings Calculations'!$G43</f>
        <v>0.85</v>
      </c>
      <c r="T47" s="296">
        <f>'Unit Savings Calculations'!$G43</f>
        <v>0.85</v>
      </c>
      <c r="U47" s="296">
        <f>'Unit Savings Calculations'!$G43</f>
        <v>0.85</v>
      </c>
      <c r="V47" s="297">
        <f t="shared" si="51"/>
        <v>0</v>
      </c>
      <c r="W47" s="297">
        <f t="shared" si="52"/>
        <v>0</v>
      </c>
      <c r="X47" s="297">
        <f t="shared" si="53"/>
        <v>0</v>
      </c>
      <c r="Y47" s="297">
        <f t="shared" si="54"/>
        <v>0</v>
      </c>
      <c r="Z47" s="297">
        <f t="shared" si="55"/>
        <v>0</v>
      </c>
      <c r="AA47" s="292"/>
      <c r="AB47" s="292"/>
      <c r="AC47" s="295">
        <v>49.085400000000007</v>
      </c>
      <c r="AD47" s="292"/>
      <c r="AE47" s="297">
        <f t="shared" si="10"/>
        <v>0</v>
      </c>
      <c r="AF47" s="294">
        <f t="shared" si="11"/>
        <v>0</v>
      </c>
      <c r="AG47" s="292"/>
      <c r="AH47" s="292">
        <f t="shared" si="12"/>
        <v>0</v>
      </c>
      <c r="AI47" s="295">
        <v>49.085400000000007</v>
      </c>
      <c r="AJ47" s="383" t="s">
        <v>878</v>
      </c>
      <c r="AK47" s="297">
        <f t="shared" si="13"/>
        <v>0</v>
      </c>
      <c r="AL47" s="294">
        <f t="shared" si="14"/>
        <v>0</v>
      </c>
      <c r="AM47" s="292"/>
      <c r="AN47" s="292"/>
      <c r="AO47" s="295">
        <f>'Unit Savings Calculations'!P43</f>
        <v>49.085400000000007</v>
      </c>
      <c r="AP47" s="383" t="s">
        <v>763</v>
      </c>
      <c r="AQ47" s="297">
        <f t="shared" si="15"/>
        <v>0</v>
      </c>
      <c r="AR47" s="294">
        <f t="shared" si="16"/>
        <v>0</v>
      </c>
      <c r="AS47" s="292"/>
      <c r="AT47" s="292"/>
      <c r="AU47" s="295">
        <f>'Unit Savings Calculations'!Q43</f>
        <v>49.085400000000007</v>
      </c>
      <c r="AV47" s="383" t="str">
        <f t="shared" si="17"/>
        <v>n/a</v>
      </c>
      <c r="AW47" s="297">
        <f t="shared" si="18"/>
        <v>0</v>
      </c>
      <c r="AX47" s="294">
        <f t="shared" si="19"/>
        <v>0</v>
      </c>
      <c r="AY47" s="297">
        <f t="shared" si="20"/>
        <v>0</v>
      </c>
      <c r="AZ47" s="297">
        <f t="shared" si="21"/>
        <v>0</v>
      </c>
      <c r="BA47" s="297">
        <f t="shared" si="22"/>
        <v>0</v>
      </c>
      <c r="BB47" s="297">
        <f t="shared" si="23"/>
        <v>0</v>
      </c>
      <c r="BC47" s="298">
        <f t="shared" si="24"/>
        <v>0</v>
      </c>
      <c r="BD47" s="292" t="s">
        <v>763</v>
      </c>
      <c r="BE47" s="299" t="str">
        <f t="shared" si="25"/>
        <v>Exhibit 1.5A_R North Shore EEPS_Adjustable_Savings_Goal_Template.xlsx, Unit Savings Calculations Tab</v>
      </c>
      <c r="BF47" s="298">
        <f t="shared" si="26"/>
        <v>0</v>
      </c>
      <c r="BG47" s="298">
        <f t="shared" si="26"/>
        <v>0</v>
      </c>
      <c r="BH47" s="298">
        <f t="shared" si="26"/>
        <v>0</v>
      </c>
      <c r="BI47" s="298">
        <f t="shared" si="26"/>
        <v>0</v>
      </c>
      <c r="BJ47" s="298">
        <f t="shared" si="27"/>
        <v>0</v>
      </c>
      <c r="BK47" s="482">
        <v>8</v>
      </c>
      <c r="BL47" s="482">
        <v>8</v>
      </c>
      <c r="BM47" s="482">
        <f>INDEX('Unit Savings Calculations'!$I$4:$I$421,MATCH('Measure-Level Adjustments Tab'!$A47&amp;"_"&amp;'Measure-Level Adjustments Tab'!$B47,'Unit Savings Calculations'!$A$4:$A$421,0))</f>
        <v>8</v>
      </c>
      <c r="BN47" s="482">
        <f t="shared" si="28"/>
        <v>8</v>
      </c>
      <c r="BO47" s="483">
        <f t="shared" si="29"/>
        <v>0</v>
      </c>
      <c r="BP47" s="483">
        <f t="shared" si="29"/>
        <v>0</v>
      </c>
      <c r="BQ47" s="483">
        <f t="shared" si="29"/>
        <v>0</v>
      </c>
      <c r="BR47" s="483">
        <f t="shared" si="29"/>
        <v>0</v>
      </c>
      <c r="BS47" s="483">
        <f t="shared" si="4"/>
        <v>0</v>
      </c>
    </row>
    <row r="48" spans="1:71" ht="15.75" customHeight="1">
      <c r="A48" s="292" t="str">
        <f>'Unit Savings Calculations'!C44</f>
        <v>Res - MF Assessments</v>
      </c>
      <c r="B48" s="292" t="str">
        <f>'Unit Savings Calculations'!D44</f>
        <v>Advanced Thermostat - Furnace (Replace Manual)</v>
      </c>
      <c r="C48" s="293">
        <f t="shared" si="30"/>
        <v>1</v>
      </c>
      <c r="D48" s="292" t="str">
        <f>'Unit Savings Calculations'!T44</f>
        <v>5.3.16</v>
      </c>
      <c r="E48" s="438">
        <v>10</v>
      </c>
      <c r="F48" s="438">
        <v>11</v>
      </c>
      <c r="G48" s="292" t="str">
        <f>'Unit Savings Calculations'!E44</f>
        <v>each</v>
      </c>
      <c r="H48" s="294">
        <f>'Unit Savings Calculations'!$F44*'Unit Savings Calculations'!J44</f>
        <v>12</v>
      </c>
      <c r="I48" s="294">
        <f>'Unit Savings Calculations'!$F44*'Unit Savings Calculations'!K44</f>
        <v>12</v>
      </c>
      <c r="J48" s="294">
        <f>'Unit Savings Calculations'!$F44*'Unit Savings Calculations'!L44</f>
        <v>11</v>
      </c>
      <c r="K48" s="294">
        <f>'Unit Savings Calculations'!$F44*'Unit Savings Calculations'!M44</f>
        <v>12</v>
      </c>
      <c r="L48" s="292" t="str">
        <f>'Unit Savings Calculations'!U44</f>
        <v>RS-HVC-ADTH-V02-180101</v>
      </c>
      <c r="M48" s="383" t="str">
        <f>'Unit Savings Calculations'!R44</f>
        <v>Exhibit 1.5A_R North Shore EEPS_Adjustable_Savings_Goal_Template.xlsx, Unit Savings Calculations Tab</v>
      </c>
      <c r="N48" s="295">
        <v>57.485999999999997</v>
      </c>
      <c r="O48" s="295">
        <v>57.485999999999997</v>
      </c>
      <c r="P48" s="295">
        <v>57.485999999999997</v>
      </c>
      <c r="Q48" s="295">
        <v>57.485999999999997</v>
      </c>
      <c r="R48" s="296">
        <f>'Unit Savings Calculations'!$G44</f>
        <v>1</v>
      </c>
      <c r="S48" s="296">
        <f>'Unit Savings Calculations'!$G44</f>
        <v>1</v>
      </c>
      <c r="T48" s="296">
        <f>'Unit Savings Calculations'!$G44</f>
        <v>1</v>
      </c>
      <c r="U48" s="296">
        <f>'Unit Savings Calculations'!$G44</f>
        <v>1</v>
      </c>
      <c r="V48" s="297">
        <f t="shared" si="51"/>
        <v>689.83199999999999</v>
      </c>
      <c r="W48" s="297">
        <f t="shared" si="52"/>
        <v>689.83199999999999</v>
      </c>
      <c r="X48" s="297">
        <f t="shared" si="53"/>
        <v>632.346</v>
      </c>
      <c r="Y48" s="297">
        <f t="shared" si="54"/>
        <v>689.83199999999999</v>
      </c>
      <c r="Z48" s="297">
        <f t="shared" si="55"/>
        <v>2701.8420000000001</v>
      </c>
      <c r="AA48" s="292"/>
      <c r="AB48" s="292"/>
      <c r="AC48" s="295">
        <v>57.485999999999997</v>
      </c>
      <c r="AD48" s="292"/>
      <c r="AE48" s="297">
        <f t="shared" si="10"/>
        <v>689.83199999999999</v>
      </c>
      <c r="AF48" s="294">
        <f t="shared" si="11"/>
        <v>0</v>
      </c>
      <c r="AG48" s="292"/>
      <c r="AH48" s="292">
        <f t="shared" si="12"/>
        <v>0</v>
      </c>
      <c r="AI48" s="295">
        <v>57.485999999999997</v>
      </c>
      <c r="AJ48" s="383" t="s">
        <v>878</v>
      </c>
      <c r="AK48" s="297">
        <f t="shared" si="13"/>
        <v>689.83199999999999</v>
      </c>
      <c r="AL48" s="294">
        <f t="shared" si="14"/>
        <v>0</v>
      </c>
      <c r="AM48" s="292"/>
      <c r="AN48" s="292"/>
      <c r="AO48" s="295">
        <f>'Unit Savings Calculations'!P44</f>
        <v>57.485999999999997</v>
      </c>
      <c r="AP48" s="383" t="s">
        <v>763</v>
      </c>
      <c r="AQ48" s="297">
        <f t="shared" si="15"/>
        <v>632.346</v>
      </c>
      <c r="AR48" s="294">
        <f t="shared" si="16"/>
        <v>0</v>
      </c>
      <c r="AS48" s="292"/>
      <c r="AT48" s="292"/>
      <c r="AU48" s="295">
        <f>'Unit Savings Calculations'!Q44</f>
        <v>57.485999999999997</v>
      </c>
      <c r="AV48" s="383" t="str">
        <f t="shared" si="17"/>
        <v>n/a</v>
      </c>
      <c r="AW48" s="297">
        <f t="shared" si="18"/>
        <v>689.83199999999999</v>
      </c>
      <c r="AX48" s="294">
        <f t="shared" si="19"/>
        <v>0</v>
      </c>
      <c r="AY48" s="297">
        <f t="shared" si="20"/>
        <v>689.83199999999999</v>
      </c>
      <c r="AZ48" s="297">
        <f t="shared" si="21"/>
        <v>689.83199999999999</v>
      </c>
      <c r="BA48" s="297">
        <f t="shared" si="22"/>
        <v>632.346</v>
      </c>
      <c r="BB48" s="297">
        <f t="shared" si="23"/>
        <v>689.83199999999999</v>
      </c>
      <c r="BC48" s="298">
        <f t="shared" si="24"/>
        <v>2701.8420000000001</v>
      </c>
      <c r="BD48" s="292" t="s">
        <v>763</v>
      </c>
      <c r="BE48" s="299" t="str">
        <f t="shared" si="25"/>
        <v>Exhibit 1.5A_R North Shore EEPS_Adjustable_Savings_Goal_Template.xlsx, Unit Savings Calculations Tab</v>
      </c>
      <c r="BF48" s="298">
        <f t="shared" si="26"/>
        <v>7588.152</v>
      </c>
      <c r="BG48" s="298">
        <f t="shared" si="26"/>
        <v>7588.152</v>
      </c>
      <c r="BH48" s="298">
        <f t="shared" si="26"/>
        <v>6955.8060000000005</v>
      </c>
      <c r="BI48" s="298">
        <f t="shared" si="26"/>
        <v>7588.152</v>
      </c>
      <c r="BJ48" s="298">
        <f t="shared" si="27"/>
        <v>29720.262000000002</v>
      </c>
      <c r="BK48" s="482">
        <v>11</v>
      </c>
      <c r="BL48" s="482">
        <v>11</v>
      </c>
      <c r="BM48" s="482">
        <f>INDEX('Unit Savings Calculations'!$I$4:$I$421,MATCH('Measure-Level Adjustments Tab'!$A48&amp;"_"&amp;'Measure-Level Adjustments Tab'!$B48,'Unit Savings Calculations'!$A$4:$A$421,0))</f>
        <v>11</v>
      </c>
      <c r="BN48" s="482">
        <f t="shared" si="28"/>
        <v>11</v>
      </c>
      <c r="BO48" s="483">
        <f t="shared" si="29"/>
        <v>7588.152</v>
      </c>
      <c r="BP48" s="483">
        <f t="shared" si="29"/>
        <v>7588.152</v>
      </c>
      <c r="BQ48" s="483">
        <f t="shared" si="29"/>
        <v>6955.8060000000005</v>
      </c>
      <c r="BR48" s="483">
        <f t="shared" si="29"/>
        <v>7588.152</v>
      </c>
      <c r="BS48" s="483">
        <f t="shared" si="4"/>
        <v>29720.262000000002</v>
      </c>
    </row>
    <row r="49" spans="1:71" ht="15.75" customHeight="1">
      <c r="A49" s="292" t="str">
        <f>'Unit Savings Calculations'!C45</f>
        <v>Res - MF Assessments</v>
      </c>
      <c r="B49" s="292" t="str">
        <f>'Unit Savings Calculations'!D45</f>
        <v>Advanced Thermostat - Boiler (Replace Manual)</v>
      </c>
      <c r="C49" s="293">
        <f t="shared" si="30"/>
        <v>1</v>
      </c>
      <c r="D49" s="292" t="str">
        <f>'Unit Savings Calculations'!T45</f>
        <v>5.3.16</v>
      </c>
      <c r="E49" s="438">
        <v>10</v>
      </c>
      <c r="F49" s="438">
        <v>11</v>
      </c>
      <c r="G49" s="292" t="str">
        <f>'Unit Savings Calculations'!E45</f>
        <v>each</v>
      </c>
      <c r="H49" s="294">
        <f>'Unit Savings Calculations'!$F45*'Unit Savings Calculations'!J45</f>
        <v>0</v>
      </c>
      <c r="I49" s="294">
        <f>'Unit Savings Calculations'!$F45*'Unit Savings Calculations'!K45</f>
        <v>0</v>
      </c>
      <c r="J49" s="294">
        <f>'Unit Savings Calculations'!$F45*'Unit Savings Calculations'!L45</f>
        <v>0</v>
      </c>
      <c r="K49" s="294">
        <f>'Unit Savings Calculations'!$F45*'Unit Savings Calculations'!M45</f>
        <v>0</v>
      </c>
      <c r="L49" s="292" t="str">
        <f>'Unit Savings Calculations'!U45</f>
        <v>RS-HVC-ADTH-V02-180101</v>
      </c>
      <c r="M49" s="383" t="str">
        <f>'Unit Savings Calculations'!R45</f>
        <v>Exhibit 1.5A_R North Shore EEPS_Adjustable_Savings_Goal_Template.xlsx, Unit Savings Calculations Tab</v>
      </c>
      <c r="N49" s="295">
        <v>69.669600000000003</v>
      </c>
      <c r="O49" s="295">
        <v>69.669600000000003</v>
      </c>
      <c r="P49" s="295">
        <v>69.669600000000003</v>
      </c>
      <c r="Q49" s="295">
        <v>69.669600000000003</v>
      </c>
      <c r="R49" s="296">
        <f>'Unit Savings Calculations'!$G45</f>
        <v>1</v>
      </c>
      <c r="S49" s="296">
        <f>'Unit Savings Calculations'!$G45</f>
        <v>1</v>
      </c>
      <c r="T49" s="296">
        <f>'Unit Savings Calculations'!$G45</f>
        <v>1</v>
      </c>
      <c r="U49" s="296">
        <f>'Unit Savings Calculations'!$G45</f>
        <v>1</v>
      </c>
      <c r="V49" s="297">
        <f t="shared" si="51"/>
        <v>0</v>
      </c>
      <c r="W49" s="297">
        <f t="shared" si="52"/>
        <v>0</v>
      </c>
      <c r="X49" s="297">
        <f t="shared" si="53"/>
        <v>0</v>
      </c>
      <c r="Y49" s="297">
        <f t="shared" si="54"/>
        <v>0</v>
      </c>
      <c r="Z49" s="297">
        <f t="shared" si="55"/>
        <v>0</v>
      </c>
      <c r="AA49" s="292"/>
      <c r="AB49" s="292"/>
      <c r="AC49" s="295">
        <v>69.669600000000003</v>
      </c>
      <c r="AD49" s="292"/>
      <c r="AE49" s="297">
        <f t="shared" si="10"/>
        <v>0</v>
      </c>
      <c r="AF49" s="294">
        <f t="shared" si="11"/>
        <v>0</v>
      </c>
      <c r="AG49" s="292"/>
      <c r="AH49" s="292">
        <f t="shared" si="12"/>
        <v>0</v>
      </c>
      <c r="AI49" s="295">
        <v>69.669600000000003</v>
      </c>
      <c r="AJ49" s="383" t="s">
        <v>878</v>
      </c>
      <c r="AK49" s="297">
        <f t="shared" si="13"/>
        <v>0</v>
      </c>
      <c r="AL49" s="294">
        <f t="shared" si="14"/>
        <v>0</v>
      </c>
      <c r="AM49" s="292"/>
      <c r="AN49" s="292"/>
      <c r="AO49" s="295">
        <f>'Unit Savings Calculations'!P45</f>
        <v>69.669600000000003</v>
      </c>
      <c r="AP49" s="383" t="s">
        <v>763</v>
      </c>
      <c r="AQ49" s="297">
        <f t="shared" si="15"/>
        <v>0</v>
      </c>
      <c r="AR49" s="294">
        <f t="shared" si="16"/>
        <v>0</v>
      </c>
      <c r="AS49" s="292"/>
      <c r="AT49" s="292"/>
      <c r="AU49" s="295">
        <f>'Unit Savings Calculations'!Q45</f>
        <v>69.669600000000003</v>
      </c>
      <c r="AV49" s="383" t="str">
        <f t="shared" si="17"/>
        <v>n/a</v>
      </c>
      <c r="AW49" s="297">
        <f t="shared" si="18"/>
        <v>0</v>
      </c>
      <c r="AX49" s="294">
        <f t="shared" si="19"/>
        <v>0</v>
      </c>
      <c r="AY49" s="297">
        <f t="shared" si="20"/>
        <v>0</v>
      </c>
      <c r="AZ49" s="297">
        <f t="shared" si="21"/>
        <v>0</v>
      </c>
      <c r="BA49" s="297">
        <f t="shared" si="22"/>
        <v>0</v>
      </c>
      <c r="BB49" s="297">
        <f t="shared" si="23"/>
        <v>0</v>
      </c>
      <c r="BC49" s="298">
        <f t="shared" si="24"/>
        <v>0</v>
      </c>
      <c r="BD49" s="292" t="s">
        <v>763</v>
      </c>
      <c r="BE49" s="299" t="str">
        <f t="shared" si="25"/>
        <v>Exhibit 1.5A_R North Shore EEPS_Adjustable_Savings_Goal_Template.xlsx, Unit Savings Calculations Tab</v>
      </c>
      <c r="BF49" s="298">
        <f t="shared" si="26"/>
        <v>0</v>
      </c>
      <c r="BG49" s="298">
        <f t="shared" si="26"/>
        <v>0</v>
      </c>
      <c r="BH49" s="298">
        <f t="shared" si="26"/>
        <v>0</v>
      </c>
      <c r="BI49" s="298">
        <f t="shared" si="26"/>
        <v>0</v>
      </c>
      <c r="BJ49" s="298">
        <f t="shared" si="27"/>
        <v>0</v>
      </c>
      <c r="BK49" s="482">
        <v>11</v>
      </c>
      <c r="BL49" s="482">
        <v>11</v>
      </c>
      <c r="BM49" s="482">
        <f>INDEX('Unit Savings Calculations'!$I$4:$I$421,MATCH('Measure-Level Adjustments Tab'!$A49&amp;"_"&amp;'Measure-Level Adjustments Tab'!$B49,'Unit Savings Calculations'!$A$4:$A$421,0))</f>
        <v>11</v>
      </c>
      <c r="BN49" s="482">
        <f t="shared" si="28"/>
        <v>11</v>
      </c>
      <c r="BO49" s="483">
        <f t="shared" si="29"/>
        <v>0</v>
      </c>
      <c r="BP49" s="483">
        <f t="shared" si="29"/>
        <v>0</v>
      </c>
      <c r="BQ49" s="483">
        <f t="shared" si="29"/>
        <v>0</v>
      </c>
      <c r="BR49" s="483">
        <f t="shared" si="29"/>
        <v>0</v>
      </c>
      <c r="BS49" s="483">
        <f t="shared" si="4"/>
        <v>0</v>
      </c>
    </row>
    <row r="50" spans="1:71" ht="15.75" customHeight="1">
      <c r="A50" s="292" t="str">
        <f>'Unit Savings Calculations'!C46</f>
        <v>Res - MF Assessments</v>
      </c>
      <c r="B50" s="292" t="str">
        <f>'Unit Savings Calculations'!D46</f>
        <v>Advanced Thermostat - Furnace (Replace Programmable)</v>
      </c>
      <c r="C50" s="293">
        <f t="shared" si="30"/>
        <v>1</v>
      </c>
      <c r="D50" s="292" t="str">
        <f>'Unit Savings Calculations'!T46</f>
        <v>5.3.16</v>
      </c>
      <c r="E50" s="438">
        <v>10</v>
      </c>
      <c r="F50" s="438">
        <v>11</v>
      </c>
      <c r="G50" s="292" t="str">
        <f>'Unit Savings Calculations'!E46</f>
        <v>each</v>
      </c>
      <c r="H50" s="294">
        <f>'Unit Savings Calculations'!$F46*'Unit Savings Calculations'!J46</f>
        <v>12</v>
      </c>
      <c r="I50" s="294">
        <f>'Unit Savings Calculations'!$F46*'Unit Savings Calculations'!K46</f>
        <v>12</v>
      </c>
      <c r="J50" s="294">
        <f>'Unit Savings Calculations'!$F46*'Unit Savings Calculations'!L46</f>
        <v>11</v>
      </c>
      <c r="K50" s="294">
        <f>'Unit Savings Calculations'!$F46*'Unit Savings Calculations'!M46</f>
        <v>12</v>
      </c>
      <c r="L50" s="292" t="str">
        <f>'Unit Savings Calculations'!U46</f>
        <v>RS-HVC-ADTH-V02-180101</v>
      </c>
      <c r="M50" s="383" t="str">
        <f>'Unit Savings Calculations'!R46</f>
        <v>Exhibit 1.5A_R North Shore EEPS_Adjustable_Savings_Goal_Template.xlsx, Unit Savings Calculations Tab</v>
      </c>
      <c r="N50" s="295">
        <v>36.582000000000001</v>
      </c>
      <c r="O50" s="295">
        <v>36.582000000000001</v>
      </c>
      <c r="P50" s="295">
        <v>36.582000000000001</v>
      </c>
      <c r="Q50" s="295">
        <v>36.582000000000001</v>
      </c>
      <c r="R50" s="296">
        <f>'Unit Savings Calculations'!$G46</f>
        <v>1</v>
      </c>
      <c r="S50" s="296">
        <f>'Unit Savings Calculations'!$G46</f>
        <v>1</v>
      </c>
      <c r="T50" s="296">
        <f>'Unit Savings Calculations'!$G46</f>
        <v>1</v>
      </c>
      <c r="U50" s="296">
        <f>'Unit Savings Calculations'!$G46</f>
        <v>1</v>
      </c>
      <c r="V50" s="297">
        <f t="shared" si="51"/>
        <v>438.98400000000004</v>
      </c>
      <c r="W50" s="297">
        <f t="shared" si="52"/>
        <v>438.98400000000004</v>
      </c>
      <c r="X50" s="297">
        <f t="shared" si="53"/>
        <v>402.40199999999999</v>
      </c>
      <c r="Y50" s="297">
        <f t="shared" si="54"/>
        <v>438.98400000000004</v>
      </c>
      <c r="Z50" s="297">
        <f t="shared" si="55"/>
        <v>1719.3540000000003</v>
      </c>
      <c r="AA50" s="292"/>
      <c r="AB50" s="292"/>
      <c r="AC50" s="295">
        <v>36.582000000000001</v>
      </c>
      <c r="AD50" s="292"/>
      <c r="AE50" s="297">
        <f t="shared" si="10"/>
        <v>438.98400000000004</v>
      </c>
      <c r="AF50" s="294">
        <f t="shared" si="11"/>
        <v>0</v>
      </c>
      <c r="AG50" s="292"/>
      <c r="AH50" s="292">
        <f t="shared" si="12"/>
        <v>0</v>
      </c>
      <c r="AI50" s="295">
        <v>36.582000000000001</v>
      </c>
      <c r="AJ50" s="383" t="s">
        <v>878</v>
      </c>
      <c r="AK50" s="297">
        <f t="shared" si="13"/>
        <v>438.98400000000004</v>
      </c>
      <c r="AL50" s="294">
        <f t="shared" si="14"/>
        <v>0</v>
      </c>
      <c r="AM50" s="292"/>
      <c r="AN50" s="292"/>
      <c r="AO50" s="295">
        <f>'Unit Savings Calculations'!P46</f>
        <v>36.582000000000001</v>
      </c>
      <c r="AP50" s="383" t="s">
        <v>763</v>
      </c>
      <c r="AQ50" s="297">
        <f t="shared" si="15"/>
        <v>402.40199999999999</v>
      </c>
      <c r="AR50" s="294">
        <f t="shared" si="16"/>
        <v>0</v>
      </c>
      <c r="AS50" s="292"/>
      <c r="AT50" s="292"/>
      <c r="AU50" s="295">
        <f>'Unit Savings Calculations'!Q46</f>
        <v>36.582000000000001</v>
      </c>
      <c r="AV50" s="383" t="str">
        <f t="shared" si="17"/>
        <v>n/a</v>
      </c>
      <c r="AW50" s="297">
        <f t="shared" si="18"/>
        <v>438.98400000000004</v>
      </c>
      <c r="AX50" s="294">
        <f t="shared" si="19"/>
        <v>0</v>
      </c>
      <c r="AY50" s="297">
        <f t="shared" si="20"/>
        <v>438.98400000000004</v>
      </c>
      <c r="AZ50" s="297">
        <f t="shared" si="21"/>
        <v>438.98400000000004</v>
      </c>
      <c r="BA50" s="297">
        <f t="shared" si="22"/>
        <v>402.40199999999999</v>
      </c>
      <c r="BB50" s="297">
        <f t="shared" si="23"/>
        <v>438.98400000000004</v>
      </c>
      <c r="BC50" s="298">
        <f t="shared" si="24"/>
        <v>1719.3540000000003</v>
      </c>
      <c r="BD50" s="292" t="s">
        <v>763</v>
      </c>
      <c r="BE50" s="299" t="str">
        <f t="shared" si="25"/>
        <v>Exhibit 1.5A_R North Shore EEPS_Adjustable_Savings_Goal_Template.xlsx, Unit Savings Calculations Tab</v>
      </c>
      <c r="BF50" s="298">
        <f t="shared" si="26"/>
        <v>4828.8240000000005</v>
      </c>
      <c r="BG50" s="298">
        <f t="shared" si="26"/>
        <v>4828.8240000000005</v>
      </c>
      <c r="BH50" s="298">
        <f t="shared" si="26"/>
        <v>4426.4219999999996</v>
      </c>
      <c r="BI50" s="298">
        <f t="shared" si="26"/>
        <v>4828.8240000000005</v>
      </c>
      <c r="BJ50" s="298">
        <f t="shared" si="27"/>
        <v>18912.894</v>
      </c>
      <c r="BK50" s="482">
        <v>11</v>
      </c>
      <c r="BL50" s="482">
        <v>11</v>
      </c>
      <c r="BM50" s="482">
        <f>INDEX('Unit Savings Calculations'!$I$4:$I$421,MATCH('Measure-Level Adjustments Tab'!$A50&amp;"_"&amp;'Measure-Level Adjustments Tab'!$B50,'Unit Savings Calculations'!$A$4:$A$421,0))</f>
        <v>11</v>
      </c>
      <c r="BN50" s="482">
        <f t="shared" si="28"/>
        <v>11</v>
      </c>
      <c r="BO50" s="483">
        <f t="shared" si="29"/>
        <v>4828.8240000000005</v>
      </c>
      <c r="BP50" s="483">
        <f t="shared" si="29"/>
        <v>4828.8240000000005</v>
      </c>
      <c r="BQ50" s="483">
        <f t="shared" si="29"/>
        <v>4426.4219999999996</v>
      </c>
      <c r="BR50" s="483">
        <f t="shared" si="29"/>
        <v>4828.8240000000005</v>
      </c>
      <c r="BS50" s="483">
        <f t="shared" si="4"/>
        <v>18912.894</v>
      </c>
    </row>
    <row r="51" spans="1:71" ht="15.75" customHeight="1">
      <c r="A51" s="292" t="str">
        <f>'Unit Savings Calculations'!C47</f>
        <v>Res - MF Assessments</v>
      </c>
      <c r="B51" s="292" t="str">
        <f>'Unit Savings Calculations'!D47</f>
        <v>Advanced Thermostat - Boiler (Replace Programmable)</v>
      </c>
      <c r="C51" s="293">
        <f t="shared" si="30"/>
        <v>1</v>
      </c>
      <c r="D51" s="292" t="str">
        <f>'Unit Savings Calculations'!T47</f>
        <v>5.3.16</v>
      </c>
      <c r="E51" s="438">
        <v>10</v>
      </c>
      <c r="F51" s="438">
        <v>11</v>
      </c>
      <c r="G51" s="292" t="str">
        <f>'Unit Savings Calculations'!E47</f>
        <v>each</v>
      </c>
      <c r="H51" s="294">
        <f>'Unit Savings Calculations'!$F47*'Unit Savings Calculations'!J47</f>
        <v>0</v>
      </c>
      <c r="I51" s="294">
        <f>'Unit Savings Calculations'!$F47*'Unit Savings Calculations'!K47</f>
        <v>0</v>
      </c>
      <c r="J51" s="294">
        <f>'Unit Savings Calculations'!$F47*'Unit Savings Calculations'!L47</f>
        <v>0</v>
      </c>
      <c r="K51" s="294">
        <f>'Unit Savings Calculations'!$F47*'Unit Savings Calculations'!M47</f>
        <v>0</v>
      </c>
      <c r="L51" s="292" t="str">
        <f>'Unit Savings Calculations'!U47</f>
        <v>RS-HVC-ADTH-V02-180101</v>
      </c>
      <c r="M51" s="383" t="str">
        <f>'Unit Savings Calculations'!R47</f>
        <v>Exhibit 1.5A_R North Shore EEPS_Adjustable_Savings_Goal_Template.xlsx, Unit Savings Calculations Tab</v>
      </c>
      <c r="N51" s="295">
        <v>44.3352</v>
      </c>
      <c r="O51" s="295">
        <v>44.3352</v>
      </c>
      <c r="P51" s="295">
        <v>44.3352</v>
      </c>
      <c r="Q51" s="295">
        <v>44.3352</v>
      </c>
      <c r="R51" s="296">
        <f>'Unit Savings Calculations'!$G47</f>
        <v>1</v>
      </c>
      <c r="S51" s="296">
        <f>'Unit Savings Calculations'!$G47</f>
        <v>1</v>
      </c>
      <c r="T51" s="296">
        <f>'Unit Savings Calculations'!$G47</f>
        <v>1</v>
      </c>
      <c r="U51" s="296">
        <f>'Unit Savings Calculations'!$G47</f>
        <v>1</v>
      </c>
      <c r="V51" s="297">
        <f t="shared" si="51"/>
        <v>0</v>
      </c>
      <c r="W51" s="297">
        <f t="shared" si="52"/>
        <v>0</v>
      </c>
      <c r="X51" s="297">
        <f t="shared" si="53"/>
        <v>0</v>
      </c>
      <c r="Y51" s="297">
        <f t="shared" si="54"/>
        <v>0</v>
      </c>
      <c r="Z51" s="297">
        <f t="shared" si="55"/>
        <v>0</v>
      </c>
      <c r="AA51" s="292"/>
      <c r="AB51" s="292"/>
      <c r="AC51" s="295">
        <v>44.3352</v>
      </c>
      <c r="AD51" s="292"/>
      <c r="AE51" s="297">
        <f t="shared" si="10"/>
        <v>0</v>
      </c>
      <c r="AF51" s="294">
        <f t="shared" si="11"/>
        <v>0</v>
      </c>
      <c r="AG51" s="292"/>
      <c r="AH51" s="292">
        <f t="shared" si="12"/>
        <v>0</v>
      </c>
      <c r="AI51" s="295">
        <v>44.3352</v>
      </c>
      <c r="AJ51" s="383" t="s">
        <v>878</v>
      </c>
      <c r="AK51" s="297">
        <f t="shared" si="13"/>
        <v>0</v>
      </c>
      <c r="AL51" s="294">
        <f t="shared" si="14"/>
        <v>0</v>
      </c>
      <c r="AM51" s="292"/>
      <c r="AN51" s="292"/>
      <c r="AO51" s="295">
        <f>'Unit Savings Calculations'!P47</f>
        <v>44.3352</v>
      </c>
      <c r="AP51" s="383" t="s">
        <v>763</v>
      </c>
      <c r="AQ51" s="297">
        <f t="shared" si="15"/>
        <v>0</v>
      </c>
      <c r="AR51" s="294">
        <f t="shared" si="16"/>
        <v>0</v>
      </c>
      <c r="AS51" s="292"/>
      <c r="AT51" s="292"/>
      <c r="AU51" s="295">
        <f>'Unit Savings Calculations'!Q47</f>
        <v>44.3352</v>
      </c>
      <c r="AV51" s="383" t="str">
        <f t="shared" si="17"/>
        <v>n/a</v>
      </c>
      <c r="AW51" s="297">
        <f t="shared" si="18"/>
        <v>0</v>
      </c>
      <c r="AX51" s="294">
        <f t="shared" si="19"/>
        <v>0</v>
      </c>
      <c r="AY51" s="297">
        <f t="shared" si="20"/>
        <v>0</v>
      </c>
      <c r="AZ51" s="297">
        <f t="shared" si="21"/>
        <v>0</v>
      </c>
      <c r="BA51" s="297">
        <f t="shared" si="22"/>
        <v>0</v>
      </c>
      <c r="BB51" s="297">
        <f t="shared" si="23"/>
        <v>0</v>
      </c>
      <c r="BC51" s="298">
        <f t="shared" si="24"/>
        <v>0</v>
      </c>
      <c r="BD51" s="292" t="s">
        <v>763</v>
      </c>
      <c r="BE51" s="299" t="str">
        <f t="shared" si="25"/>
        <v>Exhibit 1.5A_R North Shore EEPS_Adjustable_Savings_Goal_Template.xlsx, Unit Savings Calculations Tab</v>
      </c>
      <c r="BF51" s="298">
        <f t="shared" si="26"/>
        <v>0</v>
      </c>
      <c r="BG51" s="298">
        <f t="shared" si="26"/>
        <v>0</v>
      </c>
      <c r="BH51" s="298">
        <f t="shared" si="26"/>
        <v>0</v>
      </c>
      <c r="BI51" s="298">
        <f t="shared" si="26"/>
        <v>0</v>
      </c>
      <c r="BJ51" s="298">
        <f t="shared" si="27"/>
        <v>0</v>
      </c>
      <c r="BK51" s="482">
        <v>11</v>
      </c>
      <c r="BL51" s="482">
        <v>11</v>
      </c>
      <c r="BM51" s="482">
        <f>INDEX('Unit Savings Calculations'!$I$4:$I$421,MATCH('Measure-Level Adjustments Tab'!$A51&amp;"_"&amp;'Measure-Level Adjustments Tab'!$B51,'Unit Savings Calculations'!$A$4:$A$421,0))</f>
        <v>11</v>
      </c>
      <c r="BN51" s="482">
        <f t="shared" si="28"/>
        <v>11</v>
      </c>
      <c r="BO51" s="483">
        <f t="shared" si="29"/>
        <v>0</v>
      </c>
      <c r="BP51" s="483">
        <f t="shared" si="29"/>
        <v>0</v>
      </c>
      <c r="BQ51" s="483">
        <f t="shared" si="29"/>
        <v>0</v>
      </c>
      <c r="BR51" s="483">
        <f t="shared" si="29"/>
        <v>0</v>
      </c>
      <c r="BS51" s="483">
        <f t="shared" si="4"/>
        <v>0</v>
      </c>
    </row>
    <row r="52" spans="1:71" ht="15.75" customHeight="1">
      <c r="A52" s="292" t="str">
        <f>'Unit Savings Calculations'!C48</f>
        <v>Res - MF Assessments</v>
      </c>
      <c r="B52" s="292" t="str">
        <f>'Unit Savings Calculations'!D48</f>
        <v>Thermostat - Reprogram</v>
      </c>
      <c r="C52" s="293">
        <f t="shared" si="30"/>
        <v>1</v>
      </c>
      <c r="D52" s="292" t="str">
        <f>'Unit Savings Calculations'!T48</f>
        <v>5.3.11</v>
      </c>
      <c r="E52" s="438">
        <v>2</v>
      </c>
      <c r="F52" s="438">
        <v>2</v>
      </c>
      <c r="G52" s="292" t="str">
        <f>'Unit Savings Calculations'!E48</f>
        <v>each</v>
      </c>
      <c r="H52" s="294">
        <f>'Unit Savings Calculations'!$F48*'Unit Savings Calculations'!J48</f>
        <v>12</v>
      </c>
      <c r="I52" s="294">
        <f>'Unit Savings Calculations'!$F48*'Unit Savings Calculations'!K48</f>
        <v>12</v>
      </c>
      <c r="J52" s="294">
        <f>'Unit Savings Calculations'!$F48*'Unit Savings Calculations'!L48</f>
        <v>11</v>
      </c>
      <c r="K52" s="294">
        <f>'Unit Savings Calculations'!$F48*'Unit Savings Calculations'!M48</f>
        <v>12</v>
      </c>
      <c r="L52" s="292" t="str">
        <f>'Unit Savings Calculations'!U48</f>
        <v>RS-HVC-PROG-V04-180101</v>
      </c>
      <c r="M52" s="383" t="str">
        <f>'Unit Savings Calculations'!R48</f>
        <v>Exhibit 1.5A_R North Shore EEPS_Adjustable_Savings_Goal_Template.xlsx, Unit Savings Calculations Tab</v>
      </c>
      <c r="N52" s="295">
        <v>40.5015</v>
      </c>
      <c r="O52" s="295">
        <v>40.5015</v>
      </c>
      <c r="P52" s="295">
        <v>40.5015</v>
      </c>
      <c r="Q52" s="295">
        <v>40.5015</v>
      </c>
      <c r="R52" s="296">
        <f>'Unit Savings Calculations'!$G48</f>
        <v>0.85</v>
      </c>
      <c r="S52" s="296">
        <f>'Unit Savings Calculations'!$G48</f>
        <v>0.85</v>
      </c>
      <c r="T52" s="296">
        <f>'Unit Savings Calculations'!$G48</f>
        <v>0.85</v>
      </c>
      <c r="U52" s="296">
        <f>'Unit Savings Calculations'!$G48</f>
        <v>0.85</v>
      </c>
      <c r="V52" s="297">
        <f t="shared" si="51"/>
        <v>413.11529999999999</v>
      </c>
      <c r="W52" s="297">
        <f t="shared" si="52"/>
        <v>413.11529999999999</v>
      </c>
      <c r="X52" s="297">
        <f t="shared" si="53"/>
        <v>378.68902500000002</v>
      </c>
      <c r="Y52" s="297">
        <f t="shared" si="54"/>
        <v>413.11529999999999</v>
      </c>
      <c r="Z52" s="297">
        <f t="shared" si="55"/>
        <v>1618.0349249999999</v>
      </c>
      <c r="AA52" s="292"/>
      <c r="AB52" s="292"/>
      <c r="AC52" s="295">
        <v>40.5015</v>
      </c>
      <c r="AD52" s="292"/>
      <c r="AE52" s="297">
        <f t="shared" si="10"/>
        <v>413.11529999999999</v>
      </c>
      <c r="AF52" s="294">
        <f t="shared" si="11"/>
        <v>0</v>
      </c>
      <c r="AG52" s="292"/>
      <c r="AH52" s="292">
        <f t="shared" si="12"/>
        <v>0</v>
      </c>
      <c r="AI52" s="295">
        <v>40.5015</v>
      </c>
      <c r="AJ52" s="383" t="s">
        <v>878</v>
      </c>
      <c r="AK52" s="297">
        <f t="shared" si="13"/>
        <v>413.11529999999999</v>
      </c>
      <c r="AL52" s="294">
        <f t="shared" si="14"/>
        <v>0</v>
      </c>
      <c r="AM52" s="292"/>
      <c r="AN52" s="292"/>
      <c r="AO52" s="295">
        <f>'Unit Savings Calculations'!P48</f>
        <v>40.5015</v>
      </c>
      <c r="AP52" s="383" t="s">
        <v>763</v>
      </c>
      <c r="AQ52" s="297">
        <f t="shared" si="15"/>
        <v>378.68902500000002</v>
      </c>
      <c r="AR52" s="294">
        <f t="shared" si="16"/>
        <v>0</v>
      </c>
      <c r="AS52" s="292"/>
      <c r="AT52" s="292"/>
      <c r="AU52" s="295">
        <f>'Unit Savings Calculations'!Q48</f>
        <v>40.5015</v>
      </c>
      <c r="AV52" s="383" t="str">
        <f t="shared" si="17"/>
        <v>n/a</v>
      </c>
      <c r="AW52" s="297">
        <f t="shared" si="18"/>
        <v>413.11529999999999</v>
      </c>
      <c r="AX52" s="294">
        <f t="shared" si="19"/>
        <v>0</v>
      </c>
      <c r="AY52" s="297">
        <f t="shared" si="20"/>
        <v>413.11529999999999</v>
      </c>
      <c r="AZ52" s="297">
        <f t="shared" si="21"/>
        <v>413.11529999999999</v>
      </c>
      <c r="BA52" s="297">
        <f t="shared" si="22"/>
        <v>378.68902500000002</v>
      </c>
      <c r="BB52" s="297">
        <f t="shared" si="23"/>
        <v>413.11529999999999</v>
      </c>
      <c r="BC52" s="298">
        <f t="shared" si="24"/>
        <v>1618.0349249999999</v>
      </c>
      <c r="BD52" s="292" t="s">
        <v>763</v>
      </c>
      <c r="BE52" s="299" t="str">
        <f t="shared" si="25"/>
        <v>Exhibit 1.5A_R North Shore EEPS_Adjustable_Savings_Goal_Template.xlsx, Unit Savings Calculations Tab</v>
      </c>
      <c r="BF52" s="298">
        <f t="shared" si="26"/>
        <v>826.23059999999998</v>
      </c>
      <c r="BG52" s="298">
        <f t="shared" si="26"/>
        <v>826.23059999999998</v>
      </c>
      <c r="BH52" s="298">
        <f t="shared" si="26"/>
        <v>757.37805000000003</v>
      </c>
      <c r="BI52" s="298">
        <f t="shared" si="26"/>
        <v>826.23059999999998</v>
      </c>
      <c r="BJ52" s="298">
        <f t="shared" si="27"/>
        <v>3236.0698499999999</v>
      </c>
      <c r="BK52" s="482">
        <v>2</v>
      </c>
      <c r="BL52" s="482">
        <v>2</v>
      </c>
      <c r="BM52" s="482">
        <f>INDEX('Unit Savings Calculations'!$I$4:$I$421,MATCH('Measure-Level Adjustments Tab'!$A52&amp;"_"&amp;'Measure-Level Adjustments Tab'!$B52,'Unit Savings Calculations'!$A$4:$A$421,0))</f>
        <v>2</v>
      </c>
      <c r="BN52" s="482">
        <f t="shared" si="28"/>
        <v>2</v>
      </c>
      <c r="BO52" s="483">
        <f t="shared" si="29"/>
        <v>826.23059999999998</v>
      </c>
      <c r="BP52" s="483">
        <f t="shared" si="29"/>
        <v>826.23059999999998</v>
      </c>
      <c r="BQ52" s="483">
        <f t="shared" si="29"/>
        <v>757.37805000000003</v>
      </c>
      <c r="BR52" s="483">
        <f t="shared" si="29"/>
        <v>826.23059999999998</v>
      </c>
      <c r="BS52" s="483">
        <f t="shared" si="4"/>
        <v>3236.0698499999999</v>
      </c>
    </row>
    <row r="53" spans="1:71" ht="15.75" customHeight="1">
      <c r="A53" s="292" t="str">
        <f>'Unit Savings Calculations'!C49</f>
        <v>Res - MF Assessments</v>
      </c>
      <c r="B53" s="292" t="str">
        <f>'Unit Savings Calculations'!D49</f>
        <v>Gas Optimization</v>
      </c>
      <c r="C53" s="293">
        <f t="shared" si="30"/>
        <v>0</v>
      </c>
      <c r="D53" s="292" t="str">
        <f>'Unit Savings Calculations'!T49</f>
        <v>Custom</v>
      </c>
      <c r="E53" s="438">
        <v>5</v>
      </c>
      <c r="F53" s="438">
        <v>5</v>
      </c>
      <c r="G53" s="292" t="str">
        <f>'Unit Savings Calculations'!E49</f>
        <v>each</v>
      </c>
      <c r="H53" s="294">
        <f>'Unit Savings Calculations'!$F49*'Unit Savings Calculations'!J49</f>
        <v>0</v>
      </c>
      <c r="I53" s="294">
        <f>'Unit Savings Calculations'!$F49*'Unit Savings Calculations'!K49</f>
        <v>0</v>
      </c>
      <c r="J53" s="294">
        <f>'Unit Savings Calculations'!$F49*'Unit Savings Calculations'!L49</f>
        <v>0</v>
      </c>
      <c r="K53" s="294">
        <f>'Unit Savings Calculations'!$F49*'Unit Savings Calculations'!M49</f>
        <v>0</v>
      </c>
      <c r="L53" s="292" t="str">
        <f>'Unit Savings Calculations'!U49</f>
        <v>Custom</v>
      </c>
      <c r="M53" s="383" t="str">
        <f>'Unit Savings Calculations'!R49</f>
        <v>Custom</v>
      </c>
      <c r="N53" s="295">
        <v>1</v>
      </c>
      <c r="O53" s="295">
        <v>1</v>
      </c>
      <c r="P53" s="295">
        <v>1</v>
      </c>
      <c r="Q53" s="295">
        <v>1</v>
      </c>
      <c r="R53" s="296">
        <f>'Unit Savings Calculations'!$G49</f>
        <v>1.02</v>
      </c>
      <c r="S53" s="296">
        <f>'Unit Savings Calculations'!$G49</f>
        <v>1.02</v>
      </c>
      <c r="T53" s="296">
        <f>'Unit Savings Calculations'!$G49</f>
        <v>1.02</v>
      </c>
      <c r="U53" s="296">
        <f>'Unit Savings Calculations'!$G49</f>
        <v>1.02</v>
      </c>
      <c r="V53" s="297">
        <f t="shared" si="51"/>
        <v>0</v>
      </c>
      <c r="W53" s="297">
        <f t="shared" si="52"/>
        <v>0</v>
      </c>
      <c r="X53" s="297">
        <f t="shared" si="53"/>
        <v>0</v>
      </c>
      <c r="Y53" s="297">
        <f t="shared" si="54"/>
        <v>0</v>
      </c>
      <c r="Z53" s="297">
        <f t="shared" si="55"/>
        <v>0</v>
      </c>
      <c r="AA53" s="384"/>
      <c r="AB53" s="384"/>
      <c r="AC53" s="387">
        <v>1</v>
      </c>
      <c r="AD53" s="384"/>
      <c r="AE53" s="385">
        <f t="shared" si="10"/>
        <v>0</v>
      </c>
      <c r="AF53" s="386">
        <f t="shared" si="11"/>
        <v>0</v>
      </c>
      <c r="AG53" s="384"/>
      <c r="AH53" s="384">
        <f t="shared" si="12"/>
        <v>0</v>
      </c>
      <c r="AI53" s="387">
        <v>1</v>
      </c>
      <c r="AJ53" s="435" t="s">
        <v>878</v>
      </c>
      <c r="AK53" s="385">
        <f t="shared" si="13"/>
        <v>0</v>
      </c>
      <c r="AL53" s="386">
        <f t="shared" si="14"/>
        <v>0</v>
      </c>
      <c r="AM53" s="384"/>
      <c r="AN53" s="384"/>
      <c r="AO53" s="387">
        <f>'Unit Savings Calculations'!P49</f>
        <v>1</v>
      </c>
      <c r="AP53" s="435" t="s">
        <v>763</v>
      </c>
      <c r="AQ53" s="385">
        <f t="shared" si="15"/>
        <v>0</v>
      </c>
      <c r="AR53" s="386">
        <f t="shared" si="16"/>
        <v>0</v>
      </c>
      <c r="AS53" s="384"/>
      <c r="AT53" s="384"/>
      <c r="AU53" s="387">
        <f>'Unit Savings Calculations'!Q49</f>
        <v>1</v>
      </c>
      <c r="AV53" s="435" t="str">
        <f t="shared" si="17"/>
        <v>n/a</v>
      </c>
      <c r="AW53" s="385">
        <f t="shared" si="18"/>
        <v>0</v>
      </c>
      <c r="AX53" s="386">
        <f t="shared" si="19"/>
        <v>0</v>
      </c>
      <c r="AY53" s="297">
        <f t="shared" si="20"/>
        <v>0</v>
      </c>
      <c r="AZ53" s="297">
        <f t="shared" si="21"/>
        <v>0</v>
      </c>
      <c r="BA53" s="297">
        <f t="shared" si="22"/>
        <v>0</v>
      </c>
      <c r="BB53" s="297">
        <f t="shared" si="23"/>
        <v>0</v>
      </c>
      <c r="BC53" s="298">
        <f t="shared" si="24"/>
        <v>0</v>
      </c>
      <c r="BD53" s="292" t="s">
        <v>763</v>
      </c>
      <c r="BE53" s="299" t="str">
        <f t="shared" si="25"/>
        <v>Custom</v>
      </c>
      <c r="BF53" s="298">
        <f t="shared" si="26"/>
        <v>0</v>
      </c>
      <c r="BG53" s="298">
        <f t="shared" si="26"/>
        <v>0</v>
      </c>
      <c r="BH53" s="298">
        <f t="shared" si="26"/>
        <v>0</v>
      </c>
      <c r="BI53" s="298">
        <f t="shared" si="26"/>
        <v>0</v>
      </c>
      <c r="BJ53" s="298">
        <f t="shared" si="27"/>
        <v>0</v>
      </c>
      <c r="BK53" s="482">
        <v>5</v>
      </c>
      <c r="BL53" s="482">
        <v>5</v>
      </c>
      <c r="BM53" s="482">
        <f>INDEX('Unit Savings Calculations'!$I$4:$I$421,MATCH('Measure-Level Adjustments Tab'!$A53&amp;"_"&amp;'Measure-Level Adjustments Tab'!$B53,'Unit Savings Calculations'!$A$4:$A$421,0))</f>
        <v>5</v>
      </c>
      <c r="BN53" s="482">
        <f t="shared" si="28"/>
        <v>5</v>
      </c>
      <c r="BO53" s="483">
        <f t="shared" si="29"/>
        <v>0</v>
      </c>
      <c r="BP53" s="483">
        <f t="shared" si="29"/>
        <v>0</v>
      </c>
      <c r="BQ53" s="483">
        <f t="shared" si="29"/>
        <v>0</v>
      </c>
      <c r="BR53" s="483">
        <f t="shared" si="29"/>
        <v>0</v>
      </c>
      <c r="BS53" s="483">
        <f t="shared" si="4"/>
        <v>0</v>
      </c>
    </row>
    <row r="54" spans="1:71" ht="15.75" customHeight="1">
      <c r="A54" s="292" t="str">
        <f>'Unit Savings Calculations'!C50</f>
        <v>Res - SF Rebates</v>
      </c>
      <c r="B54" s="292" t="str">
        <f>'Unit Savings Calculations'!D50</f>
        <v>Boiler - DHW Two-in-One</v>
      </c>
      <c r="C54" s="293">
        <f t="shared" si="30"/>
        <v>1</v>
      </c>
      <c r="D54" s="292" t="str">
        <f>'Unit Savings Calculations'!T50</f>
        <v>5.4.2</v>
      </c>
      <c r="E54" s="438">
        <v>13</v>
      </c>
      <c r="F54" s="438">
        <v>13</v>
      </c>
      <c r="G54" s="292" t="str">
        <f>'Unit Savings Calculations'!E50</f>
        <v>each</v>
      </c>
      <c r="H54" s="294">
        <f>'Unit Savings Calculations'!$F50*'Unit Savings Calculations'!J50</f>
        <v>0</v>
      </c>
      <c r="I54" s="294">
        <f>'Unit Savings Calculations'!$F50*'Unit Savings Calculations'!K50</f>
        <v>0</v>
      </c>
      <c r="J54" s="294">
        <f>'Unit Savings Calculations'!$F50*'Unit Savings Calculations'!L50</f>
        <v>0</v>
      </c>
      <c r="K54" s="294">
        <f>'Unit Savings Calculations'!$F50*'Unit Savings Calculations'!M50</f>
        <v>0</v>
      </c>
      <c r="L54" s="292" t="str">
        <f>'Unit Savings Calculations'!U50</f>
        <v>RS-HWE-GWHT-V07-180101</v>
      </c>
      <c r="M54" s="383" t="str">
        <f>'Unit Savings Calculations'!R50</f>
        <v>Exhibit 1.5A_R North Shore EEPS_Adjustable_Savings_Goal_Template.xlsx, Unit Savings Calculations Tab</v>
      </c>
      <c r="N54" s="295">
        <v>129.76174002144199</v>
      </c>
      <c r="O54" s="295">
        <v>129.76174002144199</v>
      </c>
      <c r="P54" s="295">
        <v>129.76174002144199</v>
      </c>
      <c r="Q54" s="295">
        <v>129.76174002144199</v>
      </c>
      <c r="R54" s="296">
        <f>'Unit Savings Calculations'!$G50</f>
        <v>0.64</v>
      </c>
      <c r="S54" s="296">
        <f>'Unit Savings Calculations'!$G50</f>
        <v>0.64</v>
      </c>
      <c r="T54" s="296">
        <f>'Unit Savings Calculations'!$G50</f>
        <v>0.64</v>
      </c>
      <c r="U54" s="296">
        <f>'Unit Savings Calculations'!$G50</f>
        <v>0.64</v>
      </c>
      <c r="V54" s="297">
        <f t="shared" si="51"/>
        <v>0</v>
      </c>
      <c r="W54" s="297">
        <f t="shared" si="52"/>
        <v>0</v>
      </c>
      <c r="X54" s="297">
        <f t="shared" si="53"/>
        <v>0</v>
      </c>
      <c r="Y54" s="297">
        <f t="shared" si="54"/>
        <v>0</v>
      </c>
      <c r="Z54" s="297">
        <f t="shared" si="55"/>
        <v>0</v>
      </c>
      <c r="AA54" s="292"/>
      <c r="AB54" s="292"/>
      <c r="AC54" s="295">
        <v>129.76174002144199</v>
      </c>
      <c r="AD54" s="292"/>
      <c r="AE54" s="297">
        <f t="shared" si="10"/>
        <v>0</v>
      </c>
      <c r="AF54" s="294">
        <f t="shared" si="11"/>
        <v>0</v>
      </c>
      <c r="AG54" s="292"/>
      <c r="AH54" s="292">
        <f t="shared" si="12"/>
        <v>0</v>
      </c>
      <c r="AI54" s="295">
        <v>129.76174002144199</v>
      </c>
      <c r="AJ54" s="383" t="s">
        <v>1012</v>
      </c>
      <c r="AK54" s="297">
        <f t="shared" si="13"/>
        <v>0</v>
      </c>
      <c r="AL54" s="294">
        <f t="shared" si="14"/>
        <v>0</v>
      </c>
      <c r="AM54" s="292"/>
      <c r="AN54" s="292"/>
      <c r="AO54" s="295">
        <f>'Unit Savings Calculations'!P50</f>
        <v>129.76174002144199</v>
      </c>
      <c r="AP54" s="383" t="s">
        <v>763</v>
      </c>
      <c r="AQ54" s="297">
        <f t="shared" si="15"/>
        <v>0</v>
      </c>
      <c r="AR54" s="294">
        <f t="shared" si="16"/>
        <v>0</v>
      </c>
      <c r="AS54" s="292"/>
      <c r="AT54" s="292"/>
      <c r="AU54" s="295">
        <f>'Unit Savings Calculations'!Q50</f>
        <v>129.76174002144199</v>
      </c>
      <c r="AV54" s="383" t="str">
        <f t="shared" si="17"/>
        <v>n/a</v>
      </c>
      <c r="AW54" s="297">
        <f t="shared" si="18"/>
        <v>0</v>
      </c>
      <c r="AX54" s="294">
        <f t="shared" si="19"/>
        <v>0</v>
      </c>
      <c r="AY54" s="297">
        <f t="shared" si="20"/>
        <v>0</v>
      </c>
      <c r="AZ54" s="297">
        <f t="shared" si="21"/>
        <v>0</v>
      </c>
      <c r="BA54" s="297">
        <f t="shared" si="22"/>
        <v>0</v>
      </c>
      <c r="BB54" s="297">
        <f t="shared" si="23"/>
        <v>0</v>
      </c>
      <c r="BC54" s="298">
        <f t="shared" si="24"/>
        <v>0</v>
      </c>
      <c r="BD54" s="292" t="s">
        <v>763</v>
      </c>
      <c r="BE54" s="299" t="str">
        <f t="shared" si="25"/>
        <v>Exhibit 1.5A_R North Shore EEPS_Adjustable_Savings_Goal_Template.xlsx, Unit Savings Calculations Tab</v>
      </c>
      <c r="BF54" s="298">
        <f t="shared" si="26"/>
        <v>0</v>
      </c>
      <c r="BG54" s="298">
        <f t="shared" si="26"/>
        <v>0</v>
      </c>
      <c r="BH54" s="298">
        <f t="shared" si="26"/>
        <v>0</v>
      </c>
      <c r="BI54" s="298">
        <f t="shared" si="26"/>
        <v>0</v>
      </c>
      <c r="BJ54" s="298">
        <f t="shared" si="27"/>
        <v>0</v>
      </c>
      <c r="BK54" s="482">
        <v>13</v>
      </c>
      <c r="BL54" s="482">
        <v>13</v>
      </c>
      <c r="BM54" s="482">
        <f>INDEX('Unit Savings Calculations'!$I$4:$I$421,MATCH('Measure-Level Adjustments Tab'!$A54&amp;"_"&amp;'Measure-Level Adjustments Tab'!$B54,'Unit Savings Calculations'!$A$4:$A$421,0))</f>
        <v>13</v>
      </c>
      <c r="BN54" s="482">
        <f t="shared" si="28"/>
        <v>13</v>
      </c>
      <c r="BO54" s="483">
        <f t="shared" si="29"/>
        <v>0</v>
      </c>
      <c r="BP54" s="483">
        <f t="shared" si="29"/>
        <v>0</v>
      </c>
      <c r="BQ54" s="483">
        <f t="shared" si="29"/>
        <v>0</v>
      </c>
      <c r="BR54" s="483">
        <f t="shared" si="29"/>
        <v>0</v>
      </c>
      <c r="BS54" s="483">
        <f t="shared" si="4"/>
        <v>0</v>
      </c>
    </row>
    <row r="55" spans="1:71" ht="15.75" customHeight="1">
      <c r="A55" s="292" t="str">
        <f>'Unit Savings Calculations'!C51</f>
        <v>Res - SF Rebates</v>
      </c>
      <c r="B55" s="292" t="str">
        <f>'Unit Savings Calculations'!D51</f>
        <v>Boiler ≥90% AFUE, &lt;300MBh</v>
      </c>
      <c r="C55" s="293">
        <f t="shared" si="30"/>
        <v>1</v>
      </c>
      <c r="D55" s="292" t="str">
        <f>'Unit Savings Calculations'!T51</f>
        <v>5.3.6</v>
      </c>
      <c r="E55" s="438">
        <v>25</v>
      </c>
      <c r="F55" s="438">
        <v>25</v>
      </c>
      <c r="G55" s="292" t="str">
        <f>'Unit Savings Calculations'!E51</f>
        <v>each</v>
      </c>
      <c r="H55" s="294">
        <f>'Unit Savings Calculations'!$F51*'Unit Savings Calculations'!J51</f>
        <v>0</v>
      </c>
      <c r="I55" s="294">
        <f>'Unit Savings Calculations'!$F51*'Unit Savings Calculations'!K51</f>
        <v>0</v>
      </c>
      <c r="J55" s="294">
        <f>'Unit Savings Calculations'!$F51*'Unit Savings Calculations'!L51</f>
        <v>0</v>
      </c>
      <c r="K55" s="294">
        <f>'Unit Savings Calculations'!$F51*'Unit Savings Calculations'!M51</f>
        <v>0</v>
      </c>
      <c r="L55" s="292" t="str">
        <f>'Unit Savings Calculations'!U51</f>
        <v>RS-HVC-GHEB-V06-180101</v>
      </c>
      <c r="M55" s="383" t="str">
        <f>'Unit Savings Calculations'!R51</f>
        <v>Exhibit 1.5A_R North Shore EEPS_Adjustable_Savings_Goal_Template.xlsx, Unit Savings Calculations Tab</v>
      </c>
      <c r="N55" s="295">
        <v>132.03252032520317</v>
      </c>
      <c r="O55" s="295">
        <v>132.03252032520317</v>
      </c>
      <c r="P55" s="295">
        <v>132.03252032520317</v>
      </c>
      <c r="Q55" s="295">
        <v>132.03252032520317</v>
      </c>
      <c r="R55" s="296">
        <f>'Unit Savings Calculations'!$G51</f>
        <v>0.64</v>
      </c>
      <c r="S55" s="296">
        <f>'Unit Savings Calculations'!$G51</f>
        <v>0.64</v>
      </c>
      <c r="T55" s="296">
        <f>'Unit Savings Calculations'!$G51</f>
        <v>0.64</v>
      </c>
      <c r="U55" s="296">
        <f>'Unit Savings Calculations'!$G51</f>
        <v>0.64</v>
      </c>
      <c r="V55" s="297">
        <f t="shared" si="51"/>
        <v>0</v>
      </c>
      <c r="W55" s="297">
        <f t="shared" si="52"/>
        <v>0</v>
      </c>
      <c r="X55" s="297">
        <f t="shared" si="53"/>
        <v>0</v>
      </c>
      <c r="Y55" s="297">
        <f t="shared" si="54"/>
        <v>0</v>
      </c>
      <c r="Z55" s="297">
        <f t="shared" si="55"/>
        <v>0</v>
      </c>
      <c r="AA55" s="292"/>
      <c r="AB55" s="292"/>
      <c r="AC55" s="295">
        <v>132.03252032520317</v>
      </c>
      <c r="AD55" s="292"/>
      <c r="AE55" s="297">
        <f t="shared" si="10"/>
        <v>0</v>
      </c>
      <c r="AF55" s="294">
        <f t="shared" si="11"/>
        <v>0</v>
      </c>
      <c r="AG55" s="292"/>
      <c r="AH55" s="292">
        <f t="shared" si="12"/>
        <v>0</v>
      </c>
      <c r="AI55" s="295">
        <v>95.219512195122036</v>
      </c>
      <c r="AJ55" s="383" t="s">
        <v>1000</v>
      </c>
      <c r="AK55" s="297">
        <f t="shared" si="13"/>
        <v>0</v>
      </c>
      <c r="AL55" s="294">
        <f t="shared" si="14"/>
        <v>0</v>
      </c>
      <c r="AM55" s="292"/>
      <c r="AN55" s="292"/>
      <c r="AO55" s="295">
        <f>'Unit Savings Calculations'!P51</f>
        <v>95.219512195122036</v>
      </c>
      <c r="AP55" s="383" t="s">
        <v>763</v>
      </c>
      <c r="AQ55" s="297">
        <f t="shared" si="15"/>
        <v>0</v>
      </c>
      <c r="AR55" s="294">
        <f t="shared" si="16"/>
        <v>0</v>
      </c>
      <c r="AS55" s="292"/>
      <c r="AT55" s="292"/>
      <c r="AU55" s="295">
        <f>'Unit Savings Calculations'!Q51</f>
        <v>95.219512195122036</v>
      </c>
      <c r="AV55" s="383" t="str">
        <f t="shared" si="17"/>
        <v>n/a</v>
      </c>
      <c r="AW55" s="297">
        <f t="shared" si="18"/>
        <v>0</v>
      </c>
      <c r="AX55" s="294">
        <f t="shared" si="19"/>
        <v>0</v>
      </c>
      <c r="AY55" s="297">
        <f t="shared" si="20"/>
        <v>0</v>
      </c>
      <c r="AZ55" s="297">
        <f t="shared" si="21"/>
        <v>0</v>
      </c>
      <c r="BA55" s="297">
        <f t="shared" si="22"/>
        <v>0</v>
      </c>
      <c r="BB55" s="297">
        <f t="shared" si="23"/>
        <v>0</v>
      </c>
      <c r="BC55" s="298">
        <f t="shared" si="24"/>
        <v>0</v>
      </c>
      <c r="BD55" s="292" t="s">
        <v>763</v>
      </c>
      <c r="BE55" s="299" t="str">
        <f t="shared" si="25"/>
        <v>Exhibit 1.5A_R North Shore EEPS_Adjustable_Savings_Goal_Template.xlsx, Unit Savings Calculations Tab</v>
      </c>
      <c r="BF55" s="298">
        <f t="shared" si="26"/>
        <v>0</v>
      </c>
      <c r="BG55" s="298">
        <f t="shared" si="26"/>
        <v>0</v>
      </c>
      <c r="BH55" s="298">
        <f t="shared" si="26"/>
        <v>0</v>
      </c>
      <c r="BI55" s="298">
        <f t="shared" si="26"/>
        <v>0</v>
      </c>
      <c r="BJ55" s="298">
        <f t="shared" si="27"/>
        <v>0</v>
      </c>
      <c r="BK55" s="482">
        <v>25</v>
      </c>
      <c r="BL55" s="482">
        <v>25</v>
      </c>
      <c r="BM55" s="482">
        <f>INDEX('Unit Savings Calculations'!$I$4:$I$421,MATCH('Measure-Level Adjustments Tab'!$A55&amp;"_"&amp;'Measure-Level Adjustments Tab'!$B55,'Unit Savings Calculations'!$A$4:$A$421,0))</f>
        <v>25</v>
      </c>
      <c r="BN55" s="482">
        <f t="shared" si="28"/>
        <v>25</v>
      </c>
      <c r="BO55" s="483">
        <f t="shared" si="29"/>
        <v>0</v>
      </c>
      <c r="BP55" s="483">
        <f t="shared" si="29"/>
        <v>0</v>
      </c>
      <c r="BQ55" s="483">
        <f t="shared" si="29"/>
        <v>0</v>
      </c>
      <c r="BR55" s="483">
        <f t="shared" si="29"/>
        <v>0</v>
      </c>
      <c r="BS55" s="483">
        <f t="shared" si="4"/>
        <v>0</v>
      </c>
    </row>
    <row r="56" spans="1:71" ht="15.75" customHeight="1">
      <c r="A56" s="292" t="str">
        <f>'Unit Savings Calculations'!C52</f>
        <v>Res - SF Rebates</v>
      </c>
      <c r="B56" s="292" t="str">
        <f>'Unit Savings Calculations'!D52</f>
        <v>Boiler ≥95% AFUE, &lt;300MBh</v>
      </c>
      <c r="C56" s="293">
        <f t="shared" si="30"/>
        <v>1</v>
      </c>
      <c r="D56" s="292" t="str">
        <f>'Unit Savings Calculations'!T52</f>
        <v>5.3.6</v>
      </c>
      <c r="E56" s="438">
        <v>25</v>
      </c>
      <c r="F56" s="438">
        <v>25</v>
      </c>
      <c r="G56" s="292" t="str">
        <f>'Unit Savings Calculations'!E52</f>
        <v>each</v>
      </c>
      <c r="H56" s="294">
        <f>'Unit Savings Calculations'!$F52*'Unit Savings Calculations'!J52</f>
        <v>0</v>
      </c>
      <c r="I56" s="294">
        <f>'Unit Savings Calculations'!$F52*'Unit Savings Calculations'!K52</f>
        <v>0</v>
      </c>
      <c r="J56" s="294">
        <f>'Unit Savings Calculations'!$F52*'Unit Savings Calculations'!L52</f>
        <v>0</v>
      </c>
      <c r="K56" s="294">
        <f>'Unit Savings Calculations'!$F52*'Unit Savings Calculations'!M52</f>
        <v>0</v>
      </c>
      <c r="L56" s="292" t="str">
        <f>'Unit Savings Calculations'!U52</f>
        <v>RS-HVC-GHEB-V06-180101</v>
      </c>
      <c r="M56" s="383" t="str">
        <f>'Unit Savings Calculations'!R52</f>
        <v>Exhibit 1.5A_R North Shore EEPS_Adjustable_Savings_Goal_Template.xlsx, Unit Savings Calculations Tab</v>
      </c>
      <c r="N56" s="295">
        <v>203.26059050064188</v>
      </c>
      <c r="O56" s="295">
        <v>203.26059050064188</v>
      </c>
      <c r="P56" s="295">
        <v>203.26059050064188</v>
      </c>
      <c r="Q56" s="295">
        <v>203.26059050064188</v>
      </c>
      <c r="R56" s="296">
        <f>'Unit Savings Calculations'!$G52</f>
        <v>0.64</v>
      </c>
      <c r="S56" s="296">
        <f>'Unit Savings Calculations'!$G52</f>
        <v>0.64</v>
      </c>
      <c r="T56" s="296">
        <f>'Unit Savings Calculations'!$G52</f>
        <v>0.64</v>
      </c>
      <c r="U56" s="296">
        <f>'Unit Savings Calculations'!$G52</f>
        <v>0.64</v>
      </c>
      <c r="V56" s="297">
        <f t="shared" si="51"/>
        <v>0</v>
      </c>
      <c r="W56" s="297">
        <f t="shared" si="52"/>
        <v>0</v>
      </c>
      <c r="X56" s="297">
        <f t="shared" si="53"/>
        <v>0</v>
      </c>
      <c r="Y56" s="297">
        <f t="shared" si="54"/>
        <v>0</v>
      </c>
      <c r="Z56" s="297">
        <f t="shared" si="55"/>
        <v>0</v>
      </c>
      <c r="AA56" s="292"/>
      <c r="AB56" s="292"/>
      <c r="AC56" s="295">
        <v>203.26059050064188</v>
      </c>
      <c r="AD56" s="292"/>
      <c r="AE56" s="297">
        <f t="shared" si="10"/>
        <v>0</v>
      </c>
      <c r="AF56" s="294">
        <f t="shared" si="11"/>
        <v>0</v>
      </c>
      <c r="AG56" s="292"/>
      <c r="AH56" s="292">
        <f t="shared" si="12"/>
        <v>0</v>
      </c>
      <c r="AI56" s="295">
        <v>154.73170731707307</v>
      </c>
      <c r="AJ56" s="383" t="s">
        <v>1000</v>
      </c>
      <c r="AK56" s="297">
        <f t="shared" si="13"/>
        <v>0</v>
      </c>
      <c r="AL56" s="294">
        <f t="shared" si="14"/>
        <v>0</v>
      </c>
      <c r="AM56" s="292"/>
      <c r="AN56" s="292"/>
      <c r="AO56" s="295">
        <f>'Unit Savings Calculations'!P52</f>
        <v>154.73170731707307</v>
      </c>
      <c r="AP56" s="383" t="s">
        <v>763</v>
      </c>
      <c r="AQ56" s="297">
        <f t="shared" si="15"/>
        <v>0</v>
      </c>
      <c r="AR56" s="294">
        <f t="shared" si="16"/>
        <v>0</v>
      </c>
      <c r="AS56" s="292"/>
      <c r="AT56" s="292"/>
      <c r="AU56" s="295">
        <f>'Unit Savings Calculations'!Q52</f>
        <v>154.73170731707307</v>
      </c>
      <c r="AV56" s="383" t="str">
        <f t="shared" si="17"/>
        <v>n/a</v>
      </c>
      <c r="AW56" s="297">
        <f t="shared" si="18"/>
        <v>0</v>
      </c>
      <c r="AX56" s="294">
        <f t="shared" si="19"/>
        <v>0</v>
      </c>
      <c r="AY56" s="297">
        <f t="shared" si="20"/>
        <v>0</v>
      </c>
      <c r="AZ56" s="297">
        <f t="shared" si="21"/>
        <v>0</v>
      </c>
      <c r="BA56" s="297">
        <f t="shared" si="22"/>
        <v>0</v>
      </c>
      <c r="BB56" s="297">
        <f t="shared" si="23"/>
        <v>0</v>
      </c>
      <c r="BC56" s="298">
        <f t="shared" si="24"/>
        <v>0</v>
      </c>
      <c r="BD56" s="292" t="s">
        <v>763</v>
      </c>
      <c r="BE56" s="299" t="str">
        <f t="shared" si="25"/>
        <v>Exhibit 1.5A_R North Shore EEPS_Adjustable_Savings_Goal_Template.xlsx, Unit Savings Calculations Tab</v>
      </c>
      <c r="BF56" s="298">
        <f t="shared" si="26"/>
        <v>0</v>
      </c>
      <c r="BG56" s="298">
        <f t="shared" si="26"/>
        <v>0</v>
      </c>
      <c r="BH56" s="298">
        <f t="shared" si="26"/>
        <v>0</v>
      </c>
      <c r="BI56" s="298">
        <f t="shared" si="26"/>
        <v>0</v>
      </c>
      <c r="BJ56" s="298">
        <f t="shared" si="27"/>
        <v>0</v>
      </c>
      <c r="BK56" s="482">
        <v>25</v>
      </c>
      <c r="BL56" s="482">
        <v>25</v>
      </c>
      <c r="BM56" s="482">
        <f>INDEX('Unit Savings Calculations'!$I$4:$I$421,MATCH('Measure-Level Adjustments Tab'!$A56&amp;"_"&amp;'Measure-Level Adjustments Tab'!$B56,'Unit Savings Calculations'!$A$4:$A$421,0))</f>
        <v>25</v>
      </c>
      <c r="BN56" s="482">
        <f t="shared" si="28"/>
        <v>25</v>
      </c>
      <c r="BO56" s="483">
        <f t="shared" si="29"/>
        <v>0</v>
      </c>
      <c r="BP56" s="483">
        <f t="shared" si="29"/>
        <v>0</v>
      </c>
      <c r="BQ56" s="483">
        <f t="shared" si="29"/>
        <v>0</v>
      </c>
      <c r="BR56" s="483">
        <f t="shared" si="29"/>
        <v>0</v>
      </c>
      <c r="BS56" s="483">
        <f t="shared" si="4"/>
        <v>0</v>
      </c>
    </row>
    <row r="57" spans="1:71" ht="15.75" customHeight="1">
      <c r="A57" s="292" t="str">
        <f>'Unit Savings Calculations'!C53</f>
        <v>Res - SF Rebates</v>
      </c>
      <c r="B57" s="292" t="str">
        <f>'Unit Savings Calculations'!D53</f>
        <v>Furnace &gt;95% AFUE</v>
      </c>
      <c r="C57" s="293">
        <f t="shared" si="30"/>
        <v>1</v>
      </c>
      <c r="D57" s="292" t="str">
        <f>'Unit Savings Calculations'!T53</f>
        <v>5.3.7</v>
      </c>
      <c r="E57" s="438">
        <v>20</v>
      </c>
      <c r="F57" s="438">
        <v>20</v>
      </c>
      <c r="G57" s="292" t="str">
        <f>'Unit Savings Calculations'!E53</f>
        <v>each</v>
      </c>
      <c r="H57" s="294">
        <f>'Unit Savings Calculations'!$F53*'Unit Savings Calculations'!J53</f>
        <v>312</v>
      </c>
      <c r="I57" s="294">
        <f>'Unit Savings Calculations'!$F53*'Unit Savings Calculations'!K53</f>
        <v>312</v>
      </c>
      <c r="J57" s="294">
        <f>'Unit Savings Calculations'!$F53*'Unit Savings Calculations'!L53</f>
        <v>312</v>
      </c>
      <c r="K57" s="294">
        <f>'Unit Savings Calculations'!$F53*'Unit Savings Calculations'!M53</f>
        <v>312</v>
      </c>
      <c r="L57" s="292" t="str">
        <f>'Unit Savings Calculations'!U53</f>
        <v>RS-HVC-GHEF-V07-180101</v>
      </c>
      <c r="M57" s="383" t="str">
        <f>'Unit Savings Calculations'!R53</f>
        <v>Exhibit 1.5A_R North Shore EEPS_Adjustable_Savings_Goal_Template.xlsx, Unit Savings Calculations Tab</v>
      </c>
      <c r="N57" s="295">
        <v>175.86032388663946</v>
      </c>
      <c r="O57" s="295">
        <v>175.86032388663946</v>
      </c>
      <c r="P57" s="295">
        <v>175.86032388663946</v>
      </c>
      <c r="Q57" s="295">
        <v>175.86032388663946</v>
      </c>
      <c r="R57" s="296">
        <f>'Unit Savings Calculations'!$G53</f>
        <v>0.64</v>
      </c>
      <c r="S57" s="296">
        <f>'Unit Savings Calculations'!$G53</f>
        <v>0.64</v>
      </c>
      <c r="T57" s="296">
        <f>'Unit Savings Calculations'!$G53</f>
        <v>0.64</v>
      </c>
      <c r="U57" s="296">
        <f>'Unit Savings Calculations'!$G53</f>
        <v>0.64</v>
      </c>
      <c r="V57" s="297">
        <f t="shared" si="51"/>
        <v>35115.78947368417</v>
      </c>
      <c r="W57" s="297">
        <f t="shared" si="52"/>
        <v>35115.78947368417</v>
      </c>
      <c r="X57" s="297">
        <f t="shared" si="53"/>
        <v>35115.78947368417</v>
      </c>
      <c r="Y57" s="297">
        <f t="shared" si="54"/>
        <v>35115.78947368417</v>
      </c>
      <c r="Z57" s="297">
        <f t="shared" si="55"/>
        <v>140463.15789473668</v>
      </c>
      <c r="AA57" s="292"/>
      <c r="AB57" s="292"/>
      <c r="AC57" s="295">
        <v>175.86032388663946</v>
      </c>
      <c r="AD57" s="292"/>
      <c r="AE57" s="297">
        <f t="shared" si="10"/>
        <v>35115.78947368417</v>
      </c>
      <c r="AF57" s="294">
        <f t="shared" si="11"/>
        <v>0</v>
      </c>
      <c r="AG57" s="292"/>
      <c r="AH57" s="292">
        <f t="shared" si="12"/>
        <v>0</v>
      </c>
      <c r="AI57" s="295">
        <v>156.41025641025624</v>
      </c>
      <c r="AJ57" s="383" t="s">
        <v>1000</v>
      </c>
      <c r="AK57" s="297">
        <f t="shared" si="13"/>
        <v>31231.999999999967</v>
      </c>
      <c r="AL57" s="294">
        <f t="shared" si="14"/>
        <v>-3883.7894736842027</v>
      </c>
      <c r="AM57" s="292"/>
      <c r="AN57" s="292"/>
      <c r="AO57" s="295">
        <f>'Unit Savings Calculations'!P53</f>
        <v>156.41025641025624</v>
      </c>
      <c r="AP57" s="383" t="s">
        <v>763</v>
      </c>
      <c r="AQ57" s="297">
        <f t="shared" si="15"/>
        <v>31231.999999999967</v>
      </c>
      <c r="AR57" s="294">
        <f t="shared" si="16"/>
        <v>-3883.7894736842027</v>
      </c>
      <c r="AS57" s="292"/>
      <c r="AT57" s="292"/>
      <c r="AU57" s="295">
        <f>'Unit Savings Calculations'!Q53</f>
        <v>156.41025641025624</v>
      </c>
      <c r="AV57" s="383" t="str">
        <f t="shared" si="17"/>
        <v>n/a</v>
      </c>
      <c r="AW57" s="297">
        <f t="shared" si="18"/>
        <v>31231.999999999967</v>
      </c>
      <c r="AX57" s="294">
        <f t="shared" si="19"/>
        <v>-3883.7894736842027</v>
      </c>
      <c r="AY57" s="297">
        <f t="shared" si="20"/>
        <v>35115.78947368417</v>
      </c>
      <c r="AZ57" s="297">
        <f t="shared" si="21"/>
        <v>31231.999999999967</v>
      </c>
      <c r="BA57" s="297">
        <f t="shared" si="22"/>
        <v>31231.999999999967</v>
      </c>
      <c r="BB57" s="297">
        <f t="shared" si="23"/>
        <v>31231.999999999967</v>
      </c>
      <c r="BC57" s="298">
        <f t="shared" si="24"/>
        <v>128811.78947368408</v>
      </c>
      <c r="BD57" s="292" t="s">
        <v>763</v>
      </c>
      <c r="BE57" s="299" t="str">
        <f t="shared" si="25"/>
        <v>Exhibit 1.5A_R North Shore EEPS_Adjustable_Savings_Goal_Template.xlsx, Unit Savings Calculations Tab</v>
      </c>
      <c r="BF57" s="298">
        <f t="shared" si="26"/>
        <v>702315.78947368334</v>
      </c>
      <c r="BG57" s="298">
        <f t="shared" si="26"/>
        <v>702315.78947368334</v>
      </c>
      <c r="BH57" s="298">
        <f t="shared" si="26"/>
        <v>702315.78947368334</v>
      </c>
      <c r="BI57" s="298">
        <f t="shared" si="26"/>
        <v>702315.78947368334</v>
      </c>
      <c r="BJ57" s="298">
        <f t="shared" si="27"/>
        <v>2809263.1578947334</v>
      </c>
      <c r="BK57" s="482">
        <v>20</v>
      </c>
      <c r="BL57" s="482">
        <v>20</v>
      </c>
      <c r="BM57" s="482">
        <f>INDEX('Unit Savings Calculations'!$I$4:$I$421,MATCH('Measure-Level Adjustments Tab'!$A57&amp;"_"&amp;'Measure-Level Adjustments Tab'!$B57,'Unit Savings Calculations'!$A$4:$A$421,0))</f>
        <v>20</v>
      </c>
      <c r="BN57" s="482">
        <f t="shared" si="28"/>
        <v>20</v>
      </c>
      <c r="BO57" s="483">
        <f t="shared" si="29"/>
        <v>702315.78947368334</v>
      </c>
      <c r="BP57" s="483">
        <f t="shared" si="29"/>
        <v>624639.9999999993</v>
      </c>
      <c r="BQ57" s="483">
        <f t="shared" si="29"/>
        <v>624639.9999999993</v>
      </c>
      <c r="BR57" s="483">
        <f t="shared" si="29"/>
        <v>624639.9999999993</v>
      </c>
      <c r="BS57" s="483">
        <f t="shared" si="4"/>
        <v>2576235.7894736812</v>
      </c>
    </row>
    <row r="58" spans="1:71" ht="15.75" customHeight="1">
      <c r="A58" s="292" t="str">
        <f>'Unit Savings Calculations'!C54</f>
        <v>Res - SF Rebates</v>
      </c>
      <c r="B58" s="292" t="str">
        <f>'Unit Savings Calculations'!D54</f>
        <v>Furnace &gt;97% AFUE</v>
      </c>
      <c r="C58" s="293">
        <f t="shared" si="30"/>
        <v>1</v>
      </c>
      <c r="D58" s="292" t="str">
        <f>'Unit Savings Calculations'!T54</f>
        <v>5.3.7</v>
      </c>
      <c r="E58" s="438">
        <v>20</v>
      </c>
      <c r="F58" s="438">
        <v>20</v>
      </c>
      <c r="G58" s="292" t="str">
        <f>'Unit Savings Calculations'!E54</f>
        <v>each</v>
      </c>
      <c r="H58" s="294">
        <f>'Unit Savings Calculations'!$F54*'Unit Savings Calculations'!J54</f>
        <v>40</v>
      </c>
      <c r="I58" s="294">
        <f>'Unit Savings Calculations'!$F54*'Unit Savings Calculations'!K54</f>
        <v>40</v>
      </c>
      <c r="J58" s="294">
        <f>'Unit Savings Calculations'!$F54*'Unit Savings Calculations'!L54</f>
        <v>40</v>
      </c>
      <c r="K58" s="294">
        <f>'Unit Savings Calculations'!$F54*'Unit Savings Calculations'!M54</f>
        <v>40</v>
      </c>
      <c r="L58" s="292" t="str">
        <f>'Unit Savings Calculations'!U54</f>
        <v>RS-HVC-GHEF-V07-180101</v>
      </c>
      <c r="M58" s="383" t="str">
        <f>'Unit Savings Calculations'!R54</f>
        <v>Exhibit 1.5A_R North Shore EEPS_Adjustable_Savings_Goal_Template.xlsx, Unit Savings Calculations Tab</v>
      </c>
      <c r="N58" s="295">
        <v>195.19891620407071</v>
      </c>
      <c r="O58" s="295">
        <v>195.19891620407071</v>
      </c>
      <c r="P58" s="295">
        <v>195.19891620407071</v>
      </c>
      <c r="Q58" s="295">
        <v>195.19891620407071</v>
      </c>
      <c r="R58" s="296">
        <f>'Unit Savings Calculations'!$G54</f>
        <v>0.64</v>
      </c>
      <c r="S58" s="296">
        <f>'Unit Savings Calculations'!$G54</f>
        <v>0.64</v>
      </c>
      <c r="T58" s="296">
        <f>'Unit Savings Calculations'!$G54</f>
        <v>0.64</v>
      </c>
      <c r="U58" s="296">
        <f>'Unit Savings Calculations'!$G54</f>
        <v>0.64</v>
      </c>
      <c r="V58" s="297">
        <f t="shared" si="51"/>
        <v>4997.0922548242097</v>
      </c>
      <c r="W58" s="297">
        <f t="shared" si="52"/>
        <v>4997.0922548242097</v>
      </c>
      <c r="X58" s="297">
        <f t="shared" si="53"/>
        <v>4997.0922548242097</v>
      </c>
      <c r="Y58" s="297">
        <f t="shared" si="54"/>
        <v>4997.0922548242097</v>
      </c>
      <c r="Z58" s="297">
        <f t="shared" si="55"/>
        <v>19988.369019296839</v>
      </c>
      <c r="AA58" s="292"/>
      <c r="AB58" s="292"/>
      <c r="AC58" s="295">
        <v>195.19891620407071</v>
      </c>
      <c r="AD58" s="292"/>
      <c r="AE58" s="297">
        <f t="shared" si="10"/>
        <v>4997.0922548242097</v>
      </c>
      <c r="AF58" s="294">
        <f t="shared" si="11"/>
        <v>0</v>
      </c>
      <c r="AG58" s="292"/>
      <c r="AH58" s="292">
        <f t="shared" si="12"/>
        <v>0</v>
      </c>
      <c r="AI58" s="295">
        <v>177.26495726495722</v>
      </c>
      <c r="AJ58" s="383" t="s">
        <v>1000</v>
      </c>
      <c r="AK58" s="297">
        <f t="shared" si="13"/>
        <v>4537.9829059829053</v>
      </c>
      <c r="AL58" s="294">
        <f t="shared" si="14"/>
        <v>-459.10934884130438</v>
      </c>
      <c r="AM58" s="292"/>
      <c r="AN58" s="292"/>
      <c r="AO58" s="295">
        <f>'Unit Savings Calculations'!P54</f>
        <v>177.26495726495722</v>
      </c>
      <c r="AP58" s="383" t="s">
        <v>763</v>
      </c>
      <c r="AQ58" s="297">
        <f t="shared" si="15"/>
        <v>4537.9829059829053</v>
      </c>
      <c r="AR58" s="294">
        <f t="shared" si="16"/>
        <v>-459.10934884130438</v>
      </c>
      <c r="AS58" s="292"/>
      <c r="AT58" s="292"/>
      <c r="AU58" s="295">
        <f>'Unit Savings Calculations'!Q54</f>
        <v>177.26495726495722</v>
      </c>
      <c r="AV58" s="383" t="str">
        <f t="shared" si="17"/>
        <v>n/a</v>
      </c>
      <c r="AW58" s="297">
        <f t="shared" si="18"/>
        <v>4537.9829059829053</v>
      </c>
      <c r="AX58" s="294">
        <f t="shared" si="19"/>
        <v>-459.10934884130438</v>
      </c>
      <c r="AY58" s="297">
        <f t="shared" si="20"/>
        <v>4997.0922548242097</v>
      </c>
      <c r="AZ58" s="297">
        <f t="shared" si="21"/>
        <v>4537.9829059829053</v>
      </c>
      <c r="BA58" s="297">
        <f t="shared" si="22"/>
        <v>4537.9829059829053</v>
      </c>
      <c r="BB58" s="297">
        <f t="shared" si="23"/>
        <v>4537.9829059829053</v>
      </c>
      <c r="BC58" s="298">
        <f t="shared" si="24"/>
        <v>18611.040972772927</v>
      </c>
      <c r="BD58" s="292" t="s">
        <v>763</v>
      </c>
      <c r="BE58" s="299" t="str">
        <f t="shared" si="25"/>
        <v>Exhibit 1.5A_R North Shore EEPS_Adjustable_Savings_Goal_Template.xlsx, Unit Savings Calculations Tab</v>
      </c>
      <c r="BF58" s="298">
        <f t="shared" si="26"/>
        <v>99941.84509648419</v>
      </c>
      <c r="BG58" s="298">
        <f t="shared" si="26"/>
        <v>99941.84509648419</v>
      </c>
      <c r="BH58" s="298">
        <f t="shared" si="26"/>
        <v>99941.84509648419</v>
      </c>
      <c r="BI58" s="298">
        <f t="shared" si="26"/>
        <v>99941.84509648419</v>
      </c>
      <c r="BJ58" s="298">
        <f t="shared" si="27"/>
        <v>399767.38038593676</v>
      </c>
      <c r="BK58" s="482">
        <v>20</v>
      </c>
      <c r="BL58" s="482">
        <v>20</v>
      </c>
      <c r="BM58" s="482">
        <f>INDEX('Unit Savings Calculations'!$I$4:$I$421,MATCH('Measure-Level Adjustments Tab'!$A58&amp;"_"&amp;'Measure-Level Adjustments Tab'!$B58,'Unit Savings Calculations'!$A$4:$A$421,0))</f>
        <v>20</v>
      </c>
      <c r="BN58" s="482">
        <f t="shared" si="28"/>
        <v>20</v>
      </c>
      <c r="BO58" s="483">
        <f t="shared" si="29"/>
        <v>99941.84509648419</v>
      </c>
      <c r="BP58" s="483">
        <f t="shared" si="29"/>
        <v>90759.65811965811</v>
      </c>
      <c r="BQ58" s="483">
        <f t="shared" si="29"/>
        <v>90759.65811965811</v>
      </c>
      <c r="BR58" s="483">
        <f t="shared" si="29"/>
        <v>90759.65811965811</v>
      </c>
      <c r="BS58" s="483">
        <f t="shared" si="4"/>
        <v>372220.81945545855</v>
      </c>
    </row>
    <row r="59" spans="1:71" ht="15.75" customHeight="1">
      <c r="A59" s="292" t="str">
        <f>'Unit Savings Calculations'!C55</f>
        <v>Res - SF Rebates</v>
      </c>
      <c r="B59" s="292" t="str">
        <f>'Unit Savings Calculations'!D55</f>
        <v>Programmable Thermostat - Furnace</v>
      </c>
      <c r="C59" s="293">
        <f t="shared" si="30"/>
        <v>1</v>
      </c>
      <c r="D59" s="292" t="str">
        <f>'Unit Savings Calculations'!T55</f>
        <v>5.3.11</v>
      </c>
      <c r="E59" s="438">
        <v>5</v>
      </c>
      <c r="F59" s="438">
        <v>8</v>
      </c>
      <c r="G59" s="292" t="str">
        <f>'Unit Savings Calculations'!E55</f>
        <v>each</v>
      </c>
      <c r="H59" s="294">
        <f>'Unit Savings Calculations'!$F55*'Unit Savings Calculations'!J55</f>
        <v>0</v>
      </c>
      <c r="I59" s="294">
        <f>'Unit Savings Calculations'!$F55*'Unit Savings Calculations'!K55</f>
        <v>0</v>
      </c>
      <c r="J59" s="294">
        <f>'Unit Savings Calculations'!$F55*'Unit Savings Calculations'!L55</f>
        <v>0</v>
      </c>
      <c r="K59" s="294">
        <f>'Unit Savings Calculations'!$F55*'Unit Savings Calculations'!M55</f>
        <v>0</v>
      </c>
      <c r="L59" s="292" t="str">
        <f>'Unit Savings Calculations'!U55</f>
        <v>RS-HVC-PROG-V04-180101</v>
      </c>
      <c r="M59" s="383" t="str">
        <f>'Unit Savings Calculations'!R55</f>
        <v>Exhibit 1.5A_R North Shore EEPS_Adjustable_Savings_Goal_Template.xlsx, Unit Savings Calculations Tab</v>
      </c>
      <c r="N59" s="295">
        <v>34.893600000000006</v>
      </c>
      <c r="O59" s="295">
        <v>34.893600000000006</v>
      </c>
      <c r="P59" s="295">
        <v>34.893600000000006</v>
      </c>
      <c r="Q59" s="295">
        <v>34.893600000000006</v>
      </c>
      <c r="R59" s="296">
        <f>'Unit Savings Calculations'!$G55</f>
        <v>0.64</v>
      </c>
      <c r="S59" s="296">
        <f>'Unit Savings Calculations'!$G55</f>
        <v>0.64</v>
      </c>
      <c r="T59" s="296">
        <f>'Unit Savings Calculations'!$G55</f>
        <v>0.64</v>
      </c>
      <c r="U59" s="296">
        <f>'Unit Savings Calculations'!$G55</f>
        <v>0.64</v>
      </c>
      <c r="V59" s="297">
        <f t="shared" si="51"/>
        <v>0</v>
      </c>
      <c r="W59" s="297">
        <f t="shared" si="52"/>
        <v>0</v>
      </c>
      <c r="X59" s="297">
        <f t="shared" si="53"/>
        <v>0</v>
      </c>
      <c r="Y59" s="297">
        <f t="shared" si="54"/>
        <v>0</v>
      </c>
      <c r="Z59" s="297">
        <f t="shared" si="55"/>
        <v>0</v>
      </c>
      <c r="AA59" s="292"/>
      <c r="AB59" s="292"/>
      <c r="AC59" s="295">
        <v>34.893600000000006</v>
      </c>
      <c r="AD59" s="292"/>
      <c r="AE59" s="297">
        <f t="shared" si="10"/>
        <v>0</v>
      </c>
      <c r="AF59" s="294">
        <f t="shared" si="11"/>
        <v>0</v>
      </c>
      <c r="AG59" s="292"/>
      <c r="AH59" s="292">
        <f t="shared" si="12"/>
        <v>0</v>
      </c>
      <c r="AI59" s="295">
        <v>34.893600000000006</v>
      </c>
      <c r="AJ59" s="383" t="s">
        <v>878</v>
      </c>
      <c r="AK59" s="297">
        <f t="shared" si="13"/>
        <v>0</v>
      </c>
      <c r="AL59" s="294">
        <f t="shared" si="14"/>
        <v>0</v>
      </c>
      <c r="AM59" s="292"/>
      <c r="AN59" s="292"/>
      <c r="AO59" s="295">
        <f>'Unit Savings Calculations'!P55</f>
        <v>34.893600000000006</v>
      </c>
      <c r="AP59" s="383" t="s">
        <v>763</v>
      </c>
      <c r="AQ59" s="297">
        <f t="shared" si="15"/>
        <v>0</v>
      </c>
      <c r="AR59" s="294">
        <f t="shared" si="16"/>
        <v>0</v>
      </c>
      <c r="AS59" s="292"/>
      <c r="AT59" s="292"/>
      <c r="AU59" s="295">
        <f>'Unit Savings Calculations'!Q55</f>
        <v>34.893600000000006</v>
      </c>
      <c r="AV59" s="383" t="str">
        <f t="shared" si="17"/>
        <v>n/a</v>
      </c>
      <c r="AW59" s="297">
        <f t="shared" si="18"/>
        <v>0</v>
      </c>
      <c r="AX59" s="294">
        <f t="shared" si="19"/>
        <v>0</v>
      </c>
      <c r="AY59" s="297">
        <f t="shared" si="20"/>
        <v>0</v>
      </c>
      <c r="AZ59" s="297">
        <f t="shared" si="21"/>
        <v>0</v>
      </c>
      <c r="BA59" s="297">
        <f t="shared" si="22"/>
        <v>0</v>
      </c>
      <c r="BB59" s="297">
        <f t="shared" si="23"/>
        <v>0</v>
      </c>
      <c r="BC59" s="298">
        <f t="shared" si="24"/>
        <v>0</v>
      </c>
      <c r="BD59" s="292" t="s">
        <v>763</v>
      </c>
      <c r="BE59" s="299" t="str">
        <f t="shared" si="25"/>
        <v>Exhibit 1.5A_R North Shore EEPS_Adjustable_Savings_Goal_Template.xlsx, Unit Savings Calculations Tab</v>
      </c>
      <c r="BF59" s="298">
        <f t="shared" si="26"/>
        <v>0</v>
      </c>
      <c r="BG59" s="298">
        <f t="shared" si="26"/>
        <v>0</v>
      </c>
      <c r="BH59" s="298">
        <f t="shared" si="26"/>
        <v>0</v>
      </c>
      <c r="BI59" s="298">
        <f t="shared" si="26"/>
        <v>0</v>
      </c>
      <c r="BJ59" s="298">
        <f t="shared" si="27"/>
        <v>0</v>
      </c>
      <c r="BK59" s="482">
        <v>8</v>
      </c>
      <c r="BL59" s="482">
        <v>8</v>
      </c>
      <c r="BM59" s="482">
        <f>INDEX('Unit Savings Calculations'!$I$4:$I$421,MATCH('Measure-Level Adjustments Tab'!$A59&amp;"_"&amp;'Measure-Level Adjustments Tab'!$B59,'Unit Savings Calculations'!$A$4:$A$421,0))</f>
        <v>8</v>
      </c>
      <c r="BN59" s="482">
        <f t="shared" si="28"/>
        <v>8</v>
      </c>
      <c r="BO59" s="483">
        <f t="shared" si="29"/>
        <v>0</v>
      </c>
      <c r="BP59" s="483">
        <f t="shared" si="29"/>
        <v>0</v>
      </c>
      <c r="BQ59" s="483">
        <f t="shared" si="29"/>
        <v>0</v>
      </c>
      <c r="BR59" s="483">
        <f t="shared" si="29"/>
        <v>0</v>
      </c>
      <c r="BS59" s="483">
        <f t="shared" si="4"/>
        <v>0</v>
      </c>
    </row>
    <row r="60" spans="1:71" ht="15.75" customHeight="1">
      <c r="A60" s="292" t="str">
        <f>'Unit Savings Calculations'!C56</f>
        <v>Res - SF Rebates</v>
      </c>
      <c r="B60" s="292" t="str">
        <f>'Unit Savings Calculations'!D56</f>
        <v>Programmable Thermostat - Boiler</v>
      </c>
      <c r="C60" s="293">
        <f t="shared" si="30"/>
        <v>1</v>
      </c>
      <c r="D60" s="292" t="str">
        <f>'Unit Savings Calculations'!T56</f>
        <v>5.3.11</v>
      </c>
      <c r="E60" s="438">
        <v>5</v>
      </c>
      <c r="F60" s="438">
        <v>8</v>
      </c>
      <c r="G60" s="292" t="str">
        <f>'Unit Savings Calculations'!E56</f>
        <v>each</v>
      </c>
      <c r="H60" s="294">
        <f>'Unit Savings Calculations'!$F56*'Unit Savings Calculations'!J56</f>
        <v>0</v>
      </c>
      <c r="I60" s="294">
        <f>'Unit Savings Calculations'!$F56*'Unit Savings Calculations'!K56</f>
        <v>0</v>
      </c>
      <c r="J60" s="294">
        <f>'Unit Savings Calculations'!$F56*'Unit Savings Calculations'!L56</f>
        <v>0</v>
      </c>
      <c r="K60" s="294">
        <f>'Unit Savings Calculations'!$F56*'Unit Savings Calculations'!M56</f>
        <v>0</v>
      </c>
      <c r="L60" s="292" t="str">
        <f>'Unit Savings Calculations'!U56</f>
        <v>RS-HVC-PROG-V04-180101</v>
      </c>
      <c r="M60" s="383" t="str">
        <f>'Unit Savings Calculations'!R56</f>
        <v>Exhibit 1.5A_R North Shore EEPS_Adjustable_Savings_Goal_Template.xlsx, Unit Savings Calculations Tab</v>
      </c>
      <c r="N60" s="295">
        <v>42.28896000000001</v>
      </c>
      <c r="O60" s="295">
        <v>42.28896000000001</v>
      </c>
      <c r="P60" s="295">
        <v>42.28896000000001</v>
      </c>
      <c r="Q60" s="295">
        <v>42.28896000000001</v>
      </c>
      <c r="R60" s="296">
        <f>'Unit Savings Calculations'!$G56</f>
        <v>0.64</v>
      </c>
      <c r="S60" s="296">
        <f>'Unit Savings Calculations'!$G56</f>
        <v>0.64</v>
      </c>
      <c r="T60" s="296">
        <f>'Unit Savings Calculations'!$G56</f>
        <v>0.64</v>
      </c>
      <c r="U60" s="296">
        <f>'Unit Savings Calculations'!$G56</f>
        <v>0.64</v>
      </c>
      <c r="V60" s="297">
        <f t="shared" si="51"/>
        <v>0</v>
      </c>
      <c r="W60" s="297">
        <f t="shared" si="52"/>
        <v>0</v>
      </c>
      <c r="X60" s="297">
        <f t="shared" si="53"/>
        <v>0</v>
      </c>
      <c r="Y60" s="297">
        <f t="shared" si="54"/>
        <v>0</v>
      </c>
      <c r="Z60" s="297">
        <f t="shared" si="55"/>
        <v>0</v>
      </c>
      <c r="AA60" s="292"/>
      <c r="AB60" s="292"/>
      <c r="AC60" s="295">
        <v>42.28896000000001</v>
      </c>
      <c r="AD60" s="292"/>
      <c r="AE60" s="297">
        <f t="shared" si="10"/>
        <v>0</v>
      </c>
      <c r="AF60" s="294">
        <f t="shared" si="11"/>
        <v>0</v>
      </c>
      <c r="AG60" s="292"/>
      <c r="AH60" s="292">
        <f t="shared" si="12"/>
        <v>0</v>
      </c>
      <c r="AI60" s="295">
        <v>42.28896000000001</v>
      </c>
      <c r="AJ60" s="383" t="s">
        <v>878</v>
      </c>
      <c r="AK60" s="297">
        <f t="shared" si="13"/>
        <v>0</v>
      </c>
      <c r="AL60" s="294">
        <f t="shared" si="14"/>
        <v>0</v>
      </c>
      <c r="AM60" s="292"/>
      <c r="AN60" s="292"/>
      <c r="AO60" s="295">
        <f>'Unit Savings Calculations'!P56</f>
        <v>42.28896000000001</v>
      </c>
      <c r="AP60" s="383" t="s">
        <v>763</v>
      </c>
      <c r="AQ60" s="297">
        <f t="shared" si="15"/>
        <v>0</v>
      </c>
      <c r="AR60" s="294">
        <f t="shared" si="16"/>
        <v>0</v>
      </c>
      <c r="AS60" s="292"/>
      <c r="AT60" s="292"/>
      <c r="AU60" s="295">
        <f>'Unit Savings Calculations'!Q56</f>
        <v>42.28896000000001</v>
      </c>
      <c r="AV60" s="383" t="str">
        <f t="shared" si="17"/>
        <v>n/a</v>
      </c>
      <c r="AW60" s="297">
        <f t="shared" si="18"/>
        <v>0</v>
      </c>
      <c r="AX60" s="294">
        <f t="shared" si="19"/>
        <v>0</v>
      </c>
      <c r="AY60" s="297">
        <f t="shared" si="20"/>
        <v>0</v>
      </c>
      <c r="AZ60" s="297">
        <f t="shared" si="21"/>
        <v>0</v>
      </c>
      <c r="BA60" s="297">
        <f t="shared" si="22"/>
        <v>0</v>
      </c>
      <c r="BB60" s="297">
        <f t="shared" si="23"/>
        <v>0</v>
      </c>
      <c r="BC60" s="298">
        <f t="shared" si="24"/>
        <v>0</v>
      </c>
      <c r="BD60" s="292" t="s">
        <v>763</v>
      </c>
      <c r="BE60" s="299" t="str">
        <f t="shared" si="25"/>
        <v>Exhibit 1.5A_R North Shore EEPS_Adjustable_Savings_Goal_Template.xlsx, Unit Savings Calculations Tab</v>
      </c>
      <c r="BF60" s="298">
        <f t="shared" si="26"/>
        <v>0</v>
      </c>
      <c r="BG60" s="298">
        <f t="shared" si="26"/>
        <v>0</v>
      </c>
      <c r="BH60" s="298">
        <f t="shared" si="26"/>
        <v>0</v>
      </c>
      <c r="BI60" s="298">
        <f t="shared" si="26"/>
        <v>0</v>
      </c>
      <c r="BJ60" s="298">
        <f t="shared" si="27"/>
        <v>0</v>
      </c>
      <c r="BK60" s="482">
        <v>8</v>
      </c>
      <c r="BL60" s="482">
        <v>8</v>
      </c>
      <c r="BM60" s="482">
        <f>INDEX('Unit Savings Calculations'!$I$4:$I$421,MATCH('Measure-Level Adjustments Tab'!$A60&amp;"_"&amp;'Measure-Level Adjustments Tab'!$B60,'Unit Savings Calculations'!$A$4:$A$421,0))</f>
        <v>8</v>
      </c>
      <c r="BN60" s="482">
        <f t="shared" si="28"/>
        <v>8</v>
      </c>
      <c r="BO60" s="483">
        <f t="shared" si="29"/>
        <v>0</v>
      </c>
      <c r="BP60" s="483">
        <f t="shared" si="29"/>
        <v>0</v>
      </c>
      <c r="BQ60" s="483">
        <f t="shared" si="29"/>
        <v>0</v>
      </c>
      <c r="BR60" s="483">
        <f t="shared" si="29"/>
        <v>0</v>
      </c>
      <c r="BS60" s="483">
        <f t="shared" si="4"/>
        <v>0</v>
      </c>
    </row>
    <row r="61" spans="1:71" ht="15.75" customHeight="1">
      <c r="A61" s="292" t="str">
        <f>'Unit Savings Calculations'!C57</f>
        <v>Res - SF Rebates</v>
      </c>
      <c r="B61" s="292" t="str">
        <f>'Unit Savings Calculations'!D57</f>
        <v>Advanced Thermostat - Furnace (Replace Manual)</v>
      </c>
      <c r="C61" s="293">
        <f t="shared" si="30"/>
        <v>1</v>
      </c>
      <c r="D61" s="292" t="str">
        <f>'Unit Savings Calculations'!T57</f>
        <v>5.3.16</v>
      </c>
      <c r="E61" s="438">
        <v>10</v>
      </c>
      <c r="F61" s="438">
        <v>11</v>
      </c>
      <c r="G61" s="292" t="str">
        <f>'Unit Savings Calculations'!E57</f>
        <v>each</v>
      </c>
      <c r="H61" s="294">
        <f>'Unit Savings Calculations'!$F57*'Unit Savings Calculations'!J57</f>
        <v>675</v>
      </c>
      <c r="I61" s="294">
        <f>'Unit Savings Calculations'!$F57*'Unit Savings Calculations'!K57</f>
        <v>675</v>
      </c>
      <c r="J61" s="294">
        <f>'Unit Savings Calculations'!$F57*'Unit Savings Calculations'!L57</f>
        <v>675</v>
      </c>
      <c r="K61" s="294">
        <f>'Unit Savings Calculations'!$F57*'Unit Savings Calculations'!M57</f>
        <v>675</v>
      </c>
      <c r="L61" s="292" t="str">
        <f>'Unit Savings Calculations'!U57</f>
        <v>RS-HVC-ADTH-V02-180101</v>
      </c>
      <c r="M61" s="383" t="str">
        <f>'Unit Savings Calculations'!R57</f>
        <v>Exhibit 1.5A_R North Shore EEPS_Adjustable_Savings_Goal_Template.xlsx, Unit Savings Calculations Tab</v>
      </c>
      <c r="N61" s="295">
        <v>88.44</v>
      </c>
      <c r="O61" s="295">
        <v>88.44</v>
      </c>
      <c r="P61" s="295">
        <v>88.44</v>
      </c>
      <c r="Q61" s="295">
        <v>88.44</v>
      </c>
      <c r="R61" s="296">
        <f>'Unit Savings Calculations'!$G57</f>
        <v>1</v>
      </c>
      <c r="S61" s="296">
        <f>'Unit Savings Calculations'!$G57</f>
        <v>1</v>
      </c>
      <c r="T61" s="296">
        <f>'Unit Savings Calculations'!$G57</f>
        <v>1</v>
      </c>
      <c r="U61" s="296">
        <f>'Unit Savings Calculations'!$G57</f>
        <v>1</v>
      </c>
      <c r="V61" s="297">
        <f t="shared" si="51"/>
        <v>59697</v>
      </c>
      <c r="W61" s="297">
        <f t="shared" si="52"/>
        <v>59697</v>
      </c>
      <c r="X61" s="297">
        <f t="shared" si="53"/>
        <v>59697</v>
      </c>
      <c r="Y61" s="297">
        <f t="shared" si="54"/>
        <v>59697</v>
      </c>
      <c r="Z61" s="297">
        <f t="shared" si="55"/>
        <v>238788</v>
      </c>
      <c r="AA61" s="292"/>
      <c r="AB61" s="292"/>
      <c r="AC61" s="295">
        <v>88.44</v>
      </c>
      <c r="AD61" s="292"/>
      <c r="AE61" s="297">
        <f t="shared" si="10"/>
        <v>59697</v>
      </c>
      <c r="AF61" s="294">
        <f t="shared" si="11"/>
        <v>0</v>
      </c>
      <c r="AG61" s="292"/>
      <c r="AH61" s="292">
        <f t="shared" si="12"/>
        <v>0</v>
      </c>
      <c r="AI61" s="295">
        <v>88.44</v>
      </c>
      <c r="AJ61" s="383" t="s">
        <v>878</v>
      </c>
      <c r="AK61" s="297">
        <f t="shared" si="13"/>
        <v>59697</v>
      </c>
      <c r="AL61" s="294">
        <f t="shared" si="14"/>
        <v>0</v>
      </c>
      <c r="AM61" s="292"/>
      <c r="AN61" s="292"/>
      <c r="AO61" s="295">
        <f>'Unit Savings Calculations'!P57</f>
        <v>88.44</v>
      </c>
      <c r="AP61" s="383" t="s">
        <v>763</v>
      </c>
      <c r="AQ61" s="297">
        <f t="shared" si="15"/>
        <v>59697</v>
      </c>
      <c r="AR61" s="294">
        <f t="shared" si="16"/>
        <v>0</v>
      </c>
      <c r="AS61" s="292"/>
      <c r="AT61" s="292"/>
      <c r="AU61" s="295">
        <f>'Unit Savings Calculations'!Q57</f>
        <v>88.44</v>
      </c>
      <c r="AV61" s="383" t="str">
        <f t="shared" si="17"/>
        <v>n/a</v>
      </c>
      <c r="AW61" s="297">
        <f t="shared" si="18"/>
        <v>59697</v>
      </c>
      <c r="AX61" s="294">
        <f t="shared" si="19"/>
        <v>0</v>
      </c>
      <c r="AY61" s="297">
        <f t="shared" si="20"/>
        <v>59697</v>
      </c>
      <c r="AZ61" s="297">
        <f t="shared" si="21"/>
        <v>59697</v>
      </c>
      <c r="BA61" s="297">
        <f t="shared" si="22"/>
        <v>59697</v>
      </c>
      <c r="BB61" s="297">
        <f t="shared" si="23"/>
        <v>59697</v>
      </c>
      <c r="BC61" s="298">
        <f t="shared" si="24"/>
        <v>238788</v>
      </c>
      <c r="BD61" s="292" t="s">
        <v>763</v>
      </c>
      <c r="BE61" s="299" t="str">
        <f t="shared" si="25"/>
        <v>Exhibit 1.5A_R North Shore EEPS_Adjustable_Savings_Goal_Template.xlsx, Unit Savings Calculations Tab</v>
      </c>
      <c r="BF61" s="298">
        <f t="shared" si="26"/>
        <v>656667</v>
      </c>
      <c r="BG61" s="298">
        <f t="shared" si="26"/>
        <v>656667</v>
      </c>
      <c r="BH61" s="298">
        <f t="shared" si="26"/>
        <v>656667</v>
      </c>
      <c r="BI61" s="298">
        <f t="shared" si="26"/>
        <v>656667</v>
      </c>
      <c r="BJ61" s="298">
        <f t="shared" si="27"/>
        <v>2626668</v>
      </c>
      <c r="BK61" s="482">
        <v>11</v>
      </c>
      <c r="BL61" s="482">
        <v>11</v>
      </c>
      <c r="BM61" s="482">
        <f>INDEX('Unit Savings Calculations'!$I$4:$I$421,MATCH('Measure-Level Adjustments Tab'!$A61&amp;"_"&amp;'Measure-Level Adjustments Tab'!$B61,'Unit Savings Calculations'!$A$4:$A$421,0))</f>
        <v>11</v>
      </c>
      <c r="BN61" s="482">
        <f t="shared" si="28"/>
        <v>11</v>
      </c>
      <c r="BO61" s="483">
        <f t="shared" si="29"/>
        <v>656667</v>
      </c>
      <c r="BP61" s="483">
        <f t="shared" si="29"/>
        <v>656667</v>
      </c>
      <c r="BQ61" s="483">
        <f t="shared" si="29"/>
        <v>656667</v>
      </c>
      <c r="BR61" s="483">
        <f t="shared" si="29"/>
        <v>656667</v>
      </c>
      <c r="BS61" s="483">
        <f t="shared" si="4"/>
        <v>2626668</v>
      </c>
    </row>
    <row r="62" spans="1:71" ht="15.75" customHeight="1">
      <c r="A62" s="292" t="str">
        <f>'Unit Savings Calculations'!C58</f>
        <v>Res - SF Rebates</v>
      </c>
      <c r="B62" s="292" t="str">
        <f>'Unit Savings Calculations'!D58</f>
        <v>Advanced Thermostat - Boiler (Replace Manual)</v>
      </c>
      <c r="C62" s="293">
        <f t="shared" si="30"/>
        <v>1</v>
      </c>
      <c r="D62" s="292" t="str">
        <f>'Unit Savings Calculations'!T58</f>
        <v>5.3.16</v>
      </c>
      <c r="E62" s="438">
        <v>10</v>
      </c>
      <c r="F62" s="438">
        <v>11</v>
      </c>
      <c r="G62" s="292" t="str">
        <f>'Unit Savings Calculations'!E58</f>
        <v>each</v>
      </c>
      <c r="H62" s="294">
        <f>'Unit Savings Calculations'!$F58*'Unit Savings Calculations'!J58</f>
        <v>124</v>
      </c>
      <c r="I62" s="294">
        <f>'Unit Savings Calculations'!$F58*'Unit Savings Calculations'!K58</f>
        <v>124</v>
      </c>
      <c r="J62" s="294">
        <f>'Unit Savings Calculations'!$F58*'Unit Savings Calculations'!L58</f>
        <v>124</v>
      </c>
      <c r="K62" s="294">
        <f>'Unit Savings Calculations'!$F58*'Unit Savings Calculations'!M58</f>
        <v>124</v>
      </c>
      <c r="L62" s="292" t="str">
        <f>'Unit Savings Calculations'!U58</f>
        <v>RS-HVC-ADTH-V02-180101</v>
      </c>
      <c r="M62" s="383" t="str">
        <f>'Unit Savings Calculations'!R58</f>
        <v>Exhibit 1.5A_R North Shore EEPS_Adjustable_Savings_Goal_Template.xlsx, Unit Savings Calculations Tab</v>
      </c>
      <c r="N62" s="295">
        <v>107.184</v>
      </c>
      <c r="O62" s="295">
        <v>107.184</v>
      </c>
      <c r="P62" s="295">
        <v>107.184</v>
      </c>
      <c r="Q62" s="295">
        <v>107.184</v>
      </c>
      <c r="R62" s="296">
        <f>'Unit Savings Calculations'!$G58</f>
        <v>1</v>
      </c>
      <c r="S62" s="296">
        <f>'Unit Savings Calculations'!$G58</f>
        <v>1</v>
      </c>
      <c r="T62" s="296">
        <f>'Unit Savings Calculations'!$G58</f>
        <v>1</v>
      </c>
      <c r="U62" s="296">
        <f>'Unit Savings Calculations'!$G58</f>
        <v>1</v>
      </c>
      <c r="V62" s="297">
        <f t="shared" si="51"/>
        <v>13290.815999999999</v>
      </c>
      <c r="W62" s="297">
        <f t="shared" si="52"/>
        <v>13290.815999999999</v>
      </c>
      <c r="X62" s="297">
        <f t="shared" si="53"/>
        <v>13290.815999999999</v>
      </c>
      <c r="Y62" s="297">
        <f t="shared" si="54"/>
        <v>13290.815999999999</v>
      </c>
      <c r="Z62" s="297">
        <f t="shared" si="55"/>
        <v>53163.263999999996</v>
      </c>
      <c r="AA62" s="292"/>
      <c r="AB62" s="292"/>
      <c r="AC62" s="295">
        <v>107.184</v>
      </c>
      <c r="AD62" s="292"/>
      <c r="AE62" s="297">
        <f t="shared" si="10"/>
        <v>13290.815999999999</v>
      </c>
      <c r="AF62" s="294">
        <f t="shared" si="11"/>
        <v>0</v>
      </c>
      <c r="AG62" s="292"/>
      <c r="AH62" s="292">
        <f t="shared" si="12"/>
        <v>0</v>
      </c>
      <c r="AI62" s="295">
        <v>107.184</v>
      </c>
      <c r="AJ62" s="383" t="s">
        <v>878</v>
      </c>
      <c r="AK62" s="297">
        <f t="shared" si="13"/>
        <v>13290.815999999999</v>
      </c>
      <c r="AL62" s="294">
        <f t="shared" si="14"/>
        <v>0</v>
      </c>
      <c r="AM62" s="292"/>
      <c r="AN62" s="292"/>
      <c r="AO62" s="295">
        <f>'Unit Savings Calculations'!P58</f>
        <v>107.184</v>
      </c>
      <c r="AP62" s="383" t="s">
        <v>763</v>
      </c>
      <c r="AQ62" s="297">
        <f t="shared" si="15"/>
        <v>13290.815999999999</v>
      </c>
      <c r="AR62" s="294">
        <f t="shared" si="16"/>
        <v>0</v>
      </c>
      <c r="AS62" s="292"/>
      <c r="AT62" s="292"/>
      <c r="AU62" s="295">
        <f>'Unit Savings Calculations'!Q58</f>
        <v>107.184</v>
      </c>
      <c r="AV62" s="383" t="str">
        <f t="shared" si="17"/>
        <v>n/a</v>
      </c>
      <c r="AW62" s="297">
        <f t="shared" si="18"/>
        <v>13290.815999999999</v>
      </c>
      <c r="AX62" s="294">
        <f t="shared" si="19"/>
        <v>0</v>
      </c>
      <c r="AY62" s="297">
        <f t="shared" si="20"/>
        <v>13290.815999999999</v>
      </c>
      <c r="AZ62" s="297">
        <f t="shared" si="21"/>
        <v>13290.815999999999</v>
      </c>
      <c r="BA62" s="297">
        <f t="shared" si="22"/>
        <v>13290.815999999999</v>
      </c>
      <c r="BB62" s="297">
        <f t="shared" si="23"/>
        <v>13290.815999999999</v>
      </c>
      <c r="BC62" s="298">
        <f t="shared" si="24"/>
        <v>53163.263999999996</v>
      </c>
      <c r="BD62" s="292" t="s">
        <v>763</v>
      </c>
      <c r="BE62" s="299" t="str">
        <f t="shared" si="25"/>
        <v>Exhibit 1.5A_R North Shore EEPS_Adjustable_Savings_Goal_Template.xlsx, Unit Savings Calculations Tab</v>
      </c>
      <c r="BF62" s="298">
        <f t="shared" si="26"/>
        <v>146198.976</v>
      </c>
      <c r="BG62" s="298">
        <f t="shared" si="26"/>
        <v>146198.976</v>
      </c>
      <c r="BH62" s="298">
        <f t="shared" si="26"/>
        <v>146198.976</v>
      </c>
      <c r="BI62" s="298">
        <f t="shared" si="26"/>
        <v>146198.976</v>
      </c>
      <c r="BJ62" s="298">
        <f t="shared" si="27"/>
        <v>584795.90399999998</v>
      </c>
      <c r="BK62" s="482">
        <v>11</v>
      </c>
      <c r="BL62" s="482">
        <v>11</v>
      </c>
      <c r="BM62" s="482">
        <f>INDEX('Unit Savings Calculations'!$I$4:$I$421,MATCH('Measure-Level Adjustments Tab'!$A62&amp;"_"&amp;'Measure-Level Adjustments Tab'!$B62,'Unit Savings Calculations'!$A$4:$A$421,0))</f>
        <v>11</v>
      </c>
      <c r="BN62" s="482">
        <f t="shared" si="28"/>
        <v>11</v>
      </c>
      <c r="BO62" s="483">
        <f t="shared" si="29"/>
        <v>146198.976</v>
      </c>
      <c r="BP62" s="483">
        <f t="shared" si="29"/>
        <v>146198.976</v>
      </c>
      <c r="BQ62" s="483">
        <f t="shared" si="29"/>
        <v>146198.976</v>
      </c>
      <c r="BR62" s="483">
        <f t="shared" si="29"/>
        <v>146198.976</v>
      </c>
      <c r="BS62" s="483">
        <f t="shared" si="4"/>
        <v>584795.90399999998</v>
      </c>
    </row>
    <row r="63" spans="1:71" ht="15.75" customHeight="1">
      <c r="A63" s="292" t="str">
        <f>'Unit Savings Calculations'!C59</f>
        <v>Res - SF Rebates</v>
      </c>
      <c r="B63" s="292" t="str">
        <f>'Unit Savings Calculations'!D59</f>
        <v>Advanced Thermostat - Furnace (Replace Programmable)</v>
      </c>
      <c r="C63" s="293">
        <f t="shared" si="30"/>
        <v>1</v>
      </c>
      <c r="D63" s="292" t="str">
        <f>'Unit Savings Calculations'!T59</f>
        <v>5.3.16</v>
      </c>
      <c r="E63" s="438">
        <v>10</v>
      </c>
      <c r="F63" s="438">
        <v>11</v>
      </c>
      <c r="G63" s="292" t="str">
        <f>'Unit Savings Calculations'!E59</f>
        <v>each</v>
      </c>
      <c r="H63" s="294">
        <f>'Unit Savings Calculations'!$F59*'Unit Savings Calculations'!J59</f>
        <v>1200</v>
      </c>
      <c r="I63" s="294">
        <f>'Unit Savings Calculations'!$F59*'Unit Savings Calculations'!K59</f>
        <v>1200</v>
      </c>
      <c r="J63" s="294">
        <f>'Unit Savings Calculations'!$F59*'Unit Savings Calculations'!L59</f>
        <v>1200</v>
      </c>
      <c r="K63" s="294">
        <f>'Unit Savings Calculations'!$F59*'Unit Savings Calculations'!M59</f>
        <v>1200</v>
      </c>
      <c r="L63" s="292" t="str">
        <f>'Unit Savings Calculations'!U59</f>
        <v>RS-HVC-ADTH-V02-180101</v>
      </c>
      <c r="M63" s="383" t="str">
        <f>'Unit Savings Calculations'!R59</f>
        <v>Exhibit 1.5A_R North Shore EEPS_Adjustable_Savings_Goal_Template.xlsx, Unit Savings Calculations Tab</v>
      </c>
      <c r="N63" s="295">
        <v>56.28</v>
      </c>
      <c r="O63" s="295">
        <v>56.28</v>
      </c>
      <c r="P63" s="295">
        <v>56.28</v>
      </c>
      <c r="Q63" s="295">
        <v>56.28</v>
      </c>
      <c r="R63" s="296">
        <f>'Unit Savings Calculations'!$G59</f>
        <v>1</v>
      </c>
      <c r="S63" s="296">
        <f>'Unit Savings Calculations'!$G59</f>
        <v>1</v>
      </c>
      <c r="T63" s="296">
        <f>'Unit Savings Calculations'!$G59</f>
        <v>1</v>
      </c>
      <c r="U63" s="296">
        <f>'Unit Savings Calculations'!$G59</f>
        <v>1</v>
      </c>
      <c r="V63" s="297">
        <f t="shared" si="51"/>
        <v>67536</v>
      </c>
      <c r="W63" s="297">
        <f t="shared" si="52"/>
        <v>67536</v>
      </c>
      <c r="X63" s="297">
        <f t="shared" si="53"/>
        <v>67536</v>
      </c>
      <c r="Y63" s="297">
        <f t="shared" si="54"/>
        <v>67536</v>
      </c>
      <c r="Z63" s="297">
        <f t="shared" si="55"/>
        <v>270144</v>
      </c>
      <c r="AA63" s="292"/>
      <c r="AB63" s="292"/>
      <c r="AC63" s="295">
        <v>56.28</v>
      </c>
      <c r="AD63" s="292"/>
      <c r="AE63" s="297">
        <f t="shared" si="10"/>
        <v>67536</v>
      </c>
      <c r="AF63" s="294">
        <f t="shared" si="11"/>
        <v>0</v>
      </c>
      <c r="AG63" s="292"/>
      <c r="AH63" s="292">
        <f t="shared" si="12"/>
        <v>0</v>
      </c>
      <c r="AI63" s="295">
        <v>56.28</v>
      </c>
      <c r="AJ63" s="383" t="s">
        <v>878</v>
      </c>
      <c r="AK63" s="297">
        <f t="shared" si="13"/>
        <v>67536</v>
      </c>
      <c r="AL63" s="294">
        <f t="shared" si="14"/>
        <v>0</v>
      </c>
      <c r="AM63" s="292"/>
      <c r="AN63" s="292"/>
      <c r="AO63" s="295">
        <f>'Unit Savings Calculations'!P59</f>
        <v>56.28</v>
      </c>
      <c r="AP63" s="383" t="s">
        <v>763</v>
      </c>
      <c r="AQ63" s="297">
        <f t="shared" si="15"/>
        <v>67536</v>
      </c>
      <c r="AR63" s="294">
        <f t="shared" si="16"/>
        <v>0</v>
      </c>
      <c r="AS63" s="292"/>
      <c r="AT63" s="292"/>
      <c r="AU63" s="295">
        <f>'Unit Savings Calculations'!Q59</f>
        <v>56.28</v>
      </c>
      <c r="AV63" s="383" t="str">
        <f t="shared" si="17"/>
        <v>n/a</v>
      </c>
      <c r="AW63" s="297">
        <f t="shared" si="18"/>
        <v>67536</v>
      </c>
      <c r="AX63" s="294">
        <f t="shared" si="19"/>
        <v>0</v>
      </c>
      <c r="AY63" s="297">
        <f t="shared" si="20"/>
        <v>67536</v>
      </c>
      <c r="AZ63" s="297">
        <f t="shared" si="21"/>
        <v>67536</v>
      </c>
      <c r="BA63" s="297">
        <f t="shared" si="22"/>
        <v>67536</v>
      </c>
      <c r="BB63" s="297">
        <f t="shared" si="23"/>
        <v>67536</v>
      </c>
      <c r="BC63" s="298">
        <f t="shared" si="24"/>
        <v>270144</v>
      </c>
      <c r="BD63" s="292" t="s">
        <v>763</v>
      </c>
      <c r="BE63" s="299" t="str">
        <f t="shared" si="25"/>
        <v>Exhibit 1.5A_R North Shore EEPS_Adjustable_Savings_Goal_Template.xlsx, Unit Savings Calculations Tab</v>
      </c>
      <c r="BF63" s="298">
        <f t="shared" si="26"/>
        <v>742896</v>
      </c>
      <c r="BG63" s="298">
        <f t="shared" si="26"/>
        <v>742896</v>
      </c>
      <c r="BH63" s="298">
        <f t="shared" si="26"/>
        <v>742896</v>
      </c>
      <c r="BI63" s="298">
        <f t="shared" si="26"/>
        <v>742896</v>
      </c>
      <c r="BJ63" s="298">
        <f t="shared" si="27"/>
        <v>2971584</v>
      </c>
      <c r="BK63" s="482">
        <v>11</v>
      </c>
      <c r="BL63" s="482">
        <v>11</v>
      </c>
      <c r="BM63" s="482">
        <f>INDEX('Unit Savings Calculations'!$I$4:$I$421,MATCH('Measure-Level Adjustments Tab'!$A63&amp;"_"&amp;'Measure-Level Adjustments Tab'!$B63,'Unit Savings Calculations'!$A$4:$A$421,0))</f>
        <v>11</v>
      </c>
      <c r="BN63" s="482">
        <f t="shared" si="28"/>
        <v>11</v>
      </c>
      <c r="BO63" s="483">
        <f t="shared" si="29"/>
        <v>742896</v>
      </c>
      <c r="BP63" s="483">
        <f t="shared" si="29"/>
        <v>742896</v>
      </c>
      <c r="BQ63" s="483">
        <f t="shared" si="29"/>
        <v>742896</v>
      </c>
      <c r="BR63" s="483">
        <f t="shared" si="29"/>
        <v>742896</v>
      </c>
      <c r="BS63" s="483">
        <f t="shared" si="4"/>
        <v>2971584</v>
      </c>
    </row>
    <row r="64" spans="1:71" ht="15.75" customHeight="1">
      <c r="A64" s="292" t="str">
        <f>'Unit Savings Calculations'!C60</f>
        <v>Res - SF Rebates</v>
      </c>
      <c r="B64" s="292" t="str">
        <f>'Unit Savings Calculations'!D60</f>
        <v>Advanced Thermostat - Boiler (Replace Programmable)</v>
      </c>
      <c r="C64" s="293">
        <f t="shared" si="30"/>
        <v>1</v>
      </c>
      <c r="D64" s="292" t="str">
        <f>'Unit Savings Calculations'!T60</f>
        <v>5.3.16</v>
      </c>
      <c r="E64" s="438">
        <v>10</v>
      </c>
      <c r="F64" s="438">
        <v>11</v>
      </c>
      <c r="G64" s="292" t="str">
        <f>'Unit Savings Calculations'!E60</f>
        <v>each</v>
      </c>
      <c r="H64" s="294">
        <f>'Unit Savings Calculations'!$F60*'Unit Savings Calculations'!J60</f>
        <v>230</v>
      </c>
      <c r="I64" s="294">
        <f>'Unit Savings Calculations'!$F60*'Unit Savings Calculations'!K60</f>
        <v>230</v>
      </c>
      <c r="J64" s="294">
        <f>'Unit Savings Calculations'!$F60*'Unit Savings Calculations'!L60</f>
        <v>230</v>
      </c>
      <c r="K64" s="294">
        <f>'Unit Savings Calculations'!$F60*'Unit Savings Calculations'!M60</f>
        <v>230</v>
      </c>
      <c r="L64" s="292" t="str">
        <f>'Unit Savings Calculations'!U60</f>
        <v>RS-HVC-ADTH-V02-180101</v>
      </c>
      <c r="M64" s="383" t="str">
        <f>'Unit Savings Calculations'!R60</f>
        <v>Exhibit 1.5A_R North Shore EEPS_Adjustable_Savings_Goal_Template.xlsx, Unit Savings Calculations Tab</v>
      </c>
      <c r="N64" s="295">
        <v>68.207999999999998</v>
      </c>
      <c r="O64" s="295">
        <v>68.207999999999998</v>
      </c>
      <c r="P64" s="295">
        <v>68.207999999999998</v>
      </c>
      <c r="Q64" s="295">
        <v>68.207999999999998</v>
      </c>
      <c r="R64" s="296">
        <f>'Unit Savings Calculations'!$G60</f>
        <v>1</v>
      </c>
      <c r="S64" s="296">
        <f>'Unit Savings Calculations'!$G60</f>
        <v>1</v>
      </c>
      <c r="T64" s="296">
        <f>'Unit Savings Calculations'!$G60</f>
        <v>1</v>
      </c>
      <c r="U64" s="296">
        <f>'Unit Savings Calculations'!$G60</f>
        <v>1</v>
      </c>
      <c r="V64" s="297">
        <f t="shared" si="51"/>
        <v>15687.84</v>
      </c>
      <c r="W64" s="297">
        <f t="shared" si="52"/>
        <v>15687.84</v>
      </c>
      <c r="X64" s="297">
        <f t="shared" si="53"/>
        <v>15687.84</v>
      </c>
      <c r="Y64" s="297">
        <f t="shared" si="54"/>
        <v>15687.84</v>
      </c>
      <c r="Z64" s="297">
        <f t="shared" si="55"/>
        <v>62751.360000000001</v>
      </c>
      <c r="AA64" s="292"/>
      <c r="AB64" s="292"/>
      <c r="AC64" s="295">
        <v>68.207999999999998</v>
      </c>
      <c r="AD64" s="292"/>
      <c r="AE64" s="297">
        <f t="shared" si="10"/>
        <v>15687.84</v>
      </c>
      <c r="AF64" s="294">
        <f t="shared" si="11"/>
        <v>0</v>
      </c>
      <c r="AG64" s="292"/>
      <c r="AH64" s="292">
        <f t="shared" si="12"/>
        <v>0</v>
      </c>
      <c r="AI64" s="295">
        <v>68.207999999999998</v>
      </c>
      <c r="AJ64" s="383" t="s">
        <v>878</v>
      </c>
      <c r="AK64" s="297">
        <f t="shared" si="13"/>
        <v>15687.84</v>
      </c>
      <c r="AL64" s="294">
        <f t="shared" si="14"/>
        <v>0</v>
      </c>
      <c r="AM64" s="292"/>
      <c r="AN64" s="292"/>
      <c r="AO64" s="295">
        <f>'Unit Savings Calculations'!P60</f>
        <v>68.207999999999998</v>
      </c>
      <c r="AP64" s="383" t="s">
        <v>763</v>
      </c>
      <c r="AQ64" s="297">
        <f t="shared" si="15"/>
        <v>15687.84</v>
      </c>
      <c r="AR64" s="294">
        <f t="shared" si="16"/>
        <v>0</v>
      </c>
      <c r="AS64" s="292"/>
      <c r="AT64" s="292"/>
      <c r="AU64" s="295">
        <f>'Unit Savings Calculations'!Q60</f>
        <v>68.207999999999998</v>
      </c>
      <c r="AV64" s="383" t="str">
        <f t="shared" si="17"/>
        <v>n/a</v>
      </c>
      <c r="AW64" s="297">
        <f t="shared" si="18"/>
        <v>15687.84</v>
      </c>
      <c r="AX64" s="294">
        <f t="shared" si="19"/>
        <v>0</v>
      </c>
      <c r="AY64" s="297">
        <f t="shared" si="20"/>
        <v>15687.84</v>
      </c>
      <c r="AZ64" s="297">
        <f t="shared" si="21"/>
        <v>15687.84</v>
      </c>
      <c r="BA64" s="297">
        <f t="shared" si="22"/>
        <v>15687.84</v>
      </c>
      <c r="BB64" s="297">
        <f t="shared" si="23"/>
        <v>15687.84</v>
      </c>
      <c r="BC64" s="298">
        <f t="shared" si="24"/>
        <v>62751.360000000001</v>
      </c>
      <c r="BD64" s="292" t="s">
        <v>763</v>
      </c>
      <c r="BE64" s="299" t="str">
        <f t="shared" si="25"/>
        <v>Exhibit 1.5A_R North Shore EEPS_Adjustable_Savings_Goal_Template.xlsx, Unit Savings Calculations Tab</v>
      </c>
      <c r="BF64" s="298">
        <f t="shared" si="26"/>
        <v>172566.24</v>
      </c>
      <c r="BG64" s="298">
        <f t="shared" si="26"/>
        <v>172566.24</v>
      </c>
      <c r="BH64" s="298">
        <f t="shared" si="26"/>
        <v>172566.24</v>
      </c>
      <c r="BI64" s="298">
        <f t="shared" si="26"/>
        <v>172566.24</v>
      </c>
      <c r="BJ64" s="298">
        <f t="shared" si="27"/>
        <v>690264.96</v>
      </c>
      <c r="BK64" s="482">
        <v>11</v>
      </c>
      <c r="BL64" s="482">
        <v>11</v>
      </c>
      <c r="BM64" s="482">
        <f>INDEX('Unit Savings Calculations'!$I$4:$I$421,MATCH('Measure-Level Adjustments Tab'!$A64&amp;"_"&amp;'Measure-Level Adjustments Tab'!$B64,'Unit Savings Calculations'!$A$4:$A$421,0))</f>
        <v>11</v>
      </c>
      <c r="BN64" s="482">
        <f t="shared" si="28"/>
        <v>11</v>
      </c>
      <c r="BO64" s="483">
        <f t="shared" si="29"/>
        <v>172566.24</v>
      </c>
      <c r="BP64" s="483">
        <f t="shared" si="29"/>
        <v>172566.24</v>
      </c>
      <c r="BQ64" s="483">
        <f t="shared" si="29"/>
        <v>172566.24</v>
      </c>
      <c r="BR64" s="483">
        <f t="shared" si="29"/>
        <v>172566.24</v>
      </c>
      <c r="BS64" s="483">
        <f t="shared" si="4"/>
        <v>690264.96</v>
      </c>
    </row>
    <row r="65" spans="1:71" ht="15.75" customHeight="1">
      <c r="A65" s="292" t="str">
        <f>'Unit Savings Calculations'!C61</f>
        <v>Res - SF Rebates</v>
      </c>
      <c r="B65" s="292" t="str">
        <f>'Unit Savings Calculations'!D61</f>
        <v>Air Sealing</v>
      </c>
      <c r="C65" s="293">
        <f t="shared" si="30"/>
        <v>1</v>
      </c>
      <c r="D65" s="292" t="str">
        <f>'Unit Savings Calculations'!T61</f>
        <v>5.6.1</v>
      </c>
      <c r="E65" s="438">
        <v>15</v>
      </c>
      <c r="F65" s="438">
        <v>20</v>
      </c>
      <c r="G65" s="292" t="str">
        <f>'Unit Savings Calculations'!E61</f>
        <v>CFM_50</v>
      </c>
      <c r="H65" s="294">
        <f>'Unit Savings Calculations'!$F61*'Unit Savings Calculations'!J61</f>
        <v>70459.151999999987</v>
      </c>
      <c r="I65" s="294">
        <f>'Unit Savings Calculations'!$F61*'Unit Savings Calculations'!K61</f>
        <v>70459.151999999987</v>
      </c>
      <c r="J65" s="294">
        <f>'Unit Savings Calculations'!$F61*'Unit Savings Calculations'!L61</f>
        <v>70459.151999999987</v>
      </c>
      <c r="K65" s="294">
        <f>'Unit Savings Calculations'!$F61*'Unit Savings Calculations'!M61</f>
        <v>70459.151999999987</v>
      </c>
      <c r="L65" s="292" t="str">
        <f>'Unit Savings Calculations'!U61</f>
        <v>RS-SHL-AIRS-V06-180101</v>
      </c>
      <c r="M65" s="383" t="str">
        <f>'Unit Savings Calculations'!R61</f>
        <v>Exhibit 1.5A_R North Shore EEPS_Adjustable_Savings_Goal_Template.xlsx, Unit Savings Calculations Tab</v>
      </c>
      <c r="N65" s="295">
        <v>7.7015899581589969E-2</v>
      </c>
      <c r="O65" s="295">
        <v>7.7015899581589969E-2</v>
      </c>
      <c r="P65" s="295">
        <v>7.7015899581589969E-2</v>
      </c>
      <c r="Q65" s="295">
        <v>7.7015899581589969E-2</v>
      </c>
      <c r="R65" s="296">
        <f>'Unit Savings Calculations'!$G61</f>
        <v>0.9</v>
      </c>
      <c r="S65" s="296">
        <f>'Unit Savings Calculations'!$G61</f>
        <v>0.9</v>
      </c>
      <c r="T65" s="296">
        <f>'Unit Savings Calculations'!$G61</f>
        <v>0.9</v>
      </c>
      <c r="U65" s="296">
        <f>'Unit Savings Calculations'!$G61</f>
        <v>0.9</v>
      </c>
      <c r="V65" s="297">
        <f t="shared" si="51"/>
        <v>4883.8274775323853</v>
      </c>
      <c r="W65" s="297">
        <f t="shared" si="52"/>
        <v>4883.8274775323853</v>
      </c>
      <c r="X65" s="297">
        <f t="shared" si="53"/>
        <v>4883.8274775323853</v>
      </c>
      <c r="Y65" s="297">
        <f t="shared" si="54"/>
        <v>4883.8274775323853</v>
      </c>
      <c r="Z65" s="297">
        <f t="shared" si="55"/>
        <v>19535.309910129541</v>
      </c>
      <c r="AA65" s="292"/>
      <c r="AB65" s="292"/>
      <c r="AC65" s="295">
        <v>7.7015899581589969E-2</v>
      </c>
      <c r="AD65" s="292"/>
      <c r="AE65" s="297">
        <f t="shared" si="10"/>
        <v>4883.8274775323853</v>
      </c>
      <c r="AF65" s="294">
        <f t="shared" si="11"/>
        <v>0</v>
      </c>
      <c r="AG65" s="292"/>
      <c r="AH65" s="292">
        <f t="shared" si="12"/>
        <v>0</v>
      </c>
      <c r="AI65" s="295">
        <v>5.5451447698744778E-2</v>
      </c>
      <c r="AJ65" s="383" t="s">
        <v>1041</v>
      </c>
      <c r="AK65" s="297">
        <f t="shared" si="13"/>
        <v>3516.3557838233173</v>
      </c>
      <c r="AL65" s="294">
        <f t="shared" si="14"/>
        <v>-1367.4716937090679</v>
      </c>
      <c r="AM65" s="292"/>
      <c r="AN65" s="292"/>
      <c r="AO65" s="295">
        <f>'Unit Savings Calculations'!P61</f>
        <v>5.5451447698744778E-2</v>
      </c>
      <c r="AP65" s="383" t="s">
        <v>1446</v>
      </c>
      <c r="AQ65" s="297">
        <f t="shared" si="15"/>
        <v>3516.3557838233173</v>
      </c>
      <c r="AR65" s="294">
        <f t="shared" si="16"/>
        <v>-1367.4716937090679</v>
      </c>
      <c r="AS65" s="292"/>
      <c r="AT65" s="292"/>
      <c r="AU65" s="295">
        <f>'Unit Savings Calculations'!Q61</f>
        <v>5.5451447698744778E-2</v>
      </c>
      <c r="AV65" s="383" t="str">
        <f t="shared" si="17"/>
        <v>Updated algorithm with new variables</v>
      </c>
      <c r="AW65" s="297">
        <f t="shared" si="18"/>
        <v>3516.3557838233173</v>
      </c>
      <c r="AX65" s="294">
        <f t="shared" si="19"/>
        <v>-1367.4716937090679</v>
      </c>
      <c r="AY65" s="297">
        <f t="shared" si="20"/>
        <v>4883.8274775323853</v>
      </c>
      <c r="AZ65" s="297">
        <f t="shared" si="21"/>
        <v>3516.3557838233173</v>
      </c>
      <c r="BA65" s="297">
        <f t="shared" si="22"/>
        <v>3516.3557838233173</v>
      </c>
      <c r="BB65" s="297">
        <f t="shared" si="23"/>
        <v>3516.3557838233173</v>
      </c>
      <c r="BC65" s="298">
        <f t="shared" si="24"/>
        <v>15432.894829002336</v>
      </c>
      <c r="BD65" s="292" t="s">
        <v>763</v>
      </c>
      <c r="BE65" s="299" t="str">
        <f t="shared" si="25"/>
        <v>Exhibit 1.5A_R North Shore EEPS_Adjustable_Savings_Goal_Template.xlsx, Unit Savings Calculations Tab</v>
      </c>
      <c r="BF65" s="298">
        <f t="shared" si="26"/>
        <v>97676.549550647702</v>
      </c>
      <c r="BG65" s="298">
        <f t="shared" si="26"/>
        <v>97676.549550647702</v>
      </c>
      <c r="BH65" s="298">
        <f t="shared" si="26"/>
        <v>97676.549550647702</v>
      </c>
      <c r="BI65" s="298">
        <f t="shared" si="26"/>
        <v>97676.549550647702</v>
      </c>
      <c r="BJ65" s="298">
        <f t="shared" si="27"/>
        <v>390706.19820259081</v>
      </c>
      <c r="BK65" s="482">
        <v>20</v>
      </c>
      <c r="BL65" s="482">
        <v>20</v>
      </c>
      <c r="BM65" s="482">
        <f>INDEX('Unit Savings Calculations'!$I$4:$I$421,MATCH('Measure-Level Adjustments Tab'!$A65&amp;"_"&amp;'Measure-Level Adjustments Tab'!$B65,'Unit Savings Calculations'!$A$4:$A$421,0))</f>
        <v>20</v>
      </c>
      <c r="BN65" s="482">
        <f t="shared" si="28"/>
        <v>20</v>
      </c>
      <c r="BO65" s="483">
        <f t="shared" si="29"/>
        <v>97676.549550647702</v>
      </c>
      <c r="BP65" s="483">
        <f t="shared" si="29"/>
        <v>70327.115676466346</v>
      </c>
      <c r="BQ65" s="483">
        <f t="shared" si="29"/>
        <v>70327.115676466346</v>
      </c>
      <c r="BR65" s="483">
        <f t="shared" si="29"/>
        <v>70327.115676466346</v>
      </c>
      <c r="BS65" s="483">
        <f t="shared" si="4"/>
        <v>308657.89658004674</v>
      </c>
    </row>
    <row r="66" spans="1:71" ht="15.75" customHeight="1">
      <c r="A66" s="292" t="str">
        <f>'Unit Savings Calculations'!C62</f>
        <v>Res - SF Rebates</v>
      </c>
      <c r="B66" s="292" t="str">
        <f>'Unit Savings Calculations'!D62</f>
        <v>Attic Insulation</v>
      </c>
      <c r="C66" s="293">
        <f t="shared" si="30"/>
        <v>1</v>
      </c>
      <c r="D66" s="292" t="str">
        <f>'Unit Savings Calculations'!T62</f>
        <v>5.6.5</v>
      </c>
      <c r="E66" s="438">
        <v>25</v>
      </c>
      <c r="F66" s="438">
        <v>20</v>
      </c>
      <c r="G66" s="292" t="str">
        <f>'Unit Savings Calculations'!E62</f>
        <v>sq ft</v>
      </c>
      <c r="H66" s="294">
        <f>'Unit Savings Calculations'!$F62*'Unit Savings Calculations'!J62</f>
        <v>94800</v>
      </c>
      <c r="I66" s="294">
        <f>'Unit Savings Calculations'!$F62*'Unit Savings Calculations'!K62</f>
        <v>94800</v>
      </c>
      <c r="J66" s="294">
        <f>'Unit Savings Calculations'!$F62*'Unit Savings Calculations'!L62</f>
        <v>94800</v>
      </c>
      <c r="K66" s="294">
        <f>'Unit Savings Calculations'!$F62*'Unit Savings Calculations'!M62</f>
        <v>94800</v>
      </c>
      <c r="L66" s="292" t="str">
        <f>'Unit Savings Calculations'!U62</f>
        <v>RS-SHL-AINS-V07-180101</v>
      </c>
      <c r="M66" s="383" t="str">
        <f>'Unit Savings Calculations'!R62</f>
        <v>Exhibit 1.5A_R North Shore EEPS_Adjustable_Savings_Goal_Template.xlsx, Unit Savings Calculations Tab</v>
      </c>
      <c r="N66" s="295">
        <v>7.7438471779463322E-2</v>
      </c>
      <c r="O66" s="295">
        <v>7.7438471779463322E-2</v>
      </c>
      <c r="P66" s="295">
        <v>7.7438471779463322E-2</v>
      </c>
      <c r="Q66" s="295">
        <v>7.7438471779463322E-2</v>
      </c>
      <c r="R66" s="296">
        <f>'Unit Savings Calculations'!$G62</f>
        <v>0.9</v>
      </c>
      <c r="S66" s="296">
        <f>'Unit Savings Calculations'!$G62</f>
        <v>0.9</v>
      </c>
      <c r="T66" s="296">
        <f>'Unit Savings Calculations'!$G62</f>
        <v>0.9</v>
      </c>
      <c r="U66" s="296">
        <f>'Unit Savings Calculations'!$G62</f>
        <v>0.9</v>
      </c>
      <c r="V66" s="297">
        <f t="shared" si="51"/>
        <v>6607.0504122238108</v>
      </c>
      <c r="W66" s="297">
        <f t="shared" si="52"/>
        <v>6607.0504122238108</v>
      </c>
      <c r="X66" s="297">
        <f t="shared" si="53"/>
        <v>6607.0504122238108</v>
      </c>
      <c r="Y66" s="297">
        <f t="shared" si="54"/>
        <v>6607.0504122238108</v>
      </c>
      <c r="Z66" s="297">
        <f t="shared" si="55"/>
        <v>26428.201648895243</v>
      </c>
      <c r="AA66" s="292"/>
      <c r="AB66" s="292"/>
      <c r="AC66" s="295">
        <v>7.7438471779463322E-2</v>
      </c>
      <c r="AD66" s="292"/>
      <c r="AE66" s="297">
        <f t="shared" si="10"/>
        <v>6607.0504122238108</v>
      </c>
      <c r="AF66" s="294">
        <f t="shared" si="11"/>
        <v>0</v>
      </c>
      <c r="AG66" s="292"/>
      <c r="AH66" s="292">
        <f t="shared" si="12"/>
        <v>0</v>
      </c>
      <c r="AI66" s="295">
        <v>9.2988426666666665E-2</v>
      </c>
      <c r="AJ66" s="383" t="s">
        <v>1045</v>
      </c>
      <c r="AK66" s="297">
        <f t="shared" si="13"/>
        <v>7933.7725631999992</v>
      </c>
      <c r="AL66" s="294">
        <f t="shared" si="14"/>
        <v>1326.7221509761885</v>
      </c>
      <c r="AM66" s="292"/>
      <c r="AN66" s="292"/>
      <c r="AO66" s="295">
        <f>'Unit Savings Calculations'!P62</f>
        <v>9.2988426666666665E-2</v>
      </c>
      <c r="AP66" s="383" t="s">
        <v>1446</v>
      </c>
      <c r="AQ66" s="297">
        <f t="shared" si="15"/>
        <v>7933.7725631999992</v>
      </c>
      <c r="AR66" s="294">
        <f t="shared" si="16"/>
        <v>1326.7221509761885</v>
      </c>
      <c r="AS66" s="292"/>
      <c r="AT66" s="292"/>
      <c r="AU66" s="295">
        <f>'Unit Savings Calculations'!Q62</f>
        <v>9.2988426666666665E-2</v>
      </c>
      <c r="AV66" s="383" t="str">
        <f t="shared" si="17"/>
        <v>Updated algorithm with new variables</v>
      </c>
      <c r="AW66" s="297">
        <f t="shared" si="18"/>
        <v>7933.7725631999992</v>
      </c>
      <c r="AX66" s="294">
        <f t="shared" si="19"/>
        <v>1326.7221509761885</v>
      </c>
      <c r="AY66" s="297">
        <f t="shared" si="20"/>
        <v>6607.0504122238108</v>
      </c>
      <c r="AZ66" s="297">
        <f t="shared" si="21"/>
        <v>7933.7725631999992</v>
      </c>
      <c r="BA66" s="297">
        <f t="shared" si="22"/>
        <v>7933.7725631999992</v>
      </c>
      <c r="BB66" s="297">
        <f t="shared" si="23"/>
        <v>7933.7725631999992</v>
      </c>
      <c r="BC66" s="298">
        <f t="shared" si="24"/>
        <v>30408.368101823809</v>
      </c>
      <c r="BD66" s="292" t="s">
        <v>763</v>
      </c>
      <c r="BE66" s="299" t="str">
        <f t="shared" si="25"/>
        <v>Exhibit 1.5A_R North Shore EEPS_Adjustable_Savings_Goal_Template.xlsx, Unit Savings Calculations Tab</v>
      </c>
      <c r="BF66" s="298">
        <f t="shared" si="26"/>
        <v>132141.00824447622</v>
      </c>
      <c r="BG66" s="298">
        <f t="shared" si="26"/>
        <v>132141.00824447622</v>
      </c>
      <c r="BH66" s="298">
        <f t="shared" si="26"/>
        <v>132141.00824447622</v>
      </c>
      <c r="BI66" s="298">
        <f t="shared" si="26"/>
        <v>132141.00824447622</v>
      </c>
      <c r="BJ66" s="298">
        <f t="shared" si="27"/>
        <v>528564.03297790489</v>
      </c>
      <c r="BK66" s="482">
        <v>20</v>
      </c>
      <c r="BL66" s="482">
        <v>20</v>
      </c>
      <c r="BM66" s="482">
        <f>INDEX('Unit Savings Calculations'!$I$4:$I$421,MATCH('Measure-Level Adjustments Tab'!$A66&amp;"_"&amp;'Measure-Level Adjustments Tab'!$B66,'Unit Savings Calculations'!$A$4:$A$421,0))</f>
        <v>20</v>
      </c>
      <c r="BN66" s="482">
        <f t="shared" si="28"/>
        <v>20</v>
      </c>
      <c r="BO66" s="483">
        <f t="shared" si="29"/>
        <v>132141.00824447622</v>
      </c>
      <c r="BP66" s="483">
        <f t="shared" si="29"/>
        <v>158675.45126399997</v>
      </c>
      <c r="BQ66" s="483">
        <f t="shared" si="29"/>
        <v>158675.45126399997</v>
      </c>
      <c r="BR66" s="483">
        <f t="shared" si="29"/>
        <v>158675.45126399997</v>
      </c>
      <c r="BS66" s="483">
        <f t="shared" si="4"/>
        <v>608167.36203647614</v>
      </c>
    </row>
    <row r="67" spans="1:71" ht="15.75" customHeight="1">
      <c r="A67" s="292" t="str">
        <f>'Unit Savings Calculations'!C63</f>
        <v>Res - SF Rebates</v>
      </c>
      <c r="B67" s="292" t="str">
        <f>'Unit Savings Calculations'!D63</f>
        <v>Duct Sealing</v>
      </c>
      <c r="C67" s="293">
        <f t="shared" si="30"/>
        <v>1</v>
      </c>
      <c r="D67" s="292" t="str">
        <f>'Unit Savings Calculations'!T63</f>
        <v>5.3.4</v>
      </c>
      <c r="E67" s="438">
        <v>20</v>
      </c>
      <c r="F67" s="438">
        <v>20</v>
      </c>
      <c r="G67" s="292" t="str">
        <f>'Unit Savings Calculations'!E63</f>
        <v>CFM_25</v>
      </c>
      <c r="H67" s="294">
        <f>'Unit Savings Calculations'!$F63*'Unit Savings Calculations'!J63</f>
        <v>5520</v>
      </c>
      <c r="I67" s="294">
        <f>'Unit Savings Calculations'!$F63*'Unit Savings Calculations'!K63</f>
        <v>5520</v>
      </c>
      <c r="J67" s="294">
        <f>'Unit Savings Calculations'!$F63*'Unit Savings Calculations'!L63</f>
        <v>5520</v>
      </c>
      <c r="K67" s="294">
        <f>'Unit Savings Calculations'!$F63*'Unit Savings Calculations'!M63</f>
        <v>5520</v>
      </c>
      <c r="L67" s="292" t="str">
        <f>'Unit Savings Calculations'!U63</f>
        <v>RS-HVC-DINS-V06-160601</v>
      </c>
      <c r="M67" s="383" t="str">
        <f>'Unit Savings Calculations'!R63</f>
        <v>Exhibit 1.5A_R North Shore EEPS_Adjustable_Savings_Goal_Template.xlsx, Unit Savings Calculations Tab</v>
      </c>
      <c r="N67" s="295">
        <v>0.70950058072009281</v>
      </c>
      <c r="O67" s="295">
        <v>0.70950058072009281</v>
      </c>
      <c r="P67" s="295">
        <v>0.70950058072009281</v>
      </c>
      <c r="Q67" s="295">
        <v>0.70950058072009281</v>
      </c>
      <c r="R67" s="296">
        <f>'Unit Savings Calculations'!$G63</f>
        <v>0.9</v>
      </c>
      <c r="S67" s="296">
        <f>'Unit Savings Calculations'!$G63</f>
        <v>0.9</v>
      </c>
      <c r="T67" s="296">
        <f>'Unit Savings Calculations'!$G63</f>
        <v>0.9</v>
      </c>
      <c r="U67" s="296">
        <f>'Unit Savings Calculations'!$G63</f>
        <v>0.9</v>
      </c>
      <c r="V67" s="297">
        <f t="shared" si="51"/>
        <v>3524.7988850174211</v>
      </c>
      <c r="W67" s="297">
        <f t="shared" si="52"/>
        <v>3524.7988850174211</v>
      </c>
      <c r="X67" s="297">
        <f t="shared" si="53"/>
        <v>3524.7988850174211</v>
      </c>
      <c r="Y67" s="297">
        <f t="shared" si="54"/>
        <v>3524.7988850174211</v>
      </c>
      <c r="Z67" s="297">
        <f t="shared" si="55"/>
        <v>14099.195540069684</v>
      </c>
      <c r="AA67" s="292"/>
      <c r="AB67" s="292"/>
      <c r="AC67" s="295">
        <v>0.70950058072009281</v>
      </c>
      <c r="AD67" s="292"/>
      <c r="AE67" s="297">
        <f t="shared" si="10"/>
        <v>3524.7988850174211</v>
      </c>
      <c r="AF67" s="294">
        <f t="shared" si="11"/>
        <v>0</v>
      </c>
      <c r="AG67" s="292"/>
      <c r="AH67" s="292">
        <f t="shared" si="12"/>
        <v>0</v>
      </c>
      <c r="AI67" s="295">
        <v>0.70950058072009281</v>
      </c>
      <c r="AJ67" s="383" t="s">
        <v>878</v>
      </c>
      <c r="AK67" s="297">
        <f t="shared" si="13"/>
        <v>3524.7988850174211</v>
      </c>
      <c r="AL67" s="294">
        <f t="shared" si="14"/>
        <v>0</v>
      </c>
      <c r="AM67" s="292"/>
      <c r="AN67" s="292"/>
      <c r="AO67" s="295">
        <f>'Unit Savings Calculations'!P63</f>
        <v>0.70950058072009281</v>
      </c>
      <c r="AP67" s="383" t="s">
        <v>763</v>
      </c>
      <c r="AQ67" s="297">
        <f t="shared" si="15"/>
        <v>3524.7988850174211</v>
      </c>
      <c r="AR67" s="294">
        <f t="shared" si="16"/>
        <v>0</v>
      </c>
      <c r="AS67" s="292"/>
      <c r="AT67" s="292"/>
      <c r="AU67" s="295">
        <f>'Unit Savings Calculations'!Q63</f>
        <v>0.70950058072009281</v>
      </c>
      <c r="AV67" s="383" t="str">
        <f t="shared" si="17"/>
        <v>n/a</v>
      </c>
      <c r="AW67" s="297">
        <f t="shared" si="18"/>
        <v>3524.7988850174211</v>
      </c>
      <c r="AX67" s="294">
        <f t="shared" si="19"/>
        <v>0</v>
      </c>
      <c r="AY67" s="297">
        <f t="shared" si="20"/>
        <v>3524.7988850174211</v>
      </c>
      <c r="AZ67" s="297">
        <f t="shared" si="21"/>
        <v>3524.7988850174211</v>
      </c>
      <c r="BA67" s="297">
        <f t="shared" si="22"/>
        <v>3524.7988850174211</v>
      </c>
      <c r="BB67" s="297">
        <f t="shared" si="23"/>
        <v>3524.7988850174211</v>
      </c>
      <c r="BC67" s="298">
        <f t="shared" si="24"/>
        <v>14099.195540069684</v>
      </c>
      <c r="BD67" s="292" t="s">
        <v>763</v>
      </c>
      <c r="BE67" s="299" t="str">
        <f t="shared" si="25"/>
        <v>Exhibit 1.5A_R North Shore EEPS_Adjustable_Savings_Goal_Template.xlsx, Unit Savings Calculations Tab</v>
      </c>
      <c r="BF67" s="298">
        <f t="shared" si="26"/>
        <v>70495.97770034842</v>
      </c>
      <c r="BG67" s="298">
        <f t="shared" si="26"/>
        <v>70495.97770034842</v>
      </c>
      <c r="BH67" s="298">
        <f t="shared" si="26"/>
        <v>70495.97770034842</v>
      </c>
      <c r="BI67" s="298">
        <f t="shared" si="26"/>
        <v>70495.97770034842</v>
      </c>
      <c r="BJ67" s="298">
        <f t="shared" si="27"/>
        <v>281983.91080139368</v>
      </c>
      <c r="BK67" s="482">
        <v>20</v>
      </c>
      <c r="BL67" s="482">
        <v>20</v>
      </c>
      <c r="BM67" s="482">
        <f>INDEX('Unit Savings Calculations'!$I$4:$I$421,MATCH('Measure-Level Adjustments Tab'!$A67&amp;"_"&amp;'Measure-Level Adjustments Tab'!$B67,'Unit Savings Calculations'!$A$4:$A$421,0))</f>
        <v>20</v>
      </c>
      <c r="BN67" s="482">
        <f t="shared" si="28"/>
        <v>20</v>
      </c>
      <c r="BO67" s="483">
        <f t="shared" si="29"/>
        <v>70495.97770034842</v>
      </c>
      <c r="BP67" s="483">
        <f t="shared" si="29"/>
        <v>70495.97770034842</v>
      </c>
      <c r="BQ67" s="483">
        <f t="shared" si="29"/>
        <v>70495.97770034842</v>
      </c>
      <c r="BR67" s="483">
        <f t="shared" si="29"/>
        <v>70495.97770034842</v>
      </c>
      <c r="BS67" s="483">
        <f t="shared" si="4"/>
        <v>281983.91080139368</v>
      </c>
    </row>
    <row r="68" spans="1:71" ht="15.75" customHeight="1">
      <c r="A68" s="292" t="str">
        <f>'Unit Savings Calculations'!C64</f>
        <v>Res - SF Rebates</v>
      </c>
      <c r="B68" s="292" t="str">
        <f>'Unit Savings Calculations'!D64</f>
        <v>Wall Insulation</v>
      </c>
      <c r="C68" s="293">
        <f t="shared" si="30"/>
        <v>1</v>
      </c>
      <c r="D68" s="292" t="str">
        <f>'Unit Savings Calculations'!T64</f>
        <v>5.6.4</v>
      </c>
      <c r="E68" s="438">
        <v>25</v>
      </c>
      <c r="F68" s="438">
        <v>20</v>
      </c>
      <c r="G68" s="292" t="str">
        <f>'Unit Savings Calculations'!E64</f>
        <v>CFM_25</v>
      </c>
      <c r="H68" s="294">
        <f>'Unit Savings Calculations'!$F64*'Unit Savings Calculations'!J64</f>
        <v>9000</v>
      </c>
      <c r="I68" s="294">
        <f>'Unit Savings Calculations'!$F64*'Unit Savings Calculations'!K64</f>
        <v>9000</v>
      </c>
      <c r="J68" s="294">
        <f>'Unit Savings Calculations'!$F64*'Unit Savings Calculations'!L64</f>
        <v>9000</v>
      </c>
      <c r="K68" s="294">
        <f>'Unit Savings Calculations'!$F64*'Unit Savings Calculations'!M64</f>
        <v>9000</v>
      </c>
      <c r="L68" s="292" t="str">
        <f>'Unit Savings Calculations'!U64</f>
        <v>RS-SHL-AINS-V07-180101</v>
      </c>
      <c r="M68" s="383" t="str">
        <f>'Unit Savings Calculations'!R64</f>
        <v>Exhibit 1.5A_R North Shore EEPS_Adjustable_Savings_Goal_Template.xlsx, Unit Savings Calculations Tab</v>
      </c>
      <c r="N68" s="295">
        <v>7.8966183566101619E-2</v>
      </c>
      <c r="O68" s="295">
        <v>7.8966183566101619E-2</v>
      </c>
      <c r="P68" s="295">
        <v>7.8966183566101619E-2</v>
      </c>
      <c r="Q68" s="295">
        <v>7.8966183566101619E-2</v>
      </c>
      <c r="R68" s="296">
        <f>'Unit Savings Calculations'!$G64</f>
        <v>0.9</v>
      </c>
      <c r="S68" s="296">
        <f>'Unit Savings Calculations'!$G64</f>
        <v>0.9</v>
      </c>
      <c r="T68" s="296">
        <f>'Unit Savings Calculations'!$G64</f>
        <v>0.9</v>
      </c>
      <c r="U68" s="296">
        <f>'Unit Savings Calculations'!$G64</f>
        <v>0.9</v>
      </c>
      <c r="V68" s="297">
        <f t="shared" si="51"/>
        <v>639.62608688542309</v>
      </c>
      <c r="W68" s="297">
        <f t="shared" si="52"/>
        <v>639.62608688542309</v>
      </c>
      <c r="X68" s="297">
        <f t="shared" si="53"/>
        <v>639.62608688542309</v>
      </c>
      <c r="Y68" s="297">
        <f t="shared" si="54"/>
        <v>639.62608688542309</v>
      </c>
      <c r="Z68" s="297">
        <f t="shared" si="55"/>
        <v>2558.5043475416924</v>
      </c>
      <c r="AA68" s="292"/>
      <c r="AB68" s="292"/>
      <c r="AC68" s="295">
        <v>7.8966183566101619E-2</v>
      </c>
      <c r="AD68" s="292"/>
      <c r="AE68" s="297">
        <f t="shared" si="10"/>
        <v>639.62608688542309</v>
      </c>
      <c r="AF68" s="294">
        <f t="shared" si="11"/>
        <v>0</v>
      </c>
      <c r="AG68" s="292"/>
      <c r="AH68" s="292">
        <f t="shared" si="12"/>
        <v>0</v>
      </c>
      <c r="AI68" s="295">
        <v>7.90190909090909E-2</v>
      </c>
      <c r="AJ68" s="383" t="s">
        <v>1045</v>
      </c>
      <c r="AK68" s="297">
        <f t="shared" si="13"/>
        <v>640.05463636363629</v>
      </c>
      <c r="AL68" s="294">
        <f t="shared" si="14"/>
        <v>0.42854947821319911</v>
      </c>
      <c r="AM68" s="292"/>
      <c r="AN68" s="292"/>
      <c r="AO68" s="295">
        <f>'Unit Savings Calculations'!P64</f>
        <v>7.90190909090909E-2</v>
      </c>
      <c r="AP68" s="383" t="s">
        <v>763</v>
      </c>
      <c r="AQ68" s="297">
        <f t="shared" si="15"/>
        <v>640.05463636363629</v>
      </c>
      <c r="AR68" s="294">
        <f t="shared" si="16"/>
        <v>0.42854947821319911</v>
      </c>
      <c r="AS68" s="292"/>
      <c r="AT68" s="292"/>
      <c r="AU68" s="295">
        <f>'Unit Savings Calculations'!Q64</f>
        <v>7.90190909090909E-2</v>
      </c>
      <c r="AV68" s="383" t="str">
        <f t="shared" si="17"/>
        <v>n/a</v>
      </c>
      <c r="AW68" s="297">
        <f t="shared" si="18"/>
        <v>640.05463636363629</v>
      </c>
      <c r="AX68" s="294">
        <f t="shared" si="19"/>
        <v>0.42854947821319911</v>
      </c>
      <c r="AY68" s="297">
        <f t="shared" si="20"/>
        <v>639.62608688542309</v>
      </c>
      <c r="AZ68" s="297">
        <f t="shared" si="21"/>
        <v>640.05463636363629</v>
      </c>
      <c r="BA68" s="297">
        <f t="shared" si="22"/>
        <v>640.05463636363629</v>
      </c>
      <c r="BB68" s="297">
        <f t="shared" si="23"/>
        <v>640.05463636363629</v>
      </c>
      <c r="BC68" s="298">
        <f t="shared" si="24"/>
        <v>2559.7899959763317</v>
      </c>
      <c r="BD68" s="292" t="s">
        <v>763</v>
      </c>
      <c r="BE68" s="299" t="str">
        <f t="shared" si="25"/>
        <v>Exhibit 1.5A_R North Shore EEPS_Adjustable_Savings_Goal_Template.xlsx, Unit Savings Calculations Tab</v>
      </c>
      <c r="BF68" s="298">
        <f t="shared" si="26"/>
        <v>12792.521737708463</v>
      </c>
      <c r="BG68" s="298">
        <f t="shared" si="26"/>
        <v>12792.521737708463</v>
      </c>
      <c r="BH68" s="298">
        <f t="shared" si="26"/>
        <v>12792.521737708463</v>
      </c>
      <c r="BI68" s="298">
        <f t="shared" si="26"/>
        <v>12792.521737708463</v>
      </c>
      <c r="BJ68" s="298">
        <f t="shared" si="27"/>
        <v>51170.086950833851</v>
      </c>
      <c r="BK68" s="482">
        <v>20</v>
      </c>
      <c r="BL68" s="482">
        <v>20</v>
      </c>
      <c r="BM68" s="482">
        <f>INDEX('Unit Savings Calculations'!$I$4:$I$421,MATCH('Measure-Level Adjustments Tab'!$A68&amp;"_"&amp;'Measure-Level Adjustments Tab'!$B68,'Unit Savings Calculations'!$A$4:$A$421,0))</f>
        <v>20</v>
      </c>
      <c r="BN68" s="482">
        <f t="shared" si="28"/>
        <v>20</v>
      </c>
      <c r="BO68" s="483">
        <f t="shared" si="29"/>
        <v>12792.521737708463</v>
      </c>
      <c r="BP68" s="483">
        <f t="shared" si="29"/>
        <v>12801.092727272726</v>
      </c>
      <c r="BQ68" s="483">
        <f t="shared" si="29"/>
        <v>12801.092727272726</v>
      </c>
      <c r="BR68" s="483">
        <f t="shared" si="29"/>
        <v>12801.092727272726</v>
      </c>
      <c r="BS68" s="483">
        <f t="shared" si="4"/>
        <v>51195.799919526646</v>
      </c>
    </row>
    <row r="69" spans="1:71" ht="15.75" customHeight="1">
      <c r="A69" s="292" t="str">
        <f>'Unit Savings Calculations'!C65</f>
        <v>Res - SF Rebates</v>
      </c>
      <c r="B69" s="292" t="str">
        <f>'Unit Savings Calculations'!D65</f>
        <v>Foundation Insulation</v>
      </c>
      <c r="C69" s="293">
        <f t="shared" si="30"/>
        <v>1</v>
      </c>
      <c r="D69" s="292" t="str">
        <f>'Unit Savings Calculations'!T65</f>
        <v>5.6.2</v>
      </c>
      <c r="E69" s="438">
        <v>25</v>
      </c>
      <c r="F69" s="438">
        <v>25</v>
      </c>
      <c r="G69" s="292" t="str">
        <f>'Unit Savings Calculations'!E65</f>
        <v>CFM_25</v>
      </c>
      <c r="H69" s="294">
        <f>'Unit Savings Calculations'!$F65*'Unit Savings Calculations'!J65</f>
        <v>2520</v>
      </c>
      <c r="I69" s="294">
        <f>'Unit Savings Calculations'!$F65*'Unit Savings Calculations'!K65</f>
        <v>2520</v>
      </c>
      <c r="J69" s="294">
        <f>'Unit Savings Calculations'!$F65*'Unit Savings Calculations'!L65</f>
        <v>2520</v>
      </c>
      <c r="K69" s="294">
        <f>'Unit Savings Calculations'!$F65*'Unit Savings Calculations'!M65</f>
        <v>2520</v>
      </c>
      <c r="L69" s="292" t="str">
        <f>'Unit Savings Calculations'!U65</f>
        <v>RS-SHL-BINS-V08-180101</v>
      </c>
      <c r="M69" s="383" t="str">
        <f>'Unit Savings Calculations'!R65</f>
        <v>Exhibit 1.5A_R North Shore EEPS_Adjustable_Savings_Goal_Template.xlsx, Unit Savings Calculations Tab</v>
      </c>
      <c r="N69" s="295">
        <v>8.2417994229580488E-2</v>
      </c>
      <c r="O69" s="295">
        <v>8.2417994229580488E-2</v>
      </c>
      <c r="P69" s="295">
        <v>8.2417994229580488E-2</v>
      </c>
      <c r="Q69" s="295">
        <v>8.2417994229580488E-2</v>
      </c>
      <c r="R69" s="296">
        <f>'Unit Savings Calculations'!$G65</f>
        <v>0.9</v>
      </c>
      <c r="S69" s="296">
        <f>'Unit Savings Calculations'!$G65</f>
        <v>0.9</v>
      </c>
      <c r="T69" s="296">
        <f>'Unit Savings Calculations'!$G65</f>
        <v>0.9</v>
      </c>
      <c r="U69" s="296">
        <f>'Unit Savings Calculations'!$G65</f>
        <v>0.9</v>
      </c>
      <c r="V69" s="297">
        <f t="shared" si="51"/>
        <v>186.92401091268854</v>
      </c>
      <c r="W69" s="297">
        <f t="shared" si="52"/>
        <v>186.92401091268854</v>
      </c>
      <c r="X69" s="297">
        <f t="shared" si="53"/>
        <v>186.92401091268854</v>
      </c>
      <c r="Y69" s="297">
        <f t="shared" si="54"/>
        <v>186.92401091268854</v>
      </c>
      <c r="Z69" s="297">
        <f t="shared" si="55"/>
        <v>747.69604365075418</v>
      </c>
      <c r="AA69" s="292"/>
      <c r="AB69" s="292"/>
      <c r="AC69" s="295">
        <v>8.2417994229580488E-2</v>
      </c>
      <c r="AD69" s="292"/>
      <c r="AE69" s="297">
        <f t="shared" si="10"/>
        <v>186.92401091268854</v>
      </c>
      <c r="AF69" s="294">
        <f t="shared" si="11"/>
        <v>0</v>
      </c>
      <c r="AG69" s="292"/>
      <c r="AH69" s="292">
        <f t="shared" si="12"/>
        <v>0</v>
      </c>
      <c r="AI69" s="295">
        <v>8.2417994229580488E-2</v>
      </c>
      <c r="AJ69" s="383" t="s">
        <v>878</v>
      </c>
      <c r="AK69" s="297">
        <f t="shared" si="13"/>
        <v>186.92401091268854</v>
      </c>
      <c r="AL69" s="294">
        <f t="shared" si="14"/>
        <v>0</v>
      </c>
      <c r="AM69" s="292"/>
      <c r="AN69" s="292"/>
      <c r="AO69" s="295">
        <f>'Unit Savings Calculations'!P65</f>
        <v>8.2417994229580488E-2</v>
      </c>
      <c r="AP69" s="383" t="s">
        <v>763</v>
      </c>
      <c r="AQ69" s="297">
        <f t="shared" si="15"/>
        <v>186.92401091268854</v>
      </c>
      <c r="AR69" s="294">
        <f t="shared" si="16"/>
        <v>0</v>
      </c>
      <c r="AS69" s="292"/>
      <c r="AT69" s="292"/>
      <c r="AU69" s="295">
        <f>'Unit Savings Calculations'!Q65</f>
        <v>8.2417994229580488E-2</v>
      </c>
      <c r="AV69" s="383" t="str">
        <f t="shared" si="17"/>
        <v>n/a</v>
      </c>
      <c r="AW69" s="297">
        <f t="shared" si="18"/>
        <v>186.92401091268854</v>
      </c>
      <c r="AX69" s="294">
        <f t="shared" si="19"/>
        <v>0</v>
      </c>
      <c r="AY69" s="297">
        <f t="shared" si="20"/>
        <v>186.92401091268854</v>
      </c>
      <c r="AZ69" s="297">
        <f t="shared" si="21"/>
        <v>186.92401091268854</v>
      </c>
      <c r="BA69" s="297">
        <f t="shared" si="22"/>
        <v>186.92401091268854</v>
      </c>
      <c r="BB69" s="297">
        <f t="shared" si="23"/>
        <v>186.92401091268854</v>
      </c>
      <c r="BC69" s="298">
        <f t="shared" si="24"/>
        <v>747.69604365075418</v>
      </c>
      <c r="BD69" s="292" t="s">
        <v>763</v>
      </c>
      <c r="BE69" s="299" t="str">
        <f t="shared" si="25"/>
        <v>Exhibit 1.5A_R North Shore EEPS_Adjustable_Savings_Goal_Template.xlsx, Unit Savings Calculations Tab</v>
      </c>
      <c r="BF69" s="298">
        <f t="shared" si="26"/>
        <v>4673.1002728172134</v>
      </c>
      <c r="BG69" s="298">
        <f t="shared" si="26"/>
        <v>4673.1002728172134</v>
      </c>
      <c r="BH69" s="298">
        <f t="shared" si="26"/>
        <v>4673.1002728172134</v>
      </c>
      <c r="BI69" s="298">
        <f t="shared" si="26"/>
        <v>4673.1002728172134</v>
      </c>
      <c r="BJ69" s="298">
        <f t="shared" si="27"/>
        <v>18692.401091268854</v>
      </c>
      <c r="BK69" s="482">
        <v>25</v>
      </c>
      <c r="BL69" s="482">
        <v>25</v>
      </c>
      <c r="BM69" s="482">
        <f>INDEX('Unit Savings Calculations'!$I$4:$I$421,MATCH('Measure-Level Adjustments Tab'!$A69&amp;"_"&amp;'Measure-Level Adjustments Tab'!$B69,'Unit Savings Calculations'!$A$4:$A$421,0))</f>
        <v>25</v>
      </c>
      <c r="BN69" s="482">
        <f t="shared" si="28"/>
        <v>25</v>
      </c>
      <c r="BO69" s="483">
        <f t="shared" si="29"/>
        <v>4673.1002728172134</v>
      </c>
      <c r="BP69" s="483">
        <f t="shared" si="29"/>
        <v>4673.1002728172134</v>
      </c>
      <c r="BQ69" s="483">
        <f t="shared" si="29"/>
        <v>4673.1002728172134</v>
      </c>
      <c r="BR69" s="483">
        <f t="shared" si="29"/>
        <v>4673.1002728172134</v>
      </c>
      <c r="BS69" s="483">
        <f t="shared" si="4"/>
        <v>18692.401091268854</v>
      </c>
    </row>
    <row r="70" spans="1:71" ht="15.75" customHeight="1">
      <c r="A70" s="292" t="str">
        <f>'Unit Savings Calculations'!C66</f>
        <v>Res - SF Rebates</v>
      </c>
      <c r="B70" s="292" t="str">
        <f>'Unit Savings Calculations'!D66</f>
        <v>New Construction 20-25% over IL 2015 Code</v>
      </c>
      <c r="C70" s="293">
        <f t="shared" si="30"/>
        <v>0</v>
      </c>
      <c r="D70" s="292" t="str">
        <f>'Unit Savings Calculations'!T66</f>
        <v>Custom</v>
      </c>
      <c r="E70" s="438">
        <v>15</v>
      </c>
      <c r="F70" s="438">
        <v>15</v>
      </c>
      <c r="G70" s="292" t="str">
        <f>'Unit Savings Calculations'!E66</f>
        <v>each</v>
      </c>
      <c r="H70" s="294">
        <f>'Unit Savings Calculations'!$F66*'Unit Savings Calculations'!J66</f>
        <v>0</v>
      </c>
      <c r="I70" s="294">
        <f>'Unit Savings Calculations'!$F66*'Unit Savings Calculations'!K66</f>
        <v>0</v>
      </c>
      <c r="J70" s="294">
        <f>'Unit Savings Calculations'!$F66*'Unit Savings Calculations'!L66</f>
        <v>0</v>
      </c>
      <c r="K70" s="294">
        <f>'Unit Savings Calculations'!$F66*'Unit Savings Calculations'!M66</f>
        <v>0</v>
      </c>
      <c r="L70" s="292" t="str">
        <f>'Unit Savings Calculations'!U66</f>
        <v>Custom</v>
      </c>
      <c r="M70" s="383" t="str">
        <f>'Unit Savings Calculations'!R66</f>
        <v>Custom</v>
      </c>
      <c r="N70" s="295">
        <v>256.5</v>
      </c>
      <c r="O70" s="295">
        <v>256.5</v>
      </c>
      <c r="P70" s="295">
        <v>256.5</v>
      </c>
      <c r="Q70" s="295">
        <v>256.5</v>
      </c>
      <c r="R70" s="296">
        <f>'Unit Savings Calculations'!$G66</f>
        <v>0.65</v>
      </c>
      <c r="S70" s="296">
        <f>'Unit Savings Calculations'!$G66</f>
        <v>0.65</v>
      </c>
      <c r="T70" s="296">
        <f>'Unit Savings Calculations'!$G66</f>
        <v>0.65</v>
      </c>
      <c r="U70" s="296">
        <f>'Unit Savings Calculations'!$G66</f>
        <v>0.65</v>
      </c>
      <c r="V70" s="297">
        <f t="shared" si="51"/>
        <v>0</v>
      </c>
      <c r="W70" s="297">
        <f t="shared" si="52"/>
        <v>0</v>
      </c>
      <c r="X70" s="297">
        <f t="shared" si="53"/>
        <v>0</v>
      </c>
      <c r="Y70" s="297">
        <f t="shared" si="54"/>
        <v>0</v>
      </c>
      <c r="Z70" s="297">
        <f t="shared" si="55"/>
        <v>0</v>
      </c>
      <c r="AA70" s="384"/>
      <c r="AB70" s="384"/>
      <c r="AC70" s="387">
        <v>256.5</v>
      </c>
      <c r="AD70" s="384"/>
      <c r="AE70" s="385">
        <f t="shared" si="10"/>
        <v>0</v>
      </c>
      <c r="AF70" s="386">
        <f t="shared" si="11"/>
        <v>0</v>
      </c>
      <c r="AG70" s="384"/>
      <c r="AH70" s="384">
        <f t="shared" si="12"/>
        <v>0</v>
      </c>
      <c r="AI70" s="387">
        <v>256.5</v>
      </c>
      <c r="AJ70" s="435" t="s">
        <v>878</v>
      </c>
      <c r="AK70" s="385">
        <f t="shared" si="13"/>
        <v>0</v>
      </c>
      <c r="AL70" s="386">
        <f t="shared" si="14"/>
        <v>0</v>
      </c>
      <c r="AM70" s="384"/>
      <c r="AN70" s="384"/>
      <c r="AO70" s="387">
        <f>'Unit Savings Calculations'!P66</f>
        <v>256.5</v>
      </c>
      <c r="AP70" s="435" t="s">
        <v>763</v>
      </c>
      <c r="AQ70" s="385">
        <f t="shared" si="15"/>
        <v>0</v>
      </c>
      <c r="AR70" s="386">
        <f t="shared" si="16"/>
        <v>0</v>
      </c>
      <c r="AS70" s="384"/>
      <c r="AT70" s="384"/>
      <c r="AU70" s="387">
        <f>'Unit Savings Calculations'!Q66</f>
        <v>256.5</v>
      </c>
      <c r="AV70" s="435" t="str">
        <f t="shared" si="17"/>
        <v>n/a</v>
      </c>
      <c r="AW70" s="385">
        <f t="shared" si="18"/>
        <v>0</v>
      </c>
      <c r="AX70" s="386">
        <f t="shared" si="19"/>
        <v>0</v>
      </c>
      <c r="AY70" s="297">
        <f t="shared" si="20"/>
        <v>0</v>
      </c>
      <c r="AZ70" s="297">
        <f t="shared" si="21"/>
        <v>0</v>
      </c>
      <c r="BA70" s="297">
        <f t="shared" si="22"/>
        <v>0</v>
      </c>
      <c r="BB70" s="297">
        <f t="shared" si="23"/>
        <v>0</v>
      </c>
      <c r="BC70" s="298">
        <f t="shared" si="24"/>
        <v>0</v>
      </c>
      <c r="BD70" s="292" t="s">
        <v>763</v>
      </c>
      <c r="BE70" s="299" t="str">
        <f t="shared" si="25"/>
        <v>Custom</v>
      </c>
      <c r="BF70" s="298">
        <f t="shared" si="26"/>
        <v>0</v>
      </c>
      <c r="BG70" s="298">
        <f t="shared" si="26"/>
        <v>0</v>
      </c>
      <c r="BH70" s="298">
        <f t="shared" si="26"/>
        <v>0</v>
      </c>
      <c r="BI70" s="298">
        <f t="shared" si="26"/>
        <v>0</v>
      </c>
      <c r="BJ70" s="298">
        <f t="shared" si="27"/>
        <v>0</v>
      </c>
      <c r="BK70" s="482">
        <v>15</v>
      </c>
      <c r="BL70" s="482">
        <v>15</v>
      </c>
      <c r="BM70" s="482">
        <f>INDEX('Unit Savings Calculations'!$I$4:$I$421,MATCH('Measure-Level Adjustments Tab'!$A70&amp;"_"&amp;'Measure-Level Adjustments Tab'!$B70,'Unit Savings Calculations'!$A$4:$A$421,0))</f>
        <v>15</v>
      </c>
      <c r="BN70" s="482">
        <f t="shared" si="28"/>
        <v>15</v>
      </c>
      <c r="BO70" s="483">
        <f t="shared" si="29"/>
        <v>0</v>
      </c>
      <c r="BP70" s="483">
        <f t="shared" si="29"/>
        <v>0</v>
      </c>
      <c r="BQ70" s="483">
        <f t="shared" si="29"/>
        <v>0</v>
      </c>
      <c r="BR70" s="483">
        <f t="shared" si="29"/>
        <v>0</v>
      </c>
      <c r="BS70" s="483">
        <f t="shared" si="4"/>
        <v>0</v>
      </c>
    </row>
    <row r="71" spans="1:71" ht="15.75" customHeight="1">
      <c r="A71" s="292" t="str">
        <f>'Unit Savings Calculations'!C67</f>
        <v>Res - SF Rebates</v>
      </c>
      <c r="B71" s="292" t="str">
        <f>'Unit Savings Calculations'!D67</f>
        <v>New Construction 25-30% over IL 2015 Code</v>
      </c>
      <c r="C71" s="293">
        <f t="shared" si="30"/>
        <v>0</v>
      </c>
      <c r="D71" s="292" t="str">
        <f>'Unit Savings Calculations'!T67</f>
        <v>Custom</v>
      </c>
      <c r="E71" s="438">
        <v>15</v>
      </c>
      <c r="F71" s="438">
        <v>15</v>
      </c>
      <c r="G71" s="292" t="str">
        <f>'Unit Savings Calculations'!E67</f>
        <v>each</v>
      </c>
      <c r="H71" s="294">
        <f>'Unit Savings Calculations'!$F67*'Unit Savings Calculations'!J67</f>
        <v>0</v>
      </c>
      <c r="I71" s="294">
        <f>'Unit Savings Calculations'!$F67*'Unit Savings Calculations'!K67</f>
        <v>0</v>
      </c>
      <c r="J71" s="294">
        <f>'Unit Savings Calculations'!$F67*'Unit Savings Calculations'!L67</f>
        <v>0</v>
      </c>
      <c r="K71" s="294">
        <f>'Unit Savings Calculations'!$F67*'Unit Savings Calculations'!M67</f>
        <v>0</v>
      </c>
      <c r="L71" s="292" t="str">
        <f>'Unit Savings Calculations'!U67</f>
        <v>Custom</v>
      </c>
      <c r="M71" s="383" t="str">
        <f>'Unit Savings Calculations'!R67</f>
        <v>Custom</v>
      </c>
      <c r="N71" s="295">
        <v>361</v>
      </c>
      <c r="O71" s="295">
        <v>361</v>
      </c>
      <c r="P71" s="295">
        <v>361</v>
      </c>
      <c r="Q71" s="295">
        <v>361</v>
      </c>
      <c r="R71" s="296">
        <f>'Unit Savings Calculations'!$G67</f>
        <v>0.65</v>
      </c>
      <c r="S71" s="296">
        <f>'Unit Savings Calculations'!$G67</f>
        <v>0.65</v>
      </c>
      <c r="T71" s="296">
        <f>'Unit Savings Calculations'!$G67</f>
        <v>0.65</v>
      </c>
      <c r="U71" s="296">
        <f>'Unit Savings Calculations'!$G67</f>
        <v>0.65</v>
      </c>
      <c r="V71" s="297">
        <f t="shared" si="51"/>
        <v>0</v>
      </c>
      <c r="W71" s="297">
        <f t="shared" si="52"/>
        <v>0</v>
      </c>
      <c r="X71" s="297">
        <f t="shared" si="53"/>
        <v>0</v>
      </c>
      <c r="Y71" s="297">
        <f t="shared" si="54"/>
        <v>0</v>
      </c>
      <c r="Z71" s="297">
        <f t="shared" si="55"/>
        <v>0</v>
      </c>
      <c r="AA71" s="384"/>
      <c r="AB71" s="384"/>
      <c r="AC71" s="387">
        <v>361</v>
      </c>
      <c r="AD71" s="384"/>
      <c r="AE71" s="385">
        <f t="shared" si="10"/>
        <v>0</v>
      </c>
      <c r="AF71" s="386">
        <f t="shared" si="11"/>
        <v>0</v>
      </c>
      <c r="AG71" s="384"/>
      <c r="AH71" s="384">
        <f t="shared" si="12"/>
        <v>0</v>
      </c>
      <c r="AI71" s="387">
        <v>361</v>
      </c>
      <c r="AJ71" s="435" t="s">
        <v>878</v>
      </c>
      <c r="AK71" s="385">
        <f t="shared" si="13"/>
        <v>0</v>
      </c>
      <c r="AL71" s="386">
        <f t="shared" si="14"/>
        <v>0</v>
      </c>
      <c r="AM71" s="384"/>
      <c r="AN71" s="384"/>
      <c r="AO71" s="387">
        <f>'Unit Savings Calculations'!P67</f>
        <v>361</v>
      </c>
      <c r="AP71" s="435" t="s">
        <v>763</v>
      </c>
      <c r="AQ71" s="385">
        <f t="shared" si="15"/>
        <v>0</v>
      </c>
      <c r="AR71" s="386">
        <f t="shared" si="16"/>
        <v>0</v>
      </c>
      <c r="AS71" s="384"/>
      <c r="AT71" s="384"/>
      <c r="AU71" s="387">
        <f>'Unit Savings Calculations'!Q67</f>
        <v>361</v>
      </c>
      <c r="AV71" s="435" t="str">
        <f t="shared" si="17"/>
        <v>n/a</v>
      </c>
      <c r="AW71" s="385">
        <f t="shared" si="18"/>
        <v>0</v>
      </c>
      <c r="AX71" s="386">
        <f t="shared" si="19"/>
        <v>0</v>
      </c>
      <c r="AY71" s="297">
        <f t="shared" si="20"/>
        <v>0</v>
      </c>
      <c r="AZ71" s="297">
        <f t="shared" si="21"/>
        <v>0</v>
      </c>
      <c r="BA71" s="297">
        <f t="shared" si="22"/>
        <v>0</v>
      </c>
      <c r="BB71" s="297">
        <f t="shared" si="23"/>
        <v>0</v>
      </c>
      <c r="BC71" s="298">
        <f t="shared" si="24"/>
        <v>0</v>
      </c>
      <c r="BD71" s="292" t="s">
        <v>763</v>
      </c>
      <c r="BE71" s="299" t="str">
        <f t="shared" si="25"/>
        <v>Custom</v>
      </c>
      <c r="BF71" s="298">
        <f t="shared" si="26"/>
        <v>0</v>
      </c>
      <c r="BG71" s="298">
        <f t="shared" si="26"/>
        <v>0</v>
      </c>
      <c r="BH71" s="298">
        <f t="shared" si="26"/>
        <v>0</v>
      </c>
      <c r="BI71" s="298">
        <f t="shared" si="26"/>
        <v>0</v>
      </c>
      <c r="BJ71" s="298">
        <f t="shared" si="27"/>
        <v>0</v>
      </c>
      <c r="BK71" s="482">
        <v>15</v>
      </c>
      <c r="BL71" s="482">
        <v>15</v>
      </c>
      <c r="BM71" s="482">
        <f>INDEX('Unit Savings Calculations'!$I$4:$I$421,MATCH('Measure-Level Adjustments Tab'!$A71&amp;"_"&amp;'Measure-Level Adjustments Tab'!$B71,'Unit Savings Calculations'!$A$4:$A$421,0))</f>
        <v>15</v>
      </c>
      <c r="BN71" s="482">
        <f t="shared" si="28"/>
        <v>15</v>
      </c>
      <c r="BO71" s="483">
        <f t="shared" si="29"/>
        <v>0</v>
      </c>
      <c r="BP71" s="483">
        <f t="shared" si="29"/>
        <v>0</v>
      </c>
      <c r="BQ71" s="483">
        <f t="shared" si="29"/>
        <v>0</v>
      </c>
      <c r="BR71" s="483">
        <f t="shared" si="29"/>
        <v>0</v>
      </c>
      <c r="BS71" s="483">
        <f t="shared" si="4"/>
        <v>0</v>
      </c>
    </row>
    <row r="72" spans="1:71" ht="15.75" customHeight="1">
      <c r="A72" s="292" t="str">
        <f>'Unit Savings Calculations'!C68</f>
        <v>Res - SF Rebates</v>
      </c>
      <c r="B72" s="292" t="str">
        <f>'Unit Savings Calculations'!D68</f>
        <v>New Construction 30-40% over IL 2015 Code</v>
      </c>
      <c r="C72" s="293">
        <f t="shared" si="30"/>
        <v>0</v>
      </c>
      <c r="D72" s="292" t="str">
        <f>'Unit Savings Calculations'!T68</f>
        <v>Custom</v>
      </c>
      <c r="E72" s="438">
        <v>15</v>
      </c>
      <c r="F72" s="438">
        <v>15</v>
      </c>
      <c r="G72" s="292" t="str">
        <f>'Unit Savings Calculations'!E68</f>
        <v>each</v>
      </c>
      <c r="H72" s="294">
        <f>'Unit Savings Calculations'!$F68*'Unit Savings Calculations'!J68</f>
        <v>0</v>
      </c>
      <c r="I72" s="294">
        <f>'Unit Savings Calculations'!$F68*'Unit Savings Calculations'!K68</f>
        <v>0</v>
      </c>
      <c r="J72" s="294">
        <f>'Unit Savings Calculations'!$F68*'Unit Savings Calculations'!L68</f>
        <v>0</v>
      </c>
      <c r="K72" s="294">
        <f>'Unit Savings Calculations'!$F68*'Unit Savings Calculations'!M68</f>
        <v>0</v>
      </c>
      <c r="L72" s="292" t="str">
        <f>'Unit Savings Calculations'!U68</f>
        <v>Custom</v>
      </c>
      <c r="M72" s="383" t="str">
        <f>'Unit Savings Calculations'!R68</f>
        <v>Custom</v>
      </c>
      <c r="N72" s="295">
        <v>475</v>
      </c>
      <c r="O72" s="295">
        <v>475</v>
      </c>
      <c r="P72" s="295">
        <v>475</v>
      </c>
      <c r="Q72" s="295">
        <v>475</v>
      </c>
      <c r="R72" s="296">
        <f>'Unit Savings Calculations'!$G68</f>
        <v>0.65</v>
      </c>
      <c r="S72" s="296">
        <f>'Unit Savings Calculations'!$G68</f>
        <v>0.65</v>
      </c>
      <c r="T72" s="296">
        <f>'Unit Savings Calculations'!$G68</f>
        <v>0.65</v>
      </c>
      <c r="U72" s="296">
        <f>'Unit Savings Calculations'!$G68</f>
        <v>0.65</v>
      </c>
      <c r="V72" s="297">
        <f t="shared" si="51"/>
        <v>0</v>
      </c>
      <c r="W72" s="297">
        <f t="shared" si="52"/>
        <v>0</v>
      </c>
      <c r="X72" s="297">
        <f t="shared" si="53"/>
        <v>0</v>
      </c>
      <c r="Y72" s="297">
        <f t="shared" si="54"/>
        <v>0</v>
      </c>
      <c r="Z72" s="297">
        <f t="shared" si="55"/>
        <v>0</v>
      </c>
      <c r="AA72" s="384"/>
      <c r="AB72" s="384"/>
      <c r="AC72" s="387">
        <v>475</v>
      </c>
      <c r="AD72" s="384"/>
      <c r="AE72" s="385">
        <f t="shared" si="10"/>
        <v>0</v>
      </c>
      <c r="AF72" s="386">
        <f t="shared" si="11"/>
        <v>0</v>
      </c>
      <c r="AG72" s="384"/>
      <c r="AH72" s="384">
        <f t="shared" si="12"/>
        <v>0</v>
      </c>
      <c r="AI72" s="387">
        <v>475</v>
      </c>
      <c r="AJ72" s="435" t="s">
        <v>878</v>
      </c>
      <c r="AK72" s="385">
        <f t="shared" si="13"/>
        <v>0</v>
      </c>
      <c r="AL72" s="386">
        <f t="shared" si="14"/>
        <v>0</v>
      </c>
      <c r="AM72" s="384"/>
      <c r="AN72" s="384"/>
      <c r="AO72" s="387">
        <f>'Unit Savings Calculations'!P68</f>
        <v>475</v>
      </c>
      <c r="AP72" s="435" t="s">
        <v>763</v>
      </c>
      <c r="AQ72" s="385">
        <f t="shared" si="15"/>
        <v>0</v>
      </c>
      <c r="AR72" s="386">
        <f t="shared" si="16"/>
        <v>0</v>
      </c>
      <c r="AS72" s="384"/>
      <c r="AT72" s="384"/>
      <c r="AU72" s="387">
        <f>'Unit Savings Calculations'!Q68</f>
        <v>475</v>
      </c>
      <c r="AV72" s="435" t="str">
        <f t="shared" si="17"/>
        <v>n/a</v>
      </c>
      <c r="AW72" s="385">
        <f t="shared" si="18"/>
        <v>0</v>
      </c>
      <c r="AX72" s="386">
        <f t="shared" si="19"/>
        <v>0</v>
      </c>
      <c r="AY72" s="297">
        <f t="shared" si="20"/>
        <v>0</v>
      </c>
      <c r="AZ72" s="297">
        <f t="shared" si="21"/>
        <v>0</v>
      </c>
      <c r="BA72" s="297">
        <f t="shared" si="22"/>
        <v>0</v>
      </c>
      <c r="BB72" s="297">
        <f t="shared" si="23"/>
        <v>0</v>
      </c>
      <c r="BC72" s="298">
        <f t="shared" si="24"/>
        <v>0</v>
      </c>
      <c r="BD72" s="292" t="s">
        <v>763</v>
      </c>
      <c r="BE72" s="299" t="str">
        <f t="shared" si="25"/>
        <v>Custom</v>
      </c>
      <c r="BF72" s="298">
        <f t="shared" si="26"/>
        <v>0</v>
      </c>
      <c r="BG72" s="298">
        <f t="shared" si="26"/>
        <v>0</v>
      </c>
      <c r="BH72" s="298">
        <f t="shared" si="26"/>
        <v>0</v>
      </c>
      <c r="BI72" s="298">
        <f t="shared" si="26"/>
        <v>0</v>
      </c>
      <c r="BJ72" s="298">
        <f t="shared" si="27"/>
        <v>0</v>
      </c>
      <c r="BK72" s="482">
        <v>15</v>
      </c>
      <c r="BL72" s="482">
        <v>15</v>
      </c>
      <c r="BM72" s="482">
        <f>INDEX('Unit Savings Calculations'!$I$4:$I$421,MATCH('Measure-Level Adjustments Tab'!$A72&amp;"_"&amp;'Measure-Level Adjustments Tab'!$B72,'Unit Savings Calculations'!$A$4:$A$421,0))</f>
        <v>15</v>
      </c>
      <c r="BN72" s="482">
        <f t="shared" si="28"/>
        <v>15</v>
      </c>
      <c r="BO72" s="483">
        <f t="shared" si="29"/>
        <v>0</v>
      </c>
      <c r="BP72" s="483">
        <f t="shared" si="29"/>
        <v>0</v>
      </c>
      <c r="BQ72" s="483">
        <f t="shared" si="29"/>
        <v>0</v>
      </c>
      <c r="BR72" s="483">
        <f t="shared" si="29"/>
        <v>0</v>
      </c>
      <c r="BS72" s="483">
        <f t="shared" ref="BS72:BS135" si="56">SUM(BO72:BR72)</f>
        <v>0</v>
      </c>
    </row>
    <row r="73" spans="1:71" ht="15.75" customHeight="1">
      <c r="A73" s="292" t="str">
        <f>'Unit Savings Calculations'!C69</f>
        <v>Res - SF Rebates</v>
      </c>
      <c r="B73" s="292" t="str">
        <f>'Unit Savings Calculations'!D69</f>
        <v>New Construction ≥40% over IL 2015 Code</v>
      </c>
      <c r="C73" s="293">
        <f t="shared" si="30"/>
        <v>0</v>
      </c>
      <c r="D73" s="292" t="str">
        <f>'Unit Savings Calculations'!T69</f>
        <v>Custom</v>
      </c>
      <c r="E73" s="438">
        <v>15</v>
      </c>
      <c r="F73" s="438">
        <v>15</v>
      </c>
      <c r="G73" s="292" t="str">
        <f>'Unit Savings Calculations'!E69</f>
        <v>each</v>
      </c>
      <c r="H73" s="294">
        <f>'Unit Savings Calculations'!$F69*'Unit Savings Calculations'!J69</f>
        <v>0</v>
      </c>
      <c r="I73" s="294">
        <f>'Unit Savings Calculations'!$F69*'Unit Savings Calculations'!K69</f>
        <v>0</v>
      </c>
      <c r="J73" s="294">
        <f>'Unit Savings Calculations'!$F69*'Unit Savings Calculations'!L69</f>
        <v>0</v>
      </c>
      <c r="K73" s="294">
        <f>'Unit Savings Calculations'!$F69*'Unit Savings Calculations'!M69</f>
        <v>0</v>
      </c>
      <c r="L73" s="292" t="str">
        <f>'Unit Savings Calculations'!U69</f>
        <v>Custom</v>
      </c>
      <c r="M73" s="383" t="str">
        <f>'Unit Savings Calculations'!R69</f>
        <v>Custom</v>
      </c>
      <c r="N73" s="295">
        <v>798</v>
      </c>
      <c r="O73" s="295">
        <v>798</v>
      </c>
      <c r="P73" s="295">
        <v>798</v>
      </c>
      <c r="Q73" s="295">
        <v>798</v>
      </c>
      <c r="R73" s="296">
        <f>'Unit Savings Calculations'!$G69</f>
        <v>0.65</v>
      </c>
      <c r="S73" s="296">
        <f>'Unit Savings Calculations'!$G69</f>
        <v>0.65</v>
      </c>
      <c r="T73" s="296">
        <f>'Unit Savings Calculations'!$G69</f>
        <v>0.65</v>
      </c>
      <c r="U73" s="296">
        <f>'Unit Savings Calculations'!$G69</f>
        <v>0.65</v>
      </c>
      <c r="V73" s="297">
        <f t="shared" si="51"/>
        <v>0</v>
      </c>
      <c r="W73" s="297">
        <f t="shared" si="52"/>
        <v>0</v>
      </c>
      <c r="X73" s="297">
        <f t="shared" si="53"/>
        <v>0</v>
      </c>
      <c r="Y73" s="297">
        <f t="shared" si="54"/>
        <v>0</v>
      </c>
      <c r="Z73" s="297">
        <f t="shared" si="55"/>
        <v>0</v>
      </c>
      <c r="AA73" s="384"/>
      <c r="AB73" s="384"/>
      <c r="AC73" s="387">
        <v>798</v>
      </c>
      <c r="AD73" s="384"/>
      <c r="AE73" s="385">
        <f t="shared" ref="AE73:AE136" si="57">H73*AC73*R73</f>
        <v>0</v>
      </c>
      <c r="AF73" s="386">
        <f t="shared" ref="AF73:AF136" si="58">AE73-V73</f>
        <v>0</v>
      </c>
      <c r="AG73" s="384"/>
      <c r="AH73" s="384">
        <f t="shared" ref="AH73:AH136" si="59">AB73</f>
        <v>0</v>
      </c>
      <c r="AI73" s="387">
        <v>798</v>
      </c>
      <c r="AJ73" s="435" t="s">
        <v>878</v>
      </c>
      <c r="AK73" s="385">
        <f t="shared" ref="AK73:AK136" si="60">I73*AI73*S73</f>
        <v>0</v>
      </c>
      <c r="AL73" s="386">
        <f t="shared" ref="AL73:AL136" si="61">AK73-W73</f>
        <v>0</v>
      </c>
      <c r="AM73" s="384"/>
      <c r="AN73" s="384"/>
      <c r="AO73" s="387">
        <f>'Unit Savings Calculations'!P69</f>
        <v>798</v>
      </c>
      <c r="AP73" s="435" t="s">
        <v>763</v>
      </c>
      <c r="AQ73" s="385">
        <f t="shared" ref="AQ73:AQ136" si="62">J73*AO73*T73</f>
        <v>0</v>
      </c>
      <c r="AR73" s="386">
        <f t="shared" ref="AR73:AR136" si="63">AQ73-X73</f>
        <v>0</v>
      </c>
      <c r="AS73" s="384"/>
      <c r="AT73" s="384"/>
      <c r="AU73" s="387">
        <f>'Unit Savings Calculations'!Q69</f>
        <v>798</v>
      </c>
      <c r="AV73" s="435" t="str">
        <f t="shared" ref="AV73:AV136" si="64">AP73</f>
        <v>n/a</v>
      </c>
      <c r="AW73" s="385">
        <f t="shared" ref="AW73:AW136" si="65">K73*AU73*U73</f>
        <v>0</v>
      </c>
      <c r="AX73" s="386">
        <f t="shared" ref="AX73:AX136" si="66">AW73-Y73</f>
        <v>0</v>
      </c>
      <c r="AY73" s="297">
        <f t="shared" ref="AY73:AY136" si="67">IF(C73=1,AE73,V73)</f>
        <v>0</v>
      </c>
      <c r="AZ73" s="297">
        <f t="shared" ref="AZ73:AZ136" si="68">IF(C73=1,AK73,W73)</f>
        <v>0</v>
      </c>
      <c r="BA73" s="297">
        <f t="shared" ref="BA73:BA136" si="69">IF(C73=1,AQ73,X73)</f>
        <v>0</v>
      </c>
      <c r="BB73" s="297">
        <f t="shared" ref="BB73:BB136" si="70">IF(C73=1,AW73,Y73)</f>
        <v>0</v>
      </c>
      <c r="BC73" s="298">
        <f t="shared" ref="BC73:BC136" si="71">AY73+AZ73+BA73+BB73</f>
        <v>0</v>
      </c>
      <c r="BD73" s="292" t="s">
        <v>763</v>
      </c>
      <c r="BE73" s="299" t="str">
        <f t="shared" ref="BE73:BE136" si="72">M73</f>
        <v>Custom</v>
      </c>
      <c r="BF73" s="298">
        <f t="shared" ref="BF73:BI136" si="73">$F73*V73</f>
        <v>0</v>
      </c>
      <c r="BG73" s="298">
        <f t="shared" si="73"/>
        <v>0</v>
      </c>
      <c r="BH73" s="298">
        <f t="shared" si="73"/>
        <v>0</v>
      </c>
      <c r="BI73" s="298">
        <f t="shared" si="73"/>
        <v>0</v>
      </c>
      <c r="BJ73" s="298">
        <f t="shared" ref="BJ73:BJ136" si="74">SUM(BF73:BI73)</f>
        <v>0</v>
      </c>
      <c r="BK73" s="482">
        <v>15</v>
      </c>
      <c r="BL73" s="482">
        <v>15</v>
      </c>
      <c r="BM73" s="482">
        <f>INDEX('Unit Savings Calculations'!$I$4:$I$421,MATCH('Measure-Level Adjustments Tab'!$A73&amp;"_"&amp;'Measure-Level Adjustments Tab'!$B73,'Unit Savings Calculations'!$A$4:$A$421,0))</f>
        <v>15</v>
      </c>
      <c r="BN73" s="482">
        <f t="shared" ref="BN73:BN136" si="75">BM73</f>
        <v>15</v>
      </c>
      <c r="BO73" s="483">
        <f t="shared" ref="BO73:BR136" si="76">AY73*BK73</f>
        <v>0</v>
      </c>
      <c r="BP73" s="483">
        <f t="shared" si="76"/>
        <v>0</v>
      </c>
      <c r="BQ73" s="483">
        <f t="shared" si="76"/>
        <v>0</v>
      </c>
      <c r="BR73" s="483">
        <f t="shared" si="76"/>
        <v>0</v>
      </c>
      <c r="BS73" s="483">
        <f t="shared" si="56"/>
        <v>0</v>
      </c>
    </row>
    <row r="74" spans="1:71" ht="15.75" customHeight="1">
      <c r="A74" s="292" t="str">
        <f>'Unit Savings Calculations'!C70</f>
        <v>Res - MF Standard Rebates</v>
      </c>
      <c r="B74" s="292" t="str">
        <f>'Unit Savings Calculations'!D70</f>
        <v>Boiler ≥88% AFUE, &lt;300MBh</v>
      </c>
      <c r="C74" s="293">
        <f t="shared" ref="C74:C86" si="77">IF(D74="Custom",0,1)</f>
        <v>1</v>
      </c>
      <c r="D74" s="292" t="str">
        <f>'Unit Savings Calculations'!T70</f>
        <v>4.4.10</v>
      </c>
      <c r="E74" s="438">
        <v>20</v>
      </c>
      <c r="F74" s="438">
        <v>20</v>
      </c>
      <c r="G74" s="292" t="str">
        <f>'Unit Savings Calculations'!E70</f>
        <v>MBH</v>
      </c>
      <c r="H74" s="294">
        <f>'Unit Savings Calculations'!$F70*'Unit Savings Calculations'!J70</f>
        <v>0</v>
      </c>
      <c r="I74" s="294">
        <f>'Unit Savings Calculations'!$F70*'Unit Savings Calculations'!K70</f>
        <v>0</v>
      </c>
      <c r="J74" s="294">
        <f>'Unit Savings Calculations'!$F70*'Unit Savings Calculations'!L70</f>
        <v>0</v>
      </c>
      <c r="K74" s="294">
        <f>'Unit Savings Calculations'!$F70*'Unit Savings Calculations'!M70</f>
        <v>0</v>
      </c>
      <c r="L74" s="292" t="str">
        <f>'Unit Savings Calculations'!U70</f>
        <v>CI-HVC-BOIL-V05-150601</v>
      </c>
      <c r="M74" s="383" t="str">
        <f>'Unit Savings Calculations'!R70</f>
        <v>Exhibit 1.5A_R North Shore EEPS_Adjustable_Savings_Goal_Template.xlsx, Unit Savings Calculations Tab</v>
      </c>
      <c r="N74" s="295">
        <v>1.2329268292682938</v>
      </c>
      <c r="O74" s="295">
        <v>1.2329268292682938</v>
      </c>
      <c r="P74" s="295">
        <v>1.2329268292682938</v>
      </c>
      <c r="Q74" s="295">
        <v>1.2329268292682938</v>
      </c>
      <c r="R74" s="296">
        <f>'Unit Savings Calculations'!$G70</f>
        <v>0.76</v>
      </c>
      <c r="S74" s="296">
        <f>'Unit Savings Calculations'!$G70</f>
        <v>0.76</v>
      </c>
      <c r="T74" s="296">
        <f>'Unit Savings Calculations'!$G70</f>
        <v>0.76</v>
      </c>
      <c r="U74" s="296">
        <f>'Unit Savings Calculations'!$G70</f>
        <v>0.76</v>
      </c>
      <c r="V74" s="297">
        <f t="shared" si="51"/>
        <v>0</v>
      </c>
      <c r="W74" s="297">
        <f t="shared" si="52"/>
        <v>0</v>
      </c>
      <c r="X74" s="297">
        <f t="shared" si="53"/>
        <v>0</v>
      </c>
      <c r="Y74" s="297">
        <f t="shared" si="54"/>
        <v>0</v>
      </c>
      <c r="Z74" s="297">
        <f t="shared" si="55"/>
        <v>0</v>
      </c>
      <c r="AA74" s="292"/>
      <c r="AB74" s="292"/>
      <c r="AC74" s="295">
        <v>1.2329268292682938</v>
      </c>
      <c r="AD74" s="292"/>
      <c r="AE74" s="297">
        <f t="shared" si="57"/>
        <v>0</v>
      </c>
      <c r="AF74" s="294">
        <f t="shared" si="58"/>
        <v>0</v>
      </c>
      <c r="AG74" s="292"/>
      <c r="AH74" s="292">
        <f t="shared" si="59"/>
        <v>0</v>
      </c>
      <c r="AI74" s="295">
        <v>1.246829268292684</v>
      </c>
      <c r="AJ74" s="383" t="s">
        <v>878</v>
      </c>
      <c r="AK74" s="297">
        <f t="shared" si="60"/>
        <v>0</v>
      </c>
      <c r="AL74" s="294">
        <f t="shared" si="61"/>
        <v>0</v>
      </c>
      <c r="AM74" s="292"/>
      <c r="AN74" s="292"/>
      <c r="AO74" s="295">
        <f>'Unit Savings Calculations'!P70</f>
        <v>1.3039024390243914</v>
      </c>
      <c r="AP74" s="383" t="s">
        <v>1441</v>
      </c>
      <c r="AQ74" s="297">
        <f t="shared" si="62"/>
        <v>0</v>
      </c>
      <c r="AR74" s="294">
        <f t="shared" si="63"/>
        <v>0</v>
      </c>
      <c r="AS74" s="292"/>
      <c r="AT74" s="292"/>
      <c r="AU74" s="295">
        <f>'Unit Savings Calculations'!Q70</f>
        <v>1.3039024390243914</v>
      </c>
      <c r="AV74" s="383" t="str">
        <f t="shared" si="64"/>
        <v>Updated heating EFLH</v>
      </c>
      <c r="AW74" s="297">
        <f t="shared" si="65"/>
        <v>0</v>
      </c>
      <c r="AX74" s="294">
        <f t="shared" si="66"/>
        <v>0</v>
      </c>
      <c r="AY74" s="297">
        <f t="shared" si="67"/>
        <v>0</v>
      </c>
      <c r="AZ74" s="297">
        <f t="shared" si="68"/>
        <v>0</v>
      </c>
      <c r="BA74" s="297">
        <f t="shared" si="69"/>
        <v>0</v>
      </c>
      <c r="BB74" s="297">
        <f t="shared" si="70"/>
        <v>0</v>
      </c>
      <c r="BC74" s="298">
        <f t="shared" si="71"/>
        <v>0</v>
      </c>
      <c r="BD74" s="292" t="s">
        <v>763</v>
      </c>
      <c r="BE74" s="299" t="str">
        <f t="shared" si="72"/>
        <v>Exhibit 1.5A_R North Shore EEPS_Adjustable_Savings_Goal_Template.xlsx, Unit Savings Calculations Tab</v>
      </c>
      <c r="BF74" s="298">
        <f t="shared" si="73"/>
        <v>0</v>
      </c>
      <c r="BG74" s="298">
        <f t="shared" si="73"/>
        <v>0</v>
      </c>
      <c r="BH74" s="298">
        <f t="shared" si="73"/>
        <v>0</v>
      </c>
      <c r="BI74" s="298">
        <f t="shared" si="73"/>
        <v>0</v>
      </c>
      <c r="BJ74" s="298">
        <f t="shared" si="74"/>
        <v>0</v>
      </c>
      <c r="BK74" s="482">
        <v>20</v>
      </c>
      <c r="BL74" s="482">
        <v>20</v>
      </c>
      <c r="BM74" s="482">
        <f>INDEX('Unit Savings Calculations'!$I$4:$I$421,MATCH('Measure-Level Adjustments Tab'!$A74&amp;"_"&amp;'Measure-Level Adjustments Tab'!$B74,'Unit Savings Calculations'!$A$4:$A$421,0))</f>
        <v>25</v>
      </c>
      <c r="BN74" s="482">
        <f t="shared" si="75"/>
        <v>25</v>
      </c>
      <c r="BO74" s="483">
        <f t="shared" si="76"/>
        <v>0</v>
      </c>
      <c r="BP74" s="483">
        <f t="shared" si="76"/>
        <v>0</v>
      </c>
      <c r="BQ74" s="483">
        <f t="shared" si="76"/>
        <v>0</v>
      </c>
      <c r="BR74" s="483">
        <f t="shared" si="76"/>
        <v>0</v>
      </c>
      <c r="BS74" s="483">
        <f t="shared" si="56"/>
        <v>0</v>
      </c>
    </row>
    <row r="75" spans="1:71" ht="15.75" customHeight="1">
      <c r="A75" s="292" t="str">
        <f>'Unit Savings Calculations'!C71</f>
        <v>Res - MF Standard Rebates</v>
      </c>
      <c r="B75" s="292" t="str">
        <f>'Unit Savings Calculations'!D71</f>
        <v>Boiler ≥88% AFUE, ≥300MBh TE</v>
      </c>
      <c r="C75" s="293">
        <f t="shared" si="77"/>
        <v>1</v>
      </c>
      <c r="D75" s="292" t="str">
        <f>'Unit Savings Calculations'!T71</f>
        <v>4.4.10</v>
      </c>
      <c r="E75" s="438">
        <v>20</v>
      </c>
      <c r="F75" s="438">
        <v>20</v>
      </c>
      <c r="G75" s="292" t="str">
        <f>'Unit Savings Calculations'!E71</f>
        <v>MBH</v>
      </c>
      <c r="H75" s="294">
        <f>'Unit Savings Calculations'!$F71*'Unit Savings Calculations'!J71</f>
        <v>0</v>
      </c>
      <c r="I75" s="294">
        <f>'Unit Savings Calculations'!$F71*'Unit Savings Calculations'!K71</f>
        <v>0</v>
      </c>
      <c r="J75" s="294">
        <f>'Unit Savings Calculations'!$F71*'Unit Savings Calculations'!L71</f>
        <v>0</v>
      </c>
      <c r="K75" s="294">
        <f>'Unit Savings Calculations'!$F71*'Unit Savings Calculations'!M71</f>
        <v>0</v>
      </c>
      <c r="L75" s="292" t="str">
        <f>'Unit Savings Calculations'!U71</f>
        <v>CI-HVC-BOIL-V05-150601</v>
      </c>
      <c r="M75" s="383" t="str">
        <f>'Unit Savings Calculations'!R71</f>
        <v>Exhibit 1.5A_R North Shore EEPS_Adjustable_Savings_Goal_Template.xlsx, Unit Savings Calculations Tab</v>
      </c>
      <c r="N75" s="295">
        <v>1.6849999999999989</v>
      </c>
      <c r="O75" s="295">
        <v>1.6849999999999989</v>
      </c>
      <c r="P75" s="295">
        <v>1.6849999999999989</v>
      </c>
      <c r="Q75" s="295">
        <v>1.6849999999999989</v>
      </c>
      <c r="R75" s="296">
        <f>'Unit Savings Calculations'!$G71</f>
        <v>0.76</v>
      </c>
      <c r="S75" s="296">
        <f>'Unit Savings Calculations'!$G71</f>
        <v>0.76</v>
      </c>
      <c r="T75" s="296">
        <f>'Unit Savings Calculations'!$G71</f>
        <v>0.76</v>
      </c>
      <c r="U75" s="296">
        <f>'Unit Savings Calculations'!$G71</f>
        <v>0.76</v>
      </c>
      <c r="V75" s="297">
        <f t="shared" si="51"/>
        <v>0</v>
      </c>
      <c r="W75" s="297">
        <f t="shared" si="52"/>
        <v>0</v>
      </c>
      <c r="X75" s="297">
        <f t="shared" si="53"/>
        <v>0</v>
      </c>
      <c r="Y75" s="297">
        <f t="shared" si="54"/>
        <v>0</v>
      </c>
      <c r="Z75" s="297">
        <f t="shared" si="55"/>
        <v>0</v>
      </c>
      <c r="AA75" s="292"/>
      <c r="AB75" s="292"/>
      <c r="AC75" s="295">
        <v>1.6849999999999989</v>
      </c>
      <c r="AD75" s="292"/>
      <c r="AE75" s="297">
        <f t="shared" si="57"/>
        <v>0</v>
      </c>
      <c r="AF75" s="294">
        <f t="shared" si="58"/>
        <v>0</v>
      </c>
      <c r="AG75" s="292"/>
      <c r="AH75" s="292">
        <f t="shared" si="59"/>
        <v>0</v>
      </c>
      <c r="AI75" s="295">
        <v>1.7039999999999993</v>
      </c>
      <c r="AJ75" s="383" t="s">
        <v>878</v>
      </c>
      <c r="AK75" s="297">
        <f t="shared" si="60"/>
        <v>0</v>
      </c>
      <c r="AL75" s="294">
        <f t="shared" si="61"/>
        <v>0</v>
      </c>
      <c r="AM75" s="292"/>
      <c r="AN75" s="292"/>
      <c r="AO75" s="295">
        <f>'Unit Savings Calculations'!P71</f>
        <v>1.7819999999999991</v>
      </c>
      <c r="AP75" s="383" t="s">
        <v>1441</v>
      </c>
      <c r="AQ75" s="297">
        <f t="shared" si="62"/>
        <v>0</v>
      </c>
      <c r="AR75" s="294">
        <f t="shared" si="63"/>
        <v>0</v>
      </c>
      <c r="AS75" s="292"/>
      <c r="AT75" s="292"/>
      <c r="AU75" s="295">
        <f>'Unit Savings Calculations'!Q71</f>
        <v>1.7819999999999991</v>
      </c>
      <c r="AV75" s="383" t="str">
        <f t="shared" si="64"/>
        <v>Updated heating EFLH</v>
      </c>
      <c r="AW75" s="297">
        <f t="shared" si="65"/>
        <v>0</v>
      </c>
      <c r="AX75" s="294">
        <f t="shared" si="66"/>
        <v>0</v>
      </c>
      <c r="AY75" s="297">
        <f t="shared" si="67"/>
        <v>0</v>
      </c>
      <c r="AZ75" s="297">
        <f t="shared" si="68"/>
        <v>0</v>
      </c>
      <c r="BA75" s="297">
        <f t="shared" si="69"/>
        <v>0</v>
      </c>
      <c r="BB75" s="297">
        <f t="shared" si="70"/>
        <v>0</v>
      </c>
      <c r="BC75" s="298">
        <f t="shared" si="71"/>
        <v>0</v>
      </c>
      <c r="BD75" s="292" t="s">
        <v>763</v>
      </c>
      <c r="BE75" s="299" t="str">
        <f t="shared" si="72"/>
        <v>Exhibit 1.5A_R North Shore EEPS_Adjustable_Savings_Goal_Template.xlsx, Unit Savings Calculations Tab</v>
      </c>
      <c r="BF75" s="298">
        <f t="shared" si="73"/>
        <v>0</v>
      </c>
      <c r="BG75" s="298">
        <f t="shared" si="73"/>
        <v>0</v>
      </c>
      <c r="BH75" s="298">
        <f t="shared" si="73"/>
        <v>0</v>
      </c>
      <c r="BI75" s="298">
        <f t="shared" si="73"/>
        <v>0</v>
      </c>
      <c r="BJ75" s="298">
        <f t="shared" si="74"/>
        <v>0</v>
      </c>
      <c r="BK75" s="482">
        <v>20</v>
      </c>
      <c r="BL75" s="482">
        <v>20</v>
      </c>
      <c r="BM75" s="482">
        <f>INDEX('Unit Savings Calculations'!$I$4:$I$421,MATCH('Measure-Level Adjustments Tab'!$A75&amp;"_"&amp;'Measure-Level Adjustments Tab'!$B75,'Unit Savings Calculations'!$A$4:$A$421,0))</f>
        <v>25</v>
      </c>
      <c r="BN75" s="482">
        <f t="shared" si="75"/>
        <v>25</v>
      </c>
      <c r="BO75" s="483">
        <f t="shared" si="76"/>
        <v>0</v>
      </c>
      <c r="BP75" s="483">
        <f t="shared" si="76"/>
        <v>0</v>
      </c>
      <c r="BQ75" s="483">
        <f t="shared" si="76"/>
        <v>0</v>
      </c>
      <c r="BR75" s="483">
        <f t="shared" si="76"/>
        <v>0</v>
      </c>
      <c r="BS75" s="483">
        <f t="shared" si="56"/>
        <v>0</v>
      </c>
    </row>
    <row r="76" spans="1:71" ht="15.75" customHeight="1">
      <c r="A76" s="292" t="str">
        <f>'Unit Savings Calculations'!C72</f>
        <v>Res - MF Standard Rebates</v>
      </c>
      <c r="B76" s="292" t="str">
        <f>'Unit Savings Calculations'!D72</f>
        <v>Boiler Reset Controls</v>
      </c>
      <c r="C76" s="293">
        <f t="shared" si="77"/>
        <v>1</v>
      </c>
      <c r="D76" s="292" t="str">
        <f>'Unit Savings Calculations'!T72</f>
        <v>4.4.4</v>
      </c>
      <c r="E76" s="438">
        <v>20</v>
      </c>
      <c r="F76" s="438">
        <v>20</v>
      </c>
      <c r="G76" s="292" t="str">
        <f>'Unit Savings Calculations'!E72</f>
        <v>MBH</v>
      </c>
      <c r="H76" s="294">
        <f>'Unit Savings Calculations'!$F72*'Unit Savings Calculations'!J72</f>
        <v>0</v>
      </c>
      <c r="I76" s="294">
        <f>'Unit Savings Calculations'!$F72*'Unit Savings Calculations'!K72</f>
        <v>0</v>
      </c>
      <c r="J76" s="294">
        <f>'Unit Savings Calculations'!$F72*'Unit Savings Calculations'!L72</f>
        <v>0</v>
      </c>
      <c r="K76" s="294">
        <f>'Unit Savings Calculations'!$F72*'Unit Savings Calculations'!M72</f>
        <v>0</v>
      </c>
      <c r="L76" s="292" t="str">
        <f>'Unit Savings Calculations'!U72</f>
        <v>CI-HVC-BLRC-V03-150601</v>
      </c>
      <c r="M76" s="383" t="str">
        <f>'Unit Savings Calculations'!R72</f>
        <v>Exhibit 1.5A_R North Shore EEPS_Adjustable_Savings_Goal_Template.xlsx, Unit Savings Calculations Tab</v>
      </c>
      <c r="N76" s="295">
        <v>1.3480000000000001</v>
      </c>
      <c r="O76" s="295">
        <v>1.3480000000000001</v>
      </c>
      <c r="P76" s="295">
        <v>1.3480000000000001</v>
      </c>
      <c r="Q76" s="295">
        <v>1.3480000000000001</v>
      </c>
      <c r="R76" s="296">
        <f>'Unit Savings Calculations'!$G72</f>
        <v>0.76</v>
      </c>
      <c r="S76" s="296">
        <f>'Unit Savings Calculations'!$G72</f>
        <v>0.76</v>
      </c>
      <c r="T76" s="296">
        <f>'Unit Savings Calculations'!$G72</f>
        <v>0.76</v>
      </c>
      <c r="U76" s="296">
        <f>'Unit Savings Calculations'!$G72</f>
        <v>0.76</v>
      </c>
      <c r="V76" s="297">
        <f t="shared" si="51"/>
        <v>0</v>
      </c>
      <c r="W76" s="297">
        <f t="shared" si="52"/>
        <v>0</v>
      </c>
      <c r="X76" s="297">
        <f t="shared" si="53"/>
        <v>0</v>
      </c>
      <c r="Y76" s="297">
        <f t="shared" si="54"/>
        <v>0</v>
      </c>
      <c r="Z76" s="297">
        <f t="shared" si="55"/>
        <v>0</v>
      </c>
      <c r="AA76" s="292"/>
      <c r="AB76" s="292"/>
      <c r="AC76" s="295">
        <v>1.3480000000000001</v>
      </c>
      <c r="AD76" s="292"/>
      <c r="AE76" s="297">
        <f t="shared" si="57"/>
        <v>0</v>
      </c>
      <c r="AF76" s="294">
        <f t="shared" si="58"/>
        <v>0</v>
      </c>
      <c r="AG76" s="292"/>
      <c r="AH76" s="292">
        <f t="shared" si="59"/>
        <v>0</v>
      </c>
      <c r="AI76" s="295">
        <v>1.3632</v>
      </c>
      <c r="AJ76" s="383" t="s">
        <v>878</v>
      </c>
      <c r="AK76" s="297">
        <f t="shared" si="60"/>
        <v>0</v>
      </c>
      <c r="AL76" s="294">
        <f t="shared" si="61"/>
        <v>0</v>
      </c>
      <c r="AM76" s="292"/>
      <c r="AN76" s="292"/>
      <c r="AO76" s="295">
        <f>'Unit Savings Calculations'!P72</f>
        <v>1.4256</v>
      </c>
      <c r="AP76" s="383" t="s">
        <v>1441</v>
      </c>
      <c r="AQ76" s="297">
        <f t="shared" si="62"/>
        <v>0</v>
      </c>
      <c r="AR76" s="294">
        <f t="shared" si="63"/>
        <v>0</v>
      </c>
      <c r="AS76" s="292"/>
      <c r="AT76" s="292"/>
      <c r="AU76" s="295">
        <f>'Unit Savings Calculations'!Q72</f>
        <v>1.4256</v>
      </c>
      <c r="AV76" s="383" t="str">
        <f t="shared" si="64"/>
        <v>Updated heating EFLH</v>
      </c>
      <c r="AW76" s="297">
        <f t="shared" si="65"/>
        <v>0</v>
      </c>
      <c r="AX76" s="294">
        <f t="shared" si="66"/>
        <v>0</v>
      </c>
      <c r="AY76" s="297">
        <f t="shared" si="67"/>
        <v>0</v>
      </c>
      <c r="AZ76" s="297">
        <f t="shared" si="68"/>
        <v>0</v>
      </c>
      <c r="BA76" s="297">
        <f t="shared" si="69"/>
        <v>0</v>
      </c>
      <c r="BB76" s="297">
        <f t="shared" si="70"/>
        <v>0</v>
      </c>
      <c r="BC76" s="298">
        <f t="shared" si="71"/>
        <v>0</v>
      </c>
      <c r="BD76" s="292" t="s">
        <v>763</v>
      </c>
      <c r="BE76" s="299" t="str">
        <f t="shared" si="72"/>
        <v>Exhibit 1.5A_R North Shore EEPS_Adjustable_Savings_Goal_Template.xlsx, Unit Savings Calculations Tab</v>
      </c>
      <c r="BF76" s="298">
        <f t="shared" si="73"/>
        <v>0</v>
      </c>
      <c r="BG76" s="298">
        <f t="shared" si="73"/>
        <v>0</v>
      </c>
      <c r="BH76" s="298">
        <f t="shared" si="73"/>
        <v>0</v>
      </c>
      <c r="BI76" s="298">
        <f t="shared" si="73"/>
        <v>0</v>
      </c>
      <c r="BJ76" s="298">
        <f t="shared" si="74"/>
        <v>0</v>
      </c>
      <c r="BK76" s="482">
        <v>20</v>
      </c>
      <c r="BL76" s="482">
        <v>20</v>
      </c>
      <c r="BM76" s="482">
        <f>INDEX('Unit Savings Calculations'!$I$4:$I$421,MATCH('Measure-Level Adjustments Tab'!$A76&amp;"_"&amp;'Measure-Level Adjustments Tab'!$B76,'Unit Savings Calculations'!$A$4:$A$421,0))</f>
        <v>20</v>
      </c>
      <c r="BN76" s="482">
        <f t="shared" si="75"/>
        <v>20</v>
      </c>
      <c r="BO76" s="483">
        <f t="shared" si="76"/>
        <v>0</v>
      </c>
      <c r="BP76" s="483">
        <f t="shared" si="76"/>
        <v>0</v>
      </c>
      <c r="BQ76" s="483">
        <f t="shared" si="76"/>
        <v>0</v>
      </c>
      <c r="BR76" s="483">
        <f t="shared" si="76"/>
        <v>0</v>
      </c>
      <c r="BS76" s="483">
        <f t="shared" si="56"/>
        <v>0</v>
      </c>
    </row>
    <row r="77" spans="1:71" ht="15.75" customHeight="1">
      <c r="A77" s="292" t="str">
        <f>'Unit Savings Calculations'!C73</f>
        <v>Res - MF Standard Rebates</v>
      </c>
      <c r="B77" s="292" t="str">
        <f>'Unit Savings Calculations'!D73</f>
        <v>Boiler Tune Up - Process</v>
      </c>
      <c r="C77" s="293">
        <f t="shared" si="77"/>
        <v>1</v>
      </c>
      <c r="D77" s="292" t="str">
        <f>'Unit Savings Calculations'!T73</f>
        <v>4.4.3</v>
      </c>
      <c r="E77" s="438">
        <v>3</v>
      </c>
      <c r="F77" s="438">
        <v>3</v>
      </c>
      <c r="G77" s="292" t="str">
        <f>'Unit Savings Calculations'!E73</f>
        <v>MBH</v>
      </c>
      <c r="H77" s="294">
        <f>'Unit Savings Calculations'!$F73*'Unit Savings Calculations'!J73</f>
        <v>0</v>
      </c>
      <c r="I77" s="294">
        <f>'Unit Savings Calculations'!$F73*'Unit Savings Calculations'!K73</f>
        <v>0</v>
      </c>
      <c r="J77" s="294">
        <f>'Unit Savings Calculations'!$F73*'Unit Savings Calculations'!L73</f>
        <v>0</v>
      </c>
      <c r="K77" s="294">
        <f>'Unit Savings Calculations'!$F73*'Unit Savings Calculations'!M73</f>
        <v>0</v>
      </c>
      <c r="L77" s="292" t="str">
        <f>'Unit Savings Calculations'!U73</f>
        <v>CI-HVC-PBTU-V05-160601</v>
      </c>
      <c r="M77" s="383" t="str">
        <f>'Unit Savings Calculations'!R73</f>
        <v>Exhibit 1.5A_R North Shore EEPS_Adjustable_Savings_Goal_Template.xlsx, Unit Savings Calculations Tab</v>
      </c>
      <c r="N77" s="295">
        <v>0.83823507428978783</v>
      </c>
      <c r="O77" s="295">
        <v>0.83823507428978783</v>
      </c>
      <c r="P77" s="295">
        <v>0.83823507428978783</v>
      </c>
      <c r="Q77" s="295">
        <v>0.83823507428978783</v>
      </c>
      <c r="R77" s="296">
        <f>'Unit Savings Calculations'!$G73</f>
        <v>0.76</v>
      </c>
      <c r="S77" s="296">
        <f>'Unit Savings Calculations'!$G73</f>
        <v>0.76</v>
      </c>
      <c r="T77" s="296">
        <f>'Unit Savings Calculations'!$G73</f>
        <v>0.76</v>
      </c>
      <c r="U77" s="296">
        <f>'Unit Savings Calculations'!$G73</f>
        <v>0.76</v>
      </c>
      <c r="V77" s="297">
        <f t="shared" si="51"/>
        <v>0</v>
      </c>
      <c r="W77" s="297">
        <f t="shared" si="52"/>
        <v>0</v>
      </c>
      <c r="X77" s="297">
        <f t="shared" si="53"/>
        <v>0</v>
      </c>
      <c r="Y77" s="297">
        <f t="shared" si="54"/>
        <v>0</v>
      </c>
      <c r="Z77" s="297">
        <f t="shared" si="55"/>
        <v>0</v>
      </c>
      <c r="AA77" s="292"/>
      <c r="AB77" s="292"/>
      <c r="AC77" s="295">
        <v>0.83823507428978783</v>
      </c>
      <c r="AD77" s="292"/>
      <c r="AE77" s="297">
        <f t="shared" si="57"/>
        <v>0</v>
      </c>
      <c r="AF77" s="294">
        <f t="shared" si="58"/>
        <v>0</v>
      </c>
      <c r="AG77" s="292"/>
      <c r="AH77" s="292">
        <f t="shared" si="59"/>
        <v>0</v>
      </c>
      <c r="AI77" s="295">
        <v>0.83823507428978783</v>
      </c>
      <c r="AJ77" s="383" t="s">
        <v>878</v>
      </c>
      <c r="AK77" s="297">
        <f t="shared" si="60"/>
        <v>0</v>
      </c>
      <c r="AL77" s="294">
        <f t="shared" si="61"/>
        <v>0</v>
      </c>
      <c r="AM77" s="292"/>
      <c r="AN77" s="292"/>
      <c r="AO77" s="295">
        <f>'Unit Savings Calculations'!P73</f>
        <v>0.83823507428978783</v>
      </c>
      <c r="AP77" s="383" t="s">
        <v>763</v>
      </c>
      <c r="AQ77" s="297">
        <f t="shared" si="62"/>
        <v>0</v>
      </c>
      <c r="AR77" s="294">
        <f t="shared" si="63"/>
        <v>0</v>
      </c>
      <c r="AS77" s="292"/>
      <c r="AT77" s="292"/>
      <c r="AU77" s="295">
        <f>'Unit Savings Calculations'!Q73</f>
        <v>0.83823507428978783</v>
      </c>
      <c r="AV77" s="383" t="str">
        <f t="shared" si="64"/>
        <v>n/a</v>
      </c>
      <c r="AW77" s="297">
        <f t="shared" si="65"/>
        <v>0</v>
      </c>
      <c r="AX77" s="294">
        <f t="shared" si="66"/>
        <v>0</v>
      </c>
      <c r="AY77" s="297">
        <f t="shared" si="67"/>
        <v>0</v>
      </c>
      <c r="AZ77" s="297">
        <f t="shared" si="68"/>
        <v>0</v>
      </c>
      <c r="BA77" s="297">
        <f t="shared" si="69"/>
        <v>0</v>
      </c>
      <c r="BB77" s="297">
        <f t="shared" si="70"/>
        <v>0</v>
      </c>
      <c r="BC77" s="298">
        <f t="shared" si="71"/>
        <v>0</v>
      </c>
      <c r="BD77" s="292" t="s">
        <v>763</v>
      </c>
      <c r="BE77" s="299" t="str">
        <f t="shared" si="72"/>
        <v>Exhibit 1.5A_R North Shore EEPS_Adjustable_Savings_Goal_Template.xlsx, Unit Savings Calculations Tab</v>
      </c>
      <c r="BF77" s="298">
        <f t="shared" si="73"/>
        <v>0</v>
      </c>
      <c r="BG77" s="298">
        <f t="shared" si="73"/>
        <v>0</v>
      </c>
      <c r="BH77" s="298">
        <f t="shared" si="73"/>
        <v>0</v>
      </c>
      <c r="BI77" s="298">
        <f t="shared" si="73"/>
        <v>0</v>
      </c>
      <c r="BJ77" s="298">
        <f t="shared" si="74"/>
        <v>0</v>
      </c>
      <c r="BK77" s="482">
        <v>3</v>
      </c>
      <c r="BL77" s="482">
        <v>3</v>
      </c>
      <c r="BM77" s="482">
        <f>INDEX('Unit Savings Calculations'!$I$4:$I$421,MATCH('Measure-Level Adjustments Tab'!$A77&amp;"_"&amp;'Measure-Level Adjustments Tab'!$B77,'Unit Savings Calculations'!$A$4:$A$421,0))</f>
        <v>3</v>
      </c>
      <c r="BN77" s="482">
        <f t="shared" si="75"/>
        <v>3</v>
      </c>
      <c r="BO77" s="483">
        <f t="shared" si="76"/>
        <v>0</v>
      </c>
      <c r="BP77" s="483">
        <f t="shared" si="76"/>
        <v>0</v>
      </c>
      <c r="BQ77" s="483">
        <f t="shared" si="76"/>
        <v>0</v>
      </c>
      <c r="BR77" s="483">
        <f t="shared" si="76"/>
        <v>0</v>
      </c>
      <c r="BS77" s="483">
        <f t="shared" si="56"/>
        <v>0</v>
      </c>
    </row>
    <row r="78" spans="1:71" ht="15.75" customHeight="1">
      <c r="A78" s="292" t="str">
        <f>'Unit Savings Calculations'!C74</f>
        <v>Res - MF Standard Rebates</v>
      </c>
      <c r="B78" s="292" t="str">
        <f>'Unit Savings Calculations'!D74</f>
        <v>Boiler Tune Up - Space Heating</v>
      </c>
      <c r="C78" s="293">
        <f t="shared" si="77"/>
        <v>1</v>
      </c>
      <c r="D78" s="292" t="str">
        <f>'Unit Savings Calculations'!T74</f>
        <v>4.4.2</v>
      </c>
      <c r="E78" s="438">
        <v>3</v>
      </c>
      <c r="F78" s="438">
        <v>3</v>
      </c>
      <c r="G78" s="292" t="str">
        <f>'Unit Savings Calculations'!E74</f>
        <v>MBH</v>
      </c>
      <c r="H78" s="294">
        <f>'Unit Savings Calculations'!$F74*'Unit Savings Calculations'!J74</f>
        <v>0</v>
      </c>
      <c r="I78" s="294">
        <f>'Unit Savings Calculations'!$F74*'Unit Savings Calculations'!K74</f>
        <v>0</v>
      </c>
      <c r="J78" s="294">
        <f>'Unit Savings Calculations'!$F74*'Unit Savings Calculations'!L74</f>
        <v>0</v>
      </c>
      <c r="K78" s="294">
        <f>'Unit Savings Calculations'!$F74*'Unit Savings Calculations'!M74</f>
        <v>0</v>
      </c>
      <c r="L78" s="292" t="str">
        <f>'Unit Savings Calculations'!U74</f>
        <v>CI-HVC-BLRT-V06-160601</v>
      </c>
      <c r="M78" s="383" t="str">
        <f>'Unit Savings Calculations'!R74</f>
        <v>Exhibit 1.5A_R North Shore EEPS_Adjustable_Savings_Goal_Template.xlsx, Unit Savings Calculations Tab</v>
      </c>
      <c r="N78" s="295">
        <v>0.393528767789805</v>
      </c>
      <c r="O78" s="295">
        <v>0.393528767789805</v>
      </c>
      <c r="P78" s="295">
        <v>0.393528767789805</v>
      </c>
      <c r="Q78" s="295">
        <v>0.393528767789805</v>
      </c>
      <c r="R78" s="296">
        <f>'Unit Savings Calculations'!$G74</f>
        <v>0.76</v>
      </c>
      <c r="S78" s="296">
        <f>'Unit Savings Calculations'!$G74</f>
        <v>0.76</v>
      </c>
      <c r="T78" s="296">
        <f>'Unit Savings Calculations'!$G74</f>
        <v>0.76</v>
      </c>
      <c r="U78" s="296">
        <f>'Unit Savings Calculations'!$G74</f>
        <v>0.76</v>
      </c>
      <c r="V78" s="297">
        <f t="shared" si="51"/>
        <v>0</v>
      </c>
      <c r="W78" s="297">
        <f t="shared" si="52"/>
        <v>0</v>
      </c>
      <c r="X78" s="297">
        <f t="shared" si="53"/>
        <v>0</v>
      </c>
      <c r="Y78" s="297">
        <f t="shared" si="54"/>
        <v>0</v>
      </c>
      <c r="Z78" s="297">
        <f t="shared" si="55"/>
        <v>0</v>
      </c>
      <c r="AA78" s="292"/>
      <c r="AB78" s="292"/>
      <c r="AC78" s="295">
        <v>0.393528767789805</v>
      </c>
      <c r="AD78" s="292"/>
      <c r="AE78" s="297">
        <f t="shared" si="57"/>
        <v>0</v>
      </c>
      <c r="AF78" s="294">
        <f t="shared" si="58"/>
        <v>0</v>
      </c>
      <c r="AG78" s="292"/>
      <c r="AH78" s="292">
        <f t="shared" si="59"/>
        <v>0</v>
      </c>
      <c r="AI78" s="295">
        <v>0.39796618416250901</v>
      </c>
      <c r="AJ78" s="383" t="s">
        <v>878</v>
      </c>
      <c r="AK78" s="297">
        <f t="shared" si="60"/>
        <v>0</v>
      </c>
      <c r="AL78" s="294">
        <f t="shared" si="61"/>
        <v>0</v>
      </c>
      <c r="AM78" s="292"/>
      <c r="AN78" s="292"/>
      <c r="AO78" s="295">
        <f>'Unit Savings Calculations'!P74</f>
        <v>0.41618294611360979</v>
      </c>
      <c r="AP78" s="383" t="s">
        <v>1441</v>
      </c>
      <c r="AQ78" s="297">
        <f t="shared" si="62"/>
        <v>0</v>
      </c>
      <c r="AR78" s="294">
        <f t="shared" si="63"/>
        <v>0</v>
      </c>
      <c r="AS78" s="292"/>
      <c r="AT78" s="292"/>
      <c r="AU78" s="295">
        <f>'Unit Savings Calculations'!Q74</f>
        <v>0.41618294611360979</v>
      </c>
      <c r="AV78" s="383" t="str">
        <f t="shared" si="64"/>
        <v>Updated heating EFLH</v>
      </c>
      <c r="AW78" s="297">
        <f t="shared" si="65"/>
        <v>0</v>
      </c>
      <c r="AX78" s="294">
        <f t="shared" si="66"/>
        <v>0</v>
      </c>
      <c r="AY78" s="297">
        <f t="shared" si="67"/>
        <v>0</v>
      </c>
      <c r="AZ78" s="297">
        <f t="shared" si="68"/>
        <v>0</v>
      </c>
      <c r="BA78" s="297">
        <f t="shared" si="69"/>
        <v>0</v>
      </c>
      <c r="BB78" s="297">
        <f t="shared" si="70"/>
        <v>0</v>
      </c>
      <c r="BC78" s="298">
        <f t="shared" si="71"/>
        <v>0</v>
      </c>
      <c r="BD78" s="292" t="s">
        <v>763</v>
      </c>
      <c r="BE78" s="299" t="str">
        <f t="shared" si="72"/>
        <v>Exhibit 1.5A_R North Shore EEPS_Adjustable_Savings_Goal_Template.xlsx, Unit Savings Calculations Tab</v>
      </c>
      <c r="BF78" s="298">
        <f t="shared" si="73"/>
        <v>0</v>
      </c>
      <c r="BG78" s="298">
        <f t="shared" si="73"/>
        <v>0</v>
      </c>
      <c r="BH78" s="298">
        <f t="shared" si="73"/>
        <v>0</v>
      </c>
      <c r="BI78" s="298">
        <f t="shared" si="73"/>
        <v>0</v>
      </c>
      <c r="BJ78" s="298">
        <f t="shared" si="74"/>
        <v>0</v>
      </c>
      <c r="BK78" s="482">
        <v>3</v>
      </c>
      <c r="BL78" s="482">
        <v>3</v>
      </c>
      <c r="BM78" s="482">
        <f>INDEX('Unit Savings Calculations'!$I$4:$I$421,MATCH('Measure-Level Adjustments Tab'!$A78&amp;"_"&amp;'Measure-Level Adjustments Tab'!$B78,'Unit Savings Calculations'!$A$4:$A$421,0))</f>
        <v>3</v>
      </c>
      <c r="BN78" s="482">
        <f t="shared" si="75"/>
        <v>3</v>
      </c>
      <c r="BO78" s="483">
        <f t="shared" si="76"/>
        <v>0</v>
      </c>
      <c r="BP78" s="483">
        <f t="shared" si="76"/>
        <v>0</v>
      </c>
      <c r="BQ78" s="483">
        <f t="shared" si="76"/>
        <v>0</v>
      </c>
      <c r="BR78" s="483">
        <f t="shared" si="76"/>
        <v>0</v>
      </c>
      <c r="BS78" s="483">
        <f t="shared" si="56"/>
        <v>0</v>
      </c>
    </row>
    <row r="79" spans="1:71" ht="15.75" customHeight="1">
      <c r="A79" s="292" t="str">
        <f>'Unit Savings Calculations'!C75</f>
        <v>Res - MF Standard Rebates</v>
      </c>
      <c r="B79" s="292" t="str">
        <f>'Unit Savings Calculations'!D75</f>
        <v>Condensing Unit Heater</v>
      </c>
      <c r="C79" s="293">
        <f t="shared" si="77"/>
        <v>1</v>
      </c>
      <c r="D79" s="292" t="str">
        <f>'Unit Savings Calculations'!T75</f>
        <v>4.4.5</v>
      </c>
      <c r="E79" s="438">
        <v>12</v>
      </c>
      <c r="F79" s="438">
        <v>12</v>
      </c>
      <c r="G79" s="292" t="str">
        <f>'Unit Savings Calculations'!E75</f>
        <v>MBH</v>
      </c>
      <c r="H79" s="294">
        <f>'Unit Savings Calculations'!$F75*'Unit Savings Calculations'!J75</f>
        <v>0</v>
      </c>
      <c r="I79" s="294">
        <f>'Unit Savings Calculations'!$F75*'Unit Savings Calculations'!K75</f>
        <v>0</v>
      </c>
      <c r="J79" s="294">
        <f>'Unit Savings Calculations'!$F75*'Unit Savings Calculations'!L75</f>
        <v>0</v>
      </c>
      <c r="K79" s="294">
        <f>'Unit Savings Calculations'!$F75*'Unit Savings Calculations'!M75</f>
        <v>0</v>
      </c>
      <c r="L79" s="292" t="str">
        <f>'Unit Savings Calculations'!U75</f>
        <v>CI-HVC-CUHT-V01-120601</v>
      </c>
      <c r="M79" s="383" t="str">
        <f>'Unit Savings Calculations'!R75</f>
        <v>Exhibit 1.5A_R North Shore EEPS_Adjustable_Savings_Goal_Template.xlsx, Unit Savings Calculations Tab</v>
      </c>
      <c r="N79" s="295">
        <v>1.7733333333333334</v>
      </c>
      <c r="O79" s="295">
        <v>1.7733333333333334</v>
      </c>
      <c r="P79" s="295">
        <v>1.7733333333333334</v>
      </c>
      <c r="Q79" s="295">
        <v>1.7733333333333334</v>
      </c>
      <c r="R79" s="296">
        <f>'Unit Savings Calculations'!$G75</f>
        <v>0.76</v>
      </c>
      <c r="S79" s="296">
        <f>'Unit Savings Calculations'!$G75</f>
        <v>0.76</v>
      </c>
      <c r="T79" s="296">
        <f>'Unit Savings Calculations'!$G75</f>
        <v>0.76</v>
      </c>
      <c r="U79" s="296">
        <f>'Unit Savings Calculations'!$G75</f>
        <v>0.76</v>
      </c>
      <c r="V79" s="297">
        <f t="shared" si="51"/>
        <v>0</v>
      </c>
      <c r="W79" s="297">
        <f t="shared" si="52"/>
        <v>0</v>
      </c>
      <c r="X79" s="297">
        <f t="shared" si="53"/>
        <v>0</v>
      </c>
      <c r="Y79" s="297">
        <f t="shared" si="54"/>
        <v>0</v>
      </c>
      <c r="Z79" s="297">
        <f t="shared" si="55"/>
        <v>0</v>
      </c>
      <c r="AA79" s="292"/>
      <c r="AB79" s="292"/>
      <c r="AC79" s="295">
        <v>1.7733333333333334</v>
      </c>
      <c r="AD79" s="292"/>
      <c r="AE79" s="297">
        <f t="shared" si="57"/>
        <v>0</v>
      </c>
      <c r="AF79" s="294">
        <f t="shared" si="58"/>
        <v>0</v>
      </c>
      <c r="AG79" s="292"/>
      <c r="AH79" s="292">
        <f t="shared" si="59"/>
        <v>0</v>
      </c>
      <c r="AI79" s="295">
        <v>1.7733333333333334</v>
      </c>
      <c r="AJ79" s="383" t="s">
        <v>878</v>
      </c>
      <c r="AK79" s="297">
        <f t="shared" si="60"/>
        <v>0</v>
      </c>
      <c r="AL79" s="294">
        <f t="shared" si="61"/>
        <v>0</v>
      </c>
      <c r="AM79" s="292"/>
      <c r="AN79" s="292"/>
      <c r="AO79" s="295">
        <f>'Unit Savings Calculations'!P75</f>
        <v>1.7733333333333334</v>
      </c>
      <c r="AP79" s="383" t="s">
        <v>763</v>
      </c>
      <c r="AQ79" s="297">
        <f t="shared" si="62"/>
        <v>0</v>
      </c>
      <c r="AR79" s="294">
        <f t="shared" si="63"/>
        <v>0</v>
      </c>
      <c r="AS79" s="292"/>
      <c r="AT79" s="292"/>
      <c r="AU79" s="295">
        <f>'Unit Savings Calculations'!Q75</f>
        <v>1.7733333333333334</v>
      </c>
      <c r="AV79" s="383" t="str">
        <f t="shared" si="64"/>
        <v>n/a</v>
      </c>
      <c r="AW79" s="297">
        <f t="shared" si="65"/>
        <v>0</v>
      </c>
      <c r="AX79" s="294">
        <f t="shared" si="66"/>
        <v>0</v>
      </c>
      <c r="AY79" s="297">
        <f t="shared" si="67"/>
        <v>0</v>
      </c>
      <c r="AZ79" s="297">
        <f t="shared" si="68"/>
        <v>0</v>
      </c>
      <c r="BA79" s="297">
        <f t="shared" si="69"/>
        <v>0</v>
      </c>
      <c r="BB79" s="297">
        <f t="shared" si="70"/>
        <v>0</v>
      </c>
      <c r="BC79" s="298">
        <f t="shared" si="71"/>
        <v>0</v>
      </c>
      <c r="BD79" s="292" t="s">
        <v>763</v>
      </c>
      <c r="BE79" s="299" t="str">
        <f t="shared" si="72"/>
        <v>Exhibit 1.5A_R North Shore EEPS_Adjustable_Savings_Goal_Template.xlsx, Unit Savings Calculations Tab</v>
      </c>
      <c r="BF79" s="298">
        <f t="shared" si="73"/>
        <v>0</v>
      </c>
      <c r="BG79" s="298">
        <f t="shared" si="73"/>
        <v>0</v>
      </c>
      <c r="BH79" s="298">
        <f t="shared" si="73"/>
        <v>0</v>
      </c>
      <c r="BI79" s="298">
        <f t="shared" si="73"/>
        <v>0</v>
      </c>
      <c r="BJ79" s="298">
        <f t="shared" si="74"/>
        <v>0</v>
      </c>
      <c r="BK79" s="482">
        <v>12</v>
      </c>
      <c r="BL79" s="482">
        <v>12</v>
      </c>
      <c r="BM79" s="482">
        <f>INDEX('Unit Savings Calculations'!$I$4:$I$421,MATCH('Measure-Level Adjustments Tab'!$A79&amp;"_"&amp;'Measure-Level Adjustments Tab'!$B79,'Unit Savings Calculations'!$A$4:$A$421,0))</f>
        <v>12</v>
      </c>
      <c r="BN79" s="482">
        <f t="shared" si="75"/>
        <v>12</v>
      </c>
      <c r="BO79" s="483">
        <f t="shared" si="76"/>
        <v>0</v>
      </c>
      <c r="BP79" s="483">
        <f t="shared" si="76"/>
        <v>0</v>
      </c>
      <c r="BQ79" s="483">
        <f t="shared" si="76"/>
        <v>0</v>
      </c>
      <c r="BR79" s="483">
        <f t="shared" si="76"/>
        <v>0</v>
      </c>
      <c r="BS79" s="483">
        <f t="shared" si="56"/>
        <v>0</v>
      </c>
    </row>
    <row r="80" spans="1:71" ht="15.75" customHeight="1">
      <c r="A80" s="292" t="str">
        <f>'Unit Savings Calculations'!C76</f>
        <v>Res - MF Standard Rebates</v>
      </c>
      <c r="B80" s="292" t="str">
        <f>'Unit Savings Calculations'!D76</f>
        <v>Direct Fired Heaters</v>
      </c>
      <c r="C80" s="293">
        <f t="shared" si="77"/>
        <v>0</v>
      </c>
      <c r="D80" s="292" t="str">
        <f>'Unit Savings Calculations'!T76</f>
        <v>Custom</v>
      </c>
      <c r="E80" s="438">
        <v>20</v>
      </c>
      <c r="F80" s="438">
        <v>20</v>
      </c>
      <c r="G80" s="292" t="str">
        <f>'Unit Savings Calculations'!E76</f>
        <v>MBH</v>
      </c>
      <c r="H80" s="294">
        <f>'Unit Savings Calculations'!$F76*'Unit Savings Calculations'!J76</f>
        <v>0</v>
      </c>
      <c r="I80" s="294">
        <f>'Unit Savings Calculations'!$F76*'Unit Savings Calculations'!K76</f>
        <v>0</v>
      </c>
      <c r="J80" s="294">
        <f>'Unit Savings Calculations'!$F76*'Unit Savings Calculations'!L76</f>
        <v>0</v>
      </c>
      <c r="K80" s="294">
        <f>'Unit Savings Calculations'!$F76*'Unit Savings Calculations'!M76</f>
        <v>0</v>
      </c>
      <c r="L80" s="292" t="str">
        <f>'Unit Savings Calculations'!U76</f>
        <v>Custom</v>
      </c>
      <c r="M80" s="383" t="str">
        <f>'Unit Savings Calculations'!R76</f>
        <v>Custom</v>
      </c>
      <c r="N80" s="295">
        <v>2.3932499999999983</v>
      </c>
      <c r="O80" s="295">
        <v>2.3932499999999983</v>
      </c>
      <c r="P80" s="295">
        <v>2.3932499999999983</v>
      </c>
      <c r="Q80" s="295">
        <v>2.3932499999999983</v>
      </c>
      <c r="R80" s="296">
        <f>'Unit Savings Calculations'!$G76</f>
        <v>0.76</v>
      </c>
      <c r="S80" s="296">
        <f>'Unit Savings Calculations'!$G76</f>
        <v>0.76</v>
      </c>
      <c r="T80" s="296">
        <f>'Unit Savings Calculations'!$G76</f>
        <v>0.76</v>
      </c>
      <c r="U80" s="296">
        <f>'Unit Savings Calculations'!$G76</f>
        <v>0.76</v>
      </c>
      <c r="V80" s="297">
        <f t="shared" si="51"/>
        <v>0</v>
      </c>
      <c r="W80" s="297">
        <f t="shared" si="52"/>
        <v>0</v>
      </c>
      <c r="X80" s="297">
        <f t="shared" si="53"/>
        <v>0</v>
      </c>
      <c r="Y80" s="297">
        <f t="shared" si="54"/>
        <v>0</v>
      </c>
      <c r="Z80" s="297">
        <f t="shared" si="55"/>
        <v>0</v>
      </c>
      <c r="AA80" s="384"/>
      <c r="AB80" s="384"/>
      <c r="AC80" s="387">
        <v>2.3932499999999983</v>
      </c>
      <c r="AD80" s="384"/>
      <c r="AE80" s="385">
        <f t="shared" si="57"/>
        <v>0</v>
      </c>
      <c r="AF80" s="386">
        <f t="shared" si="58"/>
        <v>0</v>
      </c>
      <c r="AG80" s="384"/>
      <c r="AH80" s="384">
        <f t="shared" si="59"/>
        <v>0</v>
      </c>
      <c r="AI80" s="387">
        <v>2.3932499999999983</v>
      </c>
      <c r="AJ80" s="435" t="s">
        <v>878</v>
      </c>
      <c r="AK80" s="385">
        <f t="shared" si="60"/>
        <v>0</v>
      </c>
      <c r="AL80" s="386">
        <f t="shared" si="61"/>
        <v>0</v>
      </c>
      <c r="AM80" s="384"/>
      <c r="AN80" s="384"/>
      <c r="AO80" s="387">
        <f>'Unit Savings Calculations'!P76</f>
        <v>2.4914999999999985</v>
      </c>
      <c r="AP80" s="435" t="s">
        <v>1441</v>
      </c>
      <c r="AQ80" s="385">
        <f t="shared" si="62"/>
        <v>0</v>
      </c>
      <c r="AR80" s="386">
        <f t="shared" si="63"/>
        <v>0</v>
      </c>
      <c r="AS80" s="384"/>
      <c r="AT80" s="384"/>
      <c r="AU80" s="387">
        <f>'Unit Savings Calculations'!Q76</f>
        <v>2.4914999999999985</v>
      </c>
      <c r="AV80" s="435" t="str">
        <f t="shared" si="64"/>
        <v>Updated heating EFLH</v>
      </c>
      <c r="AW80" s="385">
        <f t="shared" si="65"/>
        <v>0</v>
      </c>
      <c r="AX80" s="386">
        <f t="shared" si="66"/>
        <v>0</v>
      </c>
      <c r="AY80" s="297">
        <f t="shared" si="67"/>
        <v>0</v>
      </c>
      <c r="AZ80" s="297">
        <f t="shared" si="68"/>
        <v>0</v>
      </c>
      <c r="BA80" s="297">
        <f t="shared" si="69"/>
        <v>0</v>
      </c>
      <c r="BB80" s="297">
        <f t="shared" si="70"/>
        <v>0</v>
      </c>
      <c r="BC80" s="298">
        <f t="shared" si="71"/>
        <v>0</v>
      </c>
      <c r="BD80" s="292" t="s">
        <v>763</v>
      </c>
      <c r="BE80" s="299" t="str">
        <f t="shared" si="72"/>
        <v>Custom</v>
      </c>
      <c r="BF80" s="298">
        <f t="shared" si="73"/>
        <v>0</v>
      </c>
      <c r="BG80" s="298">
        <f t="shared" si="73"/>
        <v>0</v>
      </c>
      <c r="BH80" s="298">
        <f t="shared" si="73"/>
        <v>0</v>
      </c>
      <c r="BI80" s="298">
        <f t="shared" si="73"/>
        <v>0</v>
      </c>
      <c r="BJ80" s="298">
        <f t="shared" si="74"/>
        <v>0</v>
      </c>
      <c r="BK80" s="482">
        <v>20</v>
      </c>
      <c r="BL80" s="482">
        <v>20</v>
      </c>
      <c r="BM80" s="482">
        <f>INDEX('Unit Savings Calculations'!$I$4:$I$421,MATCH('Measure-Level Adjustments Tab'!$A80&amp;"_"&amp;'Measure-Level Adjustments Tab'!$B80,'Unit Savings Calculations'!$A$4:$A$421,0))</f>
        <v>20</v>
      </c>
      <c r="BN80" s="482">
        <f t="shared" si="75"/>
        <v>20</v>
      </c>
      <c r="BO80" s="483">
        <f t="shared" si="76"/>
        <v>0</v>
      </c>
      <c r="BP80" s="483">
        <f t="shared" si="76"/>
        <v>0</v>
      </c>
      <c r="BQ80" s="483">
        <f t="shared" si="76"/>
        <v>0</v>
      </c>
      <c r="BR80" s="483">
        <f t="shared" si="76"/>
        <v>0</v>
      </c>
      <c r="BS80" s="483">
        <f t="shared" si="56"/>
        <v>0</v>
      </c>
    </row>
    <row r="81" spans="1:71" ht="15.75" customHeight="1">
      <c r="A81" s="292" t="str">
        <f>'Unit Savings Calculations'!C77</f>
        <v>Res - MF Standard Rebates</v>
      </c>
      <c r="B81" s="292" t="str">
        <f>'Unit Savings Calculations'!D77</f>
        <v>Furnace &gt;95% AFUE</v>
      </c>
      <c r="C81" s="293">
        <f t="shared" si="77"/>
        <v>1</v>
      </c>
      <c r="D81" s="292" t="str">
        <f>'Unit Savings Calculations'!T77</f>
        <v>4.4.11</v>
      </c>
      <c r="E81" s="438">
        <v>16</v>
      </c>
      <c r="F81" s="438">
        <v>16</v>
      </c>
      <c r="G81" s="292" t="str">
        <f>'Unit Savings Calculations'!E77</f>
        <v>each</v>
      </c>
      <c r="H81" s="294">
        <f>'Unit Savings Calculations'!$F77*'Unit Savings Calculations'!J77</f>
        <v>0</v>
      </c>
      <c r="I81" s="294">
        <f>'Unit Savings Calculations'!$F77*'Unit Savings Calculations'!K77</f>
        <v>0</v>
      </c>
      <c r="J81" s="294">
        <f>'Unit Savings Calculations'!$F77*'Unit Savings Calculations'!L77</f>
        <v>0</v>
      </c>
      <c r="K81" s="294">
        <f>'Unit Savings Calculations'!$F77*'Unit Savings Calculations'!M77</f>
        <v>0</v>
      </c>
      <c r="L81" s="292" t="str">
        <f>'Unit Savings Calculations'!U77</f>
        <v>CI-HVC-FRNC-V07-180101</v>
      </c>
      <c r="M81" s="383" t="str">
        <f>'Unit Savings Calculations'!R77</f>
        <v>Exhibit 1.5A_R North Shore EEPS_Adjustable_Savings_Goal_Template.xlsx, Unit Savings Calculations Tab</v>
      </c>
      <c r="N81" s="295">
        <v>240.11249999999984</v>
      </c>
      <c r="O81" s="295">
        <v>240.11249999999984</v>
      </c>
      <c r="P81" s="295">
        <v>240.11249999999984</v>
      </c>
      <c r="Q81" s="295">
        <v>240.11249999999984</v>
      </c>
      <c r="R81" s="296">
        <f>'Unit Savings Calculations'!$G77</f>
        <v>0.76</v>
      </c>
      <c r="S81" s="296">
        <f>'Unit Savings Calculations'!$G77</f>
        <v>0.76</v>
      </c>
      <c r="T81" s="296">
        <f>'Unit Savings Calculations'!$G77</f>
        <v>0.76</v>
      </c>
      <c r="U81" s="296">
        <f>'Unit Savings Calculations'!$G77</f>
        <v>0.76</v>
      </c>
      <c r="V81" s="297">
        <f t="shared" si="51"/>
        <v>0</v>
      </c>
      <c r="W81" s="297">
        <f t="shared" si="52"/>
        <v>0</v>
      </c>
      <c r="X81" s="297">
        <f t="shared" si="53"/>
        <v>0</v>
      </c>
      <c r="Y81" s="297">
        <f t="shared" si="54"/>
        <v>0</v>
      </c>
      <c r="Z81" s="297">
        <f t="shared" si="55"/>
        <v>0</v>
      </c>
      <c r="AA81" s="292"/>
      <c r="AB81" s="292"/>
      <c r="AC81" s="295">
        <v>240.11249999999984</v>
      </c>
      <c r="AD81" s="292"/>
      <c r="AE81" s="297">
        <f t="shared" si="57"/>
        <v>0</v>
      </c>
      <c r="AF81" s="294">
        <f t="shared" si="58"/>
        <v>0</v>
      </c>
      <c r="AG81" s="292"/>
      <c r="AH81" s="292">
        <f t="shared" si="59"/>
        <v>0</v>
      </c>
      <c r="AI81" s="295">
        <v>242.81999999999985</v>
      </c>
      <c r="AJ81" s="383" t="s">
        <v>878</v>
      </c>
      <c r="AK81" s="297">
        <f t="shared" si="60"/>
        <v>0</v>
      </c>
      <c r="AL81" s="294">
        <f t="shared" si="61"/>
        <v>0</v>
      </c>
      <c r="AM81" s="292"/>
      <c r="AN81" s="292"/>
      <c r="AO81" s="295">
        <f>'Unit Savings Calculations'!P77</f>
        <v>253.93499999999986</v>
      </c>
      <c r="AP81" s="383" t="s">
        <v>1441</v>
      </c>
      <c r="AQ81" s="297">
        <f t="shared" si="62"/>
        <v>0</v>
      </c>
      <c r="AR81" s="294">
        <f t="shared" si="63"/>
        <v>0</v>
      </c>
      <c r="AS81" s="292"/>
      <c r="AT81" s="292"/>
      <c r="AU81" s="295">
        <f>'Unit Savings Calculations'!Q77</f>
        <v>253.93499999999986</v>
      </c>
      <c r="AV81" s="383" t="str">
        <f t="shared" si="64"/>
        <v>Updated heating EFLH</v>
      </c>
      <c r="AW81" s="297">
        <f t="shared" si="65"/>
        <v>0</v>
      </c>
      <c r="AX81" s="294">
        <f t="shared" si="66"/>
        <v>0</v>
      </c>
      <c r="AY81" s="297">
        <f t="shared" si="67"/>
        <v>0</v>
      </c>
      <c r="AZ81" s="297">
        <f t="shared" si="68"/>
        <v>0</v>
      </c>
      <c r="BA81" s="297">
        <f t="shared" si="69"/>
        <v>0</v>
      </c>
      <c r="BB81" s="297">
        <f t="shared" si="70"/>
        <v>0</v>
      </c>
      <c r="BC81" s="298">
        <f t="shared" si="71"/>
        <v>0</v>
      </c>
      <c r="BD81" s="292" t="s">
        <v>763</v>
      </c>
      <c r="BE81" s="299" t="str">
        <f t="shared" si="72"/>
        <v>Exhibit 1.5A_R North Shore EEPS_Adjustable_Savings_Goal_Template.xlsx, Unit Savings Calculations Tab</v>
      </c>
      <c r="BF81" s="298">
        <f t="shared" si="73"/>
        <v>0</v>
      </c>
      <c r="BG81" s="298">
        <f t="shared" si="73"/>
        <v>0</v>
      </c>
      <c r="BH81" s="298">
        <f t="shared" si="73"/>
        <v>0</v>
      </c>
      <c r="BI81" s="298">
        <f t="shared" si="73"/>
        <v>0</v>
      </c>
      <c r="BJ81" s="298">
        <f t="shared" si="74"/>
        <v>0</v>
      </c>
      <c r="BK81" s="482">
        <v>16</v>
      </c>
      <c r="BL81" s="482">
        <v>16</v>
      </c>
      <c r="BM81" s="482">
        <f>INDEX('Unit Savings Calculations'!$I$4:$I$421,MATCH('Measure-Level Adjustments Tab'!$A81&amp;"_"&amp;'Measure-Level Adjustments Tab'!$B81,'Unit Savings Calculations'!$A$4:$A$421,0))</f>
        <v>16</v>
      </c>
      <c r="BN81" s="482">
        <f t="shared" si="75"/>
        <v>16</v>
      </c>
      <c r="BO81" s="483">
        <f t="shared" si="76"/>
        <v>0</v>
      </c>
      <c r="BP81" s="483">
        <f t="shared" si="76"/>
        <v>0</v>
      </c>
      <c r="BQ81" s="483">
        <f t="shared" si="76"/>
        <v>0</v>
      </c>
      <c r="BR81" s="483">
        <f t="shared" si="76"/>
        <v>0</v>
      </c>
      <c r="BS81" s="483">
        <f t="shared" si="56"/>
        <v>0</v>
      </c>
    </row>
    <row r="82" spans="1:71" ht="15.75" customHeight="1">
      <c r="A82" s="292" t="str">
        <f>'Unit Savings Calculations'!C78</f>
        <v>Res - MF Standard Rebates</v>
      </c>
      <c r="B82" s="292" t="str">
        <f>'Unit Savings Calculations'!D78</f>
        <v>High Speed Washer</v>
      </c>
      <c r="C82" s="293">
        <f t="shared" si="77"/>
        <v>1</v>
      </c>
      <c r="D82" s="292" t="str">
        <f>'Unit Savings Calculations'!T78</f>
        <v>4.8.5</v>
      </c>
      <c r="E82" s="438">
        <v>7</v>
      </c>
      <c r="F82" s="438">
        <v>7</v>
      </c>
      <c r="G82" s="292" t="str">
        <f>'Unit Savings Calculations'!E78</f>
        <v>lb-capacity</v>
      </c>
      <c r="H82" s="294">
        <f>'Unit Savings Calculations'!$F78*'Unit Savings Calculations'!J78</f>
        <v>0</v>
      </c>
      <c r="I82" s="294">
        <f>'Unit Savings Calculations'!$F78*'Unit Savings Calculations'!K78</f>
        <v>0</v>
      </c>
      <c r="J82" s="294">
        <f>'Unit Savings Calculations'!$F78*'Unit Savings Calculations'!L78</f>
        <v>0</v>
      </c>
      <c r="K82" s="294">
        <f>'Unit Savings Calculations'!$F78*'Unit Savings Calculations'!M78</f>
        <v>0</v>
      </c>
      <c r="L82" s="292" t="str">
        <f>'Unit Savings Calculations'!U78</f>
        <v>CI-MSC-HSCW-V01-180101</v>
      </c>
      <c r="M82" s="383" t="str">
        <f>'Unit Savings Calculations'!R78</f>
        <v>Exhibit 1.5A_R North Shore EEPS_Adjustable_Savings_Goal_Template.xlsx, Unit Savings Calculations Tab</v>
      </c>
      <c r="N82" s="295">
        <v>3.6756720000000001</v>
      </c>
      <c r="O82" s="295">
        <v>3.6756720000000001</v>
      </c>
      <c r="P82" s="295">
        <v>3.6756720000000001</v>
      </c>
      <c r="Q82" s="295">
        <v>3.6756720000000001</v>
      </c>
      <c r="R82" s="296">
        <f>'Unit Savings Calculations'!$G78</f>
        <v>0.76</v>
      </c>
      <c r="S82" s="296">
        <f>'Unit Savings Calculations'!$G78</f>
        <v>0.76</v>
      </c>
      <c r="T82" s="296">
        <f>'Unit Savings Calculations'!$G78</f>
        <v>0.76</v>
      </c>
      <c r="U82" s="296">
        <f>'Unit Savings Calculations'!$G78</f>
        <v>0.76</v>
      </c>
      <c r="V82" s="297">
        <f t="shared" si="51"/>
        <v>0</v>
      </c>
      <c r="W82" s="297">
        <f t="shared" si="52"/>
        <v>0</v>
      </c>
      <c r="X82" s="297">
        <f t="shared" si="53"/>
        <v>0</v>
      </c>
      <c r="Y82" s="297">
        <f t="shared" si="54"/>
        <v>0</v>
      </c>
      <c r="Z82" s="297">
        <f t="shared" si="55"/>
        <v>0</v>
      </c>
      <c r="AA82" s="292"/>
      <c r="AB82" s="292"/>
      <c r="AC82" s="295">
        <v>3.6756720000000001</v>
      </c>
      <c r="AD82" s="292"/>
      <c r="AE82" s="297">
        <f t="shared" si="57"/>
        <v>0</v>
      </c>
      <c r="AF82" s="294">
        <f t="shared" si="58"/>
        <v>0</v>
      </c>
      <c r="AG82" s="292"/>
      <c r="AH82" s="292">
        <f t="shared" si="59"/>
        <v>0</v>
      </c>
      <c r="AI82" s="295">
        <v>3.6756720000000001</v>
      </c>
      <c r="AJ82" s="383" t="s">
        <v>878</v>
      </c>
      <c r="AK82" s="297">
        <f t="shared" si="60"/>
        <v>0</v>
      </c>
      <c r="AL82" s="294">
        <f t="shared" si="61"/>
        <v>0</v>
      </c>
      <c r="AM82" s="292"/>
      <c r="AN82" s="292"/>
      <c r="AO82" s="295">
        <f>'Unit Savings Calculations'!P78</f>
        <v>3.6756720000000001</v>
      </c>
      <c r="AP82" s="383" t="s">
        <v>763</v>
      </c>
      <c r="AQ82" s="297">
        <f t="shared" si="62"/>
        <v>0</v>
      </c>
      <c r="AR82" s="294">
        <f t="shared" si="63"/>
        <v>0</v>
      </c>
      <c r="AS82" s="292"/>
      <c r="AT82" s="292"/>
      <c r="AU82" s="295">
        <f>'Unit Savings Calculations'!Q78</f>
        <v>3.6756720000000001</v>
      </c>
      <c r="AV82" s="383" t="str">
        <f t="shared" si="64"/>
        <v>n/a</v>
      </c>
      <c r="AW82" s="297">
        <f t="shared" si="65"/>
        <v>0</v>
      </c>
      <c r="AX82" s="294">
        <f t="shared" si="66"/>
        <v>0</v>
      </c>
      <c r="AY82" s="297">
        <f t="shared" si="67"/>
        <v>0</v>
      </c>
      <c r="AZ82" s="297">
        <f t="shared" si="68"/>
        <v>0</v>
      </c>
      <c r="BA82" s="297">
        <f t="shared" si="69"/>
        <v>0</v>
      </c>
      <c r="BB82" s="297">
        <f t="shared" si="70"/>
        <v>0</v>
      </c>
      <c r="BC82" s="298">
        <f t="shared" si="71"/>
        <v>0</v>
      </c>
      <c r="BD82" s="292" t="s">
        <v>763</v>
      </c>
      <c r="BE82" s="299" t="str">
        <f t="shared" si="72"/>
        <v>Exhibit 1.5A_R North Shore EEPS_Adjustable_Savings_Goal_Template.xlsx, Unit Savings Calculations Tab</v>
      </c>
      <c r="BF82" s="298">
        <f t="shared" si="73"/>
        <v>0</v>
      </c>
      <c r="BG82" s="298">
        <f t="shared" si="73"/>
        <v>0</v>
      </c>
      <c r="BH82" s="298">
        <f t="shared" si="73"/>
        <v>0</v>
      </c>
      <c r="BI82" s="298">
        <f t="shared" si="73"/>
        <v>0</v>
      </c>
      <c r="BJ82" s="298">
        <f t="shared" si="74"/>
        <v>0</v>
      </c>
      <c r="BK82" s="482">
        <v>7</v>
      </c>
      <c r="BL82" s="482">
        <v>7</v>
      </c>
      <c r="BM82" s="482">
        <f>INDEX('Unit Savings Calculations'!$I$4:$I$421,MATCH('Measure-Level Adjustments Tab'!$A82&amp;"_"&amp;'Measure-Level Adjustments Tab'!$B82,'Unit Savings Calculations'!$A$4:$A$421,0))</f>
        <v>7</v>
      </c>
      <c r="BN82" s="482">
        <f t="shared" si="75"/>
        <v>7</v>
      </c>
      <c r="BO82" s="483">
        <f t="shared" si="76"/>
        <v>0</v>
      </c>
      <c r="BP82" s="483">
        <f t="shared" si="76"/>
        <v>0</v>
      </c>
      <c r="BQ82" s="483">
        <f t="shared" si="76"/>
        <v>0</v>
      </c>
      <c r="BR82" s="483">
        <f t="shared" si="76"/>
        <v>0</v>
      </c>
      <c r="BS82" s="483">
        <f t="shared" si="56"/>
        <v>0</v>
      </c>
    </row>
    <row r="83" spans="1:71" ht="15.75" customHeight="1">
      <c r="A83" s="292" t="str">
        <f>'Unit Savings Calculations'!C79</f>
        <v>Res - MF Standard Rebates</v>
      </c>
      <c r="B83" s="292" t="str">
        <f>'Unit Savings Calculations'!D79</f>
        <v>Infrared Heater</v>
      </c>
      <c r="C83" s="293">
        <f t="shared" si="77"/>
        <v>1</v>
      </c>
      <c r="D83" s="292" t="str">
        <f>'Unit Savings Calculations'!T79</f>
        <v>4.4.12</v>
      </c>
      <c r="E83" s="438">
        <v>12</v>
      </c>
      <c r="F83" s="438">
        <v>12</v>
      </c>
      <c r="G83" s="292" t="str">
        <f>'Unit Savings Calculations'!E79</f>
        <v>MBH</v>
      </c>
      <c r="H83" s="294">
        <f>'Unit Savings Calculations'!$F79*'Unit Savings Calculations'!J79</f>
        <v>0</v>
      </c>
      <c r="I83" s="294">
        <f>'Unit Savings Calculations'!$F79*'Unit Savings Calculations'!K79</f>
        <v>0</v>
      </c>
      <c r="J83" s="294">
        <f>'Unit Savings Calculations'!$F79*'Unit Savings Calculations'!L79</f>
        <v>0</v>
      </c>
      <c r="K83" s="294">
        <f>'Unit Savings Calculations'!$F79*'Unit Savings Calculations'!M79</f>
        <v>0</v>
      </c>
      <c r="L83" s="292" t="str">
        <f>'Unit Savings Calculations'!U79</f>
        <v>CI-HVC-IRHT-V01-120601</v>
      </c>
      <c r="M83" s="383" t="str">
        <f>'Unit Savings Calculations'!R79</f>
        <v>Exhibit 1.5A_R North Shore EEPS_Adjustable_Savings_Goal_Template.xlsx, Unit Savings Calculations Tab</v>
      </c>
      <c r="N83" s="295">
        <v>3.0066666666666668</v>
      </c>
      <c r="O83" s="295">
        <v>3.0066666666666668</v>
      </c>
      <c r="P83" s="295">
        <v>3.0066666666666668</v>
      </c>
      <c r="Q83" s="295">
        <v>3.0066666666666668</v>
      </c>
      <c r="R83" s="296">
        <f>'Unit Savings Calculations'!$G79</f>
        <v>0.76</v>
      </c>
      <c r="S83" s="296">
        <f>'Unit Savings Calculations'!$G79</f>
        <v>0.76</v>
      </c>
      <c r="T83" s="296">
        <f>'Unit Savings Calculations'!$G79</f>
        <v>0.76</v>
      </c>
      <c r="U83" s="296">
        <f>'Unit Savings Calculations'!$G79</f>
        <v>0.76</v>
      </c>
      <c r="V83" s="297">
        <f t="shared" si="51"/>
        <v>0</v>
      </c>
      <c r="W83" s="297">
        <f t="shared" si="52"/>
        <v>0</v>
      </c>
      <c r="X83" s="297">
        <f t="shared" si="53"/>
        <v>0</v>
      </c>
      <c r="Y83" s="297">
        <f t="shared" si="54"/>
        <v>0</v>
      </c>
      <c r="Z83" s="297">
        <f t="shared" si="55"/>
        <v>0</v>
      </c>
      <c r="AA83" s="292"/>
      <c r="AB83" s="292"/>
      <c r="AC83" s="295">
        <v>3.0066666666666668</v>
      </c>
      <c r="AD83" s="292"/>
      <c r="AE83" s="297">
        <f t="shared" si="57"/>
        <v>0</v>
      </c>
      <c r="AF83" s="294">
        <f t="shared" si="58"/>
        <v>0</v>
      </c>
      <c r="AG83" s="292"/>
      <c r="AH83" s="292">
        <f t="shared" si="59"/>
        <v>0</v>
      </c>
      <c r="AI83" s="295">
        <v>3.0066666666666668</v>
      </c>
      <c r="AJ83" s="383" t="s">
        <v>878</v>
      </c>
      <c r="AK83" s="297">
        <f t="shared" si="60"/>
        <v>0</v>
      </c>
      <c r="AL83" s="294">
        <f t="shared" si="61"/>
        <v>0</v>
      </c>
      <c r="AM83" s="292"/>
      <c r="AN83" s="292"/>
      <c r="AO83" s="295">
        <f>'Unit Savings Calculations'!P79</f>
        <v>3.0066666666666668</v>
      </c>
      <c r="AP83" s="383" t="s">
        <v>763</v>
      </c>
      <c r="AQ83" s="297">
        <f t="shared" si="62"/>
        <v>0</v>
      </c>
      <c r="AR83" s="294">
        <f t="shared" si="63"/>
        <v>0</v>
      </c>
      <c r="AS83" s="292"/>
      <c r="AT83" s="292"/>
      <c r="AU83" s="295">
        <f>'Unit Savings Calculations'!Q79</f>
        <v>3.0066666666666668</v>
      </c>
      <c r="AV83" s="383" t="str">
        <f t="shared" si="64"/>
        <v>n/a</v>
      </c>
      <c r="AW83" s="297">
        <f t="shared" si="65"/>
        <v>0</v>
      </c>
      <c r="AX83" s="294">
        <f t="shared" si="66"/>
        <v>0</v>
      </c>
      <c r="AY83" s="297">
        <f t="shared" si="67"/>
        <v>0</v>
      </c>
      <c r="AZ83" s="297">
        <f t="shared" si="68"/>
        <v>0</v>
      </c>
      <c r="BA83" s="297">
        <f t="shared" si="69"/>
        <v>0</v>
      </c>
      <c r="BB83" s="297">
        <f t="shared" si="70"/>
        <v>0</v>
      </c>
      <c r="BC83" s="298">
        <f t="shared" si="71"/>
        <v>0</v>
      </c>
      <c r="BD83" s="292" t="s">
        <v>763</v>
      </c>
      <c r="BE83" s="299" t="str">
        <f t="shared" si="72"/>
        <v>Exhibit 1.5A_R North Shore EEPS_Adjustable_Savings_Goal_Template.xlsx, Unit Savings Calculations Tab</v>
      </c>
      <c r="BF83" s="298">
        <f t="shared" si="73"/>
        <v>0</v>
      </c>
      <c r="BG83" s="298">
        <f t="shared" si="73"/>
        <v>0</v>
      </c>
      <c r="BH83" s="298">
        <f t="shared" si="73"/>
        <v>0</v>
      </c>
      <c r="BI83" s="298">
        <f t="shared" si="73"/>
        <v>0</v>
      </c>
      <c r="BJ83" s="298">
        <f t="shared" si="74"/>
        <v>0</v>
      </c>
      <c r="BK83" s="482">
        <v>12</v>
      </c>
      <c r="BL83" s="482">
        <v>12</v>
      </c>
      <c r="BM83" s="482">
        <f>INDEX('Unit Savings Calculations'!$I$4:$I$421,MATCH('Measure-Level Adjustments Tab'!$A83&amp;"_"&amp;'Measure-Level Adjustments Tab'!$B83,'Unit Savings Calculations'!$A$4:$A$421,0))</f>
        <v>12</v>
      </c>
      <c r="BN83" s="482">
        <f t="shared" si="75"/>
        <v>12</v>
      </c>
      <c r="BO83" s="483">
        <f t="shared" si="76"/>
        <v>0</v>
      </c>
      <c r="BP83" s="483">
        <f t="shared" si="76"/>
        <v>0</v>
      </c>
      <c r="BQ83" s="483">
        <f t="shared" si="76"/>
        <v>0</v>
      </c>
      <c r="BR83" s="483">
        <f t="shared" si="76"/>
        <v>0</v>
      </c>
      <c r="BS83" s="483">
        <f t="shared" si="56"/>
        <v>0</v>
      </c>
    </row>
    <row r="84" spans="1:71" ht="15.75" customHeight="1">
      <c r="A84" s="292" t="str">
        <f>'Unit Savings Calculations'!C80</f>
        <v>Res - MF Standard Rebates</v>
      </c>
      <c r="B84" s="292" t="str">
        <f>'Unit Savings Calculations'!D80</f>
        <v>Ozone Laundry</v>
      </c>
      <c r="C84" s="293">
        <f t="shared" si="77"/>
        <v>1</v>
      </c>
      <c r="D84" s="292" t="str">
        <f>'Unit Savings Calculations'!T80</f>
        <v>4.3.6</v>
      </c>
      <c r="E84" s="438">
        <v>10</v>
      </c>
      <c r="F84" s="438">
        <v>10</v>
      </c>
      <c r="G84" s="292" t="str">
        <f>'Unit Savings Calculations'!E80</f>
        <v>lb-capacity</v>
      </c>
      <c r="H84" s="294">
        <f>'Unit Savings Calculations'!$F80*'Unit Savings Calculations'!J80</f>
        <v>0</v>
      </c>
      <c r="I84" s="294">
        <f>'Unit Savings Calculations'!$F80*'Unit Savings Calculations'!K80</f>
        <v>0</v>
      </c>
      <c r="J84" s="294">
        <f>'Unit Savings Calculations'!$F80*'Unit Savings Calculations'!L80</f>
        <v>0</v>
      </c>
      <c r="K84" s="294">
        <f>'Unit Savings Calculations'!$F80*'Unit Savings Calculations'!M80</f>
        <v>0</v>
      </c>
      <c r="L84" s="292" t="str">
        <f>'Unit Savings Calculations'!U80</f>
        <v>CI-HW-OZLD-VO1-140601</v>
      </c>
      <c r="M84" s="383" t="str">
        <f>'Unit Savings Calculations'!R80</f>
        <v>Exhibit 1.5A_R North Shore EEPS_Adjustable_Savings_Goal_Template.xlsx, Unit Savings Calculations Tab</v>
      </c>
      <c r="N84" s="295">
        <v>30.722664192350027</v>
      </c>
      <c r="O84" s="295">
        <v>30.722664192350027</v>
      </c>
      <c r="P84" s="295">
        <v>30.722664192350027</v>
      </c>
      <c r="Q84" s="295">
        <v>30.722664192350027</v>
      </c>
      <c r="R84" s="296">
        <f>'Unit Savings Calculations'!$G80</f>
        <v>0.76</v>
      </c>
      <c r="S84" s="296">
        <f>'Unit Savings Calculations'!$G80</f>
        <v>0.76</v>
      </c>
      <c r="T84" s="296">
        <f>'Unit Savings Calculations'!$G80</f>
        <v>0.76</v>
      </c>
      <c r="U84" s="296">
        <f>'Unit Savings Calculations'!$G80</f>
        <v>0.76</v>
      </c>
      <c r="V84" s="297">
        <f t="shared" si="51"/>
        <v>0</v>
      </c>
      <c r="W84" s="297">
        <f t="shared" si="52"/>
        <v>0</v>
      </c>
      <c r="X84" s="297">
        <f t="shared" si="53"/>
        <v>0</v>
      </c>
      <c r="Y84" s="297">
        <f t="shared" si="54"/>
        <v>0</v>
      </c>
      <c r="Z84" s="297">
        <f t="shared" si="55"/>
        <v>0</v>
      </c>
      <c r="AA84" s="292"/>
      <c r="AB84" s="292"/>
      <c r="AC84" s="295">
        <v>30.722664192350027</v>
      </c>
      <c r="AD84" s="292"/>
      <c r="AE84" s="297">
        <f t="shared" si="57"/>
        <v>0</v>
      </c>
      <c r="AF84" s="294">
        <f t="shared" si="58"/>
        <v>0</v>
      </c>
      <c r="AG84" s="292"/>
      <c r="AH84" s="292">
        <f t="shared" si="59"/>
        <v>0</v>
      </c>
      <c r="AI84" s="295">
        <v>13.190532978680915</v>
      </c>
      <c r="AJ84" s="383" t="s">
        <v>878</v>
      </c>
      <c r="AK84" s="297">
        <f t="shared" si="60"/>
        <v>0</v>
      </c>
      <c r="AL84" s="294">
        <f t="shared" si="61"/>
        <v>0</v>
      </c>
      <c r="AM84" s="292"/>
      <c r="AN84" s="292"/>
      <c r="AO84" s="295">
        <f>'Unit Savings Calculations'!P80</f>
        <v>13.190532978680915</v>
      </c>
      <c r="AP84" s="383" t="s">
        <v>763</v>
      </c>
      <c r="AQ84" s="297">
        <f t="shared" si="62"/>
        <v>0</v>
      </c>
      <c r="AR84" s="294">
        <f t="shared" si="63"/>
        <v>0</v>
      </c>
      <c r="AS84" s="292"/>
      <c r="AT84" s="292"/>
      <c r="AU84" s="295">
        <f>'Unit Savings Calculations'!Q80</f>
        <v>13.190532978680915</v>
      </c>
      <c r="AV84" s="383" t="str">
        <f t="shared" si="64"/>
        <v>n/a</v>
      </c>
      <c r="AW84" s="297">
        <f t="shared" si="65"/>
        <v>0</v>
      </c>
      <c r="AX84" s="294">
        <f t="shared" si="66"/>
        <v>0</v>
      </c>
      <c r="AY84" s="297">
        <f t="shared" si="67"/>
        <v>0</v>
      </c>
      <c r="AZ84" s="297">
        <f t="shared" si="68"/>
        <v>0</v>
      </c>
      <c r="BA84" s="297">
        <f t="shared" si="69"/>
        <v>0</v>
      </c>
      <c r="BB84" s="297">
        <f t="shared" si="70"/>
        <v>0</v>
      </c>
      <c r="BC84" s="298">
        <f t="shared" si="71"/>
        <v>0</v>
      </c>
      <c r="BD84" s="292" t="s">
        <v>763</v>
      </c>
      <c r="BE84" s="299" t="str">
        <f t="shared" si="72"/>
        <v>Exhibit 1.5A_R North Shore EEPS_Adjustable_Savings_Goal_Template.xlsx, Unit Savings Calculations Tab</v>
      </c>
      <c r="BF84" s="298">
        <f t="shared" si="73"/>
        <v>0</v>
      </c>
      <c r="BG84" s="298">
        <f t="shared" si="73"/>
        <v>0</v>
      </c>
      <c r="BH84" s="298">
        <f t="shared" si="73"/>
        <v>0</v>
      </c>
      <c r="BI84" s="298">
        <f t="shared" si="73"/>
        <v>0</v>
      </c>
      <c r="BJ84" s="298">
        <f t="shared" si="74"/>
        <v>0</v>
      </c>
      <c r="BK84" s="482">
        <v>10</v>
      </c>
      <c r="BL84" s="482">
        <v>10</v>
      </c>
      <c r="BM84" s="482">
        <f>INDEX('Unit Savings Calculations'!$I$4:$I$421,MATCH('Measure-Level Adjustments Tab'!$A84&amp;"_"&amp;'Measure-Level Adjustments Tab'!$B84,'Unit Savings Calculations'!$A$4:$A$421,0))</f>
        <v>10</v>
      </c>
      <c r="BN84" s="482">
        <f t="shared" si="75"/>
        <v>10</v>
      </c>
      <c r="BO84" s="483">
        <f t="shared" si="76"/>
        <v>0</v>
      </c>
      <c r="BP84" s="483">
        <f t="shared" si="76"/>
        <v>0</v>
      </c>
      <c r="BQ84" s="483">
        <f t="shared" si="76"/>
        <v>0</v>
      </c>
      <c r="BR84" s="483">
        <f t="shared" si="76"/>
        <v>0</v>
      </c>
      <c r="BS84" s="483">
        <f t="shared" si="56"/>
        <v>0</v>
      </c>
    </row>
    <row r="85" spans="1:71" ht="15.75" customHeight="1">
      <c r="A85" s="292" t="str">
        <f>'Unit Savings Calculations'!C81</f>
        <v>Res - MF Standard Rebates</v>
      </c>
      <c r="B85" s="292" t="str">
        <f>'Unit Savings Calculations'!D81</f>
        <v>Pipe Insulation - Hyd. Boiler Sm &lt;=1.25"</v>
      </c>
      <c r="C85" s="293">
        <f t="shared" si="77"/>
        <v>1</v>
      </c>
      <c r="D85" s="292" t="str">
        <f>'Unit Savings Calculations'!T81</f>
        <v>4.4.14</v>
      </c>
      <c r="E85" s="438">
        <v>15</v>
      </c>
      <c r="F85" s="438">
        <v>15</v>
      </c>
      <c r="G85" s="292" t="str">
        <f>'Unit Savings Calculations'!E81</f>
        <v>ft</v>
      </c>
      <c r="H85" s="294">
        <f>'Unit Savings Calculations'!$F81*'Unit Savings Calculations'!J81</f>
        <v>0</v>
      </c>
      <c r="I85" s="294">
        <f>'Unit Savings Calculations'!$F81*'Unit Savings Calculations'!K81</f>
        <v>0</v>
      </c>
      <c r="J85" s="294">
        <f>'Unit Savings Calculations'!$F81*'Unit Savings Calculations'!L81</f>
        <v>0</v>
      </c>
      <c r="K85" s="294">
        <f>'Unit Savings Calculations'!$F81*'Unit Savings Calculations'!M81</f>
        <v>0</v>
      </c>
      <c r="L85" s="292" t="str">
        <f>'Unit Savings Calculations'!U81</f>
        <v>CI-HVC-PINS-V04-160601</v>
      </c>
      <c r="M85" s="383" t="str">
        <f>'Unit Savings Calculations'!R81</f>
        <v>Exhibit 1.5A_R North Shore EEPS_Adjustable_Savings_Goal_Template.xlsx, Pipe Insulation Detail Tab</v>
      </c>
      <c r="N85" s="295">
        <v>2.3011493874643869</v>
      </c>
      <c r="O85" s="295">
        <v>2.3011493874643869</v>
      </c>
      <c r="P85" s="295">
        <v>2.3011493874643869</v>
      </c>
      <c r="Q85" s="295">
        <v>2.3011493874643869</v>
      </c>
      <c r="R85" s="296">
        <f>'Unit Savings Calculations'!$G81</f>
        <v>0.76</v>
      </c>
      <c r="S85" s="296">
        <f>'Unit Savings Calculations'!$G81</f>
        <v>0.76</v>
      </c>
      <c r="T85" s="296">
        <f>'Unit Savings Calculations'!$G81</f>
        <v>0.76</v>
      </c>
      <c r="U85" s="296">
        <f>'Unit Savings Calculations'!$G81</f>
        <v>0.76</v>
      </c>
      <c r="V85" s="297">
        <f t="shared" si="51"/>
        <v>0</v>
      </c>
      <c r="W85" s="297">
        <f t="shared" si="52"/>
        <v>0</v>
      </c>
      <c r="X85" s="297">
        <f t="shared" si="53"/>
        <v>0</v>
      </c>
      <c r="Y85" s="297">
        <f t="shared" si="54"/>
        <v>0</v>
      </c>
      <c r="Z85" s="297">
        <f t="shared" si="55"/>
        <v>0</v>
      </c>
      <c r="AA85" s="292"/>
      <c r="AB85" s="292"/>
      <c r="AC85" s="295">
        <v>2.3011493874643869</v>
      </c>
      <c r="AD85" s="292"/>
      <c r="AE85" s="297">
        <f t="shared" si="57"/>
        <v>0</v>
      </c>
      <c r="AF85" s="294">
        <f t="shared" si="58"/>
        <v>0</v>
      </c>
      <c r="AG85" s="292"/>
      <c r="AH85" s="292">
        <f t="shared" si="59"/>
        <v>0</v>
      </c>
      <c r="AI85" s="295">
        <v>2.3011493874643869</v>
      </c>
      <c r="AJ85" s="383" t="s">
        <v>878</v>
      </c>
      <c r="AK85" s="297">
        <f t="shared" si="60"/>
        <v>0</v>
      </c>
      <c r="AL85" s="294">
        <f t="shared" si="61"/>
        <v>0</v>
      </c>
      <c r="AM85" s="292"/>
      <c r="AN85" s="292"/>
      <c r="AO85" s="295">
        <f>'Unit Savings Calculations'!P81</f>
        <v>2.3011493874643869</v>
      </c>
      <c r="AP85" s="383" t="s">
        <v>763</v>
      </c>
      <c r="AQ85" s="297">
        <f t="shared" si="62"/>
        <v>0</v>
      </c>
      <c r="AR85" s="294">
        <f t="shared" si="63"/>
        <v>0</v>
      </c>
      <c r="AS85" s="292"/>
      <c r="AT85" s="292"/>
      <c r="AU85" s="295">
        <f>'Unit Savings Calculations'!Q81</f>
        <v>2.3011493874643869</v>
      </c>
      <c r="AV85" s="383" t="str">
        <f t="shared" si="64"/>
        <v>n/a</v>
      </c>
      <c r="AW85" s="297">
        <f t="shared" si="65"/>
        <v>0</v>
      </c>
      <c r="AX85" s="294">
        <f t="shared" si="66"/>
        <v>0</v>
      </c>
      <c r="AY85" s="297">
        <f t="shared" si="67"/>
        <v>0</v>
      </c>
      <c r="AZ85" s="297">
        <f t="shared" si="68"/>
        <v>0</v>
      </c>
      <c r="BA85" s="297">
        <f t="shared" si="69"/>
        <v>0</v>
      </c>
      <c r="BB85" s="297">
        <f t="shared" si="70"/>
        <v>0</v>
      </c>
      <c r="BC85" s="298">
        <f t="shared" si="71"/>
        <v>0</v>
      </c>
      <c r="BD85" s="292" t="s">
        <v>763</v>
      </c>
      <c r="BE85" s="299" t="str">
        <f t="shared" si="72"/>
        <v>Exhibit 1.5A_R North Shore EEPS_Adjustable_Savings_Goal_Template.xlsx, Pipe Insulation Detail Tab</v>
      </c>
      <c r="BF85" s="298">
        <f t="shared" si="73"/>
        <v>0</v>
      </c>
      <c r="BG85" s="298">
        <f t="shared" si="73"/>
        <v>0</v>
      </c>
      <c r="BH85" s="298">
        <f t="shared" si="73"/>
        <v>0</v>
      </c>
      <c r="BI85" s="298">
        <f t="shared" si="73"/>
        <v>0</v>
      </c>
      <c r="BJ85" s="298">
        <f t="shared" si="74"/>
        <v>0</v>
      </c>
      <c r="BK85" s="482">
        <v>15</v>
      </c>
      <c r="BL85" s="482">
        <v>15</v>
      </c>
      <c r="BM85" s="482">
        <f>INDEX('Unit Savings Calculations'!$I$4:$I$421,MATCH('Measure-Level Adjustments Tab'!$A85&amp;"_"&amp;'Measure-Level Adjustments Tab'!$B85,'Unit Savings Calculations'!$A$4:$A$421,0))</f>
        <v>15</v>
      </c>
      <c r="BN85" s="482">
        <f t="shared" si="75"/>
        <v>15</v>
      </c>
      <c r="BO85" s="483">
        <f t="shared" si="76"/>
        <v>0</v>
      </c>
      <c r="BP85" s="483">
        <f t="shared" si="76"/>
        <v>0</v>
      </c>
      <c r="BQ85" s="483">
        <f t="shared" si="76"/>
        <v>0</v>
      </c>
      <c r="BR85" s="483">
        <f t="shared" si="76"/>
        <v>0</v>
      </c>
      <c r="BS85" s="483">
        <f t="shared" si="56"/>
        <v>0</v>
      </c>
    </row>
    <row r="86" spans="1:71" ht="15.75" customHeight="1">
      <c r="A86" s="292" t="str">
        <f>'Unit Savings Calculations'!C82</f>
        <v>Res - MF Standard Rebates</v>
      </c>
      <c r="B86" s="292" t="str">
        <f>'Unit Savings Calculations'!D82</f>
        <v>Pipe Insulation - Hyd. Boiler Med 1.25-2"</v>
      </c>
      <c r="C86" s="293">
        <f t="shared" si="77"/>
        <v>1</v>
      </c>
      <c r="D86" s="292" t="str">
        <f>'Unit Savings Calculations'!T82</f>
        <v>4.4.14</v>
      </c>
      <c r="E86" s="438">
        <v>15</v>
      </c>
      <c r="F86" s="438">
        <v>15</v>
      </c>
      <c r="G86" s="292" t="str">
        <f>'Unit Savings Calculations'!E82</f>
        <v>ft</v>
      </c>
      <c r="H86" s="294">
        <f>'Unit Savings Calculations'!$F82*'Unit Savings Calculations'!J82</f>
        <v>0</v>
      </c>
      <c r="I86" s="294">
        <f>'Unit Savings Calculations'!$F82*'Unit Savings Calculations'!K82</f>
        <v>0</v>
      </c>
      <c r="J86" s="294">
        <f>'Unit Savings Calculations'!$F82*'Unit Savings Calculations'!L82</f>
        <v>0</v>
      </c>
      <c r="K86" s="294">
        <f>'Unit Savings Calculations'!$F82*'Unit Savings Calculations'!M82</f>
        <v>0</v>
      </c>
      <c r="L86" s="292" t="str">
        <f>'Unit Savings Calculations'!U82</f>
        <v>CI-HVC-PINS-V04-160601</v>
      </c>
      <c r="M86" s="383" t="str">
        <f>'Unit Savings Calculations'!R82</f>
        <v>Exhibit 1.5A_R North Shore EEPS_Adjustable_Savings_Goal_Template.xlsx, Pipe Insulation Detail Tab</v>
      </c>
      <c r="N86" s="295">
        <v>3.6034773504273505</v>
      </c>
      <c r="O86" s="295">
        <v>3.6034773504273505</v>
      </c>
      <c r="P86" s="295">
        <v>3.6034773504273505</v>
      </c>
      <c r="Q86" s="295">
        <v>3.6034773504273505</v>
      </c>
      <c r="R86" s="296">
        <f>'Unit Savings Calculations'!$G82</f>
        <v>0.76</v>
      </c>
      <c r="S86" s="296">
        <f>'Unit Savings Calculations'!$G82</f>
        <v>0.76</v>
      </c>
      <c r="T86" s="296">
        <f>'Unit Savings Calculations'!$G82</f>
        <v>0.76</v>
      </c>
      <c r="U86" s="296">
        <f>'Unit Savings Calculations'!$G82</f>
        <v>0.76</v>
      </c>
      <c r="V86" s="297">
        <f t="shared" si="51"/>
        <v>0</v>
      </c>
      <c r="W86" s="297">
        <f t="shared" si="52"/>
        <v>0</v>
      </c>
      <c r="X86" s="297">
        <f t="shared" si="53"/>
        <v>0</v>
      </c>
      <c r="Y86" s="297">
        <f t="shared" si="54"/>
        <v>0</v>
      </c>
      <c r="Z86" s="297">
        <f t="shared" si="55"/>
        <v>0</v>
      </c>
      <c r="AA86" s="292"/>
      <c r="AB86" s="292"/>
      <c r="AC86" s="295">
        <v>3.6034773504273505</v>
      </c>
      <c r="AD86" s="292"/>
      <c r="AE86" s="297">
        <f t="shared" si="57"/>
        <v>0</v>
      </c>
      <c r="AF86" s="294">
        <f t="shared" si="58"/>
        <v>0</v>
      </c>
      <c r="AG86" s="292"/>
      <c r="AH86" s="292">
        <f t="shared" si="59"/>
        <v>0</v>
      </c>
      <c r="AI86" s="295">
        <v>3.6034773504273505</v>
      </c>
      <c r="AJ86" s="383" t="s">
        <v>878</v>
      </c>
      <c r="AK86" s="297">
        <f t="shared" si="60"/>
        <v>0</v>
      </c>
      <c r="AL86" s="294">
        <f t="shared" si="61"/>
        <v>0</v>
      </c>
      <c r="AM86" s="292"/>
      <c r="AN86" s="292"/>
      <c r="AO86" s="295">
        <f>'Unit Savings Calculations'!P82</f>
        <v>3.6034773504273505</v>
      </c>
      <c r="AP86" s="383" t="s">
        <v>763</v>
      </c>
      <c r="AQ86" s="297">
        <f t="shared" si="62"/>
        <v>0</v>
      </c>
      <c r="AR86" s="294">
        <f t="shared" si="63"/>
        <v>0</v>
      </c>
      <c r="AS86" s="292"/>
      <c r="AT86" s="292"/>
      <c r="AU86" s="295">
        <f>'Unit Savings Calculations'!Q82</f>
        <v>3.6034773504273505</v>
      </c>
      <c r="AV86" s="383" t="str">
        <f t="shared" si="64"/>
        <v>n/a</v>
      </c>
      <c r="AW86" s="297">
        <f t="shared" si="65"/>
        <v>0</v>
      </c>
      <c r="AX86" s="294">
        <f t="shared" si="66"/>
        <v>0</v>
      </c>
      <c r="AY86" s="297">
        <f t="shared" si="67"/>
        <v>0</v>
      </c>
      <c r="AZ86" s="297">
        <f t="shared" si="68"/>
        <v>0</v>
      </c>
      <c r="BA86" s="297">
        <f t="shared" si="69"/>
        <v>0</v>
      </c>
      <c r="BB86" s="297">
        <f t="shared" si="70"/>
        <v>0</v>
      </c>
      <c r="BC86" s="298">
        <f t="shared" si="71"/>
        <v>0</v>
      </c>
      <c r="BD86" s="292" t="s">
        <v>763</v>
      </c>
      <c r="BE86" s="299" t="str">
        <f t="shared" si="72"/>
        <v>Exhibit 1.5A_R North Shore EEPS_Adjustable_Savings_Goal_Template.xlsx, Pipe Insulation Detail Tab</v>
      </c>
      <c r="BF86" s="298">
        <f t="shared" si="73"/>
        <v>0</v>
      </c>
      <c r="BG86" s="298">
        <f t="shared" si="73"/>
        <v>0</v>
      </c>
      <c r="BH86" s="298">
        <f t="shared" si="73"/>
        <v>0</v>
      </c>
      <c r="BI86" s="298">
        <f t="shared" si="73"/>
        <v>0</v>
      </c>
      <c r="BJ86" s="298">
        <f t="shared" si="74"/>
        <v>0</v>
      </c>
      <c r="BK86" s="482">
        <v>15</v>
      </c>
      <c r="BL86" s="482">
        <v>15</v>
      </c>
      <c r="BM86" s="482">
        <f>INDEX('Unit Savings Calculations'!$I$4:$I$421,MATCH('Measure-Level Adjustments Tab'!$A86&amp;"_"&amp;'Measure-Level Adjustments Tab'!$B86,'Unit Savings Calculations'!$A$4:$A$421,0))</f>
        <v>15</v>
      </c>
      <c r="BN86" s="482">
        <f t="shared" si="75"/>
        <v>15</v>
      </c>
      <c r="BO86" s="483">
        <f t="shared" si="76"/>
        <v>0</v>
      </c>
      <c r="BP86" s="483">
        <f t="shared" si="76"/>
        <v>0</v>
      </c>
      <c r="BQ86" s="483">
        <f t="shared" si="76"/>
        <v>0</v>
      </c>
      <c r="BR86" s="483">
        <f t="shared" si="76"/>
        <v>0</v>
      </c>
      <c r="BS86" s="483">
        <f t="shared" si="56"/>
        <v>0</v>
      </c>
    </row>
    <row r="87" spans="1:71" ht="15.75" customHeight="1">
      <c r="A87" s="292" t="str">
        <f>'Unit Savings Calculations'!C83</f>
        <v>Res - MF Standard Rebates</v>
      </c>
      <c r="B87" s="292" t="str">
        <f>'Unit Savings Calculations'!D83</f>
        <v>Pipe Insulation - Hyd. Boiler Large ≥2"</v>
      </c>
      <c r="C87" s="293">
        <f t="shared" ref="C87:C150" si="78">IF(D87="Custom",0,1)</f>
        <v>1</v>
      </c>
      <c r="D87" s="292" t="str">
        <f>'Unit Savings Calculations'!T83</f>
        <v>4.4.14</v>
      </c>
      <c r="E87" s="438">
        <v>15</v>
      </c>
      <c r="F87" s="438">
        <v>15</v>
      </c>
      <c r="G87" s="292" t="str">
        <f>'Unit Savings Calculations'!E83</f>
        <v>ft</v>
      </c>
      <c r="H87" s="294">
        <f>'Unit Savings Calculations'!$F83*'Unit Savings Calculations'!J83</f>
        <v>0</v>
      </c>
      <c r="I87" s="294">
        <f>'Unit Savings Calculations'!$F83*'Unit Savings Calculations'!K83</f>
        <v>0</v>
      </c>
      <c r="J87" s="294">
        <f>'Unit Savings Calculations'!$F83*'Unit Savings Calculations'!L83</f>
        <v>0</v>
      </c>
      <c r="K87" s="294">
        <f>'Unit Savings Calculations'!$F83*'Unit Savings Calculations'!M83</f>
        <v>0</v>
      </c>
      <c r="L87" s="292" t="str">
        <f>'Unit Savings Calculations'!U83</f>
        <v>CI-HVC-PINS-V04-160601</v>
      </c>
      <c r="M87" s="383" t="str">
        <f>'Unit Savings Calculations'!R83</f>
        <v>Exhibit 1.5A_R North Shore EEPS_Adjustable_Savings_Goal_Template.xlsx, Pipe Insulation Detail Tab</v>
      </c>
      <c r="N87" s="295">
        <v>6.1867824786324785</v>
      </c>
      <c r="O87" s="295">
        <v>6.1867824786324785</v>
      </c>
      <c r="P87" s="295">
        <v>6.1867824786324785</v>
      </c>
      <c r="Q87" s="295">
        <v>6.1867824786324785</v>
      </c>
      <c r="R87" s="296">
        <f>'Unit Savings Calculations'!$G83</f>
        <v>0.76</v>
      </c>
      <c r="S87" s="296">
        <f>'Unit Savings Calculations'!$G83</f>
        <v>0.76</v>
      </c>
      <c r="T87" s="296">
        <f>'Unit Savings Calculations'!$G83</f>
        <v>0.76</v>
      </c>
      <c r="U87" s="296">
        <f>'Unit Savings Calculations'!$G83</f>
        <v>0.76</v>
      </c>
      <c r="V87" s="297">
        <f t="shared" si="51"/>
        <v>0</v>
      </c>
      <c r="W87" s="297">
        <f t="shared" si="52"/>
        <v>0</v>
      </c>
      <c r="X87" s="297">
        <f t="shared" si="53"/>
        <v>0</v>
      </c>
      <c r="Y87" s="297">
        <f t="shared" si="54"/>
        <v>0</v>
      </c>
      <c r="Z87" s="297">
        <f t="shared" si="55"/>
        <v>0</v>
      </c>
      <c r="AA87" s="292"/>
      <c r="AB87" s="292"/>
      <c r="AC87" s="295">
        <v>6.1867824786324785</v>
      </c>
      <c r="AD87" s="292"/>
      <c r="AE87" s="297">
        <f t="shared" si="57"/>
        <v>0</v>
      </c>
      <c r="AF87" s="294">
        <f t="shared" si="58"/>
        <v>0</v>
      </c>
      <c r="AG87" s="292"/>
      <c r="AH87" s="292">
        <f t="shared" si="59"/>
        <v>0</v>
      </c>
      <c r="AI87" s="295">
        <v>6.1867824786324785</v>
      </c>
      <c r="AJ87" s="383" t="s">
        <v>878</v>
      </c>
      <c r="AK87" s="297">
        <f t="shared" si="60"/>
        <v>0</v>
      </c>
      <c r="AL87" s="294">
        <f t="shared" si="61"/>
        <v>0</v>
      </c>
      <c r="AM87" s="292"/>
      <c r="AN87" s="292"/>
      <c r="AO87" s="295">
        <f>'Unit Savings Calculations'!P83</f>
        <v>6.1867824786324785</v>
      </c>
      <c r="AP87" s="383" t="s">
        <v>763</v>
      </c>
      <c r="AQ87" s="297">
        <f t="shared" si="62"/>
        <v>0</v>
      </c>
      <c r="AR87" s="294">
        <f t="shared" si="63"/>
        <v>0</v>
      </c>
      <c r="AS87" s="292"/>
      <c r="AT87" s="292"/>
      <c r="AU87" s="295">
        <f>'Unit Savings Calculations'!Q83</f>
        <v>6.1867824786324785</v>
      </c>
      <c r="AV87" s="383" t="str">
        <f t="shared" si="64"/>
        <v>n/a</v>
      </c>
      <c r="AW87" s="297">
        <f t="shared" si="65"/>
        <v>0</v>
      </c>
      <c r="AX87" s="294">
        <f t="shared" si="66"/>
        <v>0</v>
      </c>
      <c r="AY87" s="297">
        <f t="shared" si="67"/>
        <v>0</v>
      </c>
      <c r="AZ87" s="297">
        <f t="shared" si="68"/>
        <v>0</v>
      </c>
      <c r="BA87" s="297">
        <f t="shared" si="69"/>
        <v>0</v>
      </c>
      <c r="BB87" s="297">
        <f t="shared" si="70"/>
        <v>0</v>
      </c>
      <c r="BC87" s="298">
        <f t="shared" si="71"/>
        <v>0</v>
      </c>
      <c r="BD87" s="292" t="s">
        <v>763</v>
      </c>
      <c r="BE87" s="299" t="str">
        <f t="shared" si="72"/>
        <v>Exhibit 1.5A_R North Shore EEPS_Adjustable_Savings_Goal_Template.xlsx, Pipe Insulation Detail Tab</v>
      </c>
      <c r="BF87" s="298">
        <f t="shared" si="73"/>
        <v>0</v>
      </c>
      <c r="BG87" s="298">
        <f t="shared" si="73"/>
        <v>0</v>
      </c>
      <c r="BH87" s="298">
        <f t="shared" si="73"/>
        <v>0</v>
      </c>
      <c r="BI87" s="298">
        <f t="shared" si="73"/>
        <v>0</v>
      </c>
      <c r="BJ87" s="298">
        <f t="shared" si="74"/>
        <v>0</v>
      </c>
      <c r="BK87" s="482">
        <v>15</v>
      </c>
      <c r="BL87" s="482">
        <v>15</v>
      </c>
      <c r="BM87" s="482">
        <f>INDEX('Unit Savings Calculations'!$I$4:$I$421,MATCH('Measure-Level Adjustments Tab'!$A87&amp;"_"&amp;'Measure-Level Adjustments Tab'!$B87,'Unit Savings Calculations'!$A$4:$A$421,0))</f>
        <v>15</v>
      </c>
      <c r="BN87" s="482">
        <f t="shared" si="75"/>
        <v>15</v>
      </c>
      <c r="BO87" s="483">
        <f t="shared" si="76"/>
        <v>0</v>
      </c>
      <c r="BP87" s="483">
        <f t="shared" si="76"/>
        <v>0</v>
      </c>
      <c r="BQ87" s="483">
        <f t="shared" si="76"/>
        <v>0</v>
      </c>
      <c r="BR87" s="483">
        <f t="shared" si="76"/>
        <v>0</v>
      </c>
      <c r="BS87" s="483">
        <f t="shared" si="56"/>
        <v>0</v>
      </c>
    </row>
    <row r="88" spans="1:71" ht="15.75" customHeight="1">
      <c r="A88" s="292" t="str">
        <f>'Unit Savings Calculations'!C84</f>
        <v>Res - MF Standard Rebates</v>
      </c>
      <c r="B88" s="292" t="str">
        <f>'Unit Savings Calculations'!D84</f>
        <v>Pipe Insulation - HW Small 1" to 2"</v>
      </c>
      <c r="C88" s="293">
        <f t="shared" si="78"/>
        <v>1</v>
      </c>
      <c r="D88" s="292" t="str">
        <f>'Unit Savings Calculations'!T84</f>
        <v>4.4.14</v>
      </c>
      <c r="E88" s="438">
        <v>15</v>
      </c>
      <c r="F88" s="438">
        <v>15</v>
      </c>
      <c r="G88" s="292" t="str">
        <f>'Unit Savings Calculations'!E84</f>
        <v>ft</v>
      </c>
      <c r="H88" s="294">
        <f>'Unit Savings Calculations'!$F84*'Unit Savings Calculations'!J84</f>
        <v>0</v>
      </c>
      <c r="I88" s="294">
        <f>'Unit Savings Calculations'!$F84*'Unit Savings Calculations'!K84</f>
        <v>0</v>
      </c>
      <c r="J88" s="294">
        <f>'Unit Savings Calculations'!$F84*'Unit Savings Calculations'!L84</f>
        <v>0</v>
      </c>
      <c r="K88" s="294">
        <f>'Unit Savings Calculations'!$F84*'Unit Savings Calculations'!M84</f>
        <v>0</v>
      </c>
      <c r="L88" s="292" t="str">
        <f>'Unit Savings Calculations'!U84</f>
        <v>CI-HVC-PINS-V04-160601</v>
      </c>
      <c r="M88" s="383" t="str">
        <f>'Unit Savings Calculations'!R84</f>
        <v>Exhibit 1.5A_R North Shore EEPS_Adjustable_Savings_Goal_Template.xlsx, Pipe Insulation Detail Tab</v>
      </c>
      <c r="N88" s="295">
        <v>3.1358228800964363</v>
      </c>
      <c r="O88" s="295">
        <v>3.1358228800964363</v>
      </c>
      <c r="P88" s="295">
        <v>3.1358228800964363</v>
      </c>
      <c r="Q88" s="295">
        <v>3.1358228800964363</v>
      </c>
      <c r="R88" s="296">
        <f>'Unit Savings Calculations'!$G84</f>
        <v>0.76</v>
      </c>
      <c r="S88" s="296">
        <f>'Unit Savings Calculations'!$G84</f>
        <v>0.76</v>
      </c>
      <c r="T88" s="296">
        <f>'Unit Savings Calculations'!$G84</f>
        <v>0.76</v>
      </c>
      <c r="U88" s="296">
        <f>'Unit Savings Calculations'!$G84</f>
        <v>0.76</v>
      </c>
      <c r="V88" s="297">
        <f t="shared" si="51"/>
        <v>0</v>
      </c>
      <c r="W88" s="297">
        <f t="shared" si="52"/>
        <v>0</v>
      </c>
      <c r="X88" s="297">
        <f t="shared" si="53"/>
        <v>0</v>
      </c>
      <c r="Y88" s="297">
        <f t="shared" si="54"/>
        <v>0</v>
      </c>
      <c r="Z88" s="297">
        <f t="shared" si="55"/>
        <v>0</v>
      </c>
      <c r="AA88" s="292"/>
      <c r="AB88" s="292"/>
      <c r="AC88" s="295">
        <v>3.1358228800964363</v>
      </c>
      <c r="AD88" s="292"/>
      <c r="AE88" s="297">
        <f t="shared" si="57"/>
        <v>0</v>
      </c>
      <c r="AF88" s="294">
        <f t="shared" si="58"/>
        <v>0</v>
      </c>
      <c r="AG88" s="292"/>
      <c r="AH88" s="292">
        <f t="shared" si="59"/>
        <v>0</v>
      </c>
      <c r="AI88" s="295">
        <v>3.1358228800964363</v>
      </c>
      <c r="AJ88" s="383" t="s">
        <v>878</v>
      </c>
      <c r="AK88" s="297">
        <f t="shared" si="60"/>
        <v>0</v>
      </c>
      <c r="AL88" s="294">
        <f t="shared" si="61"/>
        <v>0</v>
      </c>
      <c r="AM88" s="292"/>
      <c r="AN88" s="292"/>
      <c r="AO88" s="295">
        <f>'Unit Savings Calculations'!P84</f>
        <v>3.1358228800964363</v>
      </c>
      <c r="AP88" s="383" t="s">
        <v>763</v>
      </c>
      <c r="AQ88" s="297">
        <f t="shared" si="62"/>
        <v>0</v>
      </c>
      <c r="AR88" s="294">
        <f t="shared" si="63"/>
        <v>0</v>
      </c>
      <c r="AS88" s="292"/>
      <c r="AT88" s="292"/>
      <c r="AU88" s="295">
        <f>'Unit Savings Calculations'!Q84</f>
        <v>3.1358228800964363</v>
      </c>
      <c r="AV88" s="383" t="str">
        <f t="shared" si="64"/>
        <v>n/a</v>
      </c>
      <c r="AW88" s="297">
        <f t="shared" si="65"/>
        <v>0</v>
      </c>
      <c r="AX88" s="294">
        <f t="shared" si="66"/>
        <v>0</v>
      </c>
      <c r="AY88" s="297">
        <f t="shared" si="67"/>
        <v>0</v>
      </c>
      <c r="AZ88" s="297">
        <f t="shared" si="68"/>
        <v>0</v>
      </c>
      <c r="BA88" s="297">
        <f t="shared" si="69"/>
        <v>0</v>
      </c>
      <c r="BB88" s="297">
        <f t="shared" si="70"/>
        <v>0</v>
      </c>
      <c r="BC88" s="298">
        <f t="shared" si="71"/>
        <v>0</v>
      </c>
      <c r="BD88" s="292" t="s">
        <v>763</v>
      </c>
      <c r="BE88" s="299" t="str">
        <f t="shared" si="72"/>
        <v>Exhibit 1.5A_R North Shore EEPS_Adjustable_Savings_Goal_Template.xlsx, Pipe Insulation Detail Tab</v>
      </c>
      <c r="BF88" s="298">
        <f t="shared" si="73"/>
        <v>0</v>
      </c>
      <c r="BG88" s="298">
        <f t="shared" si="73"/>
        <v>0</v>
      </c>
      <c r="BH88" s="298">
        <f t="shared" si="73"/>
        <v>0</v>
      </c>
      <c r="BI88" s="298">
        <f t="shared" si="73"/>
        <v>0</v>
      </c>
      <c r="BJ88" s="298">
        <f t="shared" si="74"/>
        <v>0</v>
      </c>
      <c r="BK88" s="482">
        <v>15</v>
      </c>
      <c r="BL88" s="482">
        <v>15</v>
      </c>
      <c r="BM88" s="482">
        <f>INDEX('Unit Savings Calculations'!$I$4:$I$421,MATCH('Measure-Level Adjustments Tab'!$A88&amp;"_"&amp;'Measure-Level Adjustments Tab'!$B88,'Unit Savings Calculations'!$A$4:$A$421,0))</f>
        <v>15</v>
      </c>
      <c r="BN88" s="482">
        <f t="shared" si="75"/>
        <v>15</v>
      </c>
      <c r="BO88" s="483">
        <f t="shared" si="76"/>
        <v>0</v>
      </c>
      <c r="BP88" s="483">
        <f t="shared" si="76"/>
        <v>0</v>
      </c>
      <c r="BQ88" s="483">
        <f t="shared" si="76"/>
        <v>0</v>
      </c>
      <c r="BR88" s="483">
        <f t="shared" si="76"/>
        <v>0</v>
      </c>
      <c r="BS88" s="483">
        <f t="shared" si="56"/>
        <v>0</v>
      </c>
    </row>
    <row r="89" spans="1:71" ht="15.75" customHeight="1">
      <c r="A89" s="292" t="str">
        <f>'Unit Savings Calculations'!C85</f>
        <v>Res - MF Standard Rebates</v>
      </c>
      <c r="B89" s="292" t="str">
        <f>'Unit Savings Calculations'!D85</f>
        <v>Pipe Insulation - HW Medium 2.1" to 4"</v>
      </c>
      <c r="C89" s="293">
        <f t="shared" si="78"/>
        <v>1</v>
      </c>
      <c r="D89" s="292" t="str">
        <f>'Unit Savings Calculations'!T85</f>
        <v>4.4.14</v>
      </c>
      <c r="E89" s="438">
        <v>15</v>
      </c>
      <c r="F89" s="438">
        <v>15</v>
      </c>
      <c r="G89" s="292" t="str">
        <f>'Unit Savings Calculations'!E85</f>
        <v>ft</v>
      </c>
      <c r="H89" s="294">
        <f>'Unit Savings Calculations'!$F85*'Unit Savings Calculations'!J85</f>
        <v>0</v>
      </c>
      <c r="I89" s="294">
        <f>'Unit Savings Calculations'!$F85*'Unit Savings Calculations'!K85</f>
        <v>0</v>
      </c>
      <c r="J89" s="294">
        <f>'Unit Savings Calculations'!$F85*'Unit Savings Calculations'!L85</f>
        <v>0</v>
      </c>
      <c r="K89" s="294">
        <f>'Unit Savings Calculations'!$F85*'Unit Savings Calculations'!M85</f>
        <v>0</v>
      </c>
      <c r="L89" s="292" t="str">
        <f>'Unit Savings Calculations'!U85</f>
        <v>CI-HVC-PINS-V04-160601</v>
      </c>
      <c r="M89" s="383" t="str">
        <f>'Unit Savings Calculations'!R85</f>
        <v>Exhibit 1.5A_R North Shore EEPS_Adjustable_Savings_Goal_Template.xlsx, Pipe Insulation Detail Tab</v>
      </c>
      <c r="N89" s="295">
        <v>6.1942373572810965</v>
      </c>
      <c r="O89" s="295">
        <v>6.1942373572810965</v>
      </c>
      <c r="P89" s="295">
        <v>6.1942373572810965</v>
      </c>
      <c r="Q89" s="295">
        <v>6.1942373572810965</v>
      </c>
      <c r="R89" s="296">
        <f>'Unit Savings Calculations'!$G85</f>
        <v>0.76</v>
      </c>
      <c r="S89" s="296">
        <f>'Unit Savings Calculations'!$G85</f>
        <v>0.76</v>
      </c>
      <c r="T89" s="296">
        <f>'Unit Savings Calculations'!$G85</f>
        <v>0.76</v>
      </c>
      <c r="U89" s="296">
        <f>'Unit Savings Calculations'!$G85</f>
        <v>0.76</v>
      </c>
      <c r="V89" s="297">
        <f t="shared" si="51"/>
        <v>0</v>
      </c>
      <c r="W89" s="297">
        <f t="shared" si="52"/>
        <v>0</v>
      </c>
      <c r="X89" s="297">
        <f t="shared" si="53"/>
        <v>0</v>
      </c>
      <c r="Y89" s="297">
        <f t="shared" si="54"/>
        <v>0</v>
      </c>
      <c r="Z89" s="297">
        <f t="shared" si="55"/>
        <v>0</v>
      </c>
      <c r="AA89" s="292"/>
      <c r="AB89" s="292"/>
      <c r="AC89" s="295">
        <v>6.1942373572810965</v>
      </c>
      <c r="AD89" s="292"/>
      <c r="AE89" s="297">
        <f t="shared" si="57"/>
        <v>0</v>
      </c>
      <c r="AF89" s="294">
        <f t="shared" si="58"/>
        <v>0</v>
      </c>
      <c r="AG89" s="292"/>
      <c r="AH89" s="292">
        <f t="shared" si="59"/>
        <v>0</v>
      </c>
      <c r="AI89" s="295">
        <v>6.1942373572810965</v>
      </c>
      <c r="AJ89" s="383" t="s">
        <v>878</v>
      </c>
      <c r="AK89" s="297">
        <f t="shared" si="60"/>
        <v>0</v>
      </c>
      <c r="AL89" s="294">
        <f t="shared" si="61"/>
        <v>0</v>
      </c>
      <c r="AM89" s="292"/>
      <c r="AN89" s="292"/>
      <c r="AO89" s="295">
        <f>'Unit Savings Calculations'!P85</f>
        <v>6.1942373572810965</v>
      </c>
      <c r="AP89" s="383" t="s">
        <v>763</v>
      </c>
      <c r="AQ89" s="297">
        <f t="shared" si="62"/>
        <v>0</v>
      </c>
      <c r="AR89" s="294">
        <f t="shared" si="63"/>
        <v>0</v>
      </c>
      <c r="AS89" s="292"/>
      <c r="AT89" s="292"/>
      <c r="AU89" s="295">
        <f>'Unit Savings Calculations'!Q85</f>
        <v>6.1942373572810965</v>
      </c>
      <c r="AV89" s="383" t="str">
        <f t="shared" si="64"/>
        <v>n/a</v>
      </c>
      <c r="AW89" s="297">
        <f t="shared" si="65"/>
        <v>0</v>
      </c>
      <c r="AX89" s="294">
        <f t="shared" si="66"/>
        <v>0</v>
      </c>
      <c r="AY89" s="297">
        <f t="shared" si="67"/>
        <v>0</v>
      </c>
      <c r="AZ89" s="297">
        <f t="shared" si="68"/>
        <v>0</v>
      </c>
      <c r="BA89" s="297">
        <f t="shared" si="69"/>
        <v>0</v>
      </c>
      <c r="BB89" s="297">
        <f t="shared" si="70"/>
        <v>0</v>
      </c>
      <c r="BC89" s="298">
        <f t="shared" si="71"/>
        <v>0</v>
      </c>
      <c r="BD89" s="292" t="s">
        <v>763</v>
      </c>
      <c r="BE89" s="299" t="str">
        <f t="shared" si="72"/>
        <v>Exhibit 1.5A_R North Shore EEPS_Adjustable_Savings_Goal_Template.xlsx, Pipe Insulation Detail Tab</v>
      </c>
      <c r="BF89" s="298">
        <f t="shared" si="73"/>
        <v>0</v>
      </c>
      <c r="BG89" s="298">
        <f t="shared" si="73"/>
        <v>0</v>
      </c>
      <c r="BH89" s="298">
        <f t="shared" si="73"/>
        <v>0</v>
      </c>
      <c r="BI89" s="298">
        <f t="shared" si="73"/>
        <v>0</v>
      </c>
      <c r="BJ89" s="298">
        <f t="shared" si="74"/>
        <v>0</v>
      </c>
      <c r="BK89" s="482">
        <v>15</v>
      </c>
      <c r="BL89" s="482">
        <v>15</v>
      </c>
      <c r="BM89" s="482">
        <f>INDEX('Unit Savings Calculations'!$I$4:$I$421,MATCH('Measure-Level Adjustments Tab'!$A89&amp;"_"&amp;'Measure-Level Adjustments Tab'!$B89,'Unit Savings Calculations'!$A$4:$A$421,0))</f>
        <v>15</v>
      </c>
      <c r="BN89" s="482">
        <f t="shared" si="75"/>
        <v>15</v>
      </c>
      <c r="BO89" s="483">
        <f t="shared" si="76"/>
        <v>0</v>
      </c>
      <c r="BP89" s="483">
        <f t="shared" si="76"/>
        <v>0</v>
      </c>
      <c r="BQ89" s="483">
        <f t="shared" si="76"/>
        <v>0</v>
      </c>
      <c r="BR89" s="483">
        <f t="shared" si="76"/>
        <v>0</v>
      </c>
      <c r="BS89" s="483">
        <f t="shared" si="56"/>
        <v>0</v>
      </c>
    </row>
    <row r="90" spans="1:71" ht="15.75" customHeight="1">
      <c r="A90" s="292" t="str">
        <f>'Unit Savings Calculations'!C86</f>
        <v>Res - MF Standard Rebates</v>
      </c>
      <c r="B90" s="292" t="str">
        <f>'Unit Savings Calculations'!D86</f>
        <v>Pipe Insulation - HW Large &gt;4"</v>
      </c>
      <c r="C90" s="293">
        <f t="shared" si="78"/>
        <v>1</v>
      </c>
      <c r="D90" s="292" t="str">
        <f>'Unit Savings Calculations'!T86</f>
        <v>4.4.14</v>
      </c>
      <c r="E90" s="438">
        <v>15</v>
      </c>
      <c r="F90" s="438">
        <v>15</v>
      </c>
      <c r="G90" s="292" t="str">
        <f>'Unit Savings Calculations'!E86</f>
        <v>ft</v>
      </c>
      <c r="H90" s="294">
        <f>'Unit Savings Calculations'!$F86*'Unit Savings Calculations'!J86</f>
        <v>0</v>
      </c>
      <c r="I90" s="294">
        <f>'Unit Savings Calculations'!$F86*'Unit Savings Calculations'!K86</f>
        <v>0</v>
      </c>
      <c r="J90" s="294">
        <f>'Unit Savings Calculations'!$F86*'Unit Savings Calculations'!L86</f>
        <v>0</v>
      </c>
      <c r="K90" s="294">
        <f>'Unit Savings Calculations'!$F86*'Unit Savings Calculations'!M86</f>
        <v>0</v>
      </c>
      <c r="L90" s="292" t="str">
        <f>'Unit Savings Calculations'!U86</f>
        <v>CI-HVC-PINS-V04-160601</v>
      </c>
      <c r="M90" s="383" t="str">
        <f>'Unit Savings Calculations'!R86</f>
        <v>Exhibit 1.5A_R North Shore EEPS_Adjustable_Savings_Goal_Template.xlsx, Pipe Insulation Detail Tab</v>
      </c>
      <c r="N90" s="295">
        <v>10.672873287490331</v>
      </c>
      <c r="O90" s="295">
        <v>10.672873287490331</v>
      </c>
      <c r="P90" s="295">
        <v>10.672873287490331</v>
      </c>
      <c r="Q90" s="295">
        <v>10.672873287490331</v>
      </c>
      <c r="R90" s="296">
        <f>'Unit Savings Calculations'!$G86</f>
        <v>0.76</v>
      </c>
      <c r="S90" s="296">
        <f>'Unit Savings Calculations'!$G86</f>
        <v>0.76</v>
      </c>
      <c r="T90" s="296">
        <f>'Unit Savings Calculations'!$G86</f>
        <v>0.76</v>
      </c>
      <c r="U90" s="296">
        <f>'Unit Savings Calculations'!$G86</f>
        <v>0.76</v>
      </c>
      <c r="V90" s="297">
        <f t="shared" si="51"/>
        <v>0</v>
      </c>
      <c r="W90" s="297">
        <f t="shared" si="52"/>
        <v>0</v>
      </c>
      <c r="X90" s="297">
        <f t="shared" si="53"/>
        <v>0</v>
      </c>
      <c r="Y90" s="297">
        <f t="shared" si="54"/>
        <v>0</v>
      </c>
      <c r="Z90" s="297">
        <f t="shared" si="55"/>
        <v>0</v>
      </c>
      <c r="AA90" s="292"/>
      <c r="AB90" s="292"/>
      <c r="AC90" s="295">
        <v>10.672873287490331</v>
      </c>
      <c r="AD90" s="292"/>
      <c r="AE90" s="297">
        <f t="shared" si="57"/>
        <v>0</v>
      </c>
      <c r="AF90" s="294">
        <f t="shared" si="58"/>
        <v>0</v>
      </c>
      <c r="AG90" s="292"/>
      <c r="AH90" s="292">
        <f t="shared" si="59"/>
        <v>0</v>
      </c>
      <c r="AI90" s="295">
        <v>10.672873287490331</v>
      </c>
      <c r="AJ90" s="383" t="s">
        <v>878</v>
      </c>
      <c r="AK90" s="297">
        <f t="shared" si="60"/>
        <v>0</v>
      </c>
      <c r="AL90" s="294">
        <f t="shared" si="61"/>
        <v>0</v>
      </c>
      <c r="AM90" s="292"/>
      <c r="AN90" s="292"/>
      <c r="AO90" s="295">
        <f>'Unit Savings Calculations'!P86</f>
        <v>10.672873287490331</v>
      </c>
      <c r="AP90" s="383" t="s">
        <v>763</v>
      </c>
      <c r="AQ90" s="297">
        <f t="shared" si="62"/>
        <v>0</v>
      </c>
      <c r="AR90" s="294">
        <f t="shared" si="63"/>
        <v>0</v>
      </c>
      <c r="AS90" s="292"/>
      <c r="AT90" s="292"/>
      <c r="AU90" s="295">
        <f>'Unit Savings Calculations'!Q86</f>
        <v>10.672873287490331</v>
      </c>
      <c r="AV90" s="383" t="str">
        <f t="shared" si="64"/>
        <v>n/a</v>
      </c>
      <c r="AW90" s="297">
        <f t="shared" si="65"/>
        <v>0</v>
      </c>
      <c r="AX90" s="294">
        <f t="shared" si="66"/>
        <v>0</v>
      </c>
      <c r="AY90" s="297">
        <f t="shared" si="67"/>
        <v>0</v>
      </c>
      <c r="AZ90" s="297">
        <f t="shared" si="68"/>
        <v>0</v>
      </c>
      <c r="BA90" s="297">
        <f t="shared" si="69"/>
        <v>0</v>
      </c>
      <c r="BB90" s="297">
        <f t="shared" si="70"/>
        <v>0</v>
      </c>
      <c r="BC90" s="298">
        <f t="shared" si="71"/>
        <v>0</v>
      </c>
      <c r="BD90" s="292" t="s">
        <v>763</v>
      </c>
      <c r="BE90" s="299" t="str">
        <f t="shared" si="72"/>
        <v>Exhibit 1.5A_R North Shore EEPS_Adjustable_Savings_Goal_Template.xlsx, Pipe Insulation Detail Tab</v>
      </c>
      <c r="BF90" s="298">
        <f t="shared" si="73"/>
        <v>0</v>
      </c>
      <c r="BG90" s="298">
        <f t="shared" si="73"/>
        <v>0</v>
      </c>
      <c r="BH90" s="298">
        <f t="shared" si="73"/>
        <v>0</v>
      </c>
      <c r="BI90" s="298">
        <f t="shared" si="73"/>
        <v>0</v>
      </c>
      <c r="BJ90" s="298">
        <f t="shared" si="74"/>
        <v>0</v>
      </c>
      <c r="BK90" s="482">
        <v>15</v>
      </c>
      <c r="BL90" s="482">
        <v>15</v>
      </c>
      <c r="BM90" s="482">
        <f>INDEX('Unit Savings Calculations'!$I$4:$I$421,MATCH('Measure-Level Adjustments Tab'!$A90&amp;"_"&amp;'Measure-Level Adjustments Tab'!$B90,'Unit Savings Calculations'!$A$4:$A$421,0))</f>
        <v>15</v>
      </c>
      <c r="BN90" s="482">
        <f t="shared" si="75"/>
        <v>15</v>
      </c>
      <c r="BO90" s="483">
        <f t="shared" si="76"/>
        <v>0</v>
      </c>
      <c r="BP90" s="483">
        <f t="shared" si="76"/>
        <v>0</v>
      </c>
      <c r="BQ90" s="483">
        <f t="shared" si="76"/>
        <v>0</v>
      </c>
      <c r="BR90" s="483">
        <f t="shared" si="76"/>
        <v>0</v>
      </c>
      <c r="BS90" s="483">
        <f t="shared" si="56"/>
        <v>0</v>
      </c>
    </row>
    <row r="91" spans="1:71" ht="15.75" customHeight="1">
      <c r="A91" s="292" t="str">
        <f>'Unit Savings Calculations'!C87</f>
        <v>Res - MF Standard Rebates</v>
      </c>
      <c r="B91" s="292" t="str">
        <f>'Unit Savings Calculations'!D87</f>
        <v>Pipe Insulation - Steam - Small 1" to 2"</v>
      </c>
      <c r="C91" s="293">
        <f t="shared" si="78"/>
        <v>1</v>
      </c>
      <c r="D91" s="292" t="str">
        <f>'Unit Savings Calculations'!T87</f>
        <v>4.4.14</v>
      </c>
      <c r="E91" s="438">
        <v>15</v>
      </c>
      <c r="F91" s="438">
        <v>15</v>
      </c>
      <c r="G91" s="292" t="str">
        <f>'Unit Savings Calculations'!E87</f>
        <v>ft</v>
      </c>
      <c r="H91" s="294">
        <f>'Unit Savings Calculations'!$F87*'Unit Savings Calculations'!J87</f>
        <v>0</v>
      </c>
      <c r="I91" s="294">
        <f>'Unit Savings Calculations'!$F87*'Unit Savings Calculations'!K87</f>
        <v>0</v>
      </c>
      <c r="J91" s="294">
        <f>'Unit Savings Calculations'!$F87*'Unit Savings Calculations'!L87</f>
        <v>0</v>
      </c>
      <c r="K91" s="294">
        <f>'Unit Savings Calculations'!$F87*'Unit Savings Calculations'!M87</f>
        <v>0</v>
      </c>
      <c r="L91" s="292" t="str">
        <f>'Unit Savings Calculations'!U87</f>
        <v>CI-HVC-PINS-V04-160601</v>
      </c>
      <c r="M91" s="383" t="str">
        <f>'Unit Savings Calculations'!R87</f>
        <v>Exhibit 1.5A_R North Shore EEPS_Adjustable_Savings_Goal_Template.xlsx, Pipe Insulation Detail Tab</v>
      </c>
      <c r="N91" s="295">
        <v>3.967097058288509</v>
      </c>
      <c r="O91" s="295">
        <v>3.967097058288509</v>
      </c>
      <c r="P91" s="295">
        <v>3.967097058288509</v>
      </c>
      <c r="Q91" s="295">
        <v>3.967097058288509</v>
      </c>
      <c r="R91" s="296">
        <f>'Unit Savings Calculations'!$G87</f>
        <v>0.76</v>
      </c>
      <c r="S91" s="296">
        <f>'Unit Savings Calculations'!$G87</f>
        <v>0.76</v>
      </c>
      <c r="T91" s="296">
        <f>'Unit Savings Calculations'!$G87</f>
        <v>0.76</v>
      </c>
      <c r="U91" s="296">
        <f>'Unit Savings Calculations'!$G87</f>
        <v>0.76</v>
      </c>
      <c r="V91" s="297">
        <f t="shared" si="51"/>
        <v>0</v>
      </c>
      <c r="W91" s="297">
        <f t="shared" si="52"/>
        <v>0</v>
      </c>
      <c r="X91" s="297">
        <f t="shared" si="53"/>
        <v>0</v>
      </c>
      <c r="Y91" s="297">
        <f t="shared" si="54"/>
        <v>0</v>
      </c>
      <c r="Z91" s="297">
        <f t="shared" si="55"/>
        <v>0</v>
      </c>
      <c r="AA91" s="292"/>
      <c r="AB91" s="292"/>
      <c r="AC91" s="295">
        <v>3.967097058288509</v>
      </c>
      <c r="AD91" s="292"/>
      <c r="AE91" s="297">
        <f t="shared" si="57"/>
        <v>0</v>
      </c>
      <c r="AF91" s="294">
        <f t="shared" si="58"/>
        <v>0</v>
      </c>
      <c r="AG91" s="292"/>
      <c r="AH91" s="292">
        <f t="shared" si="59"/>
        <v>0</v>
      </c>
      <c r="AI91" s="295">
        <v>3.967097058288509</v>
      </c>
      <c r="AJ91" s="383" t="s">
        <v>878</v>
      </c>
      <c r="AK91" s="297">
        <f t="shared" si="60"/>
        <v>0</v>
      </c>
      <c r="AL91" s="294">
        <f t="shared" si="61"/>
        <v>0</v>
      </c>
      <c r="AM91" s="292"/>
      <c r="AN91" s="292"/>
      <c r="AO91" s="295">
        <f>'Unit Savings Calculations'!P87</f>
        <v>3.967097058288509</v>
      </c>
      <c r="AP91" s="383" t="s">
        <v>763</v>
      </c>
      <c r="AQ91" s="297">
        <f t="shared" si="62"/>
        <v>0</v>
      </c>
      <c r="AR91" s="294">
        <f t="shared" si="63"/>
        <v>0</v>
      </c>
      <c r="AS91" s="292"/>
      <c r="AT91" s="292"/>
      <c r="AU91" s="295">
        <f>'Unit Savings Calculations'!Q87</f>
        <v>3.967097058288509</v>
      </c>
      <c r="AV91" s="383" t="str">
        <f t="shared" si="64"/>
        <v>n/a</v>
      </c>
      <c r="AW91" s="297">
        <f t="shared" si="65"/>
        <v>0</v>
      </c>
      <c r="AX91" s="294">
        <f t="shared" si="66"/>
        <v>0</v>
      </c>
      <c r="AY91" s="297">
        <f t="shared" si="67"/>
        <v>0</v>
      </c>
      <c r="AZ91" s="297">
        <f t="shared" si="68"/>
        <v>0</v>
      </c>
      <c r="BA91" s="297">
        <f t="shared" si="69"/>
        <v>0</v>
      </c>
      <c r="BB91" s="297">
        <f t="shared" si="70"/>
        <v>0</v>
      </c>
      <c r="BC91" s="298">
        <f t="shared" si="71"/>
        <v>0</v>
      </c>
      <c r="BD91" s="292" t="s">
        <v>763</v>
      </c>
      <c r="BE91" s="299" t="str">
        <f t="shared" si="72"/>
        <v>Exhibit 1.5A_R North Shore EEPS_Adjustable_Savings_Goal_Template.xlsx, Pipe Insulation Detail Tab</v>
      </c>
      <c r="BF91" s="298">
        <f t="shared" si="73"/>
        <v>0</v>
      </c>
      <c r="BG91" s="298">
        <f t="shared" si="73"/>
        <v>0</v>
      </c>
      <c r="BH91" s="298">
        <f t="shared" si="73"/>
        <v>0</v>
      </c>
      <c r="BI91" s="298">
        <f t="shared" si="73"/>
        <v>0</v>
      </c>
      <c r="BJ91" s="298">
        <f t="shared" si="74"/>
        <v>0</v>
      </c>
      <c r="BK91" s="482">
        <v>15</v>
      </c>
      <c r="BL91" s="482">
        <v>15</v>
      </c>
      <c r="BM91" s="482">
        <f>INDEX('Unit Savings Calculations'!$I$4:$I$421,MATCH('Measure-Level Adjustments Tab'!$A91&amp;"_"&amp;'Measure-Level Adjustments Tab'!$B91,'Unit Savings Calculations'!$A$4:$A$421,0))</f>
        <v>15</v>
      </c>
      <c r="BN91" s="482">
        <f t="shared" si="75"/>
        <v>15</v>
      </c>
      <c r="BO91" s="483">
        <f t="shared" si="76"/>
        <v>0</v>
      </c>
      <c r="BP91" s="483">
        <f t="shared" si="76"/>
        <v>0</v>
      </c>
      <c r="BQ91" s="483">
        <f t="shared" si="76"/>
        <v>0</v>
      </c>
      <c r="BR91" s="483">
        <f t="shared" si="76"/>
        <v>0</v>
      </c>
      <c r="BS91" s="483">
        <f t="shared" si="56"/>
        <v>0</v>
      </c>
    </row>
    <row r="92" spans="1:71" ht="15.75" customHeight="1">
      <c r="A92" s="292" t="str">
        <f>'Unit Savings Calculations'!C88</f>
        <v>Res - MF Standard Rebates</v>
      </c>
      <c r="B92" s="292" t="str">
        <f>'Unit Savings Calculations'!D88</f>
        <v>Pipe Insulation - Steam - Med 2.1" to 5"</v>
      </c>
      <c r="C92" s="293">
        <f t="shared" si="78"/>
        <v>1</v>
      </c>
      <c r="D92" s="292" t="str">
        <f>'Unit Savings Calculations'!T88</f>
        <v>4.4.14</v>
      </c>
      <c r="E92" s="438">
        <v>15</v>
      </c>
      <c r="F92" s="438">
        <v>15</v>
      </c>
      <c r="G92" s="292" t="str">
        <f>'Unit Savings Calculations'!E88</f>
        <v>ft</v>
      </c>
      <c r="H92" s="294">
        <f>'Unit Savings Calculations'!$F88*'Unit Savings Calculations'!J88</f>
        <v>0</v>
      </c>
      <c r="I92" s="294">
        <f>'Unit Savings Calculations'!$F88*'Unit Savings Calculations'!K88</f>
        <v>0</v>
      </c>
      <c r="J92" s="294">
        <f>'Unit Savings Calculations'!$F88*'Unit Savings Calculations'!L88</f>
        <v>0</v>
      </c>
      <c r="K92" s="294">
        <f>'Unit Savings Calculations'!$F88*'Unit Savings Calculations'!M88</f>
        <v>0</v>
      </c>
      <c r="L92" s="292" t="str">
        <f>'Unit Savings Calculations'!U88</f>
        <v>CI-HVC-PINS-V04-160601</v>
      </c>
      <c r="M92" s="383" t="str">
        <f>'Unit Savings Calculations'!R88</f>
        <v>Exhibit 1.5A_R North Shore EEPS_Adjustable_Savings_Goal_Template.xlsx, Pipe Insulation Detail Tab</v>
      </c>
      <c r="N92" s="295">
        <v>13.577404706790121</v>
      </c>
      <c r="O92" s="295">
        <v>13.577404706790121</v>
      </c>
      <c r="P92" s="295">
        <v>13.577404706790121</v>
      </c>
      <c r="Q92" s="295">
        <v>13.577404706790121</v>
      </c>
      <c r="R92" s="296">
        <f>'Unit Savings Calculations'!$G88</f>
        <v>0.76</v>
      </c>
      <c r="S92" s="296">
        <f>'Unit Savings Calculations'!$G88</f>
        <v>0.76</v>
      </c>
      <c r="T92" s="296">
        <f>'Unit Savings Calculations'!$G88</f>
        <v>0.76</v>
      </c>
      <c r="U92" s="296">
        <f>'Unit Savings Calculations'!$G88</f>
        <v>0.76</v>
      </c>
      <c r="V92" s="297">
        <f t="shared" si="51"/>
        <v>0</v>
      </c>
      <c r="W92" s="297">
        <f t="shared" si="52"/>
        <v>0</v>
      </c>
      <c r="X92" s="297">
        <f t="shared" si="53"/>
        <v>0</v>
      </c>
      <c r="Y92" s="297">
        <f t="shared" si="54"/>
        <v>0</v>
      </c>
      <c r="Z92" s="297">
        <f t="shared" si="55"/>
        <v>0</v>
      </c>
      <c r="AA92" s="292"/>
      <c r="AB92" s="292"/>
      <c r="AC92" s="295">
        <v>13.577404706790121</v>
      </c>
      <c r="AD92" s="292"/>
      <c r="AE92" s="297">
        <f t="shared" si="57"/>
        <v>0</v>
      </c>
      <c r="AF92" s="294">
        <f t="shared" si="58"/>
        <v>0</v>
      </c>
      <c r="AG92" s="292"/>
      <c r="AH92" s="292">
        <f t="shared" si="59"/>
        <v>0</v>
      </c>
      <c r="AI92" s="295">
        <v>13.577404706790121</v>
      </c>
      <c r="AJ92" s="383" t="s">
        <v>878</v>
      </c>
      <c r="AK92" s="297">
        <f t="shared" si="60"/>
        <v>0</v>
      </c>
      <c r="AL92" s="294">
        <f t="shared" si="61"/>
        <v>0</v>
      </c>
      <c r="AM92" s="292"/>
      <c r="AN92" s="292"/>
      <c r="AO92" s="295">
        <f>'Unit Savings Calculations'!P88</f>
        <v>13.577404706790121</v>
      </c>
      <c r="AP92" s="383" t="s">
        <v>763</v>
      </c>
      <c r="AQ92" s="297">
        <f t="shared" si="62"/>
        <v>0</v>
      </c>
      <c r="AR92" s="294">
        <f t="shared" si="63"/>
        <v>0</v>
      </c>
      <c r="AS92" s="292"/>
      <c r="AT92" s="292"/>
      <c r="AU92" s="295">
        <f>'Unit Savings Calculations'!Q88</f>
        <v>13.577404706790121</v>
      </c>
      <c r="AV92" s="383" t="str">
        <f t="shared" si="64"/>
        <v>n/a</v>
      </c>
      <c r="AW92" s="297">
        <f t="shared" si="65"/>
        <v>0</v>
      </c>
      <c r="AX92" s="294">
        <f t="shared" si="66"/>
        <v>0</v>
      </c>
      <c r="AY92" s="297">
        <f t="shared" si="67"/>
        <v>0</v>
      </c>
      <c r="AZ92" s="297">
        <f t="shared" si="68"/>
        <v>0</v>
      </c>
      <c r="BA92" s="297">
        <f t="shared" si="69"/>
        <v>0</v>
      </c>
      <c r="BB92" s="297">
        <f t="shared" si="70"/>
        <v>0</v>
      </c>
      <c r="BC92" s="298">
        <f t="shared" si="71"/>
        <v>0</v>
      </c>
      <c r="BD92" s="292" t="s">
        <v>763</v>
      </c>
      <c r="BE92" s="299" t="str">
        <f t="shared" si="72"/>
        <v>Exhibit 1.5A_R North Shore EEPS_Adjustable_Savings_Goal_Template.xlsx, Pipe Insulation Detail Tab</v>
      </c>
      <c r="BF92" s="298">
        <f t="shared" si="73"/>
        <v>0</v>
      </c>
      <c r="BG92" s="298">
        <f t="shared" si="73"/>
        <v>0</v>
      </c>
      <c r="BH92" s="298">
        <f t="shared" si="73"/>
        <v>0</v>
      </c>
      <c r="BI92" s="298">
        <f t="shared" si="73"/>
        <v>0</v>
      </c>
      <c r="BJ92" s="298">
        <f t="shared" si="74"/>
        <v>0</v>
      </c>
      <c r="BK92" s="482">
        <v>15</v>
      </c>
      <c r="BL92" s="482">
        <v>15</v>
      </c>
      <c r="BM92" s="482">
        <f>INDEX('Unit Savings Calculations'!$I$4:$I$421,MATCH('Measure-Level Adjustments Tab'!$A92&amp;"_"&amp;'Measure-Level Adjustments Tab'!$B92,'Unit Savings Calculations'!$A$4:$A$421,0))</f>
        <v>15</v>
      </c>
      <c r="BN92" s="482">
        <f t="shared" si="75"/>
        <v>15</v>
      </c>
      <c r="BO92" s="483">
        <f t="shared" si="76"/>
        <v>0</v>
      </c>
      <c r="BP92" s="483">
        <f t="shared" si="76"/>
        <v>0</v>
      </c>
      <c r="BQ92" s="483">
        <f t="shared" si="76"/>
        <v>0</v>
      </c>
      <c r="BR92" s="483">
        <f t="shared" si="76"/>
        <v>0</v>
      </c>
      <c r="BS92" s="483">
        <f t="shared" si="56"/>
        <v>0</v>
      </c>
    </row>
    <row r="93" spans="1:71" ht="15.75" customHeight="1">
      <c r="A93" s="292" t="str">
        <f>'Unit Savings Calculations'!C89</f>
        <v>Res - MF Standard Rebates</v>
      </c>
      <c r="B93" s="292" t="str">
        <f>'Unit Savings Calculations'!D89</f>
        <v>Pipe Insulation - Steam - Large 5.1" to 8"</v>
      </c>
      <c r="C93" s="293">
        <f t="shared" si="78"/>
        <v>1</v>
      </c>
      <c r="D93" s="292" t="str">
        <f>'Unit Savings Calculations'!T89</f>
        <v>4.4.14</v>
      </c>
      <c r="E93" s="438">
        <v>15</v>
      </c>
      <c r="F93" s="438">
        <v>15</v>
      </c>
      <c r="G93" s="292" t="str">
        <f>'Unit Savings Calculations'!E89</f>
        <v>ft</v>
      </c>
      <c r="H93" s="294">
        <f>'Unit Savings Calculations'!$F89*'Unit Savings Calculations'!J89</f>
        <v>0</v>
      </c>
      <c r="I93" s="294">
        <f>'Unit Savings Calculations'!$F89*'Unit Savings Calculations'!K89</f>
        <v>0</v>
      </c>
      <c r="J93" s="294">
        <f>'Unit Savings Calculations'!$F89*'Unit Savings Calculations'!L89</f>
        <v>0</v>
      </c>
      <c r="K93" s="294">
        <f>'Unit Savings Calculations'!$F89*'Unit Savings Calculations'!M89</f>
        <v>0</v>
      </c>
      <c r="L93" s="292" t="str">
        <f>'Unit Savings Calculations'!U89</f>
        <v>CI-HVC-PINS-V04-160601</v>
      </c>
      <c r="M93" s="383" t="str">
        <f>'Unit Savings Calculations'!R89</f>
        <v>Exhibit 1.5A_R North Shore EEPS_Adjustable_Savings_Goal_Template.xlsx, Pipe Insulation Detail Tab</v>
      </c>
      <c r="N93" s="295">
        <v>30.207245887345675</v>
      </c>
      <c r="O93" s="295">
        <v>30.207245887345675</v>
      </c>
      <c r="P93" s="295">
        <v>30.207245887345675</v>
      </c>
      <c r="Q93" s="295">
        <v>30.207245887345675</v>
      </c>
      <c r="R93" s="296">
        <f>'Unit Savings Calculations'!$G89</f>
        <v>0.76</v>
      </c>
      <c r="S93" s="296">
        <f>'Unit Savings Calculations'!$G89</f>
        <v>0.76</v>
      </c>
      <c r="T93" s="296">
        <f>'Unit Savings Calculations'!$G89</f>
        <v>0.76</v>
      </c>
      <c r="U93" s="296">
        <f>'Unit Savings Calculations'!$G89</f>
        <v>0.76</v>
      </c>
      <c r="V93" s="297">
        <f t="shared" ref="V93:V155" si="79">H93*N93*R93</f>
        <v>0</v>
      </c>
      <c r="W93" s="297">
        <f t="shared" ref="W93:W157" si="80">I93*O93*S93</f>
        <v>0</v>
      </c>
      <c r="X93" s="297">
        <f t="shared" ref="X93:X157" si="81">J93*P93*T93</f>
        <v>0</v>
      </c>
      <c r="Y93" s="297">
        <f t="shared" ref="Y93:Y157" si="82">K93*Q93*U93</f>
        <v>0</v>
      </c>
      <c r="Z93" s="297">
        <f t="shared" ref="Z93:Z157" si="83">V93+W93+X93+Y93</f>
        <v>0</v>
      </c>
      <c r="AA93" s="292"/>
      <c r="AB93" s="292"/>
      <c r="AC93" s="295">
        <v>30.207245887345675</v>
      </c>
      <c r="AD93" s="292"/>
      <c r="AE93" s="297">
        <f t="shared" si="57"/>
        <v>0</v>
      </c>
      <c r="AF93" s="294">
        <f t="shared" si="58"/>
        <v>0</v>
      </c>
      <c r="AG93" s="292"/>
      <c r="AH93" s="292">
        <f t="shared" si="59"/>
        <v>0</v>
      </c>
      <c r="AI93" s="295">
        <v>30.207245887345675</v>
      </c>
      <c r="AJ93" s="383" t="s">
        <v>878</v>
      </c>
      <c r="AK93" s="297">
        <f t="shared" si="60"/>
        <v>0</v>
      </c>
      <c r="AL93" s="294">
        <f t="shared" si="61"/>
        <v>0</v>
      </c>
      <c r="AM93" s="292"/>
      <c r="AN93" s="292"/>
      <c r="AO93" s="295">
        <f>'Unit Savings Calculations'!P89</f>
        <v>30.207245887345675</v>
      </c>
      <c r="AP93" s="383" t="s">
        <v>763</v>
      </c>
      <c r="AQ93" s="297">
        <f t="shared" si="62"/>
        <v>0</v>
      </c>
      <c r="AR93" s="294">
        <f t="shared" si="63"/>
        <v>0</v>
      </c>
      <c r="AS93" s="292"/>
      <c r="AT93" s="292"/>
      <c r="AU93" s="295">
        <f>'Unit Savings Calculations'!Q89</f>
        <v>30.207245887345675</v>
      </c>
      <c r="AV93" s="383" t="str">
        <f t="shared" si="64"/>
        <v>n/a</v>
      </c>
      <c r="AW93" s="297">
        <f t="shared" si="65"/>
        <v>0</v>
      </c>
      <c r="AX93" s="294">
        <f t="shared" si="66"/>
        <v>0</v>
      </c>
      <c r="AY93" s="297">
        <f t="shared" si="67"/>
        <v>0</v>
      </c>
      <c r="AZ93" s="297">
        <f t="shared" si="68"/>
        <v>0</v>
      </c>
      <c r="BA93" s="297">
        <f t="shared" si="69"/>
        <v>0</v>
      </c>
      <c r="BB93" s="297">
        <f t="shared" si="70"/>
        <v>0</v>
      </c>
      <c r="BC93" s="298">
        <f t="shared" si="71"/>
        <v>0</v>
      </c>
      <c r="BD93" s="292" t="s">
        <v>763</v>
      </c>
      <c r="BE93" s="299" t="str">
        <f t="shared" si="72"/>
        <v>Exhibit 1.5A_R North Shore EEPS_Adjustable_Savings_Goal_Template.xlsx, Pipe Insulation Detail Tab</v>
      </c>
      <c r="BF93" s="298">
        <f t="shared" si="73"/>
        <v>0</v>
      </c>
      <c r="BG93" s="298">
        <f t="shared" si="73"/>
        <v>0</v>
      </c>
      <c r="BH93" s="298">
        <f t="shared" si="73"/>
        <v>0</v>
      </c>
      <c r="BI93" s="298">
        <f t="shared" si="73"/>
        <v>0</v>
      </c>
      <c r="BJ93" s="298">
        <f t="shared" si="74"/>
        <v>0</v>
      </c>
      <c r="BK93" s="482">
        <v>15</v>
      </c>
      <c r="BL93" s="482">
        <v>15</v>
      </c>
      <c r="BM93" s="482">
        <f>INDEX('Unit Savings Calculations'!$I$4:$I$421,MATCH('Measure-Level Adjustments Tab'!$A93&amp;"_"&amp;'Measure-Level Adjustments Tab'!$B93,'Unit Savings Calculations'!$A$4:$A$421,0))</f>
        <v>15</v>
      </c>
      <c r="BN93" s="482">
        <f t="shared" si="75"/>
        <v>15</v>
      </c>
      <c r="BO93" s="483">
        <f t="shared" si="76"/>
        <v>0</v>
      </c>
      <c r="BP93" s="483">
        <f t="shared" si="76"/>
        <v>0</v>
      </c>
      <c r="BQ93" s="483">
        <f t="shared" si="76"/>
        <v>0</v>
      </c>
      <c r="BR93" s="483">
        <f t="shared" si="76"/>
        <v>0</v>
      </c>
      <c r="BS93" s="483">
        <f t="shared" si="56"/>
        <v>0</v>
      </c>
    </row>
    <row r="94" spans="1:71" ht="15.75" customHeight="1">
      <c r="A94" s="292" t="str">
        <f>'Unit Savings Calculations'!C90</f>
        <v>Res - MF Standard Rebates</v>
      </c>
      <c r="B94" s="292" t="str">
        <f>'Unit Savings Calculations'!D90</f>
        <v>Pipe Insulation - Steam - X-Large &gt;8"</v>
      </c>
      <c r="C94" s="293">
        <f t="shared" si="78"/>
        <v>1</v>
      </c>
      <c r="D94" s="292" t="str">
        <f>'Unit Savings Calculations'!T90</f>
        <v>4.4.14</v>
      </c>
      <c r="E94" s="438">
        <v>15</v>
      </c>
      <c r="F94" s="438">
        <v>15</v>
      </c>
      <c r="G94" s="292" t="str">
        <f>'Unit Savings Calculations'!E90</f>
        <v>ft</v>
      </c>
      <c r="H94" s="294">
        <f>'Unit Savings Calculations'!$F90*'Unit Savings Calculations'!J90</f>
        <v>0</v>
      </c>
      <c r="I94" s="294">
        <f>'Unit Savings Calculations'!$F90*'Unit Savings Calculations'!K90</f>
        <v>0</v>
      </c>
      <c r="J94" s="294">
        <f>'Unit Savings Calculations'!$F90*'Unit Savings Calculations'!L90</f>
        <v>0</v>
      </c>
      <c r="K94" s="294">
        <f>'Unit Savings Calculations'!$F90*'Unit Savings Calculations'!M90</f>
        <v>0</v>
      </c>
      <c r="L94" s="292" t="str">
        <f>'Unit Savings Calculations'!U90</f>
        <v>CI-HVC-PINS-V04-160601</v>
      </c>
      <c r="M94" s="383" t="str">
        <f>'Unit Savings Calculations'!R90</f>
        <v>Exhibit 1.5A_R North Shore EEPS_Adjustable_Savings_Goal_Template.xlsx, Pipe Insulation Detail Tab</v>
      </c>
      <c r="N94" s="295">
        <v>44.814401171573145</v>
      </c>
      <c r="O94" s="295">
        <v>44.814401171573145</v>
      </c>
      <c r="P94" s="295">
        <v>44.814401171573145</v>
      </c>
      <c r="Q94" s="295">
        <v>44.814401171573145</v>
      </c>
      <c r="R94" s="296">
        <f>'Unit Savings Calculations'!$G90</f>
        <v>0.76</v>
      </c>
      <c r="S94" s="296">
        <f>'Unit Savings Calculations'!$G90</f>
        <v>0.76</v>
      </c>
      <c r="T94" s="296">
        <f>'Unit Savings Calculations'!$G90</f>
        <v>0.76</v>
      </c>
      <c r="U94" s="296">
        <f>'Unit Savings Calculations'!$G90</f>
        <v>0.76</v>
      </c>
      <c r="V94" s="297">
        <f t="shared" si="79"/>
        <v>0</v>
      </c>
      <c r="W94" s="297">
        <f t="shared" si="80"/>
        <v>0</v>
      </c>
      <c r="X94" s="297">
        <f t="shared" si="81"/>
        <v>0</v>
      </c>
      <c r="Y94" s="297">
        <f t="shared" si="82"/>
        <v>0</v>
      </c>
      <c r="Z94" s="297">
        <f t="shared" si="83"/>
        <v>0</v>
      </c>
      <c r="AA94" s="292"/>
      <c r="AB94" s="292"/>
      <c r="AC94" s="295">
        <v>44.814401171573145</v>
      </c>
      <c r="AD94" s="292"/>
      <c r="AE94" s="297">
        <f t="shared" si="57"/>
        <v>0</v>
      </c>
      <c r="AF94" s="294">
        <f t="shared" si="58"/>
        <v>0</v>
      </c>
      <c r="AG94" s="292"/>
      <c r="AH94" s="292">
        <f t="shared" si="59"/>
        <v>0</v>
      </c>
      <c r="AI94" s="295">
        <v>44.814401171573145</v>
      </c>
      <c r="AJ94" s="383" t="s">
        <v>878</v>
      </c>
      <c r="AK94" s="297">
        <f t="shared" si="60"/>
        <v>0</v>
      </c>
      <c r="AL94" s="294">
        <f t="shared" si="61"/>
        <v>0</v>
      </c>
      <c r="AM94" s="292"/>
      <c r="AN94" s="292"/>
      <c r="AO94" s="295">
        <f>'Unit Savings Calculations'!P90</f>
        <v>44.814401171573145</v>
      </c>
      <c r="AP94" s="383" t="s">
        <v>763</v>
      </c>
      <c r="AQ94" s="297">
        <f t="shared" si="62"/>
        <v>0</v>
      </c>
      <c r="AR94" s="294">
        <f t="shared" si="63"/>
        <v>0</v>
      </c>
      <c r="AS94" s="292"/>
      <c r="AT94" s="292"/>
      <c r="AU94" s="295">
        <f>'Unit Savings Calculations'!Q90</f>
        <v>44.814401171573145</v>
      </c>
      <c r="AV94" s="383" t="str">
        <f t="shared" si="64"/>
        <v>n/a</v>
      </c>
      <c r="AW94" s="297">
        <f t="shared" si="65"/>
        <v>0</v>
      </c>
      <c r="AX94" s="294">
        <f t="shared" si="66"/>
        <v>0</v>
      </c>
      <c r="AY94" s="297">
        <f t="shared" si="67"/>
        <v>0</v>
      </c>
      <c r="AZ94" s="297">
        <f t="shared" si="68"/>
        <v>0</v>
      </c>
      <c r="BA94" s="297">
        <f t="shared" si="69"/>
        <v>0</v>
      </c>
      <c r="BB94" s="297">
        <f t="shared" si="70"/>
        <v>0</v>
      </c>
      <c r="BC94" s="298">
        <f t="shared" si="71"/>
        <v>0</v>
      </c>
      <c r="BD94" s="292" t="s">
        <v>763</v>
      </c>
      <c r="BE94" s="299" t="str">
        <f t="shared" si="72"/>
        <v>Exhibit 1.5A_R North Shore EEPS_Adjustable_Savings_Goal_Template.xlsx, Pipe Insulation Detail Tab</v>
      </c>
      <c r="BF94" s="298">
        <f t="shared" si="73"/>
        <v>0</v>
      </c>
      <c r="BG94" s="298">
        <f t="shared" si="73"/>
        <v>0</v>
      </c>
      <c r="BH94" s="298">
        <f t="shared" si="73"/>
        <v>0</v>
      </c>
      <c r="BI94" s="298">
        <f t="shared" si="73"/>
        <v>0</v>
      </c>
      <c r="BJ94" s="298">
        <f t="shared" si="74"/>
        <v>0</v>
      </c>
      <c r="BK94" s="482">
        <v>15</v>
      </c>
      <c r="BL94" s="482">
        <v>15</v>
      </c>
      <c r="BM94" s="482">
        <f>INDEX('Unit Savings Calculations'!$I$4:$I$421,MATCH('Measure-Level Adjustments Tab'!$A94&amp;"_"&amp;'Measure-Level Adjustments Tab'!$B94,'Unit Savings Calculations'!$A$4:$A$421,0))</f>
        <v>15</v>
      </c>
      <c r="BN94" s="482">
        <f t="shared" si="75"/>
        <v>15</v>
      </c>
      <c r="BO94" s="483">
        <f t="shared" si="76"/>
        <v>0</v>
      </c>
      <c r="BP94" s="483">
        <f t="shared" si="76"/>
        <v>0</v>
      </c>
      <c r="BQ94" s="483">
        <f t="shared" si="76"/>
        <v>0</v>
      </c>
      <c r="BR94" s="483">
        <f t="shared" si="76"/>
        <v>0</v>
      </c>
      <c r="BS94" s="483">
        <f t="shared" si="56"/>
        <v>0</v>
      </c>
    </row>
    <row r="95" spans="1:71" ht="15.75" customHeight="1">
      <c r="A95" s="292" t="str">
        <f>'Unit Savings Calculations'!C91</f>
        <v>Res - MF Standard Rebates</v>
      </c>
      <c r="B95" s="292" t="str">
        <f>'Unit Savings Calculations'!D91</f>
        <v>Pipe Insulation - Steam Med Fitting</v>
      </c>
      <c r="C95" s="293">
        <f t="shared" si="78"/>
        <v>1</v>
      </c>
      <c r="D95" s="292" t="str">
        <f>'Unit Savings Calculations'!T91</f>
        <v>4.4.14</v>
      </c>
      <c r="E95" s="438">
        <v>15</v>
      </c>
      <c r="F95" s="438">
        <v>15</v>
      </c>
      <c r="G95" s="292" t="str">
        <f>'Unit Savings Calculations'!E91</f>
        <v>each</v>
      </c>
      <c r="H95" s="294">
        <f>'Unit Savings Calculations'!$F91*'Unit Savings Calculations'!J91</f>
        <v>0</v>
      </c>
      <c r="I95" s="294">
        <f>'Unit Savings Calculations'!$F91*'Unit Savings Calculations'!K91</f>
        <v>0</v>
      </c>
      <c r="J95" s="294">
        <f>'Unit Savings Calculations'!$F91*'Unit Savings Calculations'!L91</f>
        <v>0</v>
      </c>
      <c r="K95" s="294">
        <f>'Unit Savings Calculations'!$F91*'Unit Savings Calculations'!M91</f>
        <v>0</v>
      </c>
      <c r="L95" s="292" t="str">
        <f>'Unit Savings Calculations'!U91</f>
        <v>CI-HVC-PINS-V04-160601</v>
      </c>
      <c r="M95" s="383" t="str">
        <f>'Unit Savings Calculations'!R91</f>
        <v>Exhibit 1.5A_R North Shore EEPS_Adjustable_Savings_Goal_Template.xlsx, Pipe Insulation Detail Tab</v>
      </c>
      <c r="N95" s="295">
        <v>15.586033402860688</v>
      </c>
      <c r="O95" s="295">
        <v>15.586033402860688</v>
      </c>
      <c r="P95" s="295">
        <v>15.586033402860688</v>
      </c>
      <c r="Q95" s="295">
        <v>15.586033402860688</v>
      </c>
      <c r="R95" s="296">
        <f>'Unit Savings Calculations'!$G91</f>
        <v>0.76</v>
      </c>
      <c r="S95" s="296">
        <f>'Unit Savings Calculations'!$G91</f>
        <v>0.76</v>
      </c>
      <c r="T95" s="296">
        <f>'Unit Savings Calculations'!$G91</f>
        <v>0.76</v>
      </c>
      <c r="U95" s="296">
        <f>'Unit Savings Calculations'!$G91</f>
        <v>0.76</v>
      </c>
      <c r="V95" s="297">
        <f t="shared" si="79"/>
        <v>0</v>
      </c>
      <c r="W95" s="297">
        <f t="shared" si="80"/>
        <v>0</v>
      </c>
      <c r="X95" s="297">
        <f t="shared" si="81"/>
        <v>0</v>
      </c>
      <c r="Y95" s="297">
        <f t="shared" si="82"/>
        <v>0</v>
      </c>
      <c r="Z95" s="297">
        <f t="shared" si="83"/>
        <v>0</v>
      </c>
      <c r="AA95" s="292"/>
      <c r="AB95" s="292"/>
      <c r="AC95" s="295">
        <v>15.586033402860688</v>
      </c>
      <c r="AD95" s="292"/>
      <c r="AE95" s="297">
        <f t="shared" si="57"/>
        <v>0</v>
      </c>
      <c r="AF95" s="294">
        <f t="shared" si="58"/>
        <v>0</v>
      </c>
      <c r="AG95" s="292"/>
      <c r="AH95" s="292">
        <f t="shared" si="59"/>
        <v>0</v>
      </c>
      <c r="AI95" s="295">
        <v>15.586033402860688</v>
      </c>
      <c r="AJ95" s="383" t="s">
        <v>878</v>
      </c>
      <c r="AK95" s="297">
        <f t="shared" si="60"/>
        <v>0</v>
      </c>
      <c r="AL95" s="294">
        <f t="shared" si="61"/>
        <v>0</v>
      </c>
      <c r="AM95" s="292"/>
      <c r="AN95" s="292"/>
      <c r="AO95" s="295">
        <f>'Unit Savings Calculations'!P91</f>
        <v>15.586033402860688</v>
      </c>
      <c r="AP95" s="383" t="s">
        <v>763</v>
      </c>
      <c r="AQ95" s="297">
        <f t="shared" si="62"/>
        <v>0</v>
      </c>
      <c r="AR95" s="294">
        <f t="shared" si="63"/>
        <v>0</v>
      </c>
      <c r="AS95" s="292"/>
      <c r="AT95" s="292"/>
      <c r="AU95" s="295">
        <f>'Unit Savings Calculations'!Q91</f>
        <v>15.586033402860688</v>
      </c>
      <c r="AV95" s="383" t="str">
        <f t="shared" si="64"/>
        <v>n/a</v>
      </c>
      <c r="AW95" s="297">
        <f t="shared" si="65"/>
        <v>0</v>
      </c>
      <c r="AX95" s="294">
        <f t="shared" si="66"/>
        <v>0</v>
      </c>
      <c r="AY95" s="297">
        <f t="shared" si="67"/>
        <v>0</v>
      </c>
      <c r="AZ95" s="297">
        <f t="shared" si="68"/>
        <v>0</v>
      </c>
      <c r="BA95" s="297">
        <f t="shared" si="69"/>
        <v>0</v>
      </c>
      <c r="BB95" s="297">
        <f t="shared" si="70"/>
        <v>0</v>
      </c>
      <c r="BC95" s="298">
        <f t="shared" si="71"/>
        <v>0</v>
      </c>
      <c r="BD95" s="292" t="s">
        <v>763</v>
      </c>
      <c r="BE95" s="299" t="str">
        <f t="shared" si="72"/>
        <v>Exhibit 1.5A_R North Shore EEPS_Adjustable_Savings_Goal_Template.xlsx, Pipe Insulation Detail Tab</v>
      </c>
      <c r="BF95" s="298">
        <f t="shared" si="73"/>
        <v>0</v>
      </c>
      <c r="BG95" s="298">
        <f t="shared" si="73"/>
        <v>0</v>
      </c>
      <c r="BH95" s="298">
        <f t="shared" si="73"/>
        <v>0</v>
      </c>
      <c r="BI95" s="298">
        <f t="shared" si="73"/>
        <v>0</v>
      </c>
      <c r="BJ95" s="298">
        <f t="shared" si="74"/>
        <v>0</v>
      </c>
      <c r="BK95" s="482">
        <v>15</v>
      </c>
      <c r="BL95" s="482">
        <v>15</v>
      </c>
      <c r="BM95" s="482">
        <f>INDEX('Unit Savings Calculations'!$I$4:$I$421,MATCH('Measure-Level Adjustments Tab'!$A95&amp;"_"&amp;'Measure-Level Adjustments Tab'!$B95,'Unit Savings Calculations'!$A$4:$A$421,0))</f>
        <v>15</v>
      </c>
      <c r="BN95" s="482">
        <f t="shared" si="75"/>
        <v>15</v>
      </c>
      <c r="BO95" s="483">
        <f t="shared" si="76"/>
        <v>0</v>
      </c>
      <c r="BP95" s="483">
        <f t="shared" si="76"/>
        <v>0</v>
      </c>
      <c r="BQ95" s="483">
        <f t="shared" si="76"/>
        <v>0</v>
      </c>
      <c r="BR95" s="483">
        <f t="shared" si="76"/>
        <v>0</v>
      </c>
      <c r="BS95" s="483">
        <f t="shared" si="56"/>
        <v>0</v>
      </c>
    </row>
    <row r="96" spans="1:71" ht="15.75" customHeight="1">
      <c r="A96" s="292" t="str">
        <f>'Unit Savings Calculations'!C92</f>
        <v>Res - MF Standard Rebates</v>
      </c>
      <c r="B96" s="292" t="str">
        <f>'Unit Savings Calculations'!D92</f>
        <v>Pipe Insulation - Steam Large Fitting</v>
      </c>
      <c r="C96" s="293">
        <f t="shared" si="78"/>
        <v>1</v>
      </c>
      <c r="D96" s="292" t="str">
        <f>'Unit Savings Calculations'!T92</f>
        <v>4.4.14</v>
      </c>
      <c r="E96" s="438">
        <v>15</v>
      </c>
      <c r="F96" s="438">
        <v>15</v>
      </c>
      <c r="G96" s="292" t="str">
        <f>'Unit Savings Calculations'!E92</f>
        <v>each</v>
      </c>
      <c r="H96" s="294">
        <f>'Unit Savings Calculations'!$F92*'Unit Savings Calculations'!J92</f>
        <v>0</v>
      </c>
      <c r="I96" s="294">
        <f>'Unit Savings Calculations'!$F92*'Unit Savings Calculations'!K92</f>
        <v>0</v>
      </c>
      <c r="J96" s="294">
        <f>'Unit Savings Calculations'!$F92*'Unit Savings Calculations'!L92</f>
        <v>0</v>
      </c>
      <c r="K96" s="294">
        <f>'Unit Savings Calculations'!$F92*'Unit Savings Calculations'!M92</f>
        <v>0</v>
      </c>
      <c r="L96" s="292" t="str">
        <f>'Unit Savings Calculations'!U92</f>
        <v>CI-HVC-PINS-V04-160601</v>
      </c>
      <c r="M96" s="383" t="str">
        <f>'Unit Savings Calculations'!R92</f>
        <v>Exhibit 1.5A_R North Shore EEPS_Adjustable_Savings_Goal_Template.xlsx, Pipe Insulation Detail Tab</v>
      </c>
      <c r="N96" s="295">
        <v>63.824627950912159</v>
      </c>
      <c r="O96" s="295">
        <v>63.824627950912159</v>
      </c>
      <c r="P96" s="295">
        <v>63.824627950912159</v>
      </c>
      <c r="Q96" s="295">
        <v>63.824627950912159</v>
      </c>
      <c r="R96" s="296">
        <f>'Unit Savings Calculations'!$G92</f>
        <v>0.76</v>
      </c>
      <c r="S96" s="296">
        <f>'Unit Savings Calculations'!$G92</f>
        <v>0.76</v>
      </c>
      <c r="T96" s="296">
        <f>'Unit Savings Calculations'!$G92</f>
        <v>0.76</v>
      </c>
      <c r="U96" s="296">
        <f>'Unit Savings Calculations'!$G92</f>
        <v>0.76</v>
      </c>
      <c r="V96" s="297">
        <f t="shared" si="79"/>
        <v>0</v>
      </c>
      <c r="W96" s="297">
        <f t="shared" si="80"/>
        <v>0</v>
      </c>
      <c r="X96" s="297">
        <f t="shared" si="81"/>
        <v>0</v>
      </c>
      <c r="Y96" s="297">
        <f t="shared" si="82"/>
        <v>0</v>
      </c>
      <c r="Z96" s="297">
        <f t="shared" si="83"/>
        <v>0</v>
      </c>
      <c r="AA96" s="292"/>
      <c r="AB96" s="292"/>
      <c r="AC96" s="295">
        <v>63.824627950912159</v>
      </c>
      <c r="AD96" s="292"/>
      <c r="AE96" s="297">
        <f t="shared" si="57"/>
        <v>0</v>
      </c>
      <c r="AF96" s="294">
        <f t="shared" si="58"/>
        <v>0</v>
      </c>
      <c r="AG96" s="292"/>
      <c r="AH96" s="292">
        <f t="shared" si="59"/>
        <v>0</v>
      </c>
      <c r="AI96" s="295">
        <v>63.824627950912159</v>
      </c>
      <c r="AJ96" s="383" t="s">
        <v>878</v>
      </c>
      <c r="AK96" s="297">
        <f t="shared" si="60"/>
        <v>0</v>
      </c>
      <c r="AL96" s="294">
        <f t="shared" si="61"/>
        <v>0</v>
      </c>
      <c r="AM96" s="292"/>
      <c r="AN96" s="292"/>
      <c r="AO96" s="295">
        <f>'Unit Savings Calculations'!P92</f>
        <v>63.824627950912159</v>
      </c>
      <c r="AP96" s="383" t="s">
        <v>763</v>
      </c>
      <c r="AQ96" s="297">
        <f t="shared" si="62"/>
        <v>0</v>
      </c>
      <c r="AR96" s="294">
        <f t="shared" si="63"/>
        <v>0</v>
      </c>
      <c r="AS96" s="292"/>
      <c r="AT96" s="292"/>
      <c r="AU96" s="295">
        <f>'Unit Savings Calculations'!Q92</f>
        <v>63.824627950912159</v>
      </c>
      <c r="AV96" s="383" t="str">
        <f t="shared" si="64"/>
        <v>n/a</v>
      </c>
      <c r="AW96" s="297">
        <f t="shared" si="65"/>
        <v>0</v>
      </c>
      <c r="AX96" s="294">
        <f t="shared" si="66"/>
        <v>0</v>
      </c>
      <c r="AY96" s="297">
        <f t="shared" si="67"/>
        <v>0</v>
      </c>
      <c r="AZ96" s="297">
        <f t="shared" si="68"/>
        <v>0</v>
      </c>
      <c r="BA96" s="297">
        <f t="shared" si="69"/>
        <v>0</v>
      </c>
      <c r="BB96" s="297">
        <f t="shared" si="70"/>
        <v>0</v>
      </c>
      <c r="BC96" s="298">
        <f t="shared" si="71"/>
        <v>0</v>
      </c>
      <c r="BD96" s="292" t="s">
        <v>763</v>
      </c>
      <c r="BE96" s="299" t="str">
        <f t="shared" si="72"/>
        <v>Exhibit 1.5A_R North Shore EEPS_Adjustable_Savings_Goal_Template.xlsx, Pipe Insulation Detail Tab</v>
      </c>
      <c r="BF96" s="298">
        <f t="shared" si="73"/>
        <v>0</v>
      </c>
      <c r="BG96" s="298">
        <f t="shared" si="73"/>
        <v>0</v>
      </c>
      <c r="BH96" s="298">
        <f t="shared" si="73"/>
        <v>0</v>
      </c>
      <c r="BI96" s="298">
        <f t="shared" si="73"/>
        <v>0</v>
      </c>
      <c r="BJ96" s="298">
        <f t="shared" si="74"/>
        <v>0</v>
      </c>
      <c r="BK96" s="482">
        <v>15</v>
      </c>
      <c r="BL96" s="482">
        <v>15</v>
      </c>
      <c r="BM96" s="482">
        <f>INDEX('Unit Savings Calculations'!$I$4:$I$421,MATCH('Measure-Level Adjustments Tab'!$A96&amp;"_"&amp;'Measure-Level Adjustments Tab'!$B96,'Unit Savings Calculations'!$A$4:$A$421,0))</f>
        <v>15</v>
      </c>
      <c r="BN96" s="482">
        <f t="shared" si="75"/>
        <v>15</v>
      </c>
      <c r="BO96" s="483">
        <f t="shared" si="76"/>
        <v>0</v>
      </c>
      <c r="BP96" s="483">
        <f t="shared" si="76"/>
        <v>0</v>
      </c>
      <c r="BQ96" s="483">
        <f t="shared" si="76"/>
        <v>0</v>
      </c>
      <c r="BR96" s="483">
        <f t="shared" si="76"/>
        <v>0</v>
      </c>
      <c r="BS96" s="483">
        <f t="shared" si="56"/>
        <v>0</v>
      </c>
    </row>
    <row r="97" spans="1:71" ht="15.75" customHeight="1">
      <c r="A97" s="292" t="str">
        <f>'Unit Savings Calculations'!C93</f>
        <v>Res - MF Standard Rebates</v>
      </c>
      <c r="B97" s="292" t="str">
        <f>'Unit Savings Calculations'!D93</f>
        <v>Pipe Insulation - Steam X-Large Fitting</v>
      </c>
      <c r="C97" s="293">
        <f t="shared" si="78"/>
        <v>1</v>
      </c>
      <c r="D97" s="292" t="str">
        <f>'Unit Savings Calculations'!T93</f>
        <v>4.4.14</v>
      </c>
      <c r="E97" s="438">
        <v>15</v>
      </c>
      <c r="F97" s="438">
        <v>15</v>
      </c>
      <c r="G97" s="292" t="str">
        <f>'Unit Savings Calculations'!E93</f>
        <v>each</v>
      </c>
      <c r="H97" s="294">
        <f>'Unit Savings Calculations'!$F93*'Unit Savings Calculations'!J93</f>
        <v>0</v>
      </c>
      <c r="I97" s="294">
        <f>'Unit Savings Calculations'!$F93*'Unit Savings Calculations'!K93</f>
        <v>0</v>
      </c>
      <c r="J97" s="294">
        <f>'Unit Savings Calculations'!$F93*'Unit Savings Calculations'!L93</f>
        <v>0</v>
      </c>
      <c r="K97" s="294">
        <f>'Unit Savings Calculations'!$F93*'Unit Savings Calculations'!M93</f>
        <v>0</v>
      </c>
      <c r="L97" s="292" t="str">
        <f>'Unit Savings Calculations'!U93</f>
        <v>CI-HVC-PINS-V04-160601</v>
      </c>
      <c r="M97" s="383" t="str">
        <f>'Unit Savings Calculations'!R93</f>
        <v>Exhibit 1.5A_R North Shore EEPS_Adjustable_Savings_Goal_Template.xlsx, Pipe Insulation Detail Tab</v>
      </c>
      <c r="N97" s="295">
        <v>123.46367522768401</v>
      </c>
      <c r="O97" s="295">
        <v>123.46367522768401</v>
      </c>
      <c r="P97" s="295">
        <v>123.46367522768401</v>
      </c>
      <c r="Q97" s="295">
        <v>123.46367522768401</v>
      </c>
      <c r="R97" s="296">
        <f>'Unit Savings Calculations'!$G93</f>
        <v>0.76</v>
      </c>
      <c r="S97" s="296">
        <f>'Unit Savings Calculations'!$G93</f>
        <v>0.76</v>
      </c>
      <c r="T97" s="296">
        <f>'Unit Savings Calculations'!$G93</f>
        <v>0.76</v>
      </c>
      <c r="U97" s="296">
        <f>'Unit Savings Calculations'!$G93</f>
        <v>0.76</v>
      </c>
      <c r="V97" s="297">
        <f t="shared" si="79"/>
        <v>0</v>
      </c>
      <c r="W97" s="297">
        <f t="shared" si="80"/>
        <v>0</v>
      </c>
      <c r="X97" s="297">
        <f t="shared" si="81"/>
        <v>0</v>
      </c>
      <c r="Y97" s="297">
        <f t="shared" si="82"/>
        <v>0</v>
      </c>
      <c r="Z97" s="297">
        <f t="shared" si="83"/>
        <v>0</v>
      </c>
      <c r="AA97" s="292"/>
      <c r="AB97" s="292"/>
      <c r="AC97" s="295">
        <v>123.46367522768401</v>
      </c>
      <c r="AD97" s="292"/>
      <c r="AE97" s="297">
        <f t="shared" si="57"/>
        <v>0</v>
      </c>
      <c r="AF97" s="294">
        <f t="shared" si="58"/>
        <v>0</v>
      </c>
      <c r="AG97" s="292"/>
      <c r="AH97" s="292">
        <f t="shared" si="59"/>
        <v>0</v>
      </c>
      <c r="AI97" s="295">
        <v>123.46367522768401</v>
      </c>
      <c r="AJ97" s="383" t="s">
        <v>878</v>
      </c>
      <c r="AK97" s="297">
        <f t="shared" si="60"/>
        <v>0</v>
      </c>
      <c r="AL97" s="294">
        <f t="shared" si="61"/>
        <v>0</v>
      </c>
      <c r="AM97" s="292"/>
      <c r="AN97" s="292"/>
      <c r="AO97" s="295">
        <f>'Unit Savings Calculations'!P93</f>
        <v>123.46367522768401</v>
      </c>
      <c r="AP97" s="383" t="s">
        <v>763</v>
      </c>
      <c r="AQ97" s="297">
        <f t="shared" si="62"/>
        <v>0</v>
      </c>
      <c r="AR97" s="294">
        <f t="shared" si="63"/>
        <v>0</v>
      </c>
      <c r="AS97" s="292"/>
      <c r="AT97" s="292"/>
      <c r="AU97" s="295">
        <f>'Unit Savings Calculations'!Q93</f>
        <v>123.46367522768401</v>
      </c>
      <c r="AV97" s="383" t="str">
        <f t="shared" si="64"/>
        <v>n/a</v>
      </c>
      <c r="AW97" s="297">
        <f t="shared" si="65"/>
        <v>0</v>
      </c>
      <c r="AX97" s="294">
        <f t="shared" si="66"/>
        <v>0</v>
      </c>
      <c r="AY97" s="297">
        <f t="shared" si="67"/>
        <v>0</v>
      </c>
      <c r="AZ97" s="297">
        <f t="shared" si="68"/>
        <v>0</v>
      </c>
      <c r="BA97" s="297">
        <f t="shared" si="69"/>
        <v>0</v>
      </c>
      <c r="BB97" s="297">
        <f t="shared" si="70"/>
        <v>0</v>
      </c>
      <c r="BC97" s="298">
        <f t="shared" si="71"/>
        <v>0</v>
      </c>
      <c r="BD97" s="292" t="s">
        <v>763</v>
      </c>
      <c r="BE97" s="299" t="str">
        <f t="shared" si="72"/>
        <v>Exhibit 1.5A_R North Shore EEPS_Adjustable_Savings_Goal_Template.xlsx, Pipe Insulation Detail Tab</v>
      </c>
      <c r="BF97" s="298">
        <f t="shared" si="73"/>
        <v>0</v>
      </c>
      <c r="BG97" s="298">
        <f t="shared" si="73"/>
        <v>0</v>
      </c>
      <c r="BH97" s="298">
        <f t="shared" si="73"/>
        <v>0</v>
      </c>
      <c r="BI97" s="298">
        <f t="shared" si="73"/>
        <v>0</v>
      </c>
      <c r="BJ97" s="298">
        <f t="shared" si="74"/>
        <v>0</v>
      </c>
      <c r="BK97" s="482">
        <v>15</v>
      </c>
      <c r="BL97" s="482">
        <v>15</v>
      </c>
      <c r="BM97" s="482">
        <f>INDEX('Unit Savings Calculations'!$I$4:$I$421,MATCH('Measure-Level Adjustments Tab'!$A97&amp;"_"&amp;'Measure-Level Adjustments Tab'!$B97,'Unit Savings Calculations'!$A$4:$A$421,0))</f>
        <v>15</v>
      </c>
      <c r="BN97" s="482">
        <f t="shared" si="75"/>
        <v>15</v>
      </c>
      <c r="BO97" s="483">
        <f t="shared" si="76"/>
        <v>0</v>
      </c>
      <c r="BP97" s="483">
        <f t="shared" si="76"/>
        <v>0</v>
      </c>
      <c r="BQ97" s="483">
        <f t="shared" si="76"/>
        <v>0</v>
      </c>
      <c r="BR97" s="483">
        <f t="shared" si="76"/>
        <v>0</v>
      </c>
      <c r="BS97" s="483">
        <f t="shared" si="56"/>
        <v>0</v>
      </c>
    </row>
    <row r="98" spans="1:71" ht="15.75" customHeight="1">
      <c r="A98" s="292" t="str">
        <f>'Unit Savings Calculations'!C94</f>
        <v>Res - MF Standard Rebates</v>
      </c>
      <c r="B98" s="292" t="str">
        <f>'Unit Savings Calculations'!D94</f>
        <v>Pipe Insulation - Steam Med Valve</v>
      </c>
      <c r="C98" s="293">
        <f t="shared" si="78"/>
        <v>1</v>
      </c>
      <c r="D98" s="292" t="str">
        <f>'Unit Savings Calculations'!T94</f>
        <v>4.4.14</v>
      </c>
      <c r="E98" s="438">
        <v>15</v>
      </c>
      <c r="F98" s="438">
        <v>15</v>
      </c>
      <c r="G98" s="292" t="str">
        <f>'Unit Savings Calculations'!E94</f>
        <v>each</v>
      </c>
      <c r="H98" s="294">
        <f>'Unit Savings Calculations'!$F94*'Unit Savings Calculations'!J94</f>
        <v>0</v>
      </c>
      <c r="I98" s="294">
        <f>'Unit Savings Calculations'!$F94*'Unit Savings Calculations'!K94</f>
        <v>0</v>
      </c>
      <c r="J98" s="294">
        <f>'Unit Savings Calculations'!$F94*'Unit Savings Calculations'!L94</f>
        <v>0</v>
      </c>
      <c r="K98" s="294">
        <f>'Unit Savings Calculations'!$F94*'Unit Savings Calculations'!M94</f>
        <v>0</v>
      </c>
      <c r="L98" s="292" t="str">
        <f>'Unit Savings Calculations'!U94</f>
        <v>CI-HVC-PINS-V04-160601</v>
      </c>
      <c r="M98" s="383" t="str">
        <f>'Unit Savings Calculations'!R94</f>
        <v>Exhibit 1.5A_R North Shore EEPS_Adjustable_Savings_Goal_Template.xlsx, Pipe Insulation Detail Tab</v>
      </c>
      <c r="N98" s="295">
        <v>46.605980670745772</v>
      </c>
      <c r="O98" s="295">
        <v>46.605980670745772</v>
      </c>
      <c r="P98" s="295">
        <v>46.605980670745772</v>
      </c>
      <c r="Q98" s="295">
        <v>46.605980670745772</v>
      </c>
      <c r="R98" s="296">
        <f>'Unit Savings Calculations'!$G94</f>
        <v>0.76</v>
      </c>
      <c r="S98" s="296">
        <f>'Unit Savings Calculations'!$G94</f>
        <v>0.76</v>
      </c>
      <c r="T98" s="296">
        <f>'Unit Savings Calculations'!$G94</f>
        <v>0.76</v>
      </c>
      <c r="U98" s="296">
        <f>'Unit Savings Calculations'!$G94</f>
        <v>0.76</v>
      </c>
      <c r="V98" s="297">
        <f t="shared" si="79"/>
        <v>0</v>
      </c>
      <c r="W98" s="297">
        <f t="shared" si="80"/>
        <v>0</v>
      </c>
      <c r="X98" s="297">
        <f t="shared" si="81"/>
        <v>0</v>
      </c>
      <c r="Y98" s="297">
        <f t="shared" si="82"/>
        <v>0</v>
      </c>
      <c r="Z98" s="297">
        <f t="shared" si="83"/>
        <v>0</v>
      </c>
      <c r="AA98" s="292"/>
      <c r="AB98" s="292"/>
      <c r="AC98" s="295">
        <v>46.605980670745772</v>
      </c>
      <c r="AD98" s="292"/>
      <c r="AE98" s="297">
        <f t="shared" si="57"/>
        <v>0</v>
      </c>
      <c r="AF98" s="294">
        <f t="shared" si="58"/>
        <v>0</v>
      </c>
      <c r="AG98" s="292"/>
      <c r="AH98" s="292">
        <f t="shared" si="59"/>
        <v>0</v>
      </c>
      <c r="AI98" s="295">
        <v>46.605980670745772</v>
      </c>
      <c r="AJ98" s="383" t="s">
        <v>878</v>
      </c>
      <c r="AK98" s="297">
        <f t="shared" si="60"/>
        <v>0</v>
      </c>
      <c r="AL98" s="294">
        <f t="shared" si="61"/>
        <v>0</v>
      </c>
      <c r="AM98" s="292"/>
      <c r="AN98" s="292"/>
      <c r="AO98" s="295">
        <f>'Unit Savings Calculations'!P94</f>
        <v>46.605980670745772</v>
      </c>
      <c r="AP98" s="383" t="s">
        <v>763</v>
      </c>
      <c r="AQ98" s="297">
        <f t="shared" si="62"/>
        <v>0</v>
      </c>
      <c r="AR98" s="294">
        <f t="shared" si="63"/>
        <v>0</v>
      </c>
      <c r="AS98" s="292"/>
      <c r="AT98" s="292"/>
      <c r="AU98" s="295">
        <f>'Unit Savings Calculations'!Q94</f>
        <v>46.605980670745772</v>
      </c>
      <c r="AV98" s="383" t="str">
        <f t="shared" si="64"/>
        <v>n/a</v>
      </c>
      <c r="AW98" s="297">
        <f t="shared" si="65"/>
        <v>0</v>
      </c>
      <c r="AX98" s="294">
        <f t="shared" si="66"/>
        <v>0</v>
      </c>
      <c r="AY98" s="297">
        <f t="shared" si="67"/>
        <v>0</v>
      </c>
      <c r="AZ98" s="297">
        <f t="shared" si="68"/>
        <v>0</v>
      </c>
      <c r="BA98" s="297">
        <f t="shared" si="69"/>
        <v>0</v>
      </c>
      <c r="BB98" s="297">
        <f t="shared" si="70"/>
        <v>0</v>
      </c>
      <c r="BC98" s="298">
        <f t="shared" si="71"/>
        <v>0</v>
      </c>
      <c r="BD98" s="292" t="s">
        <v>763</v>
      </c>
      <c r="BE98" s="299" t="str">
        <f t="shared" si="72"/>
        <v>Exhibit 1.5A_R North Shore EEPS_Adjustable_Savings_Goal_Template.xlsx, Pipe Insulation Detail Tab</v>
      </c>
      <c r="BF98" s="298">
        <f t="shared" si="73"/>
        <v>0</v>
      </c>
      <c r="BG98" s="298">
        <f t="shared" si="73"/>
        <v>0</v>
      </c>
      <c r="BH98" s="298">
        <f t="shared" si="73"/>
        <v>0</v>
      </c>
      <c r="BI98" s="298">
        <f t="shared" si="73"/>
        <v>0</v>
      </c>
      <c r="BJ98" s="298">
        <f t="shared" si="74"/>
        <v>0</v>
      </c>
      <c r="BK98" s="482">
        <v>15</v>
      </c>
      <c r="BL98" s="482">
        <v>15</v>
      </c>
      <c r="BM98" s="482">
        <f>INDEX('Unit Savings Calculations'!$I$4:$I$421,MATCH('Measure-Level Adjustments Tab'!$A98&amp;"_"&amp;'Measure-Level Adjustments Tab'!$B98,'Unit Savings Calculations'!$A$4:$A$421,0))</f>
        <v>15</v>
      </c>
      <c r="BN98" s="482">
        <f t="shared" si="75"/>
        <v>15</v>
      </c>
      <c r="BO98" s="483">
        <f t="shared" si="76"/>
        <v>0</v>
      </c>
      <c r="BP98" s="483">
        <f t="shared" si="76"/>
        <v>0</v>
      </c>
      <c r="BQ98" s="483">
        <f t="shared" si="76"/>
        <v>0</v>
      </c>
      <c r="BR98" s="483">
        <f t="shared" si="76"/>
        <v>0</v>
      </c>
      <c r="BS98" s="483">
        <f t="shared" si="56"/>
        <v>0</v>
      </c>
    </row>
    <row r="99" spans="1:71" ht="15.75" customHeight="1">
      <c r="A99" s="292" t="str">
        <f>'Unit Savings Calculations'!C95</f>
        <v>Res - MF Standard Rebates</v>
      </c>
      <c r="B99" s="292" t="str">
        <f>'Unit Savings Calculations'!D95</f>
        <v>Pipe Insulation - Steam Large Valve</v>
      </c>
      <c r="C99" s="293">
        <f t="shared" si="78"/>
        <v>1</v>
      </c>
      <c r="D99" s="292" t="str">
        <f>'Unit Savings Calculations'!T95</f>
        <v>4.4.14</v>
      </c>
      <c r="E99" s="438">
        <v>15</v>
      </c>
      <c r="F99" s="438">
        <v>15</v>
      </c>
      <c r="G99" s="292" t="str">
        <f>'Unit Savings Calculations'!E95</f>
        <v>each</v>
      </c>
      <c r="H99" s="294">
        <f>'Unit Savings Calculations'!$F95*'Unit Savings Calculations'!J95</f>
        <v>0</v>
      </c>
      <c r="I99" s="294">
        <f>'Unit Savings Calculations'!$F95*'Unit Savings Calculations'!K95</f>
        <v>0</v>
      </c>
      <c r="J99" s="294">
        <f>'Unit Savings Calculations'!$F95*'Unit Savings Calculations'!L95</f>
        <v>0</v>
      </c>
      <c r="K99" s="294">
        <f>'Unit Savings Calculations'!$F95*'Unit Savings Calculations'!M95</f>
        <v>0</v>
      </c>
      <c r="L99" s="292" t="str">
        <f>'Unit Savings Calculations'!U95</f>
        <v>CI-HVC-PINS-V04-160601</v>
      </c>
      <c r="M99" s="383" t="str">
        <f>'Unit Savings Calculations'!R95</f>
        <v>Exhibit 1.5A_R North Shore EEPS_Adjustable_Savings_Goal_Template.xlsx, Pipe Insulation Detail Tab</v>
      </c>
      <c r="N99" s="295">
        <v>133.90978522057964</v>
      </c>
      <c r="O99" s="295">
        <v>133.90978522057964</v>
      </c>
      <c r="P99" s="295">
        <v>133.90978522057964</v>
      </c>
      <c r="Q99" s="295">
        <v>133.90978522057964</v>
      </c>
      <c r="R99" s="296">
        <f>'Unit Savings Calculations'!$G95</f>
        <v>0.76</v>
      </c>
      <c r="S99" s="296">
        <f>'Unit Savings Calculations'!$G95</f>
        <v>0.76</v>
      </c>
      <c r="T99" s="296">
        <f>'Unit Savings Calculations'!$G95</f>
        <v>0.76</v>
      </c>
      <c r="U99" s="296">
        <f>'Unit Savings Calculations'!$G95</f>
        <v>0.76</v>
      </c>
      <c r="V99" s="297">
        <f t="shared" si="79"/>
        <v>0</v>
      </c>
      <c r="W99" s="297">
        <f t="shared" si="80"/>
        <v>0</v>
      </c>
      <c r="X99" s="297">
        <f t="shared" si="81"/>
        <v>0</v>
      </c>
      <c r="Y99" s="297">
        <f t="shared" si="82"/>
        <v>0</v>
      </c>
      <c r="Z99" s="297">
        <f t="shared" si="83"/>
        <v>0</v>
      </c>
      <c r="AA99" s="292"/>
      <c r="AB99" s="292"/>
      <c r="AC99" s="295">
        <v>133.90978522057964</v>
      </c>
      <c r="AD99" s="292"/>
      <c r="AE99" s="297">
        <f t="shared" si="57"/>
        <v>0</v>
      </c>
      <c r="AF99" s="294">
        <f t="shared" si="58"/>
        <v>0</v>
      </c>
      <c r="AG99" s="292"/>
      <c r="AH99" s="292">
        <f t="shared" si="59"/>
        <v>0</v>
      </c>
      <c r="AI99" s="295">
        <v>133.90978522057964</v>
      </c>
      <c r="AJ99" s="383" t="s">
        <v>878</v>
      </c>
      <c r="AK99" s="297">
        <f t="shared" si="60"/>
        <v>0</v>
      </c>
      <c r="AL99" s="294">
        <f t="shared" si="61"/>
        <v>0</v>
      </c>
      <c r="AM99" s="292"/>
      <c r="AN99" s="292"/>
      <c r="AO99" s="295">
        <f>'Unit Savings Calculations'!P95</f>
        <v>133.90978522057964</v>
      </c>
      <c r="AP99" s="383" t="s">
        <v>763</v>
      </c>
      <c r="AQ99" s="297">
        <f t="shared" si="62"/>
        <v>0</v>
      </c>
      <c r="AR99" s="294">
        <f t="shared" si="63"/>
        <v>0</v>
      </c>
      <c r="AS99" s="292"/>
      <c r="AT99" s="292"/>
      <c r="AU99" s="295">
        <f>'Unit Savings Calculations'!Q95</f>
        <v>133.90978522057964</v>
      </c>
      <c r="AV99" s="383" t="str">
        <f t="shared" si="64"/>
        <v>n/a</v>
      </c>
      <c r="AW99" s="297">
        <f t="shared" si="65"/>
        <v>0</v>
      </c>
      <c r="AX99" s="294">
        <f t="shared" si="66"/>
        <v>0</v>
      </c>
      <c r="AY99" s="297">
        <f t="shared" si="67"/>
        <v>0</v>
      </c>
      <c r="AZ99" s="297">
        <f t="shared" si="68"/>
        <v>0</v>
      </c>
      <c r="BA99" s="297">
        <f t="shared" si="69"/>
        <v>0</v>
      </c>
      <c r="BB99" s="297">
        <f t="shared" si="70"/>
        <v>0</v>
      </c>
      <c r="BC99" s="298">
        <f t="shared" si="71"/>
        <v>0</v>
      </c>
      <c r="BD99" s="292" t="s">
        <v>763</v>
      </c>
      <c r="BE99" s="299" t="str">
        <f t="shared" si="72"/>
        <v>Exhibit 1.5A_R North Shore EEPS_Adjustable_Savings_Goal_Template.xlsx, Pipe Insulation Detail Tab</v>
      </c>
      <c r="BF99" s="298">
        <f t="shared" si="73"/>
        <v>0</v>
      </c>
      <c r="BG99" s="298">
        <f t="shared" si="73"/>
        <v>0</v>
      </c>
      <c r="BH99" s="298">
        <f t="shared" si="73"/>
        <v>0</v>
      </c>
      <c r="BI99" s="298">
        <f t="shared" si="73"/>
        <v>0</v>
      </c>
      <c r="BJ99" s="298">
        <f t="shared" si="74"/>
        <v>0</v>
      </c>
      <c r="BK99" s="482">
        <v>15</v>
      </c>
      <c r="BL99" s="482">
        <v>15</v>
      </c>
      <c r="BM99" s="482">
        <f>INDEX('Unit Savings Calculations'!$I$4:$I$421,MATCH('Measure-Level Adjustments Tab'!$A99&amp;"_"&amp;'Measure-Level Adjustments Tab'!$B99,'Unit Savings Calculations'!$A$4:$A$421,0))</f>
        <v>15</v>
      </c>
      <c r="BN99" s="482">
        <f t="shared" si="75"/>
        <v>15</v>
      </c>
      <c r="BO99" s="483">
        <f t="shared" si="76"/>
        <v>0</v>
      </c>
      <c r="BP99" s="483">
        <f t="shared" si="76"/>
        <v>0</v>
      </c>
      <c r="BQ99" s="483">
        <f t="shared" si="76"/>
        <v>0</v>
      </c>
      <c r="BR99" s="483">
        <f t="shared" si="76"/>
        <v>0</v>
      </c>
      <c r="BS99" s="483">
        <f t="shared" si="56"/>
        <v>0</v>
      </c>
    </row>
    <row r="100" spans="1:71" ht="15.75" customHeight="1">
      <c r="A100" s="292" t="str">
        <f>'Unit Savings Calculations'!C96</f>
        <v>Res - MF Standard Rebates</v>
      </c>
      <c r="B100" s="292" t="str">
        <f>'Unit Savings Calculations'!D96</f>
        <v>Pipe Insulation - Steam X-Large Valve</v>
      </c>
      <c r="C100" s="293">
        <f t="shared" si="78"/>
        <v>1</v>
      </c>
      <c r="D100" s="292" t="str">
        <f>'Unit Savings Calculations'!T96</f>
        <v>4.4.14</v>
      </c>
      <c r="E100" s="438">
        <v>15</v>
      </c>
      <c r="F100" s="438">
        <v>15</v>
      </c>
      <c r="G100" s="292" t="str">
        <f>'Unit Savings Calculations'!E96</f>
        <v>each</v>
      </c>
      <c r="H100" s="294">
        <f>'Unit Savings Calculations'!$F96*'Unit Savings Calculations'!J96</f>
        <v>0</v>
      </c>
      <c r="I100" s="294">
        <f>'Unit Savings Calculations'!$F96*'Unit Savings Calculations'!K96</f>
        <v>0</v>
      </c>
      <c r="J100" s="294">
        <f>'Unit Savings Calculations'!$F96*'Unit Savings Calculations'!L96</f>
        <v>0</v>
      </c>
      <c r="K100" s="294">
        <f>'Unit Savings Calculations'!$F96*'Unit Savings Calculations'!M96</f>
        <v>0</v>
      </c>
      <c r="L100" s="292" t="str">
        <f>'Unit Savings Calculations'!U96</f>
        <v>CI-HVC-PINS-V04-160601</v>
      </c>
      <c r="M100" s="383" t="str">
        <f>'Unit Savings Calculations'!R96</f>
        <v>Exhibit 1.5A_R North Shore EEPS_Adjustable_Savings_Goal_Template.xlsx, Pipe Insulation Detail Tab</v>
      </c>
      <c r="N100" s="295">
        <v>218.0177023221575</v>
      </c>
      <c r="O100" s="295">
        <v>218.0177023221575</v>
      </c>
      <c r="P100" s="295">
        <v>218.0177023221575</v>
      </c>
      <c r="Q100" s="295">
        <v>218.0177023221575</v>
      </c>
      <c r="R100" s="296">
        <f>'Unit Savings Calculations'!$G96</f>
        <v>0.76</v>
      </c>
      <c r="S100" s="296">
        <f>'Unit Savings Calculations'!$G96</f>
        <v>0.76</v>
      </c>
      <c r="T100" s="296">
        <f>'Unit Savings Calculations'!$G96</f>
        <v>0.76</v>
      </c>
      <c r="U100" s="296">
        <f>'Unit Savings Calculations'!$G96</f>
        <v>0.76</v>
      </c>
      <c r="V100" s="297">
        <f t="shared" si="79"/>
        <v>0</v>
      </c>
      <c r="W100" s="297">
        <f t="shared" si="80"/>
        <v>0</v>
      </c>
      <c r="X100" s="297">
        <f t="shared" si="81"/>
        <v>0</v>
      </c>
      <c r="Y100" s="297">
        <f t="shared" si="82"/>
        <v>0</v>
      </c>
      <c r="Z100" s="297">
        <f t="shared" si="83"/>
        <v>0</v>
      </c>
      <c r="AA100" s="292"/>
      <c r="AB100" s="292"/>
      <c r="AC100" s="295">
        <v>218.0177023221575</v>
      </c>
      <c r="AD100" s="292"/>
      <c r="AE100" s="297">
        <f t="shared" si="57"/>
        <v>0</v>
      </c>
      <c r="AF100" s="294">
        <f t="shared" si="58"/>
        <v>0</v>
      </c>
      <c r="AG100" s="292"/>
      <c r="AH100" s="292">
        <f t="shared" si="59"/>
        <v>0</v>
      </c>
      <c r="AI100" s="295">
        <v>218.0177023221575</v>
      </c>
      <c r="AJ100" s="383" t="s">
        <v>878</v>
      </c>
      <c r="AK100" s="297">
        <f t="shared" si="60"/>
        <v>0</v>
      </c>
      <c r="AL100" s="294">
        <f t="shared" si="61"/>
        <v>0</v>
      </c>
      <c r="AM100" s="292"/>
      <c r="AN100" s="292"/>
      <c r="AO100" s="295">
        <f>'Unit Savings Calculations'!P96</f>
        <v>218.0177023221575</v>
      </c>
      <c r="AP100" s="383" t="s">
        <v>763</v>
      </c>
      <c r="AQ100" s="297">
        <f t="shared" si="62"/>
        <v>0</v>
      </c>
      <c r="AR100" s="294">
        <f t="shared" si="63"/>
        <v>0</v>
      </c>
      <c r="AS100" s="292"/>
      <c r="AT100" s="292"/>
      <c r="AU100" s="295">
        <f>'Unit Savings Calculations'!Q96</f>
        <v>218.0177023221575</v>
      </c>
      <c r="AV100" s="383" t="str">
        <f t="shared" si="64"/>
        <v>n/a</v>
      </c>
      <c r="AW100" s="297">
        <f t="shared" si="65"/>
        <v>0</v>
      </c>
      <c r="AX100" s="294">
        <f t="shared" si="66"/>
        <v>0</v>
      </c>
      <c r="AY100" s="297">
        <f t="shared" si="67"/>
        <v>0</v>
      </c>
      <c r="AZ100" s="297">
        <f t="shared" si="68"/>
        <v>0</v>
      </c>
      <c r="BA100" s="297">
        <f t="shared" si="69"/>
        <v>0</v>
      </c>
      <c r="BB100" s="297">
        <f t="shared" si="70"/>
        <v>0</v>
      </c>
      <c r="BC100" s="298">
        <f t="shared" si="71"/>
        <v>0</v>
      </c>
      <c r="BD100" s="292" t="s">
        <v>763</v>
      </c>
      <c r="BE100" s="299" t="str">
        <f t="shared" si="72"/>
        <v>Exhibit 1.5A_R North Shore EEPS_Adjustable_Savings_Goal_Template.xlsx, Pipe Insulation Detail Tab</v>
      </c>
      <c r="BF100" s="298">
        <f t="shared" si="73"/>
        <v>0</v>
      </c>
      <c r="BG100" s="298">
        <f t="shared" si="73"/>
        <v>0</v>
      </c>
      <c r="BH100" s="298">
        <f t="shared" si="73"/>
        <v>0</v>
      </c>
      <c r="BI100" s="298">
        <f t="shared" si="73"/>
        <v>0</v>
      </c>
      <c r="BJ100" s="298">
        <f t="shared" si="74"/>
        <v>0</v>
      </c>
      <c r="BK100" s="482">
        <v>15</v>
      </c>
      <c r="BL100" s="482">
        <v>15</v>
      </c>
      <c r="BM100" s="482">
        <f>INDEX('Unit Savings Calculations'!$I$4:$I$421,MATCH('Measure-Level Adjustments Tab'!$A100&amp;"_"&amp;'Measure-Level Adjustments Tab'!$B100,'Unit Savings Calculations'!$A$4:$A$421,0))</f>
        <v>15</v>
      </c>
      <c r="BN100" s="482">
        <f t="shared" si="75"/>
        <v>15</v>
      </c>
      <c r="BO100" s="483">
        <f t="shared" si="76"/>
        <v>0</v>
      </c>
      <c r="BP100" s="483">
        <f t="shared" si="76"/>
        <v>0</v>
      </c>
      <c r="BQ100" s="483">
        <f t="shared" si="76"/>
        <v>0</v>
      </c>
      <c r="BR100" s="483">
        <f t="shared" si="76"/>
        <v>0</v>
      </c>
      <c r="BS100" s="483">
        <f t="shared" si="56"/>
        <v>0</v>
      </c>
    </row>
    <row r="101" spans="1:71" ht="15.75" customHeight="1">
      <c r="A101" s="292" t="str">
        <f>'Unit Savings Calculations'!C97</f>
        <v>Res - MF Standard Rebates</v>
      </c>
      <c r="B101" s="292" t="str">
        <f>'Unit Savings Calculations'!D97</f>
        <v>Steam Boiler ≥82% AFUE, &gt;300MBh TE</v>
      </c>
      <c r="C101" s="293">
        <f t="shared" si="78"/>
        <v>1</v>
      </c>
      <c r="D101" s="292" t="str">
        <f>'Unit Savings Calculations'!T97</f>
        <v>4.4.10</v>
      </c>
      <c r="E101" s="438">
        <v>20</v>
      </c>
      <c r="F101" s="438">
        <v>20</v>
      </c>
      <c r="G101" s="292" t="str">
        <f>'Unit Savings Calculations'!E97</f>
        <v>MBH</v>
      </c>
      <c r="H101" s="294">
        <f>'Unit Savings Calculations'!$F97*'Unit Savings Calculations'!J97</f>
        <v>0</v>
      </c>
      <c r="I101" s="294">
        <f>'Unit Savings Calculations'!$F97*'Unit Savings Calculations'!K97</f>
        <v>0</v>
      </c>
      <c r="J101" s="294">
        <f>'Unit Savings Calculations'!$F97*'Unit Savings Calculations'!L97</f>
        <v>0</v>
      </c>
      <c r="K101" s="294">
        <f>'Unit Savings Calculations'!$F97*'Unit Savings Calculations'!M97</f>
        <v>0</v>
      </c>
      <c r="L101" s="292" t="str">
        <f>'Unit Savings Calculations'!U97</f>
        <v>CI-HVC-BOIL-V05-150601</v>
      </c>
      <c r="M101" s="383" t="str">
        <f>'Unit Savings Calculations'!R97</f>
        <v>Exhibit 1.5A_R North Shore EEPS_Adjustable_Savings_Goal_Template.xlsx, Unit Savings Calculations Tab</v>
      </c>
      <c r="N101" s="295">
        <v>0.63987341772151718</v>
      </c>
      <c r="O101" s="295">
        <v>0.63987341772151718</v>
      </c>
      <c r="P101" s="295">
        <v>0.63987341772151718</v>
      </c>
      <c r="Q101" s="295">
        <v>0.63987341772151718</v>
      </c>
      <c r="R101" s="296">
        <f>'Unit Savings Calculations'!$G97</f>
        <v>0.76</v>
      </c>
      <c r="S101" s="296">
        <f>'Unit Savings Calculations'!$G97</f>
        <v>0.76</v>
      </c>
      <c r="T101" s="296">
        <f>'Unit Savings Calculations'!$G97</f>
        <v>0.76</v>
      </c>
      <c r="U101" s="296">
        <f>'Unit Savings Calculations'!$G97</f>
        <v>0.76</v>
      </c>
      <c r="V101" s="297">
        <f t="shared" si="79"/>
        <v>0</v>
      </c>
      <c r="W101" s="297">
        <f t="shared" si="80"/>
        <v>0</v>
      </c>
      <c r="X101" s="297">
        <f t="shared" si="81"/>
        <v>0</v>
      </c>
      <c r="Y101" s="297">
        <f t="shared" si="82"/>
        <v>0</v>
      </c>
      <c r="Z101" s="297">
        <f t="shared" si="83"/>
        <v>0</v>
      </c>
      <c r="AA101" s="292"/>
      <c r="AB101" s="292"/>
      <c r="AC101" s="295">
        <v>0.63987341772151718</v>
      </c>
      <c r="AD101" s="292"/>
      <c r="AE101" s="297">
        <f t="shared" si="57"/>
        <v>0</v>
      </c>
      <c r="AF101" s="294">
        <f t="shared" si="58"/>
        <v>0</v>
      </c>
      <c r="AG101" s="292"/>
      <c r="AH101" s="292">
        <f t="shared" si="59"/>
        <v>0</v>
      </c>
      <c r="AI101" s="295">
        <v>0.64708860759493481</v>
      </c>
      <c r="AJ101" s="383" t="s">
        <v>878</v>
      </c>
      <c r="AK101" s="297">
        <f t="shared" si="60"/>
        <v>0</v>
      </c>
      <c r="AL101" s="294">
        <f t="shared" si="61"/>
        <v>0</v>
      </c>
      <c r="AM101" s="292"/>
      <c r="AN101" s="292"/>
      <c r="AO101" s="295">
        <f>'Unit Savings Calculations'!P97</f>
        <v>0.67670886075949166</v>
      </c>
      <c r="AP101" s="383" t="s">
        <v>1441</v>
      </c>
      <c r="AQ101" s="297">
        <f t="shared" si="62"/>
        <v>0</v>
      </c>
      <c r="AR101" s="294">
        <f t="shared" si="63"/>
        <v>0</v>
      </c>
      <c r="AS101" s="292"/>
      <c r="AT101" s="292"/>
      <c r="AU101" s="295">
        <f>'Unit Savings Calculations'!Q97</f>
        <v>0.67670886075949166</v>
      </c>
      <c r="AV101" s="383" t="str">
        <f t="shared" si="64"/>
        <v>Updated heating EFLH</v>
      </c>
      <c r="AW101" s="297">
        <f t="shared" si="65"/>
        <v>0</v>
      </c>
      <c r="AX101" s="294">
        <f t="shared" si="66"/>
        <v>0</v>
      </c>
      <c r="AY101" s="297">
        <f t="shared" si="67"/>
        <v>0</v>
      </c>
      <c r="AZ101" s="297">
        <f t="shared" si="68"/>
        <v>0</v>
      </c>
      <c r="BA101" s="297">
        <f t="shared" si="69"/>
        <v>0</v>
      </c>
      <c r="BB101" s="297">
        <f t="shared" si="70"/>
        <v>0</v>
      </c>
      <c r="BC101" s="298">
        <f t="shared" si="71"/>
        <v>0</v>
      </c>
      <c r="BD101" s="292" t="s">
        <v>763</v>
      </c>
      <c r="BE101" s="299" t="str">
        <f t="shared" si="72"/>
        <v>Exhibit 1.5A_R North Shore EEPS_Adjustable_Savings_Goal_Template.xlsx, Unit Savings Calculations Tab</v>
      </c>
      <c r="BF101" s="298">
        <f t="shared" si="73"/>
        <v>0</v>
      </c>
      <c r="BG101" s="298">
        <f t="shared" si="73"/>
        <v>0</v>
      </c>
      <c r="BH101" s="298">
        <f t="shared" si="73"/>
        <v>0</v>
      </c>
      <c r="BI101" s="298">
        <f t="shared" si="73"/>
        <v>0</v>
      </c>
      <c r="BJ101" s="298">
        <f t="shared" si="74"/>
        <v>0</v>
      </c>
      <c r="BK101" s="482">
        <v>20</v>
      </c>
      <c r="BL101" s="482">
        <v>20</v>
      </c>
      <c r="BM101" s="482">
        <f>INDEX('Unit Savings Calculations'!$I$4:$I$421,MATCH('Measure-Level Adjustments Tab'!$A101&amp;"_"&amp;'Measure-Level Adjustments Tab'!$B101,'Unit Savings Calculations'!$A$4:$A$421,0))</f>
        <v>25</v>
      </c>
      <c r="BN101" s="482">
        <f t="shared" si="75"/>
        <v>25</v>
      </c>
      <c r="BO101" s="483">
        <f t="shared" si="76"/>
        <v>0</v>
      </c>
      <c r="BP101" s="483">
        <f t="shared" si="76"/>
        <v>0</v>
      </c>
      <c r="BQ101" s="483">
        <f t="shared" si="76"/>
        <v>0</v>
      </c>
      <c r="BR101" s="483">
        <f t="shared" si="76"/>
        <v>0</v>
      </c>
      <c r="BS101" s="483">
        <f t="shared" si="56"/>
        <v>0</v>
      </c>
    </row>
    <row r="102" spans="1:71" ht="15.75" customHeight="1">
      <c r="A102" s="292" t="str">
        <f>'Unit Savings Calculations'!C98</f>
        <v>Res - MF Standard Rebates</v>
      </c>
      <c r="B102" s="292" t="str">
        <f>'Unit Savings Calculations'!D98</f>
        <v>Steam Boiler Averaging Controls</v>
      </c>
      <c r="C102" s="293">
        <f t="shared" si="78"/>
        <v>1</v>
      </c>
      <c r="D102" s="292" t="str">
        <f>'Unit Savings Calculations'!T98</f>
        <v>4.4.36</v>
      </c>
      <c r="E102" s="438">
        <v>20</v>
      </c>
      <c r="F102" s="438">
        <v>20</v>
      </c>
      <c r="G102" s="292" t="str">
        <f>'Unit Savings Calculations'!E98</f>
        <v>each</v>
      </c>
      <c r="H102" s="294">
        <f>'Unit Savings Calculations'!$F98*'Unit Savings Calculations'!J98</f>
        <v>0</v>
      </c>
      <c r="I102" s="294">
        <f>'Unit Savings Calculations'!$F98*'Unit Savings Calculations'!K98</f>
        <v>0</v>
      </c>
      <c r="J102" s="294">
        <f>'Unit Savings Calculations'!$F98*'Unit Savings Calculations'!L98</f>
        <v>0</v>
      </c>
      <c r="K102" s="294">
        <f>'Unit Savings Calculations'!$F98*'Unit Savings Calculations'!M98</f>
        <v>0</v>
      </c>
      <c r="L102" s="292" t="str">
        <f>'Unit Savings Calculations'!U98</f>
        <v>CI-HVC-SBAC-V01-160601</v>
      </c>
      <c r="M102" s="383" t="str">
        <f>'Unit Savings Calculations'!R98</f>
        <v>Exhibit 1.5A_R North Shore EEPS_Adjustable_Savings_Goal_Template.xlsx, Unit Savings Calculations Tab</v>
      </c>
      <c r="N102" s="295">
        <v>76.95</v>
      </c>
      <c r="O102" s="295">
        <v>76.95</v>
      </c>
      <c r="P102" s="295">
        <v>76.95</v>
      </c>
      <c r="Q102" s="295">
        <v>76.95</v>
      </c>
      <c r="R102" s="296">
        <f>'Unit Savings Calculations'!$G98</f>
        <v>0.76</v>
      </c>
      <c r="S102" s="296">
        <f>'Unit Savings Calculations'!$G98</f>
        <v>0.76</v>
      </c>
      <c r="T102" s="296">
        <f>'Unit Savings Calculations'!$G98</f>
        <v>0.76</v>
      </c>
      <c r="U102" s="296">
        <f>'Unit Savings Calculations'!$G98</f>
        <v>0.76</v>
      </c>
      <c r="V102" s="297">
        <f t="shared" si="79"/>
        <v>0</v>
      </c>
      <c r="W102" s="297">
        <f t="shared" si="80"/>
        <v>0</v>
      </c>
      <c r="X102" s="297">
        <f t="shared" si="81"/>
        <v>0</v>
      </c>
      <c r="Y102" s="297">
        <f t="shared" si="82"/>
        <v>0</v>
      </c>
      <c r="Z102" s="297">
        <f t="shared" si="83"/>
        <v>0</v>
      </c>
      <c r="AA102" s="292"/>
      <c r="AB102" s="292"/>
      <c r="AC102" s="295">
        <v>76.95</v>
      </c>
      <c r="AD102" s="292"/>
      <c r="AE102" s="297">
        <f t="shared" si="57"/>
        <v>0</v>
      </c>
      <c r="AF102" s="294">
        <f t="shared" si="58"/>
        <v>0</v>
      </c>
      <c r="AG102" s="292"/>
      <c r="AH102" s="292">
        <f t="shared" si="59"/>
        <v>0</v>
      </c>
      <c r="AI102" s="295">
        <v>156.97800000000001</v>
      </c>
      <c r="AJ102" s="383" t="s">
        <v>934</v>
      </c>
      <c r="AK102" s="297">
        <f t="shared" si="60"/>
        <v>0</v>
      </c>
      <c r="AL102" s="294">
        <f t="shared" si="61"/>
        <v>0</v>
      </c>
      <c r="AM102" s="292"/>
      <c r="AN102" s="292"/>
      <c r="AO102" s="295">
        <f>'Unit Savings Calculations'!P98</f>
        <v>171.15600000000001</v>
      </c>
      <c r="AP102" s="383" t="s">
        <v>763</v>
      </c>
      <c r="AQ102" s="297">
        <f t="shared" si="62"/>
        <v>0</v>
      </c>
      <c r="AR102" s="294">
        <f t="shared" si="63"/>
        <v>0</v>
      </c>
      <c r="AS102" s="292"/>
      <c r="AT102" s="292"/>
      <c r="AU102" s="295">
        <f>'Unit Savings Calculations'!Q98</f>
        <v>171.15600000000001</v>
      </c>
      <c r="AV102" s="383" t="str">
        <f t="shared" si="64"/>
        <v>n/a</v>
      </c>
      <c r="AW102" s="297">
        <f t="shared" si="65"/>
        <v>0</v>
      </c>
      <c r="AX102" s="294">
        <f t="shared" si="66"/>
        <v>0</v>
      </c>
      <c r="AY102" s="297">
        <f t="shared" si="67"/>
        <v>0</v>
      </c>
      <c r="AZ102" s="297">
        <f t="shared" si="68"/>
        <v>0</v>
      </c>
      <c r="BA102" s="297">
        <f t="shared" si="69"/>
        <v>0</v>
      </c>
      <c r="BB102" s="297">
        <f t="shared" si="70"/>
        <v>0</v>
      </c>
      <c r="BC102" s="298">
        <f t="shared" si="71"/>
        <v>0</v>
      </c>
      <c r="BD102" s="292" t="s">
        <v>763</v>
      </c>
      <c r="BE102" s="299" t="str">
        <f t="shared" si="72"/>
        <v>Exhibit 1.5A_R North Shore EEPS_Adjustable_Savings_Goal_Template.xlsx, Unit Savings Calculations Tab</v>
      </c>
      <c r="BF102" s="298">
        <f t="shared" si="73"/>
        <v>0</v>
      </c>
      <c r="BG102" s="298">
        <f t="shared" si="73"/>
        <v>0</v>
      </c>
      <c r="BH102" s="298">
        <f t="shared" si="73"/>
        <v>0</v>
      </c>
      <c r="BI102" s="298">
        <f t="shared" si="73"/>
        <v>0</v>
      </c>
      <c r="BJ102" s="298">
        <f t="shared" si="74"/>
        <v>0</v>
      </c>
      <c r="BK102" s="482">
        <v>20</v>
      </c>
      <c r="BL102" s="482">
        <v>20</v>
      </c>
      <c r="BM102" s="482">
        <f>INDEX('Unit Savings Calculations'!$I$4:$I$421,MATCH('Measure-Level Adjustments Tab'!$A102&amp;"_"&amp;'Measure-Level Adjustments Tab'!$B102,'Unit Savings Calculations'!$A$4:$A$421,0))</f>
        <v>20</v>
      </c>
      <c r="BN102" s="482">
        <f t="shared" si="75"/>
        <v>20</v>
      </c>
      <c r="BO102" s="483">
        <f t="shared" si="76"/>
        <v>0</v>
      </c>
      <c r="BP102" s="483">
        <f t="shared" si="76"/>
        <v>0</v>
      </c>
      <c r="BQ102" s="483">
        <f t="shared" si="76"/>
        <v>0</v>
      </c>
      <c r="BR102" s="483">
        <f t="shared" si="76"/>
        <v>0</v>
      </c>
      <c r="BS102" s="483">
        <f t="shared" si="56"/>
        <v>0</v>
      </c>
    </row>
    <row r="103" spans="1:71" ht="15.75" customHeight="1">
      <c r="A103" s="292" t="str">
        <f>'Unit Savings Calculations'!C99</f>
        <v>Res - MF Standard Rebates</v>
      </c>
      <c r="B103" s="292" t="str">
        <f>'Unit Savings Calculations'!D99</f>
        <v>Steam Traps - Dry Cleaner/Industrial</v>
      </c>
      <c r="C103" s="293">
        <f t="shared" si="78"/>
        <v>1</v>
      </c>
      <c r="D103" s="292" t="str">
        <f>'Unit Savings Calculations'!T99</f>
        <v>4.4.16</v>
      </c>
      <c r="E103" s="438">
        <v>6</v>
      </c>
      <c r="F103" s="438">
        <v>6</v>
      </c>
      <c r="G103" s="292" t="str">
        <f>'Unit Savings Calculations'!E99</f>
        <v>each</v>
      </c>
      <c r="H103" s="294">
        <f>'Unit Savings Calculations'!$F99*'Unit Savings Calculations'!J99</f>
        <v>0</v>
      </c>
      <c r="I103" s="294">
        <f>'Unit Savings Calculations'!$F99*'Unit Savings Calculations'!K99</f>
        <v>0</v>
      </c>
      <c r="J103" s="294">
        <f>'Unit Savings Calculations'!$F99*'Unit Savings Calculations'!L99</f>
        <v>0</v>
      </c>
      <c r="K103" s="294">
        <f>'Unit Savings Calculations'!$F99*'Unit Savings Calculations'!M99</f>
        <v>0</v>
      </c>
      <c r="L103" s="292" t="str">
        <f>'Unit Savings Calculations'!U99</f>
        <v>CI-HVC-STRE-V05-180101</v>
      </c>
      <c r="M103" s="383" t="str">
        <f>'Unit Savings Calculations'!R99</f>
        <v>Exhibit 1.5A_R North Shore EEPS_Adjustable_Savings_Goal_Template.xlsx, Unit Savings Calculations Tab</v>
      </c>
      <c r="N103" s="295">
        <v>137.91939591078068</v>
      </c>
      <c r="O103" s="295">
        <v>137.91939591078068</v>
      </c>
      <c r="P103" s="295">
        <v>137.91939591078068</v>
      </c>
      <c r="Q103" s="295">
        <v>137.91939591078068</v>
      </c>
      <c r="R103" s="296">
        <f>'Unit Savings Calculations'!$G99</f>
        <v>0.76</v>
      </c>
      <c r="S103" s="296">
        <f>'Unit Savings Calculations'!$G99</f>
        <v>0.76</v>
      </c>
      <c r="T103" s="296">
        <f>'Unit Savings Calculations'!$G99</f>
        <v>0.76</v>
      </c>
      <c r="U103" s="296">
        <f>'Unit Savings Calculations'!$G99</f>
        <v>0.76</v>
      </c>
      <c r="V103" s="297">
        <f t="shared" si="79"/>
        <v>0</v>
      </c>
      <c r="W103" s="297">
        <f t="shared" si="80"/>
        <v>0</v>
      </c>
      <c r="X103" s="297">
        <f t="shared" si="81"/>
        <v>0</v>
      </c>
      <c r="Y103" s="297">
        <f t="shared" si="82"/>
        <v>0</v>
      </c>
      <c r="Z103" s="297">
        <f t="shared" si="83"/>
        <v>0</v>
      </c>
      <c r="AA103" s="292"/>
      <c r="AB103" s="292"/>
      <c r="AC103" s="295">
        <v>137.91939591078068</v>
      </c>
      <c r="AD103" s="292"/>
      <c r="AE103" s="297">
        <f t="shared" si="57"/>
        <v>0</v>
      </c>
      <c r="AF103" s="294">
        <f t="shared" si="58"/>
        <v>0</v>
      </c>
      <c r="AG103" s="292"/>
      <c r="AH103" s="292">
        <f t="shared" si="59"/>
        <v>0</v>
      </c>
      <c r="AI103" s="295">
        <v>137.91939591078068</v>
      </c>
      <c r="AJ103" s="383" t="s">
        <v>878</v>
      </c>
      <c r="AK103" s="297">
        <f t="shared" si="60"/>
        <v>0</v>
      </c>
      <c r="AL103" s="294">
        <f t="shared" si="61"/>
        <v>0</v>
      </c>
      <c r="AM103" s="292"/>
      <c r="AN103" s="292"/>
      <c r="AO103" s="295">
        <f>'Unit Savings Calculations'!P99</f>
        <v>137.91939591078068</v>
      </c>
      <c r="AP103" s="383" t="s">
        <v>763</v>
      </c>
      <c r="AQ103" s="297">
        <f t="shared" si="62"/>
        <v>0</v>
      </c>
      <c r="AR103" s="294">
        <f t="shared" si="63"/>
        <v>0</v>
      </c>
      <c r="AS103" s="292"/>
      <c r="AT103" s="292"/>
      <c r="AU103" s="295">
        <f>'Unit Savings Calculations'!Q99</f>
        <v>137.91939591078068</v>
      </c>
      <c r="AV103" s="383" t="str">
        <f t="shared" si="64"/>
        <v>n/a</v>
      </c>
      <c r="AW103" s="297">
        <f t="shared" si="65"/>
        <v>0</v>
      </c>
      <c r="AX103" s="294">
        <f t="shared" si="66"/>
        <v>0</v>
      </c>
      <c r="AY103" s="297">
        <f t="shared" si="67"/>
        <v>0</v>
      </c>
      <c r="AZ103" s="297">
        <f t="shared" si="68"/>
        <v>0</v>
      </c>
      <c r="BA103" s="297">
        <f t="shared" si="69"/>
        <v>0</v>
      </c>
      <c r="BB103" s="297">
        <f t="shared" si="70"/>
        <v>0</v>
      </c>
      <c r="BC103" s="298">
        <f t="shared" si="71"/>
        <v>0</v>
      </c>
      <c r="BD103" s="292" t="s">
        <v>763</v>
      </c>
      <c r="BE103" s="299" t="str">
        <f t="shared" si="72"/>
        <v>Exhibit 1.5A_R North Shore EEPS_Adjustable_Savings_Goal_Template.xlsx, Unit Savings Calculations Tab</v>
      </c>
      <c r="BF103" s="298">
        <f t="shared" si="73"/>
        <v>0</v>
      </c>
      <c r="BG103" s="298">
        <f t="shared" si="73"/>
        <v>0</v>
      </c>
      <c r="BH103" s="298">
        <f t="shared" si="73"/>
        <v>0</v>
      </c>
      <c r="BI103" s="298">
        <f t="shared" si="73"/>
        <v>0</v>
      </c>
      <c r="BJ103" s="298">
        <f t="shared" si="74"/>
        <v>0</v>
      </c>
      <c r="BK103" s="482">
        <v>6</v>
      </c>
      <c r="BL103" s="482">
        <v>6</v>
      </c>
      <c r="BM103" s="482">
        <f>INDEX('Unit Savings Calculations'!$I$4:$I$421,MATCH('Measure-Level Adjustments Tab'!$A103&amp;"_"&amp;'Measure-Level Adjustments Tab'!$B103,'Unit Savings Calculations'!$A$4:$A$421,0))</f>
        <v>6</v>
      </c>
      <c r="BN103" s="482">
        <f t="shared" si="75"/>
        <v>6</v>
      </c>
      <c r="BO103" s="483">
        <f t="shared" si="76"/>
        <v>0</v>
      </c>
      <c r="BP103" s="483">
        <f t="shared" si="76"/>
        <v>0</v>
      </c>
      <c r="BQ103" s="483">
        <f t="shared" si="76"/>
        <v>0</v>
      </c>
      <c r="BR103" s="483">
        <f t="shared" si="76"/>
        <v>0</v>
      </c>
      <c r="BS103" s="483">
        <f t="shared" si="56"/>
        <v>0</v>
      </c>
    </row>
    <row r="104" spans="1:71" ht="15.75" customHeight="1">
      <c r="A104" s="292" t="str">
        <f>'Unit Savings Calculations'!C100</f>
        <v>Res - MF Standard Rebates</v>
      </c>
      <c r="B104" s="292" t="str">
        <f>'Unit Savings Calculations'!D100</f>
        <v>Steam Traps - HVAC Repair/Rep - Audit</v>
      </c>
      <c r="C104" s="293">
        <f t="shared" si="78"/>
        <v>1</v>
      </c>
      <c r="D104" s="292" t="str">
        <f>'Unit Savings Calculations'!T100</f>
        <v>4.4.16</v>
      </c>
      <c r="E104" s="438">
        <v>6</v>
      </c>
      <c r="F104" s="438">
        <v>6</v>
      </c>
      <c r="G104" s="292" t="str">
        <f>'Unit Savings Calculations'!E100</f>
        <v>each</v>
      </c>
      <c r="H104" s="294">
        <f>'Unit Savings Calculations'!$F100*'Unit Savings Calculations'!J100</f>
        <v>0</v>
      </c>
      <c r="I104" s="294">
        <f>'Unit Savings Calculations'!$F100*'Unit Savings Calculations'!K100</f>
        <v>0</v>
      </c>
      <c r="J104" s="294">
        <f>'Unit Savings Calculations'!$F100*'Unit Savings Calculations'!L100</f>
        <v>0</v>
      </c>
      <c r="K104" s="294">
        <f>'Unit Savings Calculations'!$F100*'Unit Savings Calculations'!M100</f>
        <v>0</v>
      </c>
      <c r="L104" s="292" t="str">
        <f>'Unit Savings Calculations'!U100</f>
        <v>CI-HVC-STRE-V05-180101</v>
      </c>
      <c r="M104" s="383" t="str">
        <f>'Unit Savings Calculations'!R100</f>
        <v>Exhibit 1.5A_R North Shore EEPS_Adjustable_Savings_Goal_Template.xlsx, Unit Savings Calculations Tab</v>
      </c>
      <c r="N104" s="295">
        <v>110.15789625000002</v>
      </c>
      <c r="O104" s="295">
        <v>110.15789625000002</v>
      </c>
      <c r="P104" s="295">
        <v>110.15789625000002</v>
      </c>
      <c r="Q104" s="295">
        <v>110.15789625000002</v>
      </c>
      <c r="R104" s="296">
        <f>'Unit Savings Calculations'!$G100</f>
        <v>0.76</v>
      </c>
      <c r="S104" s="296">
        <f>'Unit Savings Calculations'!$G100</f>
        <v>0.76</v>
      </c>
      <c r="T104" s="296">
        <f>'Unit Savings Calculations'!$G100</f>
        <v>0.76</v>
      </c>
      <c r="U104" s="296">
        <f>'Unit Savings Calculations'!$G100</f>
        <v>0.76</v>
      </c>
      <c r="V104" s="297">
        <f t="shared" si="79"/>
        <v>0</v>
      </c>
      <c r="W104" s="297">
        <f t="shared" si="80"/>
        <v>0</v>
      </c>
      <c r="X104" s="297">
        <f t="shared" si="81"/>
        <v>0</v>
      </c>
      <c r="Y104" s="297">
        <f t="shared" si="82"/>
        <v>0</v>
      </c>
      <c r="Z104" s="297">
        <f t="shared" si="83"/>
        <v>0</v>
      </c>
      <c r="AA104" s="292"/>
      <c r="AB104" s="292"/>
      <c r="AC104" s="295">
        <v>110.15789625000002</v>
      </c>
      <c r="AD104" s="292"/>
      <c r="AE104" s="297">
        <f t="shared" si="57"/>
        <v>0</v>
      </c>
      <c r="AF104" s="294">
        <f t="shared" si="58"/>
        <v>0</v>
      </c>
      <c r="AG104" s="292"/>
      <c r="AH104" s="292">
        <f t="shared" si="59"/>
        <v>0</v>
      </c>
      <c r="AI104" s="295">
        <v>110.15789625000002</v>
      </c>
      <c r="AJ104" s="383" t="s">
        <v>878</v>
      </c>
      <c r="AK104" s="297">
        <f t="shared" si="60"/>
        <v>0</v>
      </c>
      <c r="AL104" s="294">
        <f t="shared" si="61"/>
        <v>0</v>
      </c>
      <c r="AM104" s="292"/>
      <c r="AN104" s="292"/>
      <c r="AO104" s="295">
        <f>'Unit Savings Calculations'!P100</f>
        <v>110.15789625000002</v>
      </c>
      <c r="AP104" s="383" t="s">
        <v>763</v>
      </c>
      <c r="AQ104" s="297">
        <f t="shared" si="62"/>
        <v>0</v>
      </c>
      <c r="AR104" s="294">
        <f t="shared" si="63"/>
        <v>0</v>
      </c>
      <c r="AS104" s="292"/>
      <c r="AT104" s="292"/>
      <c r="AU104" s="295">
        <f>'Unit Savings Calculations'!Q100</f>
        <v>110.15789625000002</v>
      </c>
      <c r="AV104" s="383" t="str">
        <f t="shared" si="64"/>
        <v>n/a</v>
      </c>
      <c r="AW104" s="297">
        <f t="shared" si="65"/>
        <v>0</v>
      </c>
      <c r="AX104" s="294">
        <f t="shared" si="66"/>
        <v>0</v>
      </c>
      <c r="AY104" s="297">
        <f t="shared" si="67"/>
        <v>0</v>
      </c>
      <c r="AZ104" s="297">
        <f t="shared" si="68"/>
        <v>0</v>
      </c>
      <c r="BA104" s="297">
        <f t="shared" si="69"/>
        <v>0</v>
      </c>
      <c r="BB104" s="297">
        <f t="shared" si="70"/>
        <v>0</v>
      </c>
      <c r="BC104" s="298">
        <f t="shared" si="71"/>
        <v>0</v>
      </c>
      <c r="BD104" s="292" t="s">
        <v>763</v>
      </c>
      <c r="BE104" s="299" t="str">
        <f t="shared" si="72"/>
        <v>Exhibit 1.5A_R North Shore EEPS_Adjustable_Savings_Goal_Template.xlsx, Unit Savings Calculations Tab</v>
      </c>
      <c r="BF104" s="298">
        <f t="shared" si="73"/>
        <v>0</v>
      </c>
      <c r="BG104" s="298">
        <f t="shared" si="73"/>
        <v>0</v>
      </c>
      <c r="BH104" s="298">
        <f t="shared" si="73"/>
        <v>0</v>
      </c>
      <c r="BI104" s="298">
        <f t="shared" si="73"/>
        <v>0</v>
      </c>
      <c r="BJ104" s="298">
        <f t="shared" si="74"/>
        <v>0</v>
      </c>
      <c r="BK104" s="482">
        <v>6</v>
      </c>
      <c r="BL104" s="482">
        <v>6</v>
      </c>
      <c r="BM104" s="482">
        <f>INDEX('Unit Savings Calculations'!$I$4:$I$421,MATCH('Measure-Level Adjustments Tab'!$A104&amp;"_"&amp;'Measure-Level Adjustments Tab'!$B104,'Unit Savings Calculations'!$A$4:$A$421,0))</f>
        <v>6</v>
      </c>
      <c r="BN104" s="482">
        <f t="shared" si="75"/>
        <v>6</v>
      </c>
      <c r="BO104" s="483">
        <f t="shared" si="76"/>
        <v>0</v>
      </c>
      <c r="BP104" s="483">
        <f t="shared" si="76"/>
        <v>0</v>
      </c>
      <c r="BQ104" s="483">
        <f t="shared" si="76"/>
        <v>0</v>
      </c>
      <c r="BR104" s="483">
        <f t="shared" si="76"/>
        <v>0</v>
      </c>
      <c r="BS104" s="483">
        <f t="shared" si="56"/>
        <v>0</v>
      </c>
    </row>
    <row r="105" spans="1:71" ht="15.75" customHeight="1">
      <c r="A105" s="292" t="str">
        <f>'Unit Savings Calculations'!C101</f>
        <v>Res - MF Standard Rebates</v>
      </c>
      <c r="B105" s="292" t="str">
        <f>'Unit Savings Calculations'!D101</f>
        <v>Steam Traps - HVAC Repair/Rep - No Audit</v>
      </c>
      <c r="C105" s="293">
        <f t="shared" si="78"/>
        <v>1</v>
      </c>
      <c r="D105" s="292" t="str">
        <f>'Unit Savings Calculations'!T101</f>
        <v>4.4.16</v>
      </c>
      <c r="E105" s="438">
        <v>6</v>
      </c>
      <c r="F105" s="438">
        <v>6</v>
      </c>
      <c r="G105" s="292" t="str">
        <f>'Unit Savings Calculations'!E101</f>
        <v>each</v>
      </c>
      <c r="H105" s="294">
        <f>'Unit Savings Calculations'!$F101*'Unit Savings Calculations'!J101</f>
        <v>0</v>
      </c>
      <c r="I105" s="294">
        <f>'Unit Savings Calculations'!$F101*'Unit Savings Calculations'!K101</f>
        <v>0</v>
      </c>
      <c r="J105" s="294">
        <f>'Unit Savings Calculations'!$F101*'Unit Savings Calculations'!L101</f>
        <v>0</v>
      </c>
      <c r="K105" s="294">
        <f>'Unit Savings Calculations'!$F101*'Unit Savings Calculations'!M101</f>
        <v>0</v>
      </c>
      <c r="L105" s="292" t="str">
        <f>'Unit Savings Calculations'!U101</f>
        <v>CI-HVC-STRE-V05-180101</v>
      </c>
      <c r="M105" s="383" t="str">
        <f>'Unit Savings Calculations'!R101</f>
        <v>Exhibit 1.5A_R North Shore EEPS_Adjustable_Savings_Goal_Template.xlsx, Unit Savings Calculations Tab</v>
      </c>
      <c r="N105" s="295">
        <v>110.15789625000002</v>
      </c>
      <c r="O105" s="295">
        <v>110.15789625000002</v>
      </c>
      <c r="P105" s="295">
        <v>110.15789625000002</v>
      </c>
      <c r="Q105" s="295">
        <v>110.15789625000002</v>
      </c>
      <c r="R105" s="296">
        <f>'Unit Savings Calculations'!$G101</f>
        <v>0.76</v>
      </c>
      <c r="S105" s="296">
        <f>'Unit Savings Calculations'!$G101</f>
        <v>0.76</v>
      </c>
      <c r="T105" s="296">
        <f>'Unit Savings Calculations'!$G101</f>
        <v>0.76</v>
      </c>
      <c r="U105" s="296">
        <f>'Unit Savings Calculations'!$G101</f>
        <v>0.76</v>
      </c>
      <c r="V105" s="297">
        <f t="shared" si="79"/>
        <v>0</v>
      </c>
      <c r="W105" s="297">
        <f t="shared" si="80"/>
        <v>0</v>
      </c>
      <c r="X105" s="297">
        <f t="shared" si="81"/>
        <v>0</v>
      </c>
      <c r="Y105" s="297">
        <f t="shared" si="82"/>
        <v>0</v>
      </c>
      <c r="Z105" s="297">
        <f t="shared" si="83"/>
        <v>0</v>
      </c>
      <c r="AA105" s="292"/>
      <c r="AB105" s="292"/>
      <c r="AC105" s="295">
        <v>110.15789625000002</v>
      </c>
      <c r="AD105" s="292"/>
      <c r="AE105" s="297">
        <f t="shared" si="57"/>
        <v>0</v>
      </c>
      <c r="AF105" s="294">
        <f t="shared" si="58"/>
        <v>0</v>
      </c>
      <c r="AG105" s="292"/>
      <c r="AH105" s="292">
        <f t="shared" si="59"/>
        <v>0</v>
      </c>
      <c r="AI105" s="295">
        <v>110.15789625000002</v>
      </c>
      <c r="AJ105" s="383" t="s">
        <v>878</v>
      </c>
      <c r="AK105" s="297">
        <f t="shared" si="60"/>
        <v>0</v>
      </c>
      <c r="AL105" s="294">
        <f t="shared" si="61"/>
        <v>0</v>
      </c>
      <c r="AM105" s="292"/>
      <c r="AN105" s="292"/>
      <c r="AO105" s="295">
        <f>'Unit Savings Calculations'!P101</f>
        <v>110.15789625000002</v>
      </c>
      <c r="AP105" s="383" t="s">
        <v>763</v>
      </c>
      <c r="AQ105" s="297">
        <f t="shared" si="62"/>
        <v>0</v>
      </c>
      <c r="AR105" s="294">
        <f t="shared" si="63"/>
        <v>0</v>
      </c>
      <c r="AS105" s="292"/>
      <c r="AT105" s="292"/>
      <c r="AU105" s="295">
        <f>'Unit Savings Calculations'!Q101</f>
        <v>110.15789625000002</v>
      </c>
      <c r="AV105" s="383" t="str">
        <f t="shared" si="64"/>
        <v>n/a</v>
      </c>
      <c r="AW105" s="297">
        <f t="shared" si="65"/>
        <v>0</v>
      </c>
      <c r="AX105" s="294">
        <f t="shared" si="66"/>
        <v>0</v>
      </c>
      <c r="AY105" s="297">
        <f t="shared" si="67"/>
        <v>0</v>
      </c>
      <c r="AZ105" s="297">
        <f t="shared" si="68"/>
        <v>0</v>
      </c>
      <c r="BA105" s="297">
        <f t="shared" si="69"/>
        <v>0</v>
      </c>
      <c r="BB105" s="297">
        <f t="shared" si="70"/>
        <v>0</v>
      </c>
      <c r="BC105" s="298">
        <f t="shared" si="71"/>
        <v>0</v>
      </c>
      <c r="BD105" s="292" t="s">
        <v>763</v>
      </c>
      <c r="BE105" s="299" t="str">
        <f t="shared" si="72"/>
        <v>Exhibit 1.5A_R North Shore EEPS_Adjustable_Savings_Goal_Template.xlsx, Unit Savings Calculations Tab</v>
      </c>
      <c r="BF105" s="298">
        <f t="shared" si="73"/>
        <v>0</v>
      </c>
      <c r="BG105" s="298">
        <f t="shared" si="73"/>
        <v>0</v>
      </c>
      <c r="BH105" s="298">
        <f t="shared" si="73"/>
        <v>0</v>
      </c>
      <c r="BI105" s="298">
        <f t="shared" si="73"/>
        <v>0</v>
      </c>
      <c r="BJ105" s="298">
        <f t="shared" si="74"/>
        <v>0</v>
      </c>
      <c r="BK105" s="482">
        <v>6</v>
      </c>
      <c r="BL105" s="482">
        <v>6</v>
      </c>
      <c r="BM105" s="482">
        <f>INDEX('Unit Savings Calculations'!$I$4:$I$421,MATCH('Measure-Level Adjustments Tab'!$A105&amp;"_"&amp;'Measure-Level Adjustments Tab'!$B105,'Unit Savings Calculations'!$A$4:$A$421,0))</f>
        <v>6</v>
      </c>
      <c r="BN105" s="482">
        <f t="shared" si="75"/>
        <v>6</v>
      </c>
      <c r="BO105" s="483">
        <f t="shared" si="76"/>
        <v>0</v>
      </c>
      <c r="BP105" s="483">
        <f t="shared" si="76"/>
        <v>0</v>
      </c>
      <c r="BQ105" s="483">
        <f t="shared" si="76"/>
        <v>0</v>
      </c>
      <c r="BR105" s="483">
        <f t="shared" si="76"/>
        <v>0</v>
      </c>
      <c r="BS105" s="483">
        <f t="shared" si="56"/>
        <v>0</v>
      </c>
    </row>
    <row r="106" spans="1:71" ht="15.75" customHeight="1">
      <c r="A106" s="292" t="str">
        <f>'Unit Savings Calculations'!C102</f>
        <v>Res - MF Standard Rebates</v>
      </c>
      <c r="B106" s="292" t="str">
        <f>'Unit Savings Calculations'!D102</f>
        <v>Steam Traps - Test</v>
      </c>
      <c r="C106" s="293">
        <f t="shared" si="78"/>
        <v>0</v>
      </c>
      <c r="D106" s="292" t="str">
        <f>'Unit Savings Calculations'!T102</f>
        <v>Custom</v>
      </c>
      <c r="E106" s="438">
        <v>3</v>
      </c>
      <c r="F106" s="438">
        <v>3</v>
      </c>
      <c r="G106" s="292" t="str">
        <f>'Unit Savings Calculations'!E102</f>
        <v>each</v>
      </c>
      <c r="H106" s="294">
        <f>'Unit Savings Calculations'!$F102*'Unit Savings Calculations'!J102</f>
        <v>0</v>
      </c>
      <c r="I106" s="294">
        <f>'Unit Savings Calculations'!$F102*'Unit Savings Calculations'!K102</f>
        <v>0</v>
      </c>
      <c r="J106" s="294">
        <f>'Unit Savings Calculations'!$F102*'Unit Savings Calculations'!L102</f>
        <v>0</v>
      </c>
      <c r="K106" s="294">
        <f>'Unit Savings Calculations'!$F102*'Unit Savings Calculations'!M102</f>
        <v>0</v>
      </c>
      <c r="L106" s="292" t="str">
        <f>'Unit Savings Calculations'!U102</f>
        <v>Custom</v>
      </c>
      <c r="M106" s="383" t="str">
        <f>'Unit Savings Calculations'!R102</f>
        <v>Custom</v>
      </c>
      <c r="N106" s="295">
        <v>0</v>
      </c>
      <c r="O106" s="295">
        <v>0</v>
      </c>
      <c r="P106" s="295">
        <v>0</v>
      </c>
      <c r="Q106" s="295">
        <v>0</v>
      </c>
      <c r="R106" s="296">
        <f>'Unit Savings Calculations'!$G102</f>
        <v>0.76</v>
      </c>
      <c r="S106" s="296">
        <f>'Unit Savings Calculations'!$G102</f>
        <v>0.76</v>
      </c>
      <c r="T106" s="296">
        <f>'Unit Savings Calculations'!$G102</f>
        <v>0.76</v>
      </c>
      <c r="U106" s="296">
        <f>'Unit Savings Calculations'!$G102</f>
        <v>0.76</v>
      </c>
      <c r="V106" s="297">
        <f t="shared" si="79"/>
        <v>0</v>
      </c>
      <c r="W106" s="297">
        <f t="shared" si="80"/>
        <v>0</v>
      </c>
      <c r="X106" s="297">
        <f t="shared" si="81"/>
        <v>0</v>
      </c>
      <c r="Y106" s="297">
        <f t="shared" si="82"/>
        <v>0</v>
      </c>
      <c r="Z106" s="297">
        <f t="shared" si="83"/>
        <v>0</v>
      </c>
      <c r="AA106" s="384"/>
      <c r="AB106" s="384"/>
      <c r="AC106" s="387">
        <v>0</v>
      </c>
      <c r="AD106" s="384"/>
      <c r="AE106" s="385">
        <f t="shared" si="57"/>
        <v>0</v>
      </c>
      <c r="AF106" s="386">
        <f t="shared" si="58"/>
        <v>0</v>
      </c>
      <c r="AG106" s="384"/>
      <c r="AH106" s="384">
        <f t="shared" si="59"/>
        <v>0</v>
      </c>
      <c r="AI106" s="387">
        <v>0</v>
      </c>
      <c r="AJ106" s="435" t="s">
        <v>878</v>
      </c>
      <c r="AK106" s="385">
        <f t="shared" si="60"/>
        <v>0</v>
      </c>
      <c r="AL106" s="386">
        <f t="shared" si="61"/>
        <v>0</v>
      </c>
      <c r="AM106" s="384"/>
      <c r="AN106" s="384"/>
      <c r="AO106" s="387">
        <f>'Unit Savings Calculations'!P102</f>
        <v>0</v>
      </c>
      <c r="AP106" s="435" t="s">
        <v>763</v>
      </c>
      <c r="AQ106" s="385">
        <f t="shared" si="62"/>
        <v>0</v>
      </c>
      <c r="AR106" s="386">
        <f t="shared" si="63"/>
        <v>0</v>
      </c>
      <c r="AS106" s="384"/>
      <c r="AT106" s="384"/>
      <c r="AU106" s="387">
        <f>'Unit Savings Calculations'!Q102</f>
        <v>0</v>
      </c>
      <c r="AV106" s="435" t="str">
        <f t="shared" si="64"/>
        <v>n/a</v>
      </c>
      <c r="AW106" s="385">
        <f t="shared" si="65"/>
        <v>0</v>
      </c>
      <c r="AX106" s="386">
        <f t="shared" si="66"/>
        <v>0</v>
      </c>
      <c r="AY106" s="297">
        <f t="shared" si="67"/>
        <v>0</v>
      </c>
      <c r="AZ106" s="297">
        <f t="shared" si="68"/>
        <v>0</v>
      </c>
      <c r="BA106" s="297">
        <f t="shared" si="69"/>
        <v>0</v>
      </c>
      <c r="BB106" s="297">
        <f t="shared" si="70"/>
        <v>0</v>
      </c>
      <c r="BC106" s="298">
        <f t="shared" si="71"/>
        <v>0</v>
      </c>
      <c r="BD106" s="292" t="s">
        <v>763</v>
      </c>
      <c r="BE106" s="299" t="str">
        <f t="shared" si="72"/>
        <v>Custom</v>
      </c>
      <c r="BF106" s="298">
        <f t="shared" si="73"/>
        <v>0</v>
      </c>
      <c r="BG106" s="298">
        <f t="shared" si="73"/>
        <v>0</v>
      </c>
      <c r="BH106" s="298">
        <f t="shared" si="73"/>
        <v>0</v>
      </c>
      <c r="BI106" s="298">
        <f t="shared" si="73"/>
        <v>0</v>
      </c>
      <c r="BJ106" s="298">
        <f t="shared" si="74"/>
        <v>0</v>
      </c>
      <c r="BK106" s="482">
        <v>3</v>
      </c>
      <c r="BL106" s="482">
        <v>3</v>
      </c>
      <c r="BM106" s="482">
        <f>INDEX('Unit Savings Calculations'!$I$4:$I$421,MATCH('Measure-Level Adjustments Tab'!$A106&amp;"_"&amp;'Measure-Level Adjustments Tab'!$B106,'Unit Savings Calculations'!$A$4:$A$421,0))</f>
        <v>3</v>
      </c>
      <c r="BN106" s="482">
        <f t="shared" si="75"/>
        <v>3</v>
      </c>
      <c r="BO106" s="483">
        <f t="shared" si="76"/>
        <v>0</v>
      </c>
      <c r="BP106" s="483">
        <f t="shared" si="76"/>
        <v>0</v>
      </c>
      <c r="BQ106" s="483">
        <f t="shared" si="76"/>
        <v>0</v>
      </c>
      <c r="BR106" s="483">
        <f t="shared" si="76"/>
        <v>0</v>
      </c>
      <c r="BS106" s="483">
        <f t="shared" si="56"/>
        <v>0</v>
      </c>
    </row>
    <row r="107" spans="1:71" ht="15.75" customHeight="1">
      <c r="A107" s="292" t="str">
        <f>'Unit Savings Calculations'!C103</f>
        <v>Res - MF Standard Rebates</v>
      </c>
      <c r="B107" s="292" t="str">
        <f>'Unit Savings Calculations'!D103</f>
        <v>Thermostat - Programmable</v>
      </c>
      <c r="C107" s="293">
        <f t="shared" si="78"/>
        <v>1</v>
      </c>
      <c r="D107" s="292" t="str">
        <f>'Unit Savings Calculations'!T103</f>
        <v>4.4.18</v>
      </c>
      <c r="E107" s="438">
        <v>4</v>
      </c>
      <c r="F107" s="438">
        <v>4</v>
      </c>
      <c r="G107" s="292" t="str">
        <f>'Unit Savings Calculations'!E103</f>
        <v>each</v>
      </c>
      <c r="H107" s="294">
        <f>'Unit Savings Calculations'!$F103*'Unit Savings Calculations'!J103</f>
        <v>0</v>
      </c>
      <c r="I107" s="294">
        <f>'Unit Savings Calculations'!$F103*'Unit Savings Calculations'!K103</f>
        <v>0</v>
      </c>
      <c r="J107" s="294">
        <f>'Unit Savings Calculations'!$F103*'Unit Savings Calculations'!L103</f>
        <v>0</v>
      </c>
      <c r="K107" s="294">
        <f>'Unit Savings Calculations'!$F103*'Unit Savings Calculations'!M103</f>
        <v>0</v>
      </c>
      <c r="L107" s="292" t="str">
        <f>'Unit Savings Calculations'!U103</f>
        <v>CI-HVC-PROG-V02-150601</v>
      </c>
      <c r="M107" s="383" t="str">
        <f>'Unit Savings Calculations'!R103</f>
        <v>Exhibit 1.5A_R North Shore EEPS_Adjustable_Savings_Goal_Template.xlsx, Thermostat Detail Tab</v>
      </c>
      <c r="N107" s="295">
        <v>124.68584320000001</v>
      </c>
      <c r="O107" s="295">
        <v>124.68584320000001</v>
      </c>
      <c r="P107" s="295">
        <v>124.68584320000001</v>
      </c>
      <c r="Q107" s="295">
        <v>124.68584320000001</v>
      </c>
      <c r="R107" s="296">
        <f>'Unit Savings Calculations'!$G103</f>
        <v>0.76</v>
      </c>
      <c r="S107" s="296">
        <f>'Unit Savings Calculations'!$G103</f>
        <v>0.76</v>
      </c>
      <c r="T107" s="296">
        <f>'Unit Savings Calculations'!$G103</f>
        <v>0.76</v>
      </c>
      <c r="U107" s="296">
        <f>'Unit Savings Calculations'!$G103</f>
        <v>0.76</v>
      </c>
      <c r="V107" s="297">
        <f t="shared" si="79"/>
        <v>0</v>
      </c>
      <c r="W107" s="297">
        <f t="shared" si="80"/>
        <v>0</v>
      </c>
      <c r="X107" s="297">
        <f t="shared" si="81"/>
        <v>0</v>
      </c>
      <c r="Y107" s="297">
        <f t="shared" si="82"/>
        <v>0</v>
      </c>
      <c r="Z107" s="297">
        <f t="shared" si="83"/>
        <v>0</v>
      </c>
      <c r="AA107" s="292"/>
      <c r="AB107" s="292"/>
      <c r="AC107" s="295">
        <v>124.68584320000001</v>
      </c>
      <c r="AD107" s="292"/>
      <c r="AE107" s="297">
        <f t="shared" si="57"/>
        <v>0</v>
      </c>
      <c r="AF107" s="294">
        <f t="shared" si="58"/>
        <v>0</v>
      </c>
      <c r="AG107" s="292"/>
      <c r="AH107" s="292">
        <f t="shared" si="59"/>
        <v>0</v>
      </c>
      <c r="AI107" s="295">
        <v>124.68584320000001</v>
      </c>
      <c r="AJ107" s="383" t="s">
        <v>878</v>
      </c>
      <c r="AK107" s="297">
        <f t="shared" si="60"/>
        <v>0</v>
      </c>
      <c r="AL107" s="294">
        <f t="shared" si="61"/>
        <v>0</v>
      </c>
      <c r="AM107" s="292"/>
      <c r="AN107" s="292"/>
      <c r="AO107" s="295">
        <f>'Unit Savings Calculations'!P103</f>
        <v>124.68584320000001</v>
      </c>
      <c r="AP107" s="383" t="s">
        <v>763</v>
      </c>
      <c r="AQ107" s="297">
        <f t="shared" si="62"/>
        <v>0</v>
      </c>
      <c r="AR107" s="294">
        <f t="shared" si="63"/>
        <v>0</v>
      </c>
      <c r="AS107" s="292"/>
      <c r="AT107" s="292"/>
      <c r="AU107" s="295">
        <f>'Unit Savings Calculations'!Q103</f>
        <v>124.68584320000001</v>
      </c>
      <c r="AV107" s="383" t="str">
        <f t="shared" si="64"/>
        <v>n/a</v>
      </c>
      <c r="AW107" s="297">
        <f t="shared" si="65"/>
        <v>0</v>
      </c>
      <c r="AX107" s="294">
        <f t="shared" si="66"/>
        <v>0</v>
      </c>
      <c r="AY107" s="297">
        <f t="shared" si="67"/>
        <v>0</v>
      </c>
      <c r="AZ107" s="297">
        <f t="shared" si="68"/>
        <v>0</v>
      </c>
      <c r="BA107" s="297">
        <f t="shared" si="69"/>
        <v>0</v>
      </c>
      <c r="BB107" s="297">
        <f t="shared" si="70"/>
        <v>0</v>
      </c>
      <c r="BC107" s="298">
        <f t="shared" si="71"/>
        <v>0</v>
      </c>
      <c r="BD107" s="292" t="s">
        <v>763</v>
      </c>
      <c r="BE107" s="299" t="str">
        <f t="shared" si="72"/>
        <v>Exhibit 1.5A_R North Shore EEPS_Adjustable_Savings_Goal_Template.xlsx, Thermostat Detail Tab</v>
      </c>
      <c r="BF107" s="298">
        <f t="shared" si="73"/>
        <v>0</v>
      </c>
      <c r="BG107" s="298">
        <f t="shared" si="73"/>
        <v>0</v>
      </c>
      <c r="BH107" s="298">
        <f t="shared" si="73"/>
        <v>0</v>
      </c>
      <c r="BI107" s="298">
        <f t="shared" si="73"/>
        <v>0</v>
      </c>
      <c r="BJ107" s="298">
        <f t="shared" si="74"/>
        <v>0</v>
      </c>
      <c r="BK107" s="482">
        <v>4</v>
      </c>
      <c r="BL107" s="482">
        <v>4</v>
      </c>
      <c r="BM107" s="482">
        <f>INDEX('Unit Savings Calculations'!$I$4:$I$421,MATCH('Measure-Level Adjustments Tab'!$A107&amp;"_"&amp;'Measure-Level Adjustments Tab'!$B107,'Unit Savings Calculations'!$A$4:$A$421,0))</f>
        <v>4</v>
      </c>
      <c r="BN107" s="482">
        <f t="shared" si="75"/>
        <v>4</v>
      </c>
      <c r="BO107" s="483">
        <f t="shared" si="76"/>
        <v>0</v>
      </c>
      <c r="BP107" s="483">
        <f t="shared" si="76"/>
        <v>0</v>
      </c>
      <c r="BQ107" s="483">
        <f t="shared" si="76"/>
        <v>0</v>
      </c>
      <c r="BR107" s="483">
        <f t="shared" si="76"/>
        <v>0</v>
      </c>
      <c r="BS107" s="483">
        <f t="shared" si="56"/>
        <v>0</v>
      </c>
    </row>
    <row r="108" spans="1:71" ht="15.75" customHeight="1">
      <c r="A108" s="292" t="str">
        <f>'Unit Savings Calculations'!C104</f>
        <v>Res - MF PTA Rebates</v>
      </c>
      <c r="B108" s="292" t="str">
        <f>'Unit Savings Calculations'!D104</f>
        <v>Air Sealing</v>
      </c>
      <c r="C108" s="293">
        <f t="shared" si="78"/>
        <v>1</v>
      </c>
      <c r="D108" s="292" t="str">
        <f>'Unit Savings Calculations'!T104</f>
        <v>5.6.1</v>
      </c>
      <c r="E108" s="438">
        <v>15</v>
      </c>
      <c r="F108" s="438">
        <v>20</v>
      </c>
      <c r="G108" s="292" t="str">
        <f>'Unit Savings Calculations'!E104</f>
        <v>CFM_50</v>
      </c>
      <c r="H108" s="294">
        <f>'Unit Savings Calculations'!$F104*'Unit Savings Calculations'!J104</f>
        <v>0</v>
      </c>
      <c r="I108" s="294">
        <f>'Unit Savings Calculations'!$F104*'Unit Savings Calculations'!K104</f>
        <v>0</v>
      </c>
      <c r="J108" s="294">
        <f>'Unit Savings Calculations'!$F104*'Unit Savings Calculations'!L104</f>
        <v>0</v>
      </c>
      <c r="K108" s="294">
        <f>'Unit Savings Calculations'!$F104*'Unit Savings Calculations'!M104</f>
        <v>0</v>
      </c>
      <c r="L108" s="292" t="str">
        <f>'Unit Savings Calculations'!U104</f>
        <v>RS-SHL-AIRS-V06-180101</v>
      </c>
      <c r="M108" s="383" t="str">
        <f>'Unit Savings Calculations'!R104</f>
        <v>Exhibit 1.5A_R North Shore EEPS_Adjustable_Savings_Goal_Template.xlsx, Unit Savings Calculations Tab</v>
      </c>
      <c r="N108" s="295">
        <v>8.1010150034689227E-2</v>
      </c>
      <c r="O108" s="295">
        <v>8.1010150034689227E-2</v>
      </c>
      <c r="P108" s="295">
        <v>8.1010150034689227E-2</v>
      </c>
      <c r="Q108" s="295">
        <v>8.1010150034689227E-2</v>
      </c>
      <c r="R108" s="296">
        <f>'Unit Savings Calculations'!$G104</f>
        <v>0.88</v>
      </c>
      <c r="S108" s="296">
        <f>'Unit Savings Calculations'!$G104</f>
        <v>0.88</v>
      </c>
      <c r="T108" s="296">
        <f>'Unit Savings Calculations'!$G104</f>
        <v>0.88</v>
      </c>
      <c r="U108" s="296">
        <f>'Unit Savings Calculations'!$G104</f>
        <v>0.88</v>
      </c>
      <c r="V108" s="297">
        <f t="shared" si="79"/>
        <v>0</v>
      </c>
      <c r="W108" s="297">
        <f t="shared" si="80"/>
        <v>0</v>
      </c>
      <c r="X108" s="297">
        <f t="shared" si="81"/>
        <v>0</v>
      </c>
      <c r="Y108" s="297">
        <f t="shared" si="82"/>
        <v>0</v>
      </c>
      <c r="Z108" s="297">
        <f t="shared" si="83"/>
        <v>0</v>
      </c>
      <c r="AA108" s="292"/>
      <c r="AB108" s="292"/>
      <c r="AC108" s="295">
        <v>8.1010150034689227E-2</v>
      </c>
      <c r="AD108" s="292"/>
      <c r="AE108" s="297">
        <f t="shared" si="57"/>
        <v>0</v>
      </c>
      <c r="AF108" s="294">
        <f t="shared" si="58"/>
        <v>0</v>
      </c>
      <c r="AG108" s="292"/>
      <c r="AH108" s="292">
        <f t="shared" si="59"/>
        <v>0</v>
      </c>
      <c r="AI108" s="295">
        <v>5.8327308024976238E-2</v>
      </c>
      <c r="AJ108" s="383" t="s">
        <v>1041</v>
      </c>
      <c r="AK108" s="297">
        <f t="shared" si="60"/>
        <v>0</v>
      </c>
      <c r="AL108" s="294">
        <f t="shared" si="61"/>
        <v>0</v>
      </c>
      <c r="AM108" s="292"/>
      <c r="AN108" s="292"/>
      <c r="AO108" s="295">
        <f>'Unit Savings Calculations'!P104</f>
        <v>5.8327308024976238E-2</v>
      </c>
      <c r="AP108" s="383" t="s">
        <v>1446</v>
      </c>
      <c r="AQ108" s="297">
        <f t="shared" si="62"/>
        <v>0</v>
      </c>
      <c r="AR108" s="294">
        <f t="shared" si="63"/>
        <v>0</v>
      </c>
      <c r="AS108" s="292"/>
      <c r="AT108" s="292"/>
      <c r="AU108" s="295">
        <f>'Unit Savings Calculations'!Q104</f>
        <v>5.8327308024976238E-2</v>
      </c>
      <c r="AV108" s="383" t="str">
        <f t="shared" si="64"/>
        <v>Updated algorithm with new variables</v>
      </c>
      <c r="AW108" s="297">
        <f t="shared" si="65"/>
        <v>0</v>
      </c>
      <c r="AX108" s="294">
        <f t="shared" si="66"/>
        <v>0</v>
      </c>
      <c r="AY108" s="297">
        <f t="shared" si="67"/>
        <v>0</v>
      </c>
      <c r="AZ108" s="297">
        <f t="shared" si="68"/>
        <v>0</v>
      </c>
      <c r="BA108" s="297">
        <f t="shared" si="69"/>
        <v>0</v>
      </c>
      <c r="BB108" s="297">
        <f t="shared" si="70"/>
        <v>0</v>
      </c>
      <c r="BC108" s="298">
        <f t="shared" si="71"/>
        <v>0</v>
      </c>
      <c r="BD108" s="292" t="s">
        <v>763</v>
      </c>
      <c r="BE108" s="299" t="str">
        <f t="shared" si="72"/>
        <v>Exhibit 1.5A_R North Shore EEPS_Adjustable_Savings_Goal_Template.xlsx, Unit Savings Calculations Tab</v>
      </c>
      <c r="BF108" s="298">
        <f t="shared" si="73"/>
        <v>0</v>
      </c>
      <c r="BG108" s="298">
        <f t="shared" si="73"/>
        <v>0</v>
      </c>
      <c r="BH108" s="298">
        <f t="shared" si="73"/>
        <v>0</v>
      </c>
      <c r="BI108" s="298">
        <f t="shared" si="73"/>
        <v>0</v>
      </c>
      <c r="BJ108" s="298">
        <f t="shared" si="74"/>
        <v>0</v>
      </c>
      <c r="BK108" s="482">
        <v>20</v>
      </c>
      <c r="BL108" s="482">
        <v>20</v>
      </c>
      <c r="BM108" s="482">
        <f>INDEX('Unit Savings Calculations'!$I$4:$I$421,MATCH('Measure-Level Adjustments Tab'!$A108&amp;"_"&amp;'Measure-Level Adjustments Tab'!$B108,'Unit Savings Calculations'!$A$4:$A$421,0))</f>
        <v>20</v>
      </c>
      <c r="BN108" s="482">
        <f t="shared" si="75"/>
        <v>20</v>
      </c>
      <c r="BO108" s="483">
        <f t="shared" si="76"/>
        <v>0</v>
      </c>
      <c r="BP108" s="483">
        <f t="shared" si="76"/>
        <v>0</v>
      </c>
      <c r="BQ108" s="483">
        <f t="shared" si="76"/>
        <v>0</v>
      </c>
      <c r="BR108" s="483">
        <f t="shared" si="76"/>
        <v>0</v>
      </c>
      <c r="BS108" s="483">
        <f t="shared" si="56"/>
        <v>0</v>
      </c>
    </row>
    <row r="109" spans="1:71" ht="15.75" customHeight="1">
      <c r="A109" s="292" t="str">
        <f>'Unit Savings Calculations'!C105</f>
        <v>Res - MF PTA Rebates</v>
      </c>
      <c r="B109" s="292" t="str">
        <f>'Unit Savings Calculations'!D105</f>
        <v>Duct Sealing</v>
      </c>
      <c r="C109" s="293">
        <f t="shared" si="78"/>
        <v>1</v>
      </c>
      <c r="D109" s="292" t="str">
        <f>'Unit Savings Calculations'!T105</f>
        <v>5.3.4</v>
      </c>
      <c r="E109" s="438">
        <v>20</v>
      </c>
      <c r="F109" s="438">
        <v>20</v>
      </c>
      <c r="G109" s="292" t="str">
        <f>'Unit Savings Calculations'!E105</f>
        <v>CFM_25</v>
      </c>
      <c r="H109" s="294">
        <f>'Unit Savings Calculations'!$F105*'Unit Savings Calculations'!J105</f>
        <v>0</v>
      </c>
      <c r="I109" s="294">
        <f>'Unit Savings Calculations'!$F105*'Unit Savings Calculations'!K105</f>
        <v>0</v>
      </c>
      <c r="J109" s="294">
        <f>'Unit Savings Calculations'!$F105*'Unit Savings Calculations'!L105</f>
        <v>0</v>
      </c>
      <c r="K109" s="294">
        <f>'Unit Savings Calculations'!$F105*'Unit Savings Calculations'!M105</f>
        <v>0</v>
      </c>
      <c r="L109" s="292" t="str">
        <f>'Unit Savings Calculations'!U105</f>
        <v>RS-HVC-DINS-V06-160601</v>
      </c>
      <c r="M109" s="383" t="str">
        <f>'Unit Savings Calculations'!R105</f>
        <v>Exhibit 1.5A_R North Shore EEPS_Adjustable_Savings_Goal_Template.xlsx, Unit Savings Calculations Tab</v>
      </c>
      <c r="N109" s="295">
        <v>0.70950058072009281</v>
      </c>
      <c r="O109" s="295">
        <v>0.70950058072009281</v>
      </c>
      <c r="P109" s="295">
        <v>0.70950058072009281</v>
      </c>
      <c r="Q109" s="295">
        <v>0.70950058072009281</v>
      </c>
      <c r="R109" s="296">
        <f>'Unit Savings Calculations'!$G105</f>
        <v>0.88</v>
      </c>
      <c r="S109" s="296">
        <f>'Unit Savings Calculations'!$G105</f>
        <v>0.88</v>
      </c>
      <c r="T109" s="296">
        <f>'Unit Savings Calculations'!$G105</f>
        <v>0.88</v>
      </c>
      <c r="U109" s="296">
        <f>'Unit Savings Calculations'!$G105</f>
        <v>0.88</v>
      </c>
      <c r="V109" s="297">
        <f t="shared" si="79"/>
        <v>0</v>
      </c>
      <c r="W109" s="297">
        <f t="shared" si="80"/>
        <v>0</v>
      </c>
      <c r="X109" s="297">
        <f t="shared" si="81"/>
        <v>0</v>
      </c>
      <c r="Y109" s="297">
        <f t="shared" si="82"/>
        <v>0</v>
      </c>
      <c r="Z109" s="297">
        <f t="shared" si="83"/>
        <v>0</v>
      </c>
      <c r="AA109" s="292"/>
      <c r="AB109" s="292"/>
      <c r="AC109" s="295">
        <v>0.70950058072009281</v>
      </c>
      <c r="AD109" s="292"/>
      <c r="AE109" s="297">
        <f t="shared" si="57"/>
        <v>0</v>
      </c>
      <c r="AF109" s="294">
        <f t="shared" si="58"/>
        <v>0</v>
      </c>
      <c r="AG109" s="292"/>
      <c r="AH109" s="292">
        <f t="shared" si="59"/>
        <v>0</v>
      </c>
      <c r="AI109" s="295">
        <v>0.70950058072009281</v>
      </c>
      <c r="AJ109" s="383" t="s">
        <v>878</v>
      </c>
      <c r="AK109" s="297">
        <f t="shared" si="60"/>
        <v>0</v>
      </c>
      <c r="AL109" s="294">
        <f t="shared" si="61"/>
        <v>0</v>
      </c>
      <c r="AM109" s="292"/>
      <c r="AN109" s="292"/>
      <c r="AO109" s="295">
        <f>'Unit Savings Calculations'!P105</f>
        <v>0.70950058072009281</v>
      </c>
      <c r="AP109" s="383" t="s">
        <v>763</v>
      </c>
      <c r="AQ109" s="297">
        <f t="shared" si="62"/>
        <v>0</v>
      </c>
      <c r="AR109" s="294">
        <f t="shared" si="63"/>
        <v>0</v>
      </c>
      <c r="AS109" s="292"/>
      <c r="AT109" s="292"/>
      <c r="AU109" s="295">
        <f>'Unit Savings Calculations'!Q105</f>
        <v>0.70950058072009281</v>
      </c>
      <c r="AV109" s="383" t="str">
        <f t="shared" si="64"/>
        <v>n/a</v>
      </c>
      <c r="AW109" s="297">
        <f t="shared" si="65"/>
        <v>0</v>
      </c>
      <c r="AX109" s="294">
        <f t="shared" si="66"/>
        <v>0</v>
      </c>
      <c r="AY109" s="297">
        <f t="shared" si="67"/>
        <v>0</v>
      </c>
      <c r="AZ109" s="297">
        <f t="shared" si="68"/>
        <v>0</v>
      </c>
      <c r="BA109" s="297">
        <f t="shared" si="69"/>
        <v>0</v>
      </c>
      <c r="BB109" s="297">
        <f t="shared" si="70"/>
        <v>0</v>
      </c>
      <c r="BC109" s="298">
        <f t="shared" si="71"/>
        <v>0</v>
      </c>
      <c r="BD109" s="292" t="s">
        <v>763</v>
      </c>
      <c r="BE109" s="299" t="str">
        <f t="shared" si="72"/>
        <v>Exhibit 1.5A_R North Shore EEPS_Adjustable_Savings_Goal_Template.xlsx, Unit Savings Calculations Tab</v>
      </c>
      <c r="BF109" s="298">
        <f t="shared" si="73"/>
        <v>0</v>
      </c>
      <c r="BG109" s="298">
        <f t="shared" si="73"/>
        <v>0</v>
      </c>
      <c r="BH109" s="298">
        <f t="shared" si="73"/>
        <v>0</v>
      </c>
      <c r="BI109" s="298">
        <f t="shared" si="73"/>
        <v>0</v>
      </c>
      <c r="BJ109" s="298">
        <f t="shared" si="74"/>
        <v>0</v>
      </c>
      <c r="BK109" s="482">
        <v>20</v>
      </c>
      <c r="BL109" s="482">
        <v>20</v>
      </c>
      <c r="BM109" s="482">
        <f>INDEX('Unit Savings Calculations'!$I$4:$I$421,MATCH('Measure-Level Adjustments Tab'!$A109&amp;"_"&amp;'Measure-Level Adjustments Tab'!$B109,'Unit Savings Calculations'!$A$4:$A$421,0))</f>
        <v>20</v>
      </c>
      <c r="BN109" s="482">
        <f t="shared" si="75"/>
        <v>20</v>
      </c>
      <c r="BO109" s="483">
        <f t="shared" si="76"/>
        <v>0</v>
      </c>
      <c r="BP109" s="483">
        <f t="shared" si="76"/>
        <v>0</v>
      </c>
      <c r="BQ109" s="483">
        <f t="shared" si="76"/>
        <v>0</v>
      </c>
      <c r="BR109" s="483">
        <f t="shared" si="76"/>
        <v>0</v>
      </c>
      <c r="BS109" s="483">
        <f t="shared" si="56"/>
        <v>0</v>
      </c>
    </row>
    <row r="110" spans="1:71" ht="15.75" customHeight="1">
      <c r="A110" s="292" t="str">
        <f>'Unit Savings Calculations'!C106</f>
        <v>Res - MF PTA Rebates</v>
      </c>
      <c r="B110" s="292" t="str">
        <f>'Unit Savings Calculations'!D106</f>
        <v>Boiler ≥88% AFUE, &lt;300MBh</v>
      </c>
      <c r="C110" s="293">
        <f t="shared" si="78"/>
        <v>1</v>
      </c>
      <c r="D110" s="292" t="str">
        <f>'Unit Savings Calculations'!T106</f>
        <v>4.4.10</v>
      </c>
      <c r="E110" s="438">
        <v>20</v>
      </c>
      <c r="F110" s="438">
        <v>20</v>
      </c>
      <c r="G110" s="292" t="str">
        <f>'Unit Savings Calculations'!E106</f>
        <v>MBH</v>
      </c>
      <c r="H110" s="294">
        <f>'Unit Savings Calculations'!$F106*'Unit Savings Calculations'!J106</f>
        <v>0</v>
      </c>
      <c r="I110" s="294">
        <f>'Unit Savings Calculations'!$F106*'Unit Savings Calculations'!K106</f>
        <v>0</v>
      </c>
      <c r="J110" s="294">
        <f>'Unit Savings Calculations'!$F106*'Unit Savings Calculations'!L106</f>
        <v>0</v>
      </c>
      <c r="K110" s="294">
        <f>'Unit Savings Calculations'!$F106*'Unit Savings Calculations'!M106</f>
        <v>0</v>
      </c>
      <c r="L110" s="292" t="str">
        <f>'Unit Savings Calculations'!U106</f>
        <v>CI-HVC-BOIL-V05-150601</v>
      </c>
      <c r="M110" s="383" t="str">
        <f>'Unit Savings Calculations'!R106</f>
        <v>Exhibit 1.5A_R North Shore EEPS_Adjustable_Savings_Goal_Template.xlsx, Unit Savings Calculations Tab</v>
      </c>
      <c r="N110" s="295">
        <v>1.2329268292682938</v>
      </c>
      <c r="O110" s="295">
        <v>1.2329268292682938</v>
      </c>
      <c r="P110" s="295">
        <v>1.2329268292682938</v>
      </c>
      <c r="Q110" s="295">
        <v>1.2329268292682938</v>
      </c>
      <c r="R110" s="296">
        <f>'Unit Savings Calculations'!$G106</f>
        <v>0.88</v>
      </c>
      <c r="S110" s="296">
        <f>'Unit Savings Calculations'!$G106</f>
        <v>0.88</v>
      </c>
      <c r="T110" s="296">
        <f>'Unit Savings Calculations'!$G106</f>
        <v>0.88</v>
      </c>
      <c r="U110" s="296">
        <f>'Unit Savings Calculations'!$G106</f>
        <v>0.88</v>
      </c>
      <c r="V110" s="297">
        <f t="shared" si="79"/>
        <v>0</v>
      </c>
      <c r="W110" s="297">
        <f t="shared" si="80"/>
        <v>0</v>
      </c>
      <c r="X110" s="297">
        <f t="shared" si="81"/>
        <v>0</v>
      </c>
      <c r="Y110" s="297">
        <f t="shared" si="82"/>
        <v>0</v>
      </c>
      <c r="Z110" s="297">
        <f t="shared" si="83"/>
        <v>0</v>
      </c>
      <c r="AA110" s="292"/>
      <c r="AB110" s="292"/>
      <c r="AC110" s="295">
        <v>1.2329268292682938</v>
      </c>
      <c r="AD110" s="292"/>
      <c r="AE110" s="297">
        <f t="shared" si="57"/>
        <v>0</v>
      </c>
      <c r="AF110" s="294">
        <f t="shared" si="58"/>
        <v>0</v>
      </c>
      <c r="AG110" s="292"/>
      <c r="AH110" s="292">
        <f t="shared" si="59"/>
        <v>0</v>
      </c>
      <c r="AI110" s="295">
        <v>1.246829268292684</v>
      </c>
      <c r="AJ110" s="383" t="s">
        <v>878</v>
      </c>
      <c r="AK110" s="297">
        <f t="shared" si="60"/>
        <v>0</v>
      </c>
      <c r="AL110" s="294">
        <f t="shared" si="61"/>
        <v>0</v>
      </c>
      <c r="AM110" s="292"/>
      <c r="AN110" s="292"/>
      <c r="AO110" s="295">
        <f>'Unit Savings Calculations'!P106</f>
        <v>1.3039024390243914</v>
      </c>
      <c r="AP110" s="383" t="s">
        <v>1441</v>
      </c>
      <c r="AQ110" s="297">
        <f t="shared" si="62"/>
        <v>0</v>
      </c>
      <c r="AR110" s="294">
        <f t="shared" si="63"/>
        <v>0</v>
      </c>
      <c r="AS110" s="292"/>
      <c r="AT110" s="292"/>
      <c r="AU110" s="295">
        <f>'Unit Savings Calculations'!Q106</f>
        <v>1.3039024390243914</v>
      </c>
      <c r="AV110" s="383" t="str">
        <f t="shared" si="64"/>
        <v>Updated heating EFLH</v>
      </c>
      <c r="AW110" s="297">
        <f t="shared" si="65"/>
        <v>0</v>
      </c>
      <c r="AX110" s="294">
        <f t="shared" si="66"/>
        <v>0</v>
      </c>
      <c r="AY110" s="297">
        <f t="shared" si="67"/>
        <v>0</v>
      </c>
      <c r="AZ110" s="297">
        <f t="shared" si="68"/>
        <v>0</v>
      </c>
      <c r="BA110" s="297">
        <f t="shared" si="69"/>
        <v>0</v>
      </c>
      <c r="BB110" s="297">
        <f t="shared" si="70"/>
        <v>0</v>
      </c>
      <c r="BC110" s="298">
        <f t="shared" si="71"/>
        <v>0</v>
      </c>
      <c r="BD110" s="292" t="s">
        <v>763</v>
      </c>
      <c r="BE110" s="299" t="str">
        <f t="shared" si="72"/>
        <v>Exhibit 1.5A_R North Shore EEPS_Adjustable_Savings_Goal_Template.xlsx, Unit Savings Calculations Tab</v>
      </c>
      <c r="BF110" s="298">
        <f t="shared" si="73"/>
        <v>0</v>
      </c>
      <c r="BG110" s="298">
        <f t="shared" si="73"/>
        <v>0</v>
      </c>
      <c r="BH110" s="298">
        <f t="shared" si="73"/>
        <v>0</v>
      </c>
      <c r="BI110" s="298">
        <f t="shared" si="73"/>
        <v>0</v>
      </c>
      <c r="BJ110" s="298">
        <f t="shared" si="74"/>
        <v>0</v>
      </c>
      <c r="BK110" s="482">
        <v>20</v>
      </c>
      <c r="BL110" s="482">
        <v>20</v>
      </c>
      <c r="BM110" s="482">
        <f>INDEX('Unit Savings Calculations'!$I$4:$I$421,MATCH('Measure-Level Adjustments Tab'!$A110&amp;"_"&amp;'Measure-Level Adjustments Tab'!$B110,'Unit Savings Calculations'!$A$4:$A$421,0))</f>
        <v>25</v>
      </c>
      <c r="BN110" s="482">
        <f t="shared" si="75"/>
        <v>25</v>
      </c>
      <c r="BO110" s="483">
        <f t="shared" si="76"/>
        <v>0</v>
      </c>
      <c r="BP110" s="483">
        <f t="shared" si="76"/>
        <v>0</v>
      </c>
      <c r="BQ110" s="483">
        <f t="shared" si="76"/>
        <v>0</v>
      </c>
      <c r="BR110" s="483">
        <f t="shared" si="76"/>
        <v>0</v>
      </c>
      <c r="BS110" s="483">
        <f t="shared" si="56"/>
        <v>0</v>
      </c>
    </row>
    <row r="111" spans="1:71" ht="15.75" customHeight="1">
      <c r="A111" s="292" t="str">
        <f>'Unit Savings Calculations'!C107</f>
        <v>Res - MF PTA Rebates</v>
      </c>
      <c r="B111" s="292" t="str">
        <f>'Unit Savings Calculations'!D107</f>
        <v>Boiler ≥88% AFUE, ≥300MBh TE</v>
      </c>
      <c r="C111" s="293">
        <f t="shared" si="78"/>
        <v>1</v>
      </c>
      <c r="D111" s="292" t="str">
        <f>'Unit Savings Calculations'!T107</f>
        <v>4.4.10</v>
      </c>
      <c r="E111" s="438">
        <v>20</v>
      </c>
      <c r="F111" s="438">
        <v>20</v>
      </c>
      <c r="G111" s="292" t="str">
        <f>'Unit Savings Calculations'!E107</f>
        <v>MBH</v>
      </c>
      <c r="H111" s="294">
        <f>'Unit Savings Calculations'!$F107*'Unit Savings Calculations'!J107</f>
        <v>0</v>
      </c>
      <c r="I111" s="294">
        <f>'Unit Savings Calculations'!$F107*'Unit Savings Calculations'!K107</f>
        <v>0</v>
      </c>
      <c r="J111" s="294">
        <f>'Unit Savings Calculations'!$F107*'Unit Savings Calculations'!L107</f>
        <v>0</v>
      </c>
      <c r="K111" s="294">
        <f>'Unit Savings Calculations'!$F107*'Unit Savings Calculations'!M107</f>
        <v>0</v>
      </c>
      <c r="L111" s="292" t="str">
        <f>'Unit Savings Calculations'!U107</f>
        <v>CI-HVC-BOIL-V05-150601</v>
      </c>
      <c r="M111" s="383" t="str">
        <f>'Unit Savings Calculations'!R107</f>
        <v>Exhibit 1.5A_R North Shore EEPS_Adjustable_Savings_Goal_Template.xlsx, Unit Savings Calculations Tab</v>
      </c>
      <c r="N111" s="295">
        <v>1.6849999999999989</v>
      </c>
      <c r="O111" s="295">
        <v>1.6849999999999989</v>
      </c>
      <c r="P111" s="295">
        <v>1.6849999999999989</v>
      </c>
      <c r="Q111" s="295">
        <v>1.6849999999999989</v>
      </c>
      <c r="R111" s="296">
        <f>'Unit Savings Calculations'!$G107</f>
        <v>0.88</v>
      </c>
      <c r="S111" s="296">
        <f>'Unit Savings Calculations'!$G107</f>
        <v>0.88</v>
      </c>
      <c r="T111" s="296">
        <f>'Unit Savings Calculations'!$G107</f>
        <v>0.88</v>
      </c>
      <c r="U111" s="296">
        <f>'Unit Savings Calculations'!$G107</f>
        <v>0.88</v>
      </c>
      <c r="V111" s="297">
        <f t="shared" si="79"/>
        <v>0</v>
      </c>
      <c r="W111" s="297">
        <f t="shared" si="80"/>
        <v>0</v>
      </c>
      <c r="X111" s="297">
        <f t="shared" si="81"/>
        <v>0</v>
      </c>
      <c r="Y111" s="297">
        <f t="shared" si="82"/>
        <v>0</v>
      </c>
      <c r="Z111" s="297">
        <f t="shared" si="83"/>
        <v>0</v>
      </c>
      <c r="AA111" s="292"/>
      <c r="AB111" s="292"/>
      <c r="AC111" s="295">
        <v>1.6849999999999989</v>
      </c>
      <c r="AD111" s="292"/>
      <c r="AE111" s="297">
        <f t="shared" si="57"/>
        <v>0</v>
      </c>
      <c r="AF111" s="294">
        <f t="shared" si="58"/>
        <v>0</v>
      </c>
      <c r="AG111" s="292"/>
      <c r="AH111" s="292">
        <f t="shared" si="59"/>
        <v>0</v>
      </c>
      <c r="AI111" s="295">
        <v>1.7039999999999993</v>
      </c>
      <c r="AJ111" s="383" t="s">
        <v>878</v>
      </c>
      <c r="AK111" s="297">
        <f t="shared" si="60"/>
        <v>0</v>
      </c>
      <c r="AL111" s="294">
        <f t="shared" si="61"/>
        <v>0</v>
      </c>
      <c r="AM111" s="292"/>
      <c r="AN111" s="292"/>
      <c r="AO111" s="295">
        <f>'Unit Savings Calculations'!P107</f>
        <v>1.7819999999999991</v>
      </c>
      <c r="AP111" s="383" t="s">
        <v>1441</v>
      </c>
      <c r="AQ111" s="297">
        <f t="shared" si="62"/>
        <v>0</v>
      </c>
      <c r="AR111" s="294">
        <f t="shared" si="63"/>
        <v>0</v>
      </c>
      <c r="AS111" s="292"/>
      <c r="AT111" s="292"/>
      <c r="AU111" s="295">
        <f>'Unit Savings Calculations'!Q107</f>
        <v>1.7819999999999991</v>
      </c>
      <c r="AV111" s="383" t="str">
        <f t="shared" si="64"/>
        <v>Updated heating EFLH</v>
      </c>
      <c r="AW111" s="297">
        <f t="shared" si="65"/>
        <v>0</v>
      </c>
      <c r="AX111" s="294">
        <f t="shared" si="66"/>
        <v>0</v>
      </c>
      <c r="AY111" s="297">
        <f t="shared" si="67"/>
        <v>0</v>
      </c>
      <c r="AZ111" s="297">
        <f t="shared" si="68"/>
        <v>0</v>
      </c>
      <c r="BA111" s="297">
        <f t="shared" si="69"/>
        <v>0</v>
      </c>
      <c r="BB111" s="297">
        <f t="shared" si="70"/>
        <v>0</v>
      </c>
      <c r="BC111" s="298">
        <f t="shared" si="71"/>
        <v>0</v>
      </c>
      <c r="BD111" s="292" t="s">
        <v>763</v>
      </c>
      <c r="BE111" s="299" t="str">
        <f t="shared" si="72"/>
        <v>Exhibit 1.5A_R North Shore EEPS_Adjustable_Savings_Goal_Template.xlsx, Unit Savings Calculations Tab</v>
      </c>
      <c r="BF111" s="298">
        <f t="shared" si="73"/>
        <v>0</v>
      </c>
      <c r="BG111" s="298">
        <f t="shared" si="73"/>
        <v>0</v>
      </c>
      <c r="BH111" s="298">
        <f t="shared" si="73"/>
        <v>0</v>
      </c>
      <c r="BI111" s="298">
        <f t="shared" si="73"/>
        <v>0</v>
      </c>
      <c r="BJ111" s="298">
        <f t="shared" si="74"/>
        <v>0</v>
      </c>
      <c r="BK111" s="482">
        <v>20</v>
      </c>
      <c r="BL111" s="482">
        <v>20</v>
      </c>
      <c r="BM111" s="482">
        <f>INDEX('Unit Savings Calculations'!$I$4:$I$421,MATCH('Measure-Level Adjustments Tab'!$A111&amp;"_"&amp;'Measure-Level Adjustments Tab'!$B111,'Unit Savings Calculations'!$A$4:$A$421,0))</f>
        <v>25</v>
      </c>
      <c r="BN111" s="482">
        <f t="shared" si="75"/>
        <v>25</v>
      </c>
      <c r="BO111" s="483">
        <f t="shared" si="76"/>
        <v>0</v>
      </c>
      <c r="BP111" s="483">
        <f t="shared" si="76"/>
        <v>0</v>
      </c>
      <c r="BQ111" s="483">
        <f t="shared" si="76"/>
        <v>0</v>
      </c>
      <c r="BR111" s="483">
        <f t="shared" si="76"/>
        <v>0</v>
      </c>
      <c r="BS111" s="483">
        <f t="shared" si="56"/>
        <v>0</v>
      </c>
    </row>
    <row r="112" spans="1:71" ht="15.75" customHeight="1">
      <c r="A112" s="292" t="str">
        <f>'Unit Savings Calculations'!C108</f>
        <v>Res - MF PTA Rebates</v>
      </c>
      <c r="B112" s="292" t="str">
        <f>'Unit Savings Calculations'!D108</f>
        <v>Boiler Reset Controls</v>
      </c>
      <c r="C112" s="293">
        <f t="shared" si="78"/>
        <v>1</v>
      </c>
      <c r="D112" s="292" t="str">
        <f>'Unit Savings Calculations'!T108</f>
        <v>4.4.4</v>
      </c>
      <c r="E112" s="438">
        <v>20</v>
      </c>
      <c r="F112" s="438">
        <v>20</v>
      </c>
      <c r="G112" s="292" t="str">
        <f>'Unit Savings Calculations'!E108</f>
        <v>each</v>
      </c>
      <c r="H112" s="294">
        <f>'Unit Savings Calculations'!$F108*'Unit Savings Calculations'!J108</f>
        <v>2800</v>
      </c>
      <c r="I112" s="294">
        <f>'Unit Savings Calculations'!$F108*'Unit Savings Calculations'!K108</f>
        <v>2800</v>
      </c>
      <c r="J112" s="294">
        <f>'Unit Savings Calculations'!$F108*'Unit Savings Calculations'!L108</f>
        <v>2800</v>
      </c>
      <c r="K112" s="294">
        <f>'Unit Savings Calculations'!$F108*'Unit Savings Calculations'!M108</f>
        <v>2800</v>
      </c>
      <c r="L112" s="292" t="str">
        <f>'Unit Savings Calculations'!U108</f>
        <v>CI-HVC-BLRC-V03-150601</v>
      </c>
      <c r="M112" s="383" t="str">
        <f>'Unit Savings Calculations'!R108</f>
        <v>Exhibit 1.5A_R North Shore EEPS_Adjustable_Savings_Goal_Template.xlsx, Unit Savings Calculations Tab</v>
      </c>
      <c r="N112" s="295">
        <v>1.3480000000000001</v>
      </c>
      <c r="O112" s="295">
        <v>1.3480000000000001</v>
      </c>
      <c r="P112" s="295">
        <v>1.3480000000000001</v>
      </c>
      <c r="Q112" s="295">
        <v>1.3480000000000001</v>
      </c>
      <c r="R112" s="296">
        <f>'Unit Savings Calculations'!$G108</f>
        <v>0.88</v>
      </c>
      <c r="S112" s="296">
        <f>'Unit Savings Calculations'!$G108</f>
        <v>0.88</v>
      </c>
      <c r="T112" s="296">
        <f>'Unit Savings Calculations'!$G108</f>
        <v>0.88</v>
      </c>
      <c r="U112" s="296">
        <f>'Unit Savings Calculations'!$G108</f>
        <v>0.88</v>
      </c>
      <c r="V112" s="297">
        <f t="shared" si="79"/>
        <v>3321.4720000000002</v>
      </c>
      <c r="W112" s="297">
        <f t="shared" si="80"/>
        <v>3321.4720000000002</v>
      </c>
      <c r="X112" s="297">
        <f t="shared" si="81"/>
        <v>3321.4720000000002</v>
      </c>
      <c r="Y112" s="297">
        <f t="shared" si="82"/>
        <v>3321.4720000000002</v>
      </c>
      <c r="Z112" s="297">
        <f t="shared" si="83"/>
        <v>13285.888000000001</v>
      </c>
      <c r="AA112" s="292"/>
      <c r="AB112" s="292"/>
      <c r="AC112" s="295">
        <v>1.3480000000000001</v>
      </c>
      <c r="AD112" s="292"/>
      <c r="AE112" s="297">
        <f t="shared" si="57"/>
        <v>3321.4720000000002</v>
      </c>
      <c r="AF112" s="294">
        <f t="shared" si="58"/>
        <v>0</v>
      </c>
      <c r="AG112" s="292"/>
      <c r="AH112" s="292">
        <f t="shared" si="59"/>
        <v>0</v>
      </c>
      <c r="AI112" s="295">
        <v>1.3632</v>
      </c>
      <c r="AJ112" s="383" t="s">
        <v>878</v>
      </c>
      <c r="AK112" s="297">
        <f t="shared" si="60"/>
        <v>3358.9248000000002</v>
      </c>
      <c r="AL112" s="294">
        <f t="shared" si="61"/>
        <v>37.452800000000025</v>
      </c>
      <c r="AM112" s="292"/>
      <c r="AN112" s="292"/>
      <c r="AO112" s="295">
        <f>'Unit Savings Calculations'!P108</f>
        <v>1.4256</v>
      </c>
      <c r="AP112" s="383" t="s">
        <v>1441</v>
      </c>
      <c r="AQ112" s="297">
        <f t="shared" si="62"/>
        <v>3512.6783999999998</v>
      </c>
      <c r="AR112" s="294">
        <f t="shared" si="63"/>
        <v>191.20639999999958</v>
      </c>
      <c r="AS112" s="292"/>
      <c r="AT112" s="292"/>
      <c r="AU112" s="295">
        <f>'Unit Savings Calculations'!Q108</f>
        <v>1.4256</v>
      </c>
      <c r="AV112" s="383" t="str">
        <f t="shared" si="64"/>
        <v>Updated heating EFLH</v>
      </c>
      <c r="AW112" s="297">
        <f t="shared" si="65"/>
        <v>3512.6783999999998</v>
      </c>
      <c r="AX112" s="294">
        <f t="shared" si="66"/>
        <v>191.20639999999958</v>
      </c>
      <c r="AY112" s="297">
        <f t="shared" si="67"/>
        <v>3321.4720000000002</v>
      </c>
      <c r="AZ112" s="297">
        <f t="shared" si="68"/>
        <v>3358.9248000000002</v>
      </c>
      <c r="BA112" s="297">
        <f t="shared" si="69"/>
        <v>3512.6783999999998</v>
      </c>
      <c r="BB112" s="297">
        <f t="shared" si="70"/>
        <v>3512.6783999999998</v>
      </c>
      <c r="BC112" s="298">
        <f t="shared" si="71"/>
        <v>13705.7536</v>
      </c>
      <c r="BD112" s="292" t="s">
        <v>763</v>
      </c>
      <c r="BE112" s="299" t="str">
        <f t="shared" si="72"/>
        <v>Exhibit 1.5A_R North Shore EEPS_Adjustable_Savings_Goal_Template.xlsx, Unit Savings Calculations Tab</v>
      </c>
      <c r="BF112" s="298">
        <f t="shared" si="73"/>
        <v>66429.440000000002</v>
      </c>
      <c r="BG112" s="298">
        <f t="shared" si="73"/>
        <v>66429.440000000002</v>
      </c>
      <c r="BH112" s="298">
        <f t="shared" si="73"/>
        <v>66429.440000000002</v>
      </c>
      <c r="BI112" s="298">
        <f t="shared" si="73"/>
        <v>66429.440000000002</v>
      </c>
      <c r="BJ112" s="298">
        <f t="shared" si="74"/>
        <v>265717.76000000001</v>
      </c>
      <c r="BK112" s="482">
        <v>20</v>
      </c>
      <c r="BL112" s="482">
        <v>20</v>
      </c>
      <c r="BM112" s="482">
        <f>INDEX('Unit Savings Calculations'!$I$4:$I$421,MATCH('Measure-Level Adjustments Tab'!$A112&amp;"_"&amp;'Measure-Level Adjustments Tab'!$B112,'Unit Savings Calculations'!$A$4:$A$421,0))</f>
        <v>20</v>
      </c>
      <c r="BN112" s="482">
        <f t="shared" si="75"/>
        <v>20</v>
      </c>
      <c r="BO112" s="483">
        <f t="shared" si="76"/>
        <v>66429.440000000002</v>
      </c>
      <c r="BP112" s="483">
        <f t="shared" si="76"/>
        <v>67178.495999999999</v>
      </c>
      <c r="BQ112" s="483">
        <f t="shared" si="76"/>
        <v>70253.567999999999</v>
      </c>
      <c r="BR112" s="483">
        <f t="shared" si="76"/>
        <v>70253.567999999999</v>
      </c>
      <c r="BS112" s="483">
        <f t="shared" si="56"/>
        <v>274115.07199999999</v>
      </c>
    </row>
    <row r="113" spans="1:71" ht="15.75" customHeight="1">
      <c r="A113" s="292" t="str">
        <f>'Unit Savings Calculations'!C109</f>
        <v>Res - MF PTA Rebates</v>
      </c>
      <c r="B113" s="292" t="str">
        <f>'Unit Savings Calculations'!D109</f>
        <v>Boiler Tune Up - Process</v>
      </c>
      <c r="C113" s="293">
        <f t="shared" si="78"/>
        <v>1</v>
      </c>
      <c r="D113" s="292" t="str">
        <f>'Unit Savings Calculations'!T109</f>
        <v>4.4.3</v>
      </c>
      <c r="E113" s="438">
        <v>3</v>
      </c>
      <c r="F113" s="438">
        <v>3</v>
      </c>
      <c r="G113" s="292" t="str">
        <f>'Unit Savings Calculations'!E109</f>
        <v>MBH</v>
      </c>
      <c r="H113" s="294">
        <f>'Unit Savings Calculations'!$F109*'Unit Savings Calculations'!J109</f>
        <v>2600</v>
      </c>
      <c r="I113" s="294">
        <f>'Unit Savings Calculations'!$F109*'Unit Savings Calculations'!K109</f>
        <v>2600</v>
      </c>
      <c r="J113" s="294">
        <f>'Unit Savings Calculations'!$F109*'Unit Savings Calculations'!L109</f>
        <v>2600</v>
      </c>
      <c r="K113" s="294">
        <f>'Unit Savings Calculations'!$F109*'Unit Savings Calculations'!M109</f>
        <v>2600</v>
      </c>
      <c r="L113" s="292" t="str">
        <f>'Unit Savings Calculations'!U109</f>
        <v>CI-HVC-PBTU-V05-160601</v>
      </c>
      <c r="M113" s="383" t="str">
        <f>'Unit Savings Calculations'!R109</f>
        <v>Exhibit 1.5A_R North Shore EEPS_Adjustable_Savings_Goal_Template.xlsx, Unit Savings Calculations Tab</v>
      </c>
      <c r="N113" s="295">
        <v>0.83823507428978783</v>
      </c>
      <c r="O113" s="295">
        <v>0.83823507428978783</v>
      </c>
      <c r="P113" s="295">
        <v>0.83823507428978783</v>
      </c>
      <c r="Q113" s="295">
        <v>0.83823507428978783</v>
      </c>
      <c r="R113" s="296">
        <f>'Unit Savings Calculations'!$G109</f>
        <v>0.88</v>
      </c>
      <c r="S113" s="296">
        <f>'Unit Savings Calculations'!$G109</f>
        <v>0.88</v>
      </c>
      <c r="T113" s="296">
        <f>'Unit Savings Calculations'!$G109</f>
        <v>0.88</v>
      </c>
      <c r="U113" s="296">
        <f>'Unit Savings Calculations'!$G109</f>
        <v>0.88</v>
      </c>
      <c r="V113" s="297">
        <f t="shared" si="79"/>
        <v>1917.8818499750346</v>
      </c>
      <c r="W113" s="297">
        <f t="shared" si="80"/>
        <v>1917.8818499750346</v>
      </c>
      <c r="X113" s="297">
        <f t="shared" si="81"/>
        <v>1917.8818499750346</v>
      </c>
      <c r="Y113" s="297">
        <f t="shared" si="82"/>
        <v>1917.8818499750346</v>
      </c>
      <c r="Z113" s="297">
        <f t="shared" si="83"/>
        <v>7671.5273999001383</v>
      </c>
      <c r="AA113" s="292"/>
      <c r="AB113" s="292"/>
      <c r="AC113" s="295">
        <v>0.83823507428978783</v>
      </c>
      <c r="AD113" s="292"/>
      <c r="AE113" s="297">
        <f t="shared" si="57"/>
        <v>1917.8818499750346</v>
      </c>
      <c r="AF113" s="294">
        <f t="shared" si="58"/>
        <v>0</v>
      </c>
      <c r="AG113" s="292"/>
      <c r="AH113" s="292">
        <f t="shared" si="59"/>
        <v>0</v>
      </c>
      <c r="AI113" s="295">
        <v>0.83823507428978783</v>
      </c>
      <c r="AJ113" s="383" t="s">
        <v>878</v>
      </c>
      <c r="AK113" s="297">
        <f t="shared" si="60"/>
        <v>1917.8818499750346</v>
      </c>
      <c r="AL113" s="294">
        <f t="shared" si="61"/>
        <v>0</v>
      </c>
      <c r="AM113" s="292"/>
      <c r="AN113" s="292"/>
      <c r="AO113" s="295">
        <f>'Unit Savings Calculations'!P109</f>
        <v>0.83823507428978783</v>
      </c>
      <c r="AP113" s="383" t="s">
        <v>763</v>
      </c>
      <c r="AQ113" s="297">
        <f t="shared" si="62"/>
        <v>1917.8818499750346</v>
      </c>
      <c r="AR113" s="294">
        <f t="shared" si="63"/>
        <v>0</v>
      </c>
      <c r="AS113" s="292"/>
      <c r="AT113" s="292"/>
      <c r="AU113" s="295">
        <f>'Unit Savings Calculations'!Q109</f>
        <v>0.83823507428978783</v>
      </c>
      <c r="AV113" s="383" t="str">
        <f t="shared" si="64"/>
        <v>n/a</v>
      </c>
      <c r="AW113" s="297">
        <f t="shared" si="65"/>
        <v>1917.8818499750346</v>
      </c>
      <c r="AX113" s="294">
        <f t="shared" si="66"/>
        <v>0</v>
      </c>
      <c r="AY113" s="297">
        <f t="shared" si="67"/>
        <v>1917.8818499750346</v>
      </c>
      <c r="AZ113" s="297">
        <f t="shared" si="68"/>
        <v>1917.8818499750346</v>
      </c>
      <c r="BA113" s="297">
        <f t="shared" si="69"/>
        <v>1917.8818499750346</v>
      </c>
      <c r="BB113" s="297">
        <f t="shared" si="70"/>
        <v>1917.8818499750346</v>
      </c>
      <c r="BC113" s="298">
        <f t="shared" si="71"/>
        <v>7671.5273999001383</v>
      </c>
      <c r="BD113" s="292" t="s">
        <v>763</v>
      </c>
      <c r="BE113" s="299" t="str">
        <f t="shared" si="72"/>
        <v>Exhibit 1.5A_R North Shore EEPS_Adjustable_Savings_Goal_Template.xlsx, Unit Savings Calculations Tab</v>
      </c>
      <c r="BF113" s="298">
        <f t="shared" si="73"/>
        <v>5753.6455499251042</v>
      </c>
      <c r="BG113" s="298">
        <f t="shared" si="73"/>
        <v>5753.6455499251042</v>
      </c>
      <c r="BH113" s="298">
        <f t="shared" si="73"/>
        <v>5753.6455499251042</v>
      </c>
      <c r="BI113" s="298">
        <f t="shared" si="73"/>
        <v>5753.6455499251042</v>
      </c>
      <c r="BJ113" s="298">
        <f t="shared" si="74"/>
        <v>23014.582199700417</v>
      </c>
      <c r="BK113" s="482">
        <v>3</v>
      </c>
      <c r="BL113" s="482">
        <v>3</v>
      </c>
      <c r="BM113" s="482">
        <f>INDEX('Unit Savings Calculations'!$I$4:$I$421,MATCH('Measure-Level Adjustments Tab'!$A113&amp;"_"&amp;'Measure-Level Adjustments Tab'!$B113,'Unit Savings Calculations'!$A$4:$A$421,0))</f>
        <v>3</v>
      </c>
      <c r="BN113" s="482">
        <f t="shared" si="75"/>
        <v>3</v>
      </c>
      <c r="BO113" s="483">
        <f t="shared" si="76"/>
        <v>5753.6455499251042</v>
      </c>
      <c r="BP113" s="483">
        <f t="shared" si="76"/>
        <v>5753.6455499251042</v>
      </c>
      <c r="BQ113" s="483">
        <f t="shared" si="76"/>
        <v>5753.6455499251042</v>
      </c>
      <c r="BR113" s="483">
        <f t="shared" si="76"/>
        <v>5753.6455499251042</v>
      </c>
      <c r="BS113" s="483">
        <f t="shared" si="56"/>
        <v>23014.582199700417</v>
      </c>
    </row>
    <row r="114" spans="1:71" ht="15.75" customHeight="1">
      <c r="A114" s="292" t="str">
        <f>'Unit Savings Calculations'!C110</f>
        <v>Res - MF PTA Rebates</v>
      </c>
      <c r="B114" s="292" t="str">
        <f>'Unit Savings Calculations'!D110</f>
        <v>Boiler Tune Up - Space Heating</v>
      </c>
      <c r="C114" s="293">
        <f t="shared" si="78"/>
        <v>1</v>
      </c>
      <c r="D114" s="292" t="str">
        <f>'Unit Savings Calculations'!T110</f>
        <v>4.4.2</v>
      </c>
      <c r="E114" s="438">
        <v>3</v>
      </c>
      <c r="F114" s="438">
        <v>3</v>
      </c>
      <c r="G114" s="292" t="str">
        <f>'Unit Savings Calculations'!E110</f>
        <v>MBH</v>
      </c>
      <c r="H114" s="294">
        <f>'Unit Savings Calculations'!$F110*'Unit Savings Calculations'!J110</f>
        <v>2600</v>
      </c>
      <c r="I114" s="294">
        <f>'Unit Savings Calculations'!$F110*'Unit Savings Calculations'!K110</f>
        <v>2600</v>
      </c>
      <c r="J114" s="294">
        <f>'Unit Savings Calculations'!$F110*'Unit Savings Calculations'!L110</f>
        <v>2600</v>
      </c>
      <c r="K114" s="294">
        <f>'Unit Savings Calculations'!$F110*'Unit Savings Calculations'!M110</f>
        <v>2600</v>
      </c>
      <c r="L114" s="292" t="str">
        <f>'Unit Savings Calculations'!U110</f>
        <v>CI-HVC-BLRT-V06-160601</v>
      </c>
      <c r="M114" s="383" t="str">
        <f>'Unit Savings Calculations'!R110</f>
        <v>Exhibit 1.5A_R North Shore EEPS_Adjustable_Savings_Goal_Template.xlsx, Unit Savings Calculations Tab</v>
      </c>
      <c r="N114" s="295">
        <v>0.393528767789805</v>
      </c>
      <c r="O114" s="295">
        <v>0.393528767789805</v>
      </c>
      <c r="P114" s="295">
        <v>0.393528767789805</v>
      </c>
      <c r="Q114" s="295">
        <v>0.393528767789805</v>
      </c>
      <c r="R114" s="296">
        <f>'Unit Savings Calculations'!$G110</f>
        <v>0.88</v>
      </c>
      <c r="S114" s="296">
        <f>'Unit Savings Calculations'!$G110</f>
        <v>0.88</v>
      </c>
      <c r="T114" s="296">
        <f>'Unit Savings Calculations'!$G110</f>
        <v>0.88</v>
      </c>
      <c r="U114" s="296">
        <f>'Unit Savings Calculations'!$G110</f>
        <v>0.88</v>
      </c>
      <c r="V114" s="297">
        <f t="shared" si="79"/>
        <v>900.39382070307386</v>
      </c>
      <c r="W114" s="297">
        <f t="shared" si="80"/>
        <v>900.39382070307386</v>
      </c>
      <c r="X114" s="297">
        <f t="shared" si="81"/>
        <v>900.39382070307386</v>
      </c>
      <c r="Y114" s="297">
        <f t="shared" si="82"/>
        <v>900.39382070307386</v>
      </c>
      <c r="Z114" s="297">
        <f t="shared" si="83"/>
        <v>3601.5752828122954</v>
      </c>
      <c r="AA114" s="292"/>
      <c r="AB114" s="292"/>
      <c r="AC114" s="295">
        <v>0.393528767789805</v>
      </c>
      <c r="AD114" s="292"/>
      <c r="AE114" s="297">
        <f t="shared" si="57"/>
        <v>900.39382070307386</v>
      </c>
      <c r="AF114" s="294">
        <f t="shared" si="58"/>
        <v>0</v>
      </c>
      <c r="AG114" s="292"/>
      <c r="AH114" s="292">
        <f t="shared" si="59"/>
        <v>0</v>
      </c>
      <c r="AI114" s="295">
        <v>0.39796618416250901</v>
      </c>
      <c r="AJ114" s="383" t="s">
        <v>878</v>
      </c>
      <c r="AK114" s="297">
        <f t="shared" si="60"/>
        <v>910.54662936382056</v>
      </c>
      <c r="AL114" s="294">
        <f t="shared" si="61"/>
        <v>10.1528086607467</v>
      </c>
      <c r="AM114" s="292"/>
      <c r="AN114" s="292"/>
      <c r="AO114" s="295">
        <f>'Unit Savings Calculations'!P110</f>
        <v>0.41618294611360979</v>
      </c>
      <c r="AP114" s="383" t="s">
        <v>1441</v>
      </c>
      <c r="AQ114" s="297">
        <f t="shared" si="62"/>
        <v>952.22658070793909</v>
      </c>
      <c r="AR114" s="294">
        <f t="shared" si="63"/>
        <v>51.832760004865236</v>
      </c>
      <c r="AS114" s="292"/>
      <c r="AT114" s="292"/>
      <c r="AU114" s="295">
        <f>'Unit Savings Calculations'!Q110</f>
        <v>0.41618294611360979</v>
      </c>
      <c r="AV114" s="383" t="str">
        <f t="shared" si="64"/>
        <v>Updated heating EFLH</v>
      </c>
      <c r="AW114" s="297">
        <f t="shared" si="65"/>
        <v>952.22658070793909</v>
      </c>
      <c r="AX114" s="294">
        <f t="shared" si="66"/>
        <v>51.832760004865236</v>
      </c>
      <c r="AY114" s="297">
        <f t="shared" si="67"/>
        <v>900.39382070307386</v>
      </c>
      <c r="AZ114" s="297">
        <f t="shared" si="68"/>
        <v>910.54662936382056</v>
      </c>
      <c r="BA114" s="297">
        <f t="shared" si="69"/>
        <v>952.22658070793909</v>
      </c>
      <c r="BB114" s="297">
        <f t="shared" si="70"/>
        <v>952.22658070793909</v>
      </c>
      <c r="BC114" s="298">
        <f t="shared" si="71"/>
        <v>3715.3936114827729</v>
      </c>
      <c r="BD114" s="292" t="s">
        <v>763</v>
      </c>
      <c r="BE114" s="299" t="str">
        <f t="shared" si="72"/>
        <v>Exhibit 1.5A_R North Shore EEPS_Adjustable_Savings_Goal_Template.xlsx, Unit Savings Calculations Tab</v>
      </c>
      <c r="BF114" s="298">
        <f t="shared" si="73"/>
        <v>2701.1814621092217</v>
      </c>
      <c r="BG114" s="298">
        <f t="shared" si="73"/>
        <v>2701.1814621092217</v>
      </c>
      <c r="BH114" s="298">
        <f t="shared" si="73"/>
        <v>2701.1814621092217</v>
      </c>
      <c r="BI114" s="298">
        <f t="shared" si="73"/>
        <v>2701.1814621092217</v>
      </c>
      <c r="BJ114" s="298">
        <f t="shared" si="74"/>
        <v>10804.725848436887</v>
      </c>
      <c r="BK114" s="482">
        <v>3</v>
      </c>
      <c r="BL114" s="482">
        <v>3</v>
      </c>
      <c r="BM114" s="482">
        <f>INDEX('Unit Savings Calculations'!$I$4:$I$421,MATCH('Measure-Level Adjustments Tab'!$A114&amp;"_"&amp;'Measure-Level Adjustments Tab'!$B114,'Unit Savings Calculations'!$A$4:$A$421,0))</f>
        <v>3</v>
      </c>
      <c r="BN114" s="482">
        <f t="shared" si="75"/>
        <v>3</v>
      </c>
      <c r="BO114" s="483">
        <f t="shared" si="76"/>
        <v>2701.1814621092217</v>
      </c>
      <c r="BP114" s="483">
        <f t="shared" si="76"/>
        <v>2731.6398880914617</v>
      </c>
      <c r="BQ114" s="483">
        <f t="shared" si="76"/>
        <v>2856.6797421238171</v>
      </c>
      <c r="BR114" s="483">
        <f t="shared" si="76"/>
        <v>2856.6797421238171</v>
      </c>
      <c r="BS114" s="483">
        <f t="shared" si="56"/>
        <v>11146.180834448318</v>
      </c>
    </row>
    <row r="115" spans="1:71" ht="15.75" customHeight="1">
      <c r="A115" s="292" t="str">
        <f>'Unit Savings Calculations'!C111</f>
        <v>Res - MF PTA Rebates</v>
      </c>
      <c r="B115" s="292" t="str">
        <f>'Unit Savings Calculations'!D111</f>
        <v>Condensing Unit Heater</v>
      </c>
      <c r="C115" s="293">
        <f t="shared" si="78"/>
        <v>1</v>
      </c>
      <c r="D115" s="292" t="str">
        <f>'Unit Savings Calculations'!T111</f>
        <v>4.4.5</v>
      </c>
      <c r="E115" s="438">
        <v>12</v>
      </c>
      <c r="F115" s="438">
        <v>12</v>
      </c>
      <c r="G115" s="292" t="str">
        <f>'Unit Savings Calculations'!E111</f>
        <v>MBH</v>
      </c>
      <c r="H115" s="294">
        <f>'Unit Savings Calculations'!$F111*'Unit Savings Calculations'!J111</f>
        <v>0</v>
      </c>
      <c r="I115" s="294">
        <f>'Unit Savings Calculations'!$F111*'Unit Savings Calculations'!K111</f>
        <v>0</v>
      </c>
      <c r="J115" s="294">
        <f>'Unit Savings Calculations'!$F111*'Unit Savings Calculations'!L111</f>
        <v>0</v>
      </c>
      <c r="K115" s="294">
        <f>'Unit Savings Calculations'!$F111*'Unit Savings Calculations'!M111</f>
        <v>0</v>
      </c>
      <c r="L115" s="292" t="str">
        <f>'Unit Savings Calculations'!U111</f>
        <v>CI-HVC-CUHT-V01-120601</v>
      </c>
      <c r="M115" s="383" t="str">
        <f>'Unit Savings Calculations'!R111</f>
        <v>Exhibit 1.5A_R North Shore EEPS_Adjustable_Savings_Goal_Template.xlsx, Unit Savings Calculations Tab</v>
      </c>
      <c r="N115" s="295">
        <v>1.7733333333333334</v>
      </c>
      <c r="O115" s="295">
        <v>1.7733333333333334</v>
      </c>
      <c r="P115" s="295">
        <v>1.7733333333333334</v>
      </c>
      <c r="Q115" s="295">
        <v>1.7733333333333334</v>
      </c>
      <c r="R115" s="296">
        <f>'Unit Savings Calculations'!$G111</f>
        <v>0.88</v>
      </c>
      <c r="S115" s="296">
        <f>'Unit Savings Calculations'!$G111</f>
        <v>0.88</v>
      </c>
      <c r="T115" s="296">
        <f>'Unit Savings Calculations'!$G111</f>
        <v>0.88</v>
      </c>
      <c r="U115" s="296">
        <f>'Unit Savings Calculations'!$G111</f>
        <v>0.88</v>
      </c>
      <c r="V115" s="297">
        <f t="shared" si="79"/>
        <v>0</v>
      </c>
      <c r="W115" s="297">
        <f t="shared" si="80"/>
        <v>0</v>
      </c>
      <c r="X115" s="297">
        <f t="shared" si="81"/>
        <v>0</v>
      </c>
      <c r="Y115" s="297">
        <f t="shared" si="82"/>
        <v>0</v>
      </c>
      <c r="Z115" s="297">
        <f t="shared" si="83"/>
        <v>0</v>
      </c>
      <c r="AA115" s="292"/>
      <c r="AB115" s="292"/>
      <c r="AC115" s="295">
        <v>1.7733333333333334</v>
      </c>
      <c r="AD115" s="292"/>
      <c r="AE115" s="297">
        <f t="shared" si="57"/>
        <v>0</v>
      </c>
      <c r="AF115" s="294">
        <f t="shared" si="58"/>
        <v>0</v>
      </c>
      <c r="AG115" s="292"/>
      <c r="AH115" s="292">
        <f t="shared" si="59"/>
        <v>0</v>
      </c>
      <c r="AI115" s="295">
        <v>1.7733333333333334</v>
      </c>
      <c r="AJ115" s="383" t="s">
        <v>878</v>
      </c>
      <c r="AK115" s="297">
        <f t="shared" si="60"/>
        <v>0</v>
      </c>
      <c r="AL115" s="294">
        <f t="shared" si="61"/>
        <v>0</v>
      </c>
      <c r="AM115" s="292"/>
      <c r="AN115" s="292"/>
      <c r="AO115" s="295">
        <f>'Unit Savings Calculations'!P111</f>
        <v>1.7733333333333334</v>
      </c>
      <c r="AP115" s="383" t="s">
        <v>763</v>
      </c>
      <c r="AQ115" s="297">
        <f t="shared" si="62"/>
        <v>0</v>
      </c>
      <c r="AR115" s="294">
        <f t="shared" si="63"/>
        <v>0</v>
      </c>
      <c r="AS115" s="292"/>
      <c r="AT115" s="292"/>
      <c r="AU115" s="295">
        <f>'Unit Savings Calculations'!Q111</f>
        <v>1.7733333333333334</v>
      </c>
      <c r="AV115" s="383" t="str">
        <f t="shared" si="64"/>
        <v>n/a</v>
      </c>
      <c r="AW115" s="297">
        <f t="shared" si="65"/>
        <v>0</v>
      </c>
      <c r="AX115" s="294">
        <f t="shared" si="66"/>
        <v>0</v>
      </c>
      <c r="AY115" s="297">
        <f t="shared" si="67"/>
        <v>0</v>
      </c>
      <c r="AZ115" s="297">
        <f t="shared" si="68"/>
        <v>0</v>
      </c>
      <c r="BA115" s="297">
        <f t="shared" si="69"/>
        <v>0</v>
      </c>
      <c r="BB115" s="297">
        <f t="shared" si="70"/>
        <v>0</v>
      </c>
      <c r="BC115" s="298">
        <f t="shared" si="71"/>
        <v>0</v>
      </c>
      <c r="BD115" s="292" t="s">
        <v>763</v>
      </c>
      <c r="BE115" s="299" t="str">
        <f t="shared" si="72"/>
        <v>Exhibit 1.5A_R North Shore EEPS_Adjustable_Savings_Goal_Template.xlsx, Unit Savings Calculations Tab</v>
      </c>
      <c r="BF115" s="298">
        <f t="shared" si="73"/>
        <v>0</v>
      </c>
      <c r="BG115" s="298">
        <f t="shared" si="73"/>
        <v>0</v>
      </c>
      <c r="BH115" s="298">
        <f t="shared" si="73"/>
        <v>0</v>
      </c>
      <c r="BI115" s="298">
        <f t="shared" si="73"/>
        <v>0</v>
      </c>
      <c r="BJ115" s="298">
        <f t="shared" si="74"/>
        <v>0</v>
      </c>
      <c r="BK115" s="482">
        <v>12</v>
      </c>
      <c r="BL115" s="482">
        <v>12</v>
      </c>
      <c r="BM115" s="482">
        <f>INDEX('Unit Savings Calculations'!$I$4:$I$421,MATCH('Measure-Level Adjustments Tab'!$A115&amp;"_"&amp;'Measure-Level Adjustments Tab'!$B115,'Unit Savings Calculations'!$A$4:$A$421,0))</f>
        <v>12</v>
      </c>
      <c r="BN115" s="482">
        <f t="shared" si="75"/>
        <v>12</v>
      </c>
      <c r="BO115" s="483">
        <f t="shared" si="76"/>
        <v>0</v>
      </c>
      <c r="BP115" s="483">
        <f t="shared" si="76"/>
        <v>0</v>
      </c>
      <c r="BQ115" s="483">
        <f t="shared" si="76"/>
        <v>0</v>
      </c>
      <c r="BR115" s="483">
        <f t="shared" si="76"/>
        <v>0</v>
      </c>
      <c r="BS115" s="483">
        <f t="shared" si="56"/>
        <v>0</v>
      </c>
    </row>
    <row r="116" spans="1:71" ht="15.75" customHeight="1">
      <c r="A116" s="292" t="str">
        <f>'Unit Savings Calculations'!C112</f>
        <v>Res - MF PTA Rebates</v>
      </c>
      <c r="B116" s="292" t="str">
        <f>'Unit Savings Calculations'!D112</f>
        <v>Direct Fired Heaters</v>
      </c>
      <c r="C116" s="293">
        <f t="shared" si="78"/>
        <v>0</v>
      </c>
      <c r="D116" s="292" t="str">
        <f>'Unit Savings Calculations'!T112</f>
        <v>Custom</v>
      </c>
      <c r="E116" s="438">
        <v>20</v>
      </c>
      <c r="F116" s="438">
        <v>20</v>
      </c>
      <c r="G116" s="292" t="str">
        <f>'Unit Savings Calculations'!E112</f>
        <v>MBH</v>
      </c>
      <c r="H116" s="294">
        <f>'Unit Savings Calculations'!$F112*'Unit Savings Calculations'!J112</f>
        <v>0</v>
      </c>
      <c r="I116" s="294">
        <f>'Unit Savings Calculations'!$F112*'Unit Savings Calculations'!K112</f>
        <v>0</v>
      </c>
      <c r="J116" s="294">
        <f>'Unit Savings Calculations'!$F112*'Unit Savings Calculations'!L112</f>
        <v>0</v>
      </c>
      <c r="K116" s="294">
        <f>'Unit Savings Calculations'!$F112*'Unit Savings Calculations'!M112</f>
        <v>0</v>
      </c>
      <c r="L116" s="292" t="str">
        <f>'Unit Savings Calculations'!U112</f>
        <v>Custom</v>
      </c>
      <c r="M116" s="383" t="str">
        <f>'Unit Savings Calculations'!R112</f>
        <v>Custom</v>
      </c>
      <c r="N116" s="295">
        <v>2.3932499999999983</v>
      </c>
      <c r="O116" s="295">
        <v>2.3932499999999983</v>
      </c>
      <c r="P116" s="295">
        <v>2.3932499999999983</v>
      </c>
      <c r="Q116" s="295">
        <v>2.3932499999999983</v>
      </c>
      <c r="R116" s="296">
        <f>'Unit Savings Calculations'!$G112</f>
        <v>0.88</v>
      </c>
      <c r="S116" s="296">
        <f>'Unit Savings Calculations'!$G112</f>
        <v>0.88</v>
      </c>
      <c r="T116" s="296">
        <f>'Unit Savings Calculations'!$G112</f>
        <v>0.88</v>
      </c>
      <c r="U116" s="296">
        <f>'Unit Savings Calculations'!$G112</f>
        <v>0.88</v>
      </c>
      <c r="V116" s="297">
        <f t="shared" si="79"/>
        <v>0</v>
      </c>
      <c r="W116" s="297">
        <f t="shared" si="80"/>
        <v>0</v>
      </c>
      <c r="X116" s="297">
        <f t="shared" si="81"/>
        <v>0</v>
      </c>
      <c r="Y116" s="297">
        <f t="shared" si="82"/>
        <v>0</v>
      </c>
      <c r="Z116" s="297">
        <f t="shared" si="83"/>
        <v>0</v>
      </c>
      <c r="AA116" s="384"/>
      <c r="AB116" s="384"/>
      <c r="AC116" s="387">
        <v>2.3932499999999983</v>
      </c>
      <c r="AD116" s="384"/>
      <c r="AE116" s="385">
        <f t="shared" si="57"/>
        <v>0</v>
      </c>
      <c r="AF116" s="386">
        <f t="shared" si="58"/>
        <v>0</v>
      </c>
      <c r="AG116" s="384"/>
      <c r="AH116" s="384">
        <f t="shared" si="59"/>
        <v>0</v>
      </c>
      <c r="AI116" s="387">
        <v>2.3932499999999983</v>
      </c>
      <c r="AJ116" s="435" t="s">
        <v>878</v>
      </c>
      <c r="AK116" s="385">
        <f t="shared" si="60"/>
        <v>0</v>
      </c>
      <c r="AL116" s="386">
        <f t="shared" si="61"/>
        <v>0</v>
      </c>
      <c r="AM116" s="384"/>
      <c r="AN116" s="384"/>
      <c r="AO116" s="387">
        <f>'Unit Savings Calculations'!P112</f>
        <v>2.4914999999999985</v>
      </c>
      <c r="AP116" s="435" t="s">
        <v>1441</v>
      </c>
      <c r="AQ116" s="385">
        <f t="shared" si="62"/>
        <v>0</v>
      </c>
      <c r="AR116" s="386">
        <f t="shared" si="63"/>
        <v>0</v>
      </c>
      <c r="AS116" s="384"/>
      <c r="AT116" s="384"/>
      <c r="AU116" s="387">
        <f>'Unit Savings Calculations'!Q112</f>
        <v>2.4914999999999985</v>
      </c>
      <c r="AV116" s="435" t="str">
        <f t="shared" si="64"/>
        <v>Updated heating EFLH</v>
      </c>
      <c r="AW116" s="385">
        <f t="shared" si="65"/>
        <v>0</v>
      </c>
      <c r="AX116" s="386">
        <f t="shared" si="66"/>
        <v>0</v>
      </c>
      <c r="AY116" s="297">
        <f t="shared" si="67"/>
        <v>0</v>
      </c>
      <c r="AZ116" s="297">
        <f t="shared" si="68"/>
        <v>0</v>
      </c>
      <c r="BA116" s="297">
        <f t="shared" si="69"/>
        <v>0</v>
      </c>
      <c r="BB116" s="297">
        <f t="shared" si="70"/>
        <v>0</v>
      </c>
      <c r="BC116" s="298">
        <f t="shared" si="71"/>
        <v>0</v>
      </c>
      <c r="BD116" s="292" t="s">
        <v>763</v>
      </c>
      <c r="BE116" s="299" t="str">
        <f t="shared" si="72"/>
        <v>Custom</v>
      </c>
      <c r="BF116" s="298">
        <f t="shared" si="73"/>
        <v>0</v>
      </c>
      <c r="BG116" s="298">
        <f t="shared" si="73"/>
        <v>0</v>
      </c>
      <c r="BH116" s="298">
        <f t="shared" si="73"/>
        <v>0</v>
      </c>
      <c r="BI116" s="298">
        <f t="shared" si="73"/>
        <v>0</v>
      </c>
      <c r="BJ116" s="298">
        <f t="shared" si="74"/>
        <v>0</v>
      </c>
      <c r="BK116" s="482">
        <v>20</v>
      </c>
      <c r="BL116" s="482">
        <v>20</v>
      </c>
      <c r="BM116" s="482">
        <f>INDEX('Unit Savings Calculations'!$I$4:$I$421,MATCH('Measure-Level Adjustments Tab'!$A116&amp;"_"&amp;'Measure-Level Adjustments Tab'!$B116,'Unit Savings Calculations'!$A$4:$A$421,0))</f>
        <v>20</v>
      </c>
      <c r="BN116" s="482">
        <f t="shared" si="75"/>
        <v>20</v>
      </c>
      <c r="BO116" s="483">
        <f t="shared" si="76"/>
        <v>0</v>
      </c>
      <c r="BP116" s="483">
        <f t="shared" si="76"/>
        <v>0</v>
      </c>
      <c r="BQ116" s="483">
        <f t="shared" si="76"/>
        <v>0</v>
      </c>
      <c r="BR116" s="483">
        <f t="shared" si="76"/>
        <v>0</v>
      </c>
      <c r="BS116" s="483">
        <f t="shared" si="56"/>
        <v>0</v>
      </c>
    </row>
    <row r="117" spans="1:71" ht="15.75" customHeight="1">
      <c r="A117" s="292" t="str">
        <f>'Unit Savings Calculations'!C113</f>
        <v>Res - MF PTA Rebates</v>
      </c>
      <c r="B117" s="292" t="str">
        <f>'Unit Savings Calculations'!D113</f>
        <v>Furnace &gt;95% AFUE</v>
      </c>
      <c r="C117" s="293">
        <f t="shared" si="78"/>
        <v>1</v>
      </c>
      <c r="D117" s="292" t="str">
        <f>'Unit Savings Calculations'!T113</f>
        <v>4.4.11</v>
      </c>
      <c r="E117" s="438">
        <v>16</v>
      </c>
      <c r="F117" s="438">
        <v>16</v>
      </c>
      <c r="G117" s="292" t="str">
        <f>'Unit Savings Calculations'!E113</f>
        <v>each</v>
      </c>
      <c r="H117" s="294">
        <f>'Unit Savings Calculations'!$F113*'Unit Savings Calculations'!J113</f>
        <v>4</v>
      </c>
      <c r="I117" s="294">
        <f>'Unit Savings Calculations'!$F113*'Unit Savings Calculations'!K113</f>
        <v>4</v>
      </c>
      <c r="J117" s="294">
        <f>'Unit Savings Calculations'!$F113*'Unit Savings Calculations'!L113</f>
        <v>4</v>
      </c>
      <c r="K117" s="294">
        <f>'Unit Savings Calculations'!$F113*'Unit Savings Calculations'!M113</f>
        <v>4</v>
      </c>
      <c r="L117" s="292" t="str">
        <f>'Unit Savings Calculations'!U113</f>
        <v>CI-HVC-FRNC-V07-180101</v>
      </c>
      <c r="M117" s="383" t="str">
        <f>'Unit Savings Calculations'!R113</f>
        <v>Exhibit 1.5A_R North Shore EEPS_Adjustable_Savings_Goal_Template.xlsx, Unit Savings Calculations Tab</v>
      </c>
      <c r="N117" s="295">
        <v>240.11249999999984</v>
      </c>
      <c r="O117" s="295">
        <v>240.11249999999984</v>
      </c>
      <c r="P117" s="295">
        <v>240.11249999999984</v>
      </c>
      <c r="Q117" s="295">
        <v>240.11249999999984</v>
      </c>
      <c r="R117" s="296">
        <f>'Unit Savings Calculations'!$G113</f>
        <v>0.88</v>
      </c>
      <c r="S117" s="296">
        <f>'Unit Savings Calculations'!$G113</f>
        <v>0.88</v>
      </c>
      <c r="T117" s="296">
        <f>'Unit Savings Calculations'!$G113</f>
        <v>0.88</v>
      </c>
      <c r="U117" s="296">
        <f>'Unit Savings Calculations'!$G113</f>
        <v>0.88</v>
      </c>
      <c r="V117" s="297">
        <f t="shared" si="79"/>
        <v>845.19599999999946</v>
      </c>
      <c r="W117" s="297">
        <f t="shared" si="80"/>
        <v>845.19599999999946</v>
      </c>
      <c r="X117" s="297">
        <f t="shared" si="81"/>
        <v>845.19599999999946</v>
      </c>
      <c r="Y117" s="297">
        <f t="shared" si="82"/>
        <v>845.19599999999946</v>
      </c>
      <c r="Z117" s="297">
        <f t="shared" si="83"/>
        <v>3380.7839999999978</v>
      </c>
      <c r="AA117" s="292"/>
      <c r="AB117" s="292"/>
      <c r="AC117" s="295">
        <v>240.11249999999984</v>
      </c>
      <c r="AD117" s="292"/>
      <c r="AE117" s="297">
        <f t="shared" si="57"/>
        <v>845.19599999999946</v>
      </c>
      <c r="AF117" s="294">
        <f t="shared" si="58"/>
        <v>0</v>
      </c>
      <c r="AG117" s="292"/>
      <c r="AH117" s="292">
        <f t="shared" si="59"/>
        <v>0</v>
      </c>
      <c r="AI117" s="295">
        <v>242.81999999999985</v>
      </c>
      <c r="AJ117" s="383" t="s">
        <v>878</v>
      </c>
      <c r="AK117" s="297">
        <f t="shared" si="60"/>
        <v>854.72639999999944</v>
      </c>
      <c r="AL117" s="294">
        <f t="shared" si="61"/>
        <v>9.530399999999986</v>
      </c>
      <c r="AM117" s="292"/>
      <c r="AN117" s="292"/>
      <c r="AO117" s="295">
        <f>'Unit Savings Calculations'!P113</f>
        <v>253.93499999999986</v>
      </c>
      <c r="AP117" s="383" t="s">
        <v>1441</v>
      </c>
      <c r="AQ117" s="297">
        <f t="shared" si="62"/>
        <v>893.85119999999949</v>
      </c>
      <c r="AR117" s="294">
        <f t="shared" si="63"/>
        <v>48.655200000000036</v>
      </c>
      <c r="AS117" s="292"/>
      <c r="AT117" s="292"/>
      <c r="AU117" s="295">
        <f>'Unit Savings Calculations'!Q113</f>
        <v>253.93499999999986</v>
      </c>
      <c r="AV117" s="383" t="str">
        <f t="shared" si="64"/>
        <v>Updated heating EFLH</v>
      </c>
      <c r="AW117" s="297">
        <f t="shared" si="65"/>
        <v>893.85119999999949</v>
      </c>
      <c r="AX117" s="294">
        <f t="shared" si="66"/>
        <v>48.655200000000036</v>
      </c>
      <c r="AY117" s="297">
        <f t="shared" si="67"/>
        <v>845.19599999999946</v>
      </c>
      <c r="AZ117" s="297">
        <f t="shared" si="68"/>
        <v>854.72639999999944</v>
      </c>
      <c r="BA117" s="297">
        <f t="shared" si="69"/>
        <v>893.85119999999949</v>
      </c>
      <c r="BB117" s="297">
        <f t="shared" si="70"/>
        <v>893.85119999999949</v>
      </c>
      <c r="BC117" s="298">
        <f t="shared" si="71"/>
        <v>3487.6247999999982</v>
      </c>
      <c r="BD117" s="292" t="s">
        <v>763</v>
      </c>
      <c r="BE117" s="299" t="str">
        <f t="shared" si="72"/>
        <v>Exhibit 1.5A_R North Shore EEPS_Adjustable_Savings_Goal_Template.xlsx, Unit Savings Calculations Tab</v>
      </c>
      <c r="BF117" s="298">
        <f t="shared" si="73"/>
        <v>13523.135999999991</v>
      </c>
      <c r="BG117" s="298">
        <f t="shared" si="73"/>
        <v>13523.135999999991</v>
      </c>
      <c r="BH117" s="298">
        <f t="shared" si="73"/>
        <v>13523.135999999991</v>
      </c>
      <c r="BI117" s="298">
        <f t="shared" si="73"/>
        <v>13523.135999999991</v>
      </c>
      <c r="BJ117" s="298">
        <f t="shared" si="74"/>
        <v>54092.543999999965</v>
      </c>
      <c r="BK117" s="482">
        <v>16</v>
      </c>
      <c r="BL117" s="482">
        <v>16</v>
      </c>
      <c r="BM117" s="482">
        <f>INDEX('Unit Savings Calculations'!$I$4:$I$421,MATCH('Measure-Level Adjustments Tab'!$A117&amp;"_"&amp;'Measure-Level Adjustments Tab'!$B117,'Unit Savings Calculations'!$A$4:$A$421,0))</f>
        <v>16</v>
      </c>
      <c r="BN117" s="482">
        <f t="shared" si="75"/>
        <v>16</v>
      </c>
      <c r="BO117" s="483">
        <f t="shared" si="76"/>
        <v>13523.135999999991</v>
      </c>
      <c r="BP117" s="483">
        <f t="shared" si="76"/>
        <v>13675.622399999991</v>
      </c>
      <c r="BQ117" s="483">
        <f t="shared" si="76"/>
        <v>14301.619199999992</v>
      </c>
      <c r="BR117" s="483">
        <f t="shared" si="76"/>
        <v>14301.619199999992</v>
      </c>
      <c r="BS117" s="483">
        <f t="shared" si="56"/>
        <v>55801.996799999972</v>
      </c>
    </row>
    <row r="118" spans="1:71" ht="15.75" customHeight="1">
      <c r="A118" s="292" t="str">
        <f>'Unit Savings Calculations'!C114</f>
        <v>Res - MF PTA Rebates</v>
      </c>
      <c r="B118" s="292" t="str">
        <f>'Unit Savings Calculations'!D114</f>
        <v>Furnace &gt;95% AFUE (MF Unit)</v>
      </c>
      <c r="C118" s="293">
        <f t="shared" si="78"/>
        <v>1</v>
      </c>
      <c r="D118" s="292" t="str">
        <f>'Unit Savings Calculations'!T114</f>
        <v>5.3.7</v>
      </c>
      <c r="E118" s="438">
        <v>20</v>
      </c>
      <c r="F118" s="438">
        <v>20</v>
      </c>
      <c r="G118" s="292" t="str">
        <f>'Unit Savings Calculations'!E114</f>
        <v>each</v>
      </c>
      <c r="H118" s="294">
        <f>'Unit Savings Calculations'!$F114*'Unit Savings Calculations'!J114</f>
        <v>0</v>
      </c>
      <c r="I118" s="294">
        <f>'Unit Savings Calculations'!$F114*'Unit Savings Calculations'!K114</f>
        <v>0</v>
      </c>
      <c r="J118" s="294">
        <f>'Unit Savings Calculations'!$F114*'Unit Savings Calculations'!L114</f>
        <v>0</v>
      </c>
      <c r="K118" s="294">
        <f>'Unit Savings Calculations'!$F114*'Unit Savings Calculations'!M114</f>
        <v>0</v>
      </c>
      <c r="L118" s="292" t="str">
        <f>'Unit Savings Calculations'!U114</f>
        <v>RS-HVC-GHEF-V07-180101</v>
      </c>
      <c r="M118" s="383" t="str">
        <f>'Unit Savings Calculations'!R114</f>
        <v>Exhibit 1.5A_R North Shore EEPS_Adjustable_Savings_Goal_Template.xlsx, Unit Savings Calculations Tab</v>
      </c>
      <c r="N118" s="295">
        <v>114.30921052631565</v>
      </c>
      <c r="O118" s="295">
        <v>114.30921052631565</v>
      </c>
      <c r="P118" s="295">
        <v>114.30921052631565</v>
      </c>
      <c r="Q118" s="295">
        <v>114.30921052631565</v>
      </c>
      <c r="R118" s="296">
        <f>'Unit Savings Calculations'!$G114</f>
        <v>0.88</v>
      </c>
      <c r="S118" s="296">
        <f>'Unit Savings Calculations'!$G114</f>
        <v>0.88</v>
      </c>
      <c r="T118" s="296">
        <f>'Unit Savings Calculations'!$G114</f>
        <v>0.88</v>
      </c>
      <c r="U118" s="296">
        <f>'Unit Savings Calculations'!$G114</f>
        <v>0.88</v>
      </c>
      <c r="V118" s="297">
        <f t="shared" si="79"/>
        <v>0</v>
      </c>
      <c r="W118" s="297">
        <f t="shared" si="80"/>
        <v>0</v>
      </c>
      <c r="X118" s="297">
        <f t="shared" si="81"/>
        <v>0</v>
      </c>
      <c r="Y118" s="297">
        <f t="shared" si="82"/>
        <v>0</v>
      </c>
      <c r="Z118" s="297">
        <f t="shared" si="83"/>
        <v>0</v>
      </c>
      <c r="AA118" s="292"/>
      <c r="AB118" s="292"/>
      <c r="AC118" s="295">
        <v>114.30921052631565</v>
      </c>
      <c r="AD118" s="292"/>
      <c r="AE118" s="297">
        <f t="shared" si="57"/>
        <v>0</v>
      </c>
      <c r="AF118" s="294">
        <f t="shared" si="58"/>
        <v>0</v>
      </c>
      <c r="AG118" s="292"/>
      <c r="AH118" s="292">
        <f t="shared" si="59"/>
        <v>0</v>
      </c>
      <c r="AI118" s="295">
        <v>156.41025641025624</v>
      </c>
      <c r="AJ118" s="383" t="s">
        <v>1000</v>
      </c>
      <c r="AK118" s="297">
        <f t="shared" si="60"/>
        <v>0</v>
      </c>
      <c r="AL118" s="294">
        <f t="shared" si="61"/>
        <v>0</v>
      </c>
      <c r="AM118" s="292"/>
      <c r="AN118" s="292"/>
      <c r="AO118" s="295">
        <f>'Unit Savings Calculations'!P114</f>
        <v>156.41025641025624</v>
      </c>
      <c r="AP118" s="383" t="s">
        <v>763</v>
      </c>
      <c r="AQ118" s="297">
        <f t="shared" si="62"/>
        <v>0</v>
      </c>
      <c r="AR118" s="294">
        <f t="shared" si="63"/>
        <v>0</v>
      </c>
      <c r="AS118" s="292"/>
      <c r="AT118" s="292"/>
      <c r="AU118" s="295">
        <f>'Unit Savings Calculations'!Q114</f>
        <v>156.41025641025624</v>
      </c>
      <c r="AV118" s="383" t="str">
        <f t="shared" si="64"/>
        <v>n/a</v>
      </c>
      <c r="AW118" s="297">
        <f t="shared" si="65"/>
        <v>0</v>
      </c>
      <c r="AX118" s="294">
        <f t="shared" si="66"/>
        <v>0</v>
      </c>
      <c r="AY118" s="297">
        <f t="shared" si="67"/>
        <v>0</v>
      </c>
      <c r="AZ118" s="297">
        <f t="shared" si="68"/>
        <v>0</v>
      </c>
      <c r="BA118" s="297">
        <f t="shared" si="69"/>
        <v>0</v>
      </c>
      <c r="BB118" s="297">
        <f t="shared" si="70"/>
        <v>0</v>
      </c>
      <c r="BC118" s="298">
        <f t="shared" si="71"/>
        <v>0</v>
      </c>
      <c r="BD118" s="292" t="s">
        <v>763</v>
      </c>
      <c r="BE118" s="299" t="str">
        <f t="shared" si="72"/>
        <v>Exhibit 1.5A_R North Shore EEPS_Adjustable_Savings_Goal_Template.xlsx, Unit Savings Calculations Tab</v>
      </c>
      <c r="BF118" s="298">
        <f t="shared" si="73"/>
        <v>0</v>
      </c>
      <c r="BG118" s="298">
        <f t="shared" si="73"/>
        <v>0</v>
      </c>
      <c r="BH118" s="298">
        <f t="shared" si="73"/>
        <v>0</v>
      </c>
      <c r="BI118" s="298">
        <f t="shared" si="73"/>
        <v>0</v>
      </c>
      <c r="BJ118" s="298">
        <f t="shared" si="74"/>
        <v>0</v>
      </c>
      <c r="BK118" s="482">
        <v>20</v>
      </c>
      <c r="BL118" s="482">
        <v>20</v>
      </c>
      <c r="BM118" s="482">
        <f>INDEX('Unit Savings Calculations'!$I$4:$I$421,MATCH('Measure-Level Adjustments Tab'!$A118&amp;"_"&amp;'Measure-Level Adjustments Tab'!$B118,'Unit Savings Calculations'!$A$4:$A$421,0))</f>
        <v>20</v>
      </c>
      <c r="BN118" s="482">
        <f t="shared" si="75"/>
        <v>20</v>
      </c>
      <c r="BO118" s="483">
        <f t="shared" si="76"/>
        <v>0</v>
      </c>
      <c r="BP118" s="483">
        <f t="shared" si="76"/>
        <v>0</v>
      </c>
      <c r="BQ118" s="483">
        <f t="shared" si="76"/>
        <v>0</v>
      </c>
      <c r="BR118" s="483">
        <f t="shared" si="76"/>
        <v>0</v>
      </c>
      <c r="BS118" s="483">
        <f t="shared" si="56"/>
        <v>0</v>
      </c>
    </row>
    <row r="119" spans="1:71" ht="15.75" customHeight="1">
      <c r="A119" s="292" t="str">
        <f>'Unit Savings Calculations'!C115</f>
        <v>Res - MF PTA Rebates</v>
      </c>
      <c r="B119" s="292" t="str">
        <f>'Unit Savings Calculations'!D115</f>
        <v>High Speed Washer</v>
      </c>
      <c r="C119" s="293">
        <f t="shared" si="78"/>
        <v>1</v>
      </c>
      <c r="D119" s="292" t="str">
        <f>'Unit Savings Calculations'!T115</f>
        <v>4.8.5</v>
      </c>
      <c r="E119" s="438">
        <v>7</v>
      </c>
      <c r="F119" s="438">
        <v>7</v>
      </c>
      <c r="G119" s="292" t="str">
        <f>'Unit Savings Calculations'!E115</f>
        <v>lb-capacity</v>
      </c>
      <c r="H119" s="294">
        <f>'Unit Savings Calculations'!$F115*'Unit Savings Calculations'!J115</f>
        <v>0</v>
      </c>
      <c r="I119" s="294">
        <f>'Unit Savings Calculations'!$F115*'Unit Savings Calculations'!K115</f>
        <v>0</v>
      </c>
      <c r="J119" s="294">
        <f>'Unit Savings Calculations'!$F115*'Unit Savings Calculations'!L115</f>
        <v>0</v>
      </c>
      <c r="K119" s="294">
        <f>'Unit Savings Calculations'!$F115*'Unit Savings Calculations'!M115</f>
        <v>0</v>
      </c>
      <c r="L119" s="292" t="str">
        <f>'Unit Savings Calculations'!U115</f>
        <v>CI-MSC-HSCW-V01-180101</v>
      </c>
      <c r="M119" s="383" t="str">
        <f>'Unit Savings Calculations'!R115</f>
        <v>Exhibit 1.5A_R North Shore EEPS_Adjustable_Savings_Goal_Template.xlsx, Unit Savings Calculations Tab</v>
      </c>
      <c r="N119" s="295">
        <v>3.6756720000000001</v>
      </c>
      <c r="O119" s="295">
        <v>3.6756720000000001</v>
      </c>
      <c r="P119" s="295">
        <v>3.6756720000000001</v>
      </c>
      <c r="Q119" s="295">
        <v>3.6756720000000001</v>
      </c>
      <c r="R119" s="296">
        <f>'Unit Savings Calculations'!$G115</f>
        <v>0.88</v>
      </c>
      <c r="S119" s="296">
        <f>'Unit Savings Calculations'!$G115</f>
        <v>0.88</v>
      </c>
      <c r="T119" s="296">
        <f>'Unit Savings Calculations'!$G115</f>
        <v>0.88</v>
      </c>
      <c r="U119" s="296">
        <f>'Unit Savings Calculations'!$G115</f>
        <v>0.88</v>
      </c>
      <c r="V119" s="297">
        <f t="shared" si="79"/>
        <v>0</v>
      </c>
      <c r="W119" s="297">
        <f t="shared" si="80"/>
        <v>0</v>
      </c>
      <c r="X119" s="297">
        <f t="shared" si="81"/>
        <v>0</v>
      </c>
      <c r="Y119" s="297">
        <f t="shared" si="82"/>
        <v>0</v>
      </c>
      <c r="Z119" s="297">
        <f t="shared" si="83"/>
        <v>0</v>
      </c>
      <c r="AA119" s="292"/>
      <c r="AB119" s="292"/>
      <c r="AC119" s="295">
        <v>3.6756720000000001</v>
      </c>
      <c r="AD119" s="292"/>
      <c r="AE119" s="297">
        <f t="shared" si="57"/>
        <v>0</v>
      </c>
      <c r="AF119" s="294">
        <f t="shared" si="58"/>
        <v>0</v>
      </c>
      <c r="AG119" s="292"/>
      <c r="AH119" s="292">
        <f t="shared" si="59"/>
        <v>0</v>
      </c>
      <c r="AI119" s="295">
        <v>3.6756720000000001</v>
      </c>
      <c r="AJ119" s="383" t="s">
        <v>878</v>
      </c>
      <c r="AK119" s="297">
        <f t="shared" si="60"/>
        <v>0</v>
      </c>
      <c r="AL119" s="294">
        <f t="shared" si="61"/>
        <v>0</v>
      </c>
      <c r="AM119" s="292"/>
      <c r="AN119" s="292"/>
      <c r="AO119" s="295">
        <f>'Unit Savings Calculations'!P115</f>
        <v>3.6756720000000001</v>
      </c>
      <c r="AP119" s="383" t="s">
        <v>763</v>
      </c>
      <c r="AQ119" s="297">
        <f t="shared" si="62"/>
        <v>0</v>
      </c>
      <c r="AR119" s="294">
        <f t="shared" si="63"/>
        <v>0</v>
      </c>
      <c r="AS119" s="292"/>
      <c r="AT119" s="292"/>
      <c r="AU119" s="295">
        <f>'Unit Savings Calculations'!Q115</f>
        <v>3.6756720000000001</v>
      </c>
      <c r="AV119" s="383" t="str">
        <f t="shared" si="64"/>
        <v>n/a</v>
      </c>
      <c r="AW119" s="297">
        <f t="shared" si="65"/>
        <v>0</v>
      </c>
      <c r="AX119" s="294">
        <f t="shared" si="66"/>
        <v>0</v>
      </c>
      <c r="AY119" s="297">
        <f t="shared" si="67"/>
        <v>0</v>
      </c>
      <c r="AZ119" s="297">
        <f t="shared" si="68"/>
        <v>0</v>
      </c>
      <c r="BA119" s="297">
        <f t="shared" si="69"/>
        <v>0</v>
      </c>
      <c r="BB119" s="297">
        <f t="shared" si="70"/>
        <v>0</v>
      </c>
      <c r="BC119" s="298">
        <f t="shared" si="71"/>
        <v>0</v>
      </c>
      <c r="BD119" s="292" t="s">
        <v>763</v>
      </c>
      <c r="BE119" s="299" t="str">
        <f t="shared" si="72"/>
        <v>Exhibit 1.5A_R North Shore EEPS_Adjustable_Savings_Goal_Template.xlsx, Unit Savings Calculations Tab</v>
      </c>
      <c r="BF119" s="298">
        <f t="shared" si="73"/>
        <v>0</v>
      </c>
      <c r="BG119" s="298">
        <f t="shared" si="73"/>
        <v>0</v>
      </c>
      <c r="BH119" s="298">
        <f t="shared" si="73"/>
        <v>0</v>
      </c>
      <c r="BI119" s="298">
        <f t="shared" si="73"/>
        <v>0</v>
      </c>
      <c r="BJ119" s="298">
        <f t="shared" si="74"/>
        <v>0</v>
      </c>
      <c r="BK119" s="482">
        <v>7</v>
      </c>
      <c r="BL119" s="482">
        <v>7</v>
      </c>
      <c r="BM119" s="482">
        <f>INDEX('Unit Savings Calculations'!$I$4:$I$421,MATCH('Measure-Level Adjustments Tab'!$A119&amp;"_"&amp;'Measure-Level Adjustments Tab'!$B119,'Unit Savings Calculations'!$A$4:$A$421,0))</f>
        <v>7</v>
      </c>
      <c r="BN119" s="482">
        <f t="shared" si="75"/>
        <v>7</v>
      </c>
      <c r="BO119" s="483">
        <f t="shared" si="76"/>
        <v>0</v>
      </c>
      <c r="BP119" s="483">
        <f t="shared" si="76"/>
        <v>0</v>
      </c>
      <c r="BQ119" s="483">
        <f t="shared" si="76"/>
        <v>0</v>
      </c>
      <c r="BR119" s="483">
        <f t="shared" si="76"/>
        <v>0</v>
      </c>
      <c r="BS119" s="483">
        <f t="shared" si="56"/>
        <v>0</v>
      </c>
    </row>
    <row r="120" spans="1:71" ht="15.75" customHeight="1">
      <c r="A120" s="292" t="str">
        <f>'Unit Savings Calculations'!C116</f>
        <v>Res - MF PTA Rebates</v>
      </c>
      <c r="B120" s="292" t="str">
        <f>'Unit Savings Calculations'!D116</f>
        <v>Infrared Heater</v>
      </c>
      <c r="C120" s="293">
        <f t="shared" si="78"/>
        <v>1</v>
      </c>
      <c r="D120" s="292" t="str">
        <f>'Unit Savings Calculations'!T116</f>
        <v>4.4.12</v>
      </c>
      <c r="E120" s="438">
        <v>12</v>
      </c>
      <c r="F120" s="438">
        <v>12</v>
      </c>
      <c r="G120" s="292" t="str">
        <f>'Unit Savings Calculations'!E116</f>
        <v>MBH</v>
      </c>
      <c r="H120" s="294">
        <f>'Unit Savings Calculations'!$F116*'Unit Savings Calculations'!J116</f>
        <v>0</v>
      </c>
      <c r="I120" s="294">
        <f>'Unit Savings Calculations'!$F116*'Unit Savings Calculations'!K116</f>
        <v>0</v>
      </c>
      <c r="J120" s="294">
        <f>'Unit Savings Calculations'!$F116*'Unit Savings Calculations'!L116</f>
        <v>0</v>
      </c>
      <c r="K120" s="294">
        <f>'Unit Savings Calculations'!$F116*'Unit Savings Calculations'!M116</f>
        <v>0</v>
      </c>
      <c r="L120" s="292" t="str">
        <f>'Unit Savings Calculations'!U116</f>
        <v>CI-HVC-IRHT-V01-120601</v>
      </c>
      <c r="M120" s="383" t="str">
        <f>'Unit Savings Calculations'!R116</f>
        <v>Exhibit 1.5A_R North Shore EEPS_Adjustable_Savings_Goal_Template.xlsx, Unit Savings Calculations Tab</v>
      </c>
      <c r="N120" s="295">
        <v>3.0066666666666668</v>
      </c>
      <c r="O120" s="295">
        <v>3.0066666666666668</v>
      </c>
      <c r="P120" s="295">
        <v>3.0066666666666668</v>
      </c>
      <c r="Q120" s="295">
        <v>3.0066666666666668</v>
      </c>
      <c r="R120" s="296">
        <f>'Unit Savings Calculations'!$G116</f>
        <v>0.88</v>
      </c>
      <c r="S120" s="296">
        <f>'Unit Savings Calculations'!$G116</f>
        <v>0.88</v>
      </c>
      <c r="T120" s="296">
        <f>'Unit Savings Calculations'!$G116</f>
        <v>0.88</v>
      </c>
      <c r="U120" s="296">
        <f>'Unit Savings Calculations'!$G116</f>
        <v>0.88</v>
      </c>
      <c r="V120" s="297">
        <f t="shared" si="79"/>
        <v>0</v>
      </c>
      <c r="W120" s="297">
        <f t="shared" si="80"/>
        <v>0</v>
      </c>
      <c r="X120" s="297">
        <f t="shared" si="81"/>
        <v>0</v>
      </c>
      <c r="Y120" s="297">
        <f t="shared" si="82"/>
        <v>0</v>
      </c>
      <c r="Z120" s="297">
        <f t="shared" si="83"/>
        <v>0</v>
      </c>
      <c r="AA120" s="292"/>
      <c r="AB120" s="292"/>
      <c r="AC120" s="295">
        <v>3.0066666666666668</v>
      </c>
      <c r="AD120" s="292"/>
      <c r="AE120" s="297">
        <f t="shared" si="57"/>
        <v>0</v>
      </c>
      <c r="AF120" s="294">
        <f t="shared" si="58"/>
        <v>0</v>
      </c>
      <c r="AG120" s="292"/>
      <c r="AH120" s="292">
        <f t="shared" si="59"/>
        <v>0</v>
      </c>
      <c r="AI120" s="295">
        <v>3.0066666666666668</v>
      </c>
      <c r="AJ120" s="383" t="s">
        <v>878</v>
      </c>
      <c r="AK120" s="297">
        <f t="shared" si="60"/>
        <v>0</v>
      </c>
      <c r="AL120" s="294">
        <f t="shared" si="61"/>
        <v>0</v>
      </c>
      <c r="AM120" s="292"/>
      <c r="AN120" s="292"/>
      <c r="AO120" s="295">
        <f>'Unit Savings Calculations'!P116</f>
        <v>3.0066666666666668</v>
      </c>
      <c r="AP120" s="383" t="s">
        <v>763</v>
      </c>
      <c r="AQ120" s="297">
        <f t="shared" si="62"/>
        <v>0</v>
      </c>
      <c r="AR120" s="294">
        <f t="shared" si="63"/>
        <v>0</v>
      </c>
      <c r="AS120" s="292"/>
      <c r="AT120" s="292"/>
      <c r="AU120" s="295">
        <f>'Unit Savings Calculations'!Q116</f>
        <v>3.0066666666666668</v>
      </c>
      <c r="AV120" s="383" t="str">
        <f t="shared" si="64"/>
        <v>n/a</v>
      </c>
      <c r="AW120" s="297">
        <f t="shared" si="65"/>
        <v>0</v>
      </c>
      <c r="AX120" s="294">
        <f t="shared" si="66"/>
        <v>0</v>
      </c>
      <c r="AY120" s="297">
        <f t="shared" si="67"/>
        <v>0</v>
      </c>
      <c r="AZ120" s="297">
        <f t="shared" si="68"/>
        <v>0</v>
      </c>
      <c r="BA120" s="297">
        <f t="shared" si="69"/>
        <v>0</v>
      </c>
      <c r="BB120" s="297">
        <f t="shared" si="70"/>
        <v>0</v>
      </c>
      <c r="BC120" s="298">
        <f t="shared" si="71"/>
        <v>0</v>
      </c>
      <c r="BD120" s="292" t="s">
        <v>763</v>
      </c>
      <c r="BE120" s="299" t="str">
        <f t="shared" si="72"/>
        <v>Exhibit 1.5A_R North Shore EEPS_Adjustable_Savings_Goal_Template.xlsx, Unit Savings Calculations Tab</v>
      </c>
      <c r="BF120" s="298">
        <f t="shared" si="73"/>
        <v>0</v>
      </c>
      <c r="BG120" s="298">
        <f t="shared" si="73"/>
        <v>0</v>
      </c>
      <c r="BH120" s="298">
        <f t="shared" si="73"/>
        <v>0</v>
      </c>
      <c r="BI120" s="298">
        <f t="shared" si="73"/>
        <v>0</v>
      </c>
      <c r="BJ120" s="298">
        <f t="shared" si="74"/>
        <v>0</v>
      </c>
      <c r="BK120" s="482">
        <v>12</v>
      </c>
      <c r="BL120" s="482">
        <v>12</v>
      </c>
      <c r="BM120" s="482">
        <f>INDEX('Unit Savings Calculations'!$I$4:$I$421,MATCH('Measure-Level Adjustments Tab'!$A120&amp;"_"&amp;'Measure-Level Adjustments Tab'!$B120,'Unit Savings Calculations'!$A$4:$A$421,0))</f>
        <v>12</v>
      </c>
      <c r="BN120" s="482">
        <f t="shared" si="75"/>
        <v>12</v>
      </c>
      <c r="BO120" s="483">
        <f t="shared" si="76"/>
        <v>0</v>
      </c>
      <c r="BP120" s="483">
        <f t="shared" si="76"/>
        <v>0</v>
      </c>
      <c r="BQ120" s="483">
        <f t="shared" si="76"/>
        <v>0</v>
      </c>
      <c r="BR120" s="483">
        <f t="shared" si="76"/>
        <v>0</v>
      </c>
      <c r="BS120" s="483">
        <f t="shared" si="56"/>
        <v>0</v>
      </c>
    </row>
    <row r="121" spans="1:71" ht="15.75" customHeight="1">
      <c r="A121" s="292" t="str">
        <f>'Unit Savings Calculations'!C117</f>
        <v>Res - MF PTA Rebates</v>
      </c>
      <c r="B121" s="292" t="str">
        <f>'Unit Savings Calculations'!D117</f>
        <v>Ozone Laundry</v>
      </c>
      <c r="C121" s="293">
        <f t="shared" si="78"/>
        <v>1</v>
      </c>
      <c r="D121" s="292" t="str">
        <f>'Unit Savings Calculations'!T117</f>
        <v>4.3.6</v>
      </c>
      <c r="E121" s="438">
        <v>10</v>
      </c>
      <c r="F121" s="438">
        <v>10</v>
      </c>
      <c r="G121" s="292" t="str">
        <f>'Unit Savings Calculations'!E117</f>
        <v>lb-capacity</v>
      </c>
      <c r="H121" s="294">
        <f>'Unit Savings Calculations'!$F117*'Unit Savings Calculations'!J117</f>
        <v>0</v>
      </c>
      <c r="I121" s="294">
        <f>'Unit Savings Calculations'!$F117*'Unit Savings Calculations'!K117</f>
        <v>0</v>
      </c>
      <c r="J121" s="294">
        <f>'Unit Savings Calculations'!$F117*'Unit Savings Calculations'!L117</f>
        <v>0</v>
      </c>
      <c r="K121" s="294">
        <f>'Unit Savings Calculations'!$F117*'Unit Savings Calculations'!M117</f>
        <v>0</v>
      </c>
      <c r="L121" s="292" t="str">
        <f>'Unit Savings Calculations'!U117</f>
        <v>CI-HW-OZLD-VO1-140601</v>
      </c>
      <c r="M121" s="383" t="str">
        <f>'Unit Savings Calculations'!R117</f>
        <v>Exhibit 1.5A_R North Shore EEPS_Adjustable_Savings_Goal_Template.xlsx, Unit Savings Calculations Tab</v>
      </c>
      <c r="N121" s="295">
        <v>30.722664192350027</v>
      </c>
      <c r="O121" s="295">
        <v>30.722664192350027</v>
      </c>
      <c r="P121" s="295">
        <v>30.722664192350027</v>
      </c>
      <c r="Q121" s="295">
        <v>30.722664192350027</v>
      </c>
      <c r="R121" s="296">
        <f>'Unit Savings Calculations'!$G117</f>
        <v>0.88</v>
      </c>
      <c r="S121" s="296">
        <f>'Unit Savings Calculations'!$G117</f>
        <v>0.88</v>
      </c>
      <c r="T121" s="296">
        <f>'Unit Savings Calculations'!$G117</f>
        <v>0.88</v>
      </c>
      <c r="U121" s="296">
        <f>'Unit Savings Calculations'!$G117</f>
        <v>0.88</v>
      </c>
      <c r="V121" s="297">
        <f t="shared" si="79"/>
        <v>0</v>
      </c>
      <c r="W121" s="297">
        <f t="shared" si="80"/>
        <v>0</v>
      </c>
      <c r="X121" s="297">
        <f t="shared" si="81"/>
        <v>0</v>
      </c>
      <c r="Y121" s="297">
        <f t="shared" si="82"/>
        <v>0</v>
      </c>
      <c r="Z121" s="297">
        <f t="shared" si="83"/>
        <v>0</v>
      </c>
      <c r="AA121" s="292"/>
      <c r="AB121" s="292"/>
      <c r="AC121" s="295">
        <v>30.722664192350027</v>
      </c>
      <c r="AD121" s="292"/>
      <c r="AE121" s="297">
        <f t="shared" si="57"/>
        <v>0</v>
      </c>
      <c r="AF121" s="294">
        <f t="shared" si="58"/>
        <v>0</v>
      </c>
      <c r="AG121" s="292"/>
      <c r="AH121" s="292">
        <f t="shared" si="59"/>
        <v>0</v>
      </c>
      <c r="AI121" s="295">
        <v>13.190532978680915</v>
      </c>
      <c r="AJ121" s="383" t="s">
        <v>878</v>
      </c>
      <c r="AK121" s="297">
        <f t="shared" si="60"/>
        <v>0</v>
      </c>
      <c r="AL121" s="294">
        <f t="shared" si="61"/>
        <v>0</v>
      </c>
      <c r="AM121" s="292"/>
      <c r="AN121" s="292"/>
      <c r="AO121" s="295">
        <f>'Unit Savings Calculations'!P117</f>
        <v>13.190532978680915</v>
      </c>
      <c r="AP121" s="383" t="s">
        <v>763</v>
      </c>
      <c r="AQ121" s="297">
        <f t="shared" si="62"/>
        <v>0</v>
      </c>
      <c r="AR121" s="294">
        <f t="shared" si="63"/>
        <v>0</v>
      </c>
      <c r="AS121" s="292"/>
      <c r="AT121" s="292"/>
      <c r="AU121" s="295">
        <f>'Unit Savings Calculations'!Q117</f>
        <v>13.190532978680915</v>
      </c>
      <c r="AV121" s="383" t="str">
        <f t="shared" si="64"/>
        <v>n/a</v>
      </c>
      <c r="AW121" s="297">
        <f t="shared" si="65"/>
        <v>0</v>
      </c>
      <c r="AX121" s="294">
        <f t="shared" si="66"/>
        <v>0</v>
      </c>
      <c r="AY121" s="297">
        <f t="shared" si="67"/>
        <v>0</v>
      </c>
      <c r="AZ121" s="297">
        <f t="shared" si="68"/>
        <v>0</v>
      </c>
      <c r="BA121" s="297">
        <f t="shared" si="69"/>
        <v>0</v>
      </c>
      <c r="BB121" s="297">
        <f t="shared" si="70"/>
        <v>0</v>
      </c>
      <c r="BC121" s="298">
        <f t="shared" si="71"/>
        <v>0</v>
      </c>
      <c r="BD121" s="292" t="s">
        <v>763</v>
      </c>
      <c r="BE121" s="299" t="str">
        <f t="shared" si="72"/>
        <v>Exhibit 1.5A_R North Shore EEPS_Adjustable_Savings_Goal_Template.xlsx, Unit Savings Calculations Tab</v>
      </c>
      <c r="BF121" s="298">
        <f t="shared" si="73"/>
        <v>0</v>
      </c>
      <c r="BG121" s="298">
        <f t="shared" si="73"/>
        <v>0</v>
      </c>
      <c r="BH121" s="298">
        <f t="shared" si="73"/>
        <v>0</v>
      </c>
      <c r="BI121" s="298">
        <f t="shared" si="73"/>
        <v>0</v>
      </c>
      <c r="BJ121" s="298">
        <f t="shared" si="74"/>
        <v>0</v>
      </c>
      <c r="BK121" s="482">
        <v>10</v>
      </c>
      <c r="BL121" s="482">
        <v>10</v>
      </c>
      <c r="BM121" s="482">
        <f>INDEX('Unit Savings Calculations'!$I$4:$I$421,MATCH('Measure-Level Adjustments Tab'!$A121&amp;"_"&amp;'Measure-Level Adjustments Tab'!$B121,'Unit Savings Calculations'!$A$4:$A$421,0))</f>
        <v>10</v>
      </c>
      <c r="BN121" s="482">
        <f t="shared" si="75"/>
        <v>10</v>
      </c>
      <c r="BO121" s="483">
        <f t="shared" si="76"/>
        <v>0</v>
      </c>
      <c r="BP121" s="483">
        <f t="shared" si="76"/>
        <v>0</v>
      </c>
      <c r="BQ121" s="483">
        <f t="shared" si="76"/>
        <v>0</v>
      </c>
      <c r="BR121" s="483">
        <f t="shared" si="76"/>
        <v>0</v>
      </c>
      <c r="BS121" s="483">
        <f t="shared" si="56"/>
        <v>0</v>
      </c>
    </row>
    <row r="122" spans="1:71" ht="15.75" customHeight="1">
      <c r="A122" s="292" t="str">
        <f>'Unit Savings Calculations'!C118</f>
        <v>Res - MF PTA Rebates</v>
      </c>
      <c r="B122" s="292" t="str">
        <f>'Unit Savings Calculations'!D118</f>
        <v>Pipe Insulation - Hyd. Boiler Sm &lt;=1.25"</v>
      </c>
      <c r="C122" s="293">
        <f t="shared" si="78"/>
        <v>1</v>
      </c>
      <c r="D122" s="292" t="str">
        <f>'Unit Savings Calculations'!T118</f>
        <v>4.4.14</v>
      </c>
      <c r="E122" s="438">
        <v>15</v>
      </c>
      <c r="F122" s="438">
        <v>15</v>
      </c>
      <c r="G122" s="292" t="str">
        <f>'Unit Savings Calculations'!E118</f>
        <v>ft</v>
      </c>
      <c r="H122" s="294">
        <f>'Unit Savings Calculations'!$F118*'Unit Savings Calculations'!J118</f>
        <v>0</v>
      </c>
      <c r="I122" s="294">
        <f>'Unit Savings Calculations'!$F118*'Unit Savings Calculations'!K118</f>
        <v>0</v>
      </c>
      <c r="J122" s="294">
        <f>'Unit Savings Calculations'!$F118*'Unit Savings Calculations'!L118</f>
        <v>0</v>
      </c>
      <c r="K122" s="294">
        <f>'Unit Savings Calculations'!$F118*'Unit Savings Calculations'!M118</f>
        <v>0</v>
      </c>
      <c r="L122" s="292" t="str">
        <f>'Unit Savings Calculations'!U118</f>
        <v>CI-HVC-PINS-V04-160601</v>
      </c>
      <c r="M122" s="383" t="str">
        <f>'Unit Savings Calculations'!R118</f>
        <v>Exhibit 1.5A_R North Shore EEPS_Adjustable_Savings_Goal_Template.xlsx, Pipe Insulation Detail Tab</v>
      </c>
      <c r="N122" s="295">
        <v>2.3011493874643869</v>
      </c>
      <c r="O122" s="295">
        <v>2.3011493874643869</v>
      </c>
      <c r="P122" s="295">
        <v>2.3011493874643869</v>
      </c>
      <c r="Q122" s="295">
        <v>2.3011493874643869</v>
      </c>
      <c r="R122" s="296">
        <f>'Unit Savings Calculations'!$G118</f>
        <v>0.88</v>
      </c>
      <c r="S122" s="296">
        <f>'Unit Savings Calculations'!$G118</f>
        <v>0.88</v>
      </c>
      <c r="T122" s="296">
        <f>'Unit Savings Calculations'!$G118</f>
        <v>0.88</v>
      </c>
      <c r="U122" s="296">
        <f>'Unit Savings Calculations'!$G118</f>
        <v>0.88</v>
      </c>
      <c r="V122" s="297">
        <f t="shared" si="79"/>
        <v>0</v>
      </c>
      <c r="W122" s="297">
        <f t="shared" si="80"/>
        <v>0</v>
      </c>
      <c r="X122" s="297">
        <f t="shared" si="81"/>
        <v>0</v>
      </c>
      <c r="Y122" s="297">
        <f t="shared" si="82"/>
        <v>0</v>
      </c>
      <c r="Z122" s="297">
        <f t="shared" si="83"/>
        <v>0</v>
      </c>
      <c r="AA122" s="292"/>
      <c r="AB122" s="292"/>
      <c r="AC122" s="295">
        <v>2.3011493874643869</v>
      </c>
      <c r="AD122" s="292"/>
      <c r="AE122" s="297">
        <f t="shared" si="57"/>
        <v>0</v>
      </c>
      <c r="AF122" s="294">
        <f t="shared" si="58"/>
        <v>0</v>
      </c>
      <c r="AG122" s="292"/>
      <c r="AH122" s="292">
        <f t="shared" si="59"/>
        <v>0</v>
      </c>
      <c r="AI122" s="295">
        <v>2.3011493874643869</v>
      </c>
      <c r="AJ122" s="383" t="s">
        <v>878</v>
      </c>
      <c r="AK122" s="297">
        <f t="shared" si="60"/>
        <v>0</v>
      </c>
      <c r="AL122" s="294">
        <f t="shared" si="61"/>
        <v>0</v>
      </c>
      <c r="AM122" s="292"/>
      <c r="AN122" s="292"/>
      <c r="AO122" s="295">
        <f>'Unit Savings Calculations'!P118</f>
        <v>2.3011493874643869</v>
      </c>
      <c r="AP122" s="383" t="s">
        <v>763</v>
      </c>
      <c r="AQ122" s="297">
        <f t="shared" si="62"/>
        <v>0</v>
      </c>
      <c r="AR122" s="294">
        <f t="shared" si="63"/>
        <v>0</v>
      </c>
      <c r="AS122" s="292"/>
      <c r="AT122" s="292"/>
      <c r="AU122" s="295">
        <f>'Unit Savings Calculations'!Q118</f>
        <v>2.3011493874643869</v>
      </c>
      <c r="AV122" s="383" t="str">
        <f t="shared" si="64"/>
        <v>n/a</v>
      </c>
      <c r="AW122" s="297">
        <f t="shared" si="65"/>
        <v>0</v>
      </c>
      <c r="AX122" s="294">
        <f t="shared" si="66"/>
        <v>0</v>
      </c>
      <c r="AY122" s="297">
        <f t="shared" si="67"/>
        <v>0</v>
      </c>
      <c r="AZ122" s="297">
        <f t="shared" si="68"/>
        <v>0</v>
      </c>
      <c r="BA122" s="297">
        <f t="shared" si="69"/>
        <v>0</v>
      </c>
      <c r="BB122" s="297">
        <f t="shared" si="70"/>
        <v>0</v>
      </c>
      <c r="BC122" s="298">
        <f t="shared" si="71"/>
        <v>0</v>
      </c>
      <c r="BD122" s="292" t="s">
        <v>763</v>
      </c>
      <c r="BE122" s="299" t="str">
        <f t="shared" si="72"/>
        <v>Exhibit 1.5A_R North Shore EEPS_Adjustable_Savings_Goal_Template.xlsx, Pipe Insulation Detail Tab</v>
      </c>
      <c r="BF122" s="298">
        <f t="shared" si="73"/>
        <v>0</v>
      </c>
      <c r="BG122" s="298">
        <f t="shared" si="73"/>
        <v>0</v>
      </c>
      <c r="BH122" s="298">
        <f t="shared" si="73"/>
        <v>0</v>
      </c>
      <c r="BI122" s="298">
        <f t="shared" si="73"/>
        <v>0</v>
      </c>
      <c r="BJ122" s="298">
        <f t="shared" si="74"/>
        <v>0</v>
      </c>
      <c r="BK122" s="482">
        <v>15</v>
      </c>
      <c r="BL122" s="482">
        <v>15</v>
      </c>
      <c r="BM122" s="482">
        <f>INDEX('Unit Savings Calculations'!$I$4:$I$421,MATCH('Measure-Level Adjustments Tab'!$A122&amp;"_"&amp;'Measure-Level Adjustments Tab'!$B122,'Unit Savings Calculations'!$A$4:$A$421,0))</f>
        <v>15</v>
      </c>
      <c r="BN122" s="482">
        <f t="shared" si="75"/>
        <v>15</v>
      </c>
      <c r="BO122" s="483">
        <f t="shared" si="76"/>
        <v>0</v>
      </c>
      <c r="BP122" s="483">
        <f t="shared" si="76"/>
        <v>0</v>
      </c>
      <c r="BQ122" s="483">
        <f t="shared" si="76"/>
        <v>0</v>
      </c>
      <c r="BR122" s="483">
        <f t="shared" si="76"/>
        <v>0</v>
      </c>
      <c r="BS122" s="483">
        <f t="shared" si="56"/>
        <v>0</v>
      </c>
    </row>
    <row r="123" spans="1:71" ht="15.75" customHeight="1">
      <c r="A123" s="292" t="str">
        <f>'Unit Savings Calculations'!C119</f>
        <v>Res - MF PTA Rebates</v>
      </c>
      <c r="B123" s="292" t="str">
        <f>'Unit Savings Calculations'!D119</f>
        <v>Pipe Insulation - Hyd. Boiler Med 1.25-2"</v>
      </c>
      <c r="C123" s="293">
        <f t="shared" si="78"/>
        <v>1</v>
      </c>
      <c r="D123" s="292" t="str">
        <f>'Unit Savings Calculations'!T119</f>
        <v>4.4.14</v>
      </c>
      <c r="E123" s="438">
        <v>15</v>
      </c>
      <c r="F123" s="438">
        <v>15</v>
      </c>
      <c r="G123" s="292" t="str">
        <f>'Unit Savings Calculations'!E119</f>
        <v>ft</v>
      </c>
      <c r="H123" s="294">
        <f>'Unit Savings Calculations'!$F119*'Unit Savings Calculations'!J119</f>
        <v>0</v>
      </c>
      <c r="I123" s="294">
        <f>'Unit Savings Calculations'!$F119*'Unit Savings Calculations'!K119</f>
        <v>0</v>
      </c>
      <c r="J123" s="294">
        <f>'Unit Savings Calculations'!$F119*'Unit Savings Calculations'!L119</f>
        <v>0</v>
      </c>
      <c r="K123" s="294">
        <f>'Unit Savings Calculations'!$F119*'Unit Savings Calculations'!M119</f>
        <v>0</v>
      </c>
      <c r="L123" s="292" t="str">
        <f>'Unit Savings Calculations'!U119</f>
        <v>CI-HVC-PINS-V04-160601</v>
      </c>
      <c r="M123" s="383" t="str">
        <f>'Unit Savings Calculations'!R119</f>
        <v>Exhibit 1.5A_R North Shore EEPS_Adjustable_Savings_Goal_Template.xlsx, Pipe Insulation Detail Tab</v>
      </c>
      <c r="N123" s="295">
        <v>3.6034773504273505</v>
      </c>
      <c r="O123" s="295">
        <v>3.6034773504273505</v>
      </c>
      <c r="P123" s="295">
        <v>3.6034773504273505</v>
      </c>
      <c r="Q123" s="295">
        <v>3.6034773504273505</v>
      </c>
      <c r="R123" s="296">
        <f>'Unit Savings Calculations'!$G119</f>
        <v>0.88</v>
      </c>
      <c r="S123" s="296">
        <f>'Unit Savings Calculations'!$G119</f>
        <v>0.88</v>
      </c>
      <c r="T123" s="296">
        <f>'Unit Savings Calculations'!$G119</f>
        <v>0.88</v>
      </c>
      <c r="U123" s="296">
        <f>'Unit Savings Calculations'!$G119</f>
        <v>0.88</v>
      </c>
      <c r="V123" s="297">
        <f t="shared" si="79"/>
        <v>0</v>
      </c>
      <c r="W123" s="297">
        <f t="shared" si="80"/>
        <v>0</v>
      </c>
      <c r="X123" s="297">
        <f t="shared" si="81"/>
        <v>0</v>
      </c>
      <c r="Y123" s="297">
        <f t="shared" si="82"/>
        <v>0</v>
      </c>
      <c r="Z123" s="297">
        <f t="shared" si="83"/>
        <v>0</v>
      </c>
      <c r="AA123" s="292"/>
      <c r="AB123" s="292"/>
      <c r="AC123" s="295">
        <v>3.6034773504273505</v>
      </c>
      <c r="AD123" s="292"/>
      <c r="AE123" s="297">
        <f t="shared" si="57"/>
        <v>0</v>
      </c>
      <c r="AF123" s="294">
        <f t="shared" si="58"/>
        <v>0</v>
      </c>
      <c r="AG123" s="292"/>
      <c r="AH123" s="292">
        <f t="shared" si="59"/>
        <v>0</v>
      </c>
      <c r="AI123" s="295">
        <v>3.6034773504273505</v>
      </c>
      <c r="AJ123" s="383" t="s">
        <v>878</v>
      </c>
      <c r="AK123" s="297">
        <f t="shared" si="60"/>
        <v>0</v>
      </c>
      <c r="AL123" s="294">
        <f t="shared" si="61"/>
        <v>0</v>
      </c>
      <c r="AM123" s="292"/>
      <c r="AN123" s="292"/>
      <c r="AO123" s="295">
        <f>'Unit Savings Calculations'!P119</f>
        <v>3.6034773504273505</v>
      </c>
      <c r="AP123" s="383" t="s">
        <v>763</v>
      </c>
      <c r="AQ123" s="297">
        <f t="shared" si="62"/>
        <v>0</v>
      </c>
      <c r="AR123" s="294">
        <f t="shared" si="63"/>
        <v>0</v>
      </c>
      <c r="AS123" s="292"/>
      <c r="AT123" s="292"/>
      <c r="AU123" s="295">
        <f>'Unit Savings Calculations'!Q119</f>
        <v>3.6034773504273505</v>
      </c>
      <c r="AV123" s="383" t="str">
        <f t="shared" si="64"/>
        <v>n/a</v>
      </c>
      <c r="AW123" s="297">
        <f t="shared" si="65"/>
        <v>0</v>
      </c>
      <c r="AX123" s="294">
        <f t="shared" si="66"/>
        <v>0</v>
      </c>
      <c r="AY123" s="297">
        <f t="shared" si="67"/>
        <v>0</v>
      </c>
      <c r="AZ123" s="297">
        <f t="shared" si="68"/>
        <v>0</v>
      </c>
      <c r="BA123" s="297">
        <f t="shared" si="69"/>
        <v>0</v>
      </c>
      <c r="BB123" s="297">
        <f t="shared" si="70"/>
        <v>0</v>
      </c>
      <c r="BC123" s="298">
        <f t="shared" si="71"/>
        <v>0</v>
      </c>
      <c r="BD123" s="292" t="s">
        <v>763</v>
      </c>
      <c r="BE123" s="299" t="str">
        <f t="shared" si="72"/>
        <v>Exhibit 1.5A_R North Shore EEPS_Adjustable_Savings_Goal_Template.xlsx, Pipe Insulation Detail Tab</v>
      </c>
      <c r="BF123" s="298">
        <f t="shared" si="73"/>
        <v>0</v>
      </c>
      <c r="BG123" s="298">
        <f t="shared" si="73"/>
        <v>0</v>
      </c>
      <c r="BH123" s="298">
        <f t="shared" si="73"/>
        <v>0</v>
      </c>
      <c r="BI123" s="298">
        <f t="shared" si="73"/>
        <v>0</v>
      </c>
      <c r="BJ123" s="298">
        <f t="shared" si="74"/>
        <v>0</v>
      </c>
      <c r="BK123" s="482">
        <v>15</v>
      </c>
      <c r="BL123" s="482">
        <v>15</v>
      </c>
      <c r="BM123" s="482">
        <f>INDEX('Unit Savings Calculations'!$I$4:$I$421,MATCH('Measure-Level Adjustments Tab'!$A123&amp;"_"&amp;'Measure-Level Adjustments Tab'!$B123,'Unit Savings Calculations'!$A$4:$A$421,0))</f>
        <v>15</v>
      </c>
      <c r="BN123" s="482">
        <f t="shared" si="75"/>
        <v>15</v>
      </c>
      <c r="BO123" s="483">
        <f t="shared" si="76"/>
        <v>0</v>
      </c>
      <c r="BP123" s="483">
        <f t="shared" si="76"/>
        <v>0</v>
      </c>
      <c r="BQ123" s="483">
        <f t="shared" si="76"/>
        <v>0</v>
      </c>
      <c r="BR123" s="483">
        <f t="shared" si="76"/>
        <v>0</v>
      </c>
      <c r="BS123" s="483">
        <f t="shared" si="56"/>
        <v>0</v>
      </c>
    </row>
    <row r="124" spans="1:71" ht="15.75" customHeight="1">
      <c r="A124" s="292" t="str">
        <f>'Unit Savings Calculations'!C120</f>
        <v>Res - MF PTA Rebates</v>
      </c>
      <c r="B124" s="292" t="str">
        <f>'Unit Savings Calculations'!D120</f>
        <v>Pipe Insulation - Hyd. Boiler Large ≥2"</v>
      </c>
      <c r="C124" s="293">
        <f t="shared" si="78"/>
        <v>1</v>
      </c>
      <c r="D124" s="292" t="str">
        <f>'Unit Savings Calculations'!T120</f>
        <v>4.4.14</v>
      </c>
      <c r="E124" s="438">
        <v>15</v>
      </c>
      <c r="F124" s="438">
        <v>15</v>
      </c>
      <c r="G124" s="292" t="str">
        <f>'Unit Savings Calculations'!E120</f>
        <v>ft</v>
      </c>
      <c r="H124" s="294">
        <f>'Unit Savings Calculations'!$F120*'Unit Savings Calculations'!J120</f>
        <v>525</v>
      </c>
      <c r="I124" s="294">
        <f>'Unit Savings Calculations'!$F120*'Unit Savings Calculations'!K120</f>
        <v>525</v>
      </c>
      <c r="J124" s="294">
        <f>'Unit Savings Calculations'!$F120*'Unit Savings Calculations'!L120</f>
        <v>525</v>
      </c>
      <c r="K124" s="294">
        <f>'Unit Savings Calculations'!$F120*'Unit Savings Calculations'!M120</f>
        <v>525</v>
      </c>
      <c r="L124" s="292" t="str">
        <f>'Unit Savings Calculations'!U120</f>
        <v>CI-HVC-PINS-V04-160601</v>
      </c>
      <c r="M124" s="383" t="str">
        <f>'Unit Savings Calculations'!R120</f>
        <v>Exhibit 1.5A_R North Shore EEPS_Adjustable_Savings_Goal_Template.xlsx, Pipe Insulation Detail Tab</v>
      </c>
      <c r="N124" s="295">
        <v>6.1867824786324785</v>
      </c>
      <c r="O124" s="295">
        <v>6.1867824786324785</v>
      </c>
      <c r="P124" s="295">
        <v>6.1867824786324785</v>
      </c>
      <c r="Q124" s="295">
        <v>6.1867824786324785</v>
      </c>
      <c r="R124" s="296">
        <f>'Unit Savings Calculations'!$G120</f>
        <v>0.88</v>
      </c>
      <c r="S124" s="296">
        <f>'Unit Savings Calculations'!$G120</f>
        <v>0.88</v>
      </c>
      <c r="T124" s="296">
        <f>'Unit Savings Calculations'!$G120</f>
        <v>0.88</v>
      </c>
      <c r="U124" s="296">
        <f>'Unit Savings Calculations'!$G120</f>
        <v>0.88</v>
      </c>
      <c r="V124" s="297">
        <f t="shared" si="79"/>
        <v>2858.2935051282052</v>
      </c>
      <c r="W124" s="297">
        <f t="shared" si="80"/>
        <v>2858.2935051282052</v>
      </c>
      <c r="X124" s="297">
        <f t="shared" si="81"/>
        <v>2858.2935051282052</v>
      </c>
      <c r="Y124" s="297">
        <f t="shared" si="82"/>
        <v>2858.2935051282052</v>
      </c>
      <c r="Z124" s="297">
        <f t="shared" si="83"/>
        <v>11433.174020512821</v>
      </c>
      <c r="AA124" s="292"/>
      <c r="AB124" s="292"/>
      <c r="AC124" s="295">
        <v>6.1867824786324785</v>
      </c>
      <c r="AD124" s="292"/>
      <c r="AE124" s="297">
        <f t="shared" si="57"/>
        <v>2858.2935051282052</v>
      </c>
      <c r="AF124" s="294">
        <f t="shared" si="58"/>
        <v>0</v>
      </c>
      <c r="AG124" s="292"/>
      <c r="AH124" s="292">
        <f t="shared" si="59"/>
        <v>0</v>
      </c>
      <c r="AI124" s="295">
        <v>6.1867824786324785</v>
      </c>
      <c r="AJ124" s="383" t="s">
        <v>878</v>
      </c>
      <c r="AK124" s="297">
        <f t="shared" si="60"/>
        <v>2858.2935051282052</v>
      </c>
      <c r="AL124" s="294">
        <f t="shared" si="61"/>
        <v>0</v>
      </c>
      <c r="AM124" s="292"/>
      <c r="AN124" s="292"/>
      <c r="AO124" s="295">
        <f>'Unit Savings Calculations'!P120</f>
        <v>6.1867824786324785</v>
      </c>
      <c r="AP124" s="383" t="s">
        <v>763</v>
      </c>
      <c r="AQ124" s="297">
        <f t="shared" si="62"/>
        <v>2858.2935051282052</v>
      </c>
      <c r="AR124" s="294">
        <f t="shared" si="63"/>
        <v>0</v>
      </c>
      <c r="AS124" s="292"/>
      <c r="AT124" s="292"/>
      <c r="AU124" s="295">
        <f>'Unit Savings Calculations'!Q120</f>
        <v>6.1867824786324785</v>
      </c>
      <c r="AV124" s="383" t="str">
        <f t="shared" si="64"/>
        <v>n/a</v>
      </c>
      <c r="AW124" s="297">
        <f t="shared" si="65"/>
        <v>2858.2935051282052</v>
      </c>
      <c r="AX124" s="294">
        <f t="shared" si="66"/>
        <v>0</v>
      </c>
      <c r="AY124" s="297">
        <f t="shared" si="67"/>
        <v>2858.2935051282052</v>
      </c>
      <c r="AZ124" s="297">
        <f t="shared" si="68"/>
        <v>2858.2935051282052</v>
      </c>
      <c r="BA124" s="297">
        <f t="shared" si="69"/>
        <v>2858.2935051282052</v>
      </c>
      <c r="BB124" s="297">
        <f t="shared" si="70"/>
        <v>2858.2935051282052</v>
      </c>
      <c r="BC124" s="298">
        <f t="shared" si="71"/>
        <v>11433.174020512821</v>
      </c>
      <c r="BD124" s="292" t="s">
        <v>763</v>
      </c>
      <c r="BE124" s="299" t="str">
        <f t="shared" si="72"/>
        <v>Exhibit 1.5A_R North Shore EEPS_Adjustable_Savings_Goal_Template.xlsx, Pipe Insulation Detail Tab</v>
      </c>
      <c r="BF124" s="298">
        <f t="shared" si="73"/>
        <v>42874.402576923079</v>
      </c>
      <c r="BG124" s="298">
        <f t="shared" si="73"/>
        <v>42874.402576923079</v>
      </c>
      <c r="BH124" s="298">
        <f t="shared" si="73"/>
        <v>42874.402576923079</v>
      </c>
      <c r="BI124" s="298">
        <f t="shared" si="73"/>
        <v>42874.402576923079</v>
      </c>
      <c r="BJ124" s="298">
        <f t="shared" si="74"/>
        <v>171497.61030769232</v>
      </c>
      <c r="BK124" s="482">
        <v>15</v>
      </c>
      <c r="BL124" s="482">
        <v>15</v>
      </c>
      <c r="BM124" s="482">
        <f>INDEX('Unit Savings Calculations'!$I$4:$I$421,MATCH('Measure-Level Adjustments Tab'!$A124&amp;"_"&amp;'Measure-Level Adjustments Tab'!$B124,'Unit Savings Calculations'!$A$4:$A$421,0))</f>
        <v>15</v>
      </c>
      <c r="BN124" s="482">
        <f t="shared" si="75"/>
        <v>15</v>
      </c>
      <c r="BO124" s="483">
        <f t="shared" si="76"/>
        <v>42874.402576923079</v>
      </c>
      <c r="BP124" s="483">
        <f t="shared" si="76"/>
        <v>42874.402576923079</v>
      </c>
      <c r="BQ124" s="483">
        <f t="shared" si="76"/>
        <v>42874.402576923079</v>
      </c>
      <c r="BR124" s="483">
        <f t="shared" si="76"/>
        <v>42874.402576923079</v>
      </c>
      <c r="BS124" s="483">
        <f t="shared" si="56"/>
        <v>171497.61030769232</v>
      </c>
    </row>
    <row r="125" spans="1:71" ht="15.75" customHeight="1">
      <c r="A125" s="292" t="str">
        <f>'Unit Savings Calculations'!C121</f>
        <v>Res - MF PTA Rebates</v>
      </c>
      <c r="B125" s="292" t="str">
        <f>'Unit Savings Calculations'!D121</f>
        <v>Pipe Insulation - HW Small 1" to 2"</v>
      </c>
      <c r="C125" s="293">
        <f t="shared" si="78"/>
        <v>1</v>
      </c>
      <c r="D125" s="292" t="str">
        <f>'Unit Savings Calculations'!T121</f>
        <v>4.4.14</v>
      </c>
      <c r="E125" s="438">
        <v>15</v>
      </c>
      <c r="F125" s="438">
        <v>15</v>
      </c>
      <c r="G125" s="292" t="str">
        <f>'Unit Savings Calculations'!E121</f>
        <v>ft</v>
      </c>
      <c r="H125" s="294">
        <f>'Unit Savings Calculations'!$F121*'Unit Savings Calculations'!J121</f>
        <v>300</v>
      </c>
      <c r="I125" s="294">
        <f>'Unit Savings Calculations'!$F121*'Unit Savings Calculations'!K121</f>
        <v>300</v>
      </c>
      <c r="J125" s="294">
        <f>'Unit Savings Calculations'!$F121*'Unit Savings Calculations'!L121</f>
        <v>300</v>
      </c>
      <c r="K125" s="294">
        <f>'Unit Savings Calculations'!$F121*'Unit Savings Calculations'!M121</f>
        <v>300</v>
      </c>
      <c r="L125" s="292" t="str">
        <f>'Unit Savings Calculations'!U121</f>
        <v>CI-HVC-PINS-V04-160601</v>
      </c>
      <c r="M125" s="383" t="str">
        <f>'Unit Savings Calculations'!R121</f>
        <v>Exhibit 1.5A_R North Shore EEPS_Adjustable_Savings_Goal_Template.xlsx, Pipe Insulation Detail Tab</v>
      </c>
      <c r="N125" s="295">
        <v>3.1358228800964363</v>
      </c>
      <c r="O125" s="295">
        <v>3.1358228800964363</v>
      </c>
      <c r="P125" s="295">
        <v>3.1358228800964363</v>
      </c>
      <c r="Q125" s="295">
        <v>3.1358228800964363</v>
      </c>
      <c r="R125" s="296">
        <f>'Unit Savings Calculations'!$G121</f>
        <v>0.88</v>
      </c>
      <c r="S125" s="296">
        <f>'Unit Savings Calculations'!$G121</f>
        <v>0.88</v>
      </c>
      <c r="T125" s="296">
        <f>'Unit Savings Calculations'!$G121</f>
        <v>0.88</v>
      </c>
      <c r="U125" s="296">
        <f>'Unit Savings Calculations'!$G121</f>
        <v>0.88</v>
      </c>
      <c r="V125" s="297">
        <f t="shared" si="79"/>
        <v>827.85724034545922</v>
      </c>
      <c r="W125" s="297">
        <f t="shared" si="80"/>
        <v>827.85724034545922</v>
      </c>
      <c r="X125" s="297">
        <f t="shared" si="81"/>
        <v>827.85724034545922</v>
      </c>
      <c r="Y125" s="297">
        <f t="shared" si="82"/>
        <v>827.85724034545922</v>
      </c>
      <c r="Z125" s="297">
        <f t="shared" si="83"/>
        <v>3311.4289613818369</v>
      </c>
      <c r="AA125" s="292"/>
      <c r="AB125" s="292"/>
      <c r="AC125" s="295">
        <v>3.1358228800964363</v>
      </c>
      <c r="AD125" s="292"/>
      <c r="AE125" s="297">
        <f t="shared" si="57"/>
        <v>827.85724034545922</v>
      </c>
      <c r="AF125" s="294">
        <f t="shared" si="58"/>
        <v>0</v>
      </c>
      <c r="AG125" s="292"/>
      <c r="AH125" s="292">
        <f t="shared" si="59"/>
        <v>0</v>
      </c>
      <c r="AI125" s="295">
        <v>3.1358228800964363</v>
      </c>
      <c r="AJ125" s="383" t="s">
        <v>878</v>
      </c>
      <c r="AK125" s="297">
        <f t="shared" si="60"/>
        <v>827.85724034545922</v>
      </c>
      <c r="AL125" s="294">
        <f t="shared" si="61"/>
        <v>0</v>
      </c>
      <c r="AM125" s="292"/>
      <c r="AN125" s="292"/>
      <c r="AO125" s="295">
        <f>'Unit Savings Calculations'!P121</f>
        <v>3.1358228800964363</v>
      </c>
      <c r="AP125" s="383" t="s">
        <v>763</v>
      </c>
      <c r="AQ125" s="297">
        <f t="shared" si="62"/>
        <v>827.85724034545922</v>
      </c>
      <c r="AR125" s="294">
        <f t="shared" si="63"/>
        <v>0</v>
      </c>
      <c r="AS125" s="292"/>
      <c r="AT125" s="292"/>
      <c r="AU125" s="295">
        <f>'Unit Savings Calculations'!Q121</f>
        <v>3.1358228800964363</v>
      </c>
      <c r="AV125" s="383" t="str">
        <f t="shared" si="64"/>
        <v>n/a</v>
      </c>
      <c r="AW125" s="297">
        <f t="shared" si="65"/>
        <v>827.85724034545922</v>
      </c>
      <c r="AX125" s="294">
        <f t="shared" si="66"/>
        <v>0</v>
      </c>
      <c r="AY125" s="297">
        <f t="shared" si="67"/>
        <v>827.85724034545922</v>
      </c>
      <c r="AZ125" s="297">
        <f t="shared" si="68"/>
        <v>827.85724034545922</v>
      </c>
      <c r="BA125" s="297">
        <f t="shared" si="69"/>
        <v>827.85724034545922</v>
      </c>
      <c r="BB125" s="297">
        <f t="shared" si="70"/>
        <v>827.85724034545922</v>
      </c>
      <c r="BC125" s="298">
        <f t="shared" si="71"/>
        <v>3311.4289613818369</v>
      </c>
      <c r="BD125" s="292" t="s">
        <v>763</v>
      </c>
      <c r="BE125" s="299" t="str">
        <f t="shared" si="72"/>
        <v>Exhibit 1.5A_R North Shore EEPS_Adjustable_Savings_Goal_Template.xlsx, Pipe Insulation Detail Tab</v>
      </c>
      <c r="BF125" s="298">
        <f t="shared" si="73"/>
        <v>12417.858605181887</v>
      </c>
      <c r="BG125" s="298">
        <f t="shared" si="73"/>
        <v>12417.858605181887</v>
      </c>
      <c r="BH125" s="298">
        <f t="shared" si="73"/>
        <v>12417.858605181887</v>
      </c>
      <c r="BI125" s="298">
        <f t="shared" si="73"/>
        <v>12417.858605181887</v>
      </c>
      <c r="BJ125" s="298">
        <f t="shared" si="74"/>
        <v>49671.43442072755</v>
      </c>
      <c r="BK125" s="482">
        <v>15</v>
      </c>
      <c r="BL125" s="482">
        <v>15</v>
      </c>
      <c r="BM125" s="482">
        <f>INDEX('Unit Savings Calculations'!$I$4:$I$421,MATCH('Measure-Level Adjustments Tab'!$A125&amp;"_"&amp;'Measure-Level Adjustments Tab'!$B125,'Unit Savings Calculations'!$A$4:$A$421,0))</f>
        <v>15</v>
      </c>
      <c r="BN125" s="482">
        <f t="shared" si="75"/>
        <v>15</v>
      </c>
      <c r="BO125" s="483">
        <f t="shared" si="76"/>
        <v>12417.858605181887</v>
      </c>
      <c r="BP125" s="483">
        <f t="shared" si="76"/>
        <v>12417.858605181887</v>
      </c>
      <c r="BQ125" s="483">
        <f t="shared" si="76"/>
        <v>12417.858605181887</v>
      </c>
      <c r="BR125" s="483">
        <f t="shared" si="76"/>
        <v>12417.858605181887</v>
      </c>
      <c r="BS125" s="483">
        <f t="shared" si="56"/>
        <v>49671.43442072755</v>
      </c>
    </row>
    <row r="126" spans="1:71" ht="15.75" customHeight="1">
      <c r="A126" s="292" t="str">
        <f>'Unit Savings Calculations'!C122</f>
        <v>Res - MF PTA Rebates</v>
      </c>
      <c r="B126" s="292" t="str">
        <f>'Unit Savings Calculations'!D122</f>
        <v>Pipe Insulation - HW Medium 2.1" to 4"</v>
      </c>
      <c r="C126" s="293">
        <f t="shared" si="78"/>
        <v>1</v>
      </c>
      <c r="D126" s="292" t="str">
        <f>'Unit Savings Calculations'!T122</f>
        <v>4.4.14</v>
      </c>
      <c r="E126" s="438">
        <v>15</v>
      </c>
      <c r="F126" s="438">
        <v>15</v>
      </c>
      <c r="G126" s="292" t="str">
        <f>'Unit Savings Calculations'!E122</f>
        <v>ft</v>
      </c>
      <c r="H126" s="294">
        <f>'Unit Savings Calculations'!$F122*'Unit Savings Calculations'!J122</f>
        <v>0</v>
      </c>
      <c r="I126" s="294">
        <f>'Unit Savings Calculations'!$F122*'Unit Savings Calculations'!K122</f>
        <v>0</v>
      </c>
      <c r="J126" s="294">
        <f>'Unit Savings Calculations'!$F122*'Unit Savings Calculations'!L122</f>
        <v>0</v>
      </c>
      <c r="K126" s="294">
        <f>'Unit Savings Calculations'!$F122*'Unit Savings Calculations'!M122</f>
        <v>0</v>
      </c>
      <c r="L126" s="292" t="str">
        <f>'Unit Savings Calculations'!U122</f>
        <v>CI-HVC-PINS-V04-160601</v>
      </c>
      <c r="M126" s="383" t="str">
        <f>'Unit Savings Calculations'!R122</f>
        <v>Exhibit 1.5A_R North Shore EEPS_Adjustable_Savings_Goal_Template.xlsx, Pipe Insulation Detail Tab</v>
      </c>
      <c r="N126" s="295">
        <v>6.1942373572810965</v>
      </c>
      <c r="O126" s="295">
        <v>6.1942373572810965</v>
      </c>
      <c r="P126" s="295">
        <v>6.1942373572810965</v>
      </c>
      <c r="Q126" s="295">
        <v>6.1942373572810965</v>
      </c>
      <c r="R126" s="296">
        <f>'Unit Savings Calculations'!$G122</f>
        <v>0.88</v>
      </c>
      <c r="S126" s="296">
        <f>'Unit Savings Calculations'!$G122</f>
        <v>0.88</v>
      </c>
      <c r="T126" s="296">
        <f>'Unit Savings Calculations'!$G122</f>
        <v>0.88</v>
      </c>
      <c r="U126" s="296">
        <f>'Unit Savings Calculations'!$G122</f>
        <v>0.88</v>
      </c>
      <c r="V126" s="297">
        <f t="shared" si="79"/>
        <v>0</v>
      </c>
      <c r="W126" s="297">
        <f t="shared" si="80"/>
        <v>0</v>
      </c>
      <c r="X126" s="297">
        <f t="shared" si="81"/>
        <v>0</v>
      </c>
      <c r="Y126" s="297">
        <f t="shared" si="82"/>
        <v>0</v>
      </c>
      <c r="Z126" s="297">
        <f t="shared" si="83"/>
        <v>0</v>
      </c>
      <c r="AA126" s="292"/>
      <c r="AB126" s="292"/>
      <c r="AC126" s="295">
        <v>6.1942373572810965</v>
      </c>
      <c r="AD126" s="292"/>
      <c r="AE126" s="297">
        <f t="shared" si="57"/>
        <v>0</v>
      </c>
      <c r="AF126" s="294">
        <f t="shared" si="58"/>
        <v>0</v>
      </c>
      <c r="AG126" s="292"/>
      <c r="AH126" s="292">
        <f t="shared" si="59"/>
        <v>0</v>
      </c>
      <c r="AI126" s="295">
        <v>6.1942373572810965</v>
      </c>
      <c r="AJ126" s="383" t="s">
        <v>878</v>
      </c>
      <c r="AK126" s="297">
        <f t="shared" si="60"/>
        <v>0</v>
      </c>
      <c r="AL126" s="294">
        <f t="shared" si="61"/>
        <v>0</v>
      </c>
      <c r="AM126" s="292"/>
      <c r="AN126" s="292"/>
      <c r="AO126" s="295">
        <f>'Unit Savings Calculations'!P122</f>
        <v>6.1942373572810965</v>
      </c>
      <c r="AP126" s="383" t="s">
        <v>763</v>
      </c>
      <c r="AQ126" s="297">
        <f t="shared" si="62"/>
        <v>0</v>
      </c>
      <c r="AR126" s="294">
        <f t="shared" si="63"/>
        <v>0</v>
      </c>
      <c r="AS126" s="292"/>
      <c r="AT126" s="292"/>
      <c r="AU126" s="295">
        <f>'Unit Savings Calculations'!Q122</f>
        <v>6.1942373572810965</v>
      </c>
      <c r="AV126" s="383" t="str">
        <f t="shared" si="64"/>
        <v>n/a</v>
      </c>
      <c r="AW126" s="297">
        <f t="shared" si="65"/>
        <v>0</v>
      </c>
      <c r="AX126" s="294">
        <f t="shared" si="66"/>
        <v>0</v>
      </c>
      <c r="AY126" s="297">
        <f t="shared" si="67"/>
        <v>0</v>
      </c>
      <c r="AZ126" s="297">
        <f t="shared" si="68"/>
        <v>0</v>
      </c>
      <c r="BA126" s="297">
        <f t="shared" si="69"/>
        <v>0</v>
      </c>
      <c r="BB126" s="297">
        <f t="shared" si="70"/>
        <v>0</v>
      </c>
      <c r="BC126" s="298">
        <f t="shared" si="71"/>
        <v>0</v>
      </c>
      <c r="BD126" s="292" t="s">
        <v>763</v>
      </c>
      <c r="BE126" s="299" t="str">
        <f t="shared" si="72"/>
        <v>Exhibit 1.5A_R North Shore EEPS_Adjustable_Savings_Goal_Template.xlsx, Pipe Insulation Detail Tab</v>
      </c>
      <c r="BF126" s="298">
        <f t="shared" si="73"/>
        <v>0</v>
      </c>
      <c r="BG126" s="298">
        <f t="shared" si="73"/>
        <v>0</v>
      </c>
      <c r="BH126" s="298">
        <f t="shared" si="73"/>
        <v>0</v>
      </c>
      <c r="BI126" s="298">
        <f t="shared" si="73"/>
        <v>0</v>
      </c>
      <c r="BJ126" s="298">
        <f t="shared" si="74"/>
        <v>0</v>
      </c>
      <c r="BK126" s="482">
        <v>15</v>
      </c>
      <c r="BL126" s="482">
        <v>15</v>
      </c>
      <c r="BM126" s="482">
        <f>INDEX('Unit Savings Calculations'!$I$4:$I$421,MATCH('Measure-Level Adjustments Tab'!$A126&amp;"_"&amp;'Measure-Level Adjustments Tab'!$B126,'Unit Savings Calculations'!$A$4:$A$421,0))</f>
        <v>15</v>
      </c>
      <c r="BN126" s="482">
        <f t="shared" si="75"/>
        <v>15</v>
      </c>
      <c r="BO126" s="483">
        <f t="shared" si="76"/>
        <v>0</v>
      </c>
      <c r="BP126" s="483">
        <f t="shared" si="76"/>
        <v>0</v>
      </c>
      <c r="BQ126" s="483">
        <f t="shared" si="76"/>
        <v>0</v>
      </c>
      <c r="BR126" s="483">
        <f t="shared" si="76"/>
        <v>0</v>
      </c>
      <c r="BS126" s="483">
        <f t="shared" si="56"/>
        <v>0</v>
      </c>
    </row>
    <row r="127" spans="1:71" ht="15.75" customHeight="1">
      <c r="A127" s="292" t="str">
        <f>'Unit Savings Calculations'!C123</f>
        <v>Res - MF PTA Rebates</v>
      </c>
      <c r="B127" s="292" t="str">
        <f>'Unit Savings Calculations'!D123</f>
        <v>Pipe Insulation - HW Large &gt;4"</v>
      </c>
      <c r="C127" s="293">
        <f t="shared" si="78"/>
        <v>1</v>
      </c>
      <c r="D127" s="292" t="str">
        <f>'Unit Savings Calculations'!T123</f>
        <v>4.4.14</v>
      </c>
      <c r="E127" s="438">
        <v>15</v>
      </c>
      <c r="F127" s="438">
        <v>15</v>
      </c>
      <c r="G127" s="292" t="str">
        <f>'Unit Savings Calculations'!E123</f>
        <v>ft</v>
      </c>
      <c r="H127" s="294">
        <f>'Unit Savings Calculations'!$F123*'Unit Savings Calculations'!J123</f>
        <v>0</v>
      </c>
      <c r="I127" s="294">
        <f>'Unit Savings Calculations'!$F123*'Unit Savings Calculations'!K123</f>
        <v>0</v>
      </c>
      <c r="J127" s="294">
        <f>'Unit Savings Calculations'!$F123*'Unit Savings Calculations'!L123</f>
        <v>0</v>
      </c>
      <c r="K127" s="294">
        <f>'Unit Savings Calculations'!$F123*'Unit Savings Calculations'!M123</f>
        <v>0</v>
      </c>
      <c r="L127" s="292" t="str">
        <f>'Unit Savings Calculations'!U123</f>
        <v>CI-HVC-PINS-V04-160601</v>
      </c>
      <c r="M127" s="383" t="str">
        <f>'Unit Savings Calculations'!R123</f>
        <v>Exhibit 1.5A_R North Shore EEPS_Adjustable_Savings_Goal_Template.xlsx, Pipe Insulation Detail Tab</v>
      </c>
      <c r="N127" s="295">
        <v>10.672873287490331</v>
      </c>
      <c r="O127" s="295">
        <v>10.672873287490331</v>
      </c>
      <c r="P127" s="295">
        <v>10.672873287490331</v>
      </c>
      <c r="Q127" s="295">
        <v>10.672873287490331</v>
      </c>
      <c r="R127" s="296">
        <f>'Unit Savings Calculations'!$G123</f>
        <v>0.88</v>
      </c>
      <c r="S127" s="296">
        <f>'Unit Savings Calculations'!$G123</f>
        <v>0.88</v>
      </c>
      <c r="T127" s="296">
        <f>'Unit Savings Calculations'!$G123</f>
        <v>0.88</v>
      </c>
      <c r="U127" s="296">
        <f>'Unit Savings Calculations'!$G123</f>
        <v>0.88</v>
      </c>
      <c r="V127" s="297">
        <f t="shared" si="79"/>
        <v>0</v>
      </c>
      <c r="W127" s="297">
        <f t="shared" si="80"/>
        <v>0</v>
      </c>
      <c r="X127" s="297">
        <f t="shared" si="81"/>
        <v>0</v>
      </c>
      <c r="Y127" s="297">
        <f t="shared" si="82"/>
        <v>0</v>
      </c>
      <c r="Z127" s="297">
        <f t="shared" si="83"/>
        <v>0</v>
      </c>
      <c r="AA127" s="292"/>
      <c r="AB127" s="292"/>
      <c r="AC127" s="295">
        <v>10.672873287490331</v>
      </c>
      <c r="AD127" s="292"/>
      <c r="AE127" s="297">
        <f t="shared" si="57"/>
        <v>0</v>
      </c>
      <c r="AF127" s="294">
        <f t="shared" si="58"/>
        <v>0</v>
      </c>
      <c r="AG127" s="292"/>
      <c r="AH127" s="292">
        <f t="shared" si="59"/>
        <v>0</v>
      </c>
      <c r="AI127" s="295">
        <v>10.672873287490331</v>
      </c>
      <c r="AJ127" s="383" t="s">
        <v>878</v>
      </c>
      <c r="AK127" s="297">
        <f t="shared" si="60"/>
        <v>0</v>
      </c>
      <c r="AL127" s="294">
        <f t="shared" si="61"/>
        <v>0</v>
      </c>
      <c r="AM127" s="292"/>
      <c r="AN127" s="292"/>
      <c r="AO127" s="295">
        <f>'Unit Savings Calculations'!P123</f>
        <v>10.672873287490331</v>
      </c>
      <c r="AP127" s="383" t="s">
        <v>763</v>
      </c>
      <c r="AQ127" s="297">
        <f t="shared" si="62"/>
        <v>0</v>
      </c>
      <c r="AR127" s="294">
        <f t="shared" si="63"/>
        <v>0</v>
      </c>
      <c r="AS127" s="292"/>
      <c r="AT127" s="292"/>
      <c r="AU127" s="295">
        <f>'Unit Savings Calculations'!Q123</f>
        <v>10.672873287490331</v>
      </c>
      <c r="AV127" s="383" t="str">
        <f t="shared" si="64"/>
        <v>n/a</v>
      </c>
      <c r="AW127" s="297">
        <f t="shared" si="65"/>
        <v>0</v>
      </c>
      <c r="AX127" s="294">
        <f t="shared" si="66"/>
        <v>0</v>
      </c>
      <c r="AY127" s="297">
        <f t="shared" si="67"/>
        <v>0</v>
      </c>
      <c r="AZ127" s="297">
        <f t="shared" si="68"/>
        <v>0</v>
      </c>
      <c r="BA127" s="297">
        <f t="shared" si="69"/>
        <v>0</v>
      </c>
      <c r="BB127" s="297">
        <f t="shared" si="70"/>
        <v>0</v>
      </c>
      <c r="BC127" s="298">
        <f t="shared" si="71"/>
        <v>0</v>
      </c>
      <c r="BD127" s="292" t="s">
        <v>763</v>
      </c>
      <c r="BE127" s="299" t="str">
        <f t="shared" si="72"/>
        <v>Exhibit 1.5A_R North Shore EEPS_Adjustable_Savings_Goal_Template.xlsx, Pipe Insulation Detail Tab</v>
      </c>
      <c r="BF127" s="298">
        <f t="shared" si="73"/>
        <v>0</v>
      </c>
      <c r="BG127" s="298">
        <f t="shared" si="73"/>
        <v>0</v>
      </c>
      <c r="BH127" s="298">
        <f t="shared" si="73"/>
        <v>0</v>
      </c>
      <c r="BI127" s="298">
        <f t="shared" si="73"/>
        <v>0</v>
      </c>
      <c r="BJ127" s="298">
        <f t="shared" si="74"/>
        <v>0</v>
      </c>
      <c r="BK127" s="482">
        <v>15</v>
      </c>
      <c r="BL127" s="482">
        <v>15</v>
      </c>
      <c r="BM127" s="482">
        <f>INDEX('Unit Savings Calculations'!$I$4:$I$421,MATCH('Measure-Level Adjustments Tab'!$A127&amp;"_"&amp;'Measure-Level Adjustments Tab'!$B127,'Unit Savings Calculations'!$A$4:$A$421,0))</f>
        <v>15</v>
      </c>
      <c r="BN127" s="482">
        <f t="shared" si="75"/>
        <v>15</v>
      </c>
      <c r="BO127" s="483">
        <f t="shared" si="76"/>
        <v>0</v>
      </c>
      <c r="BP127" s="483">
        <f t="shared" si="76"/>
        <v>0</v>
      </c>
      <c r="BQ127" s="483">
        <f t="shared" si="76"/>
        <v>0</v>
      </c>
      <c r="BR127" s="483">
        <f t="shared" si="76"/>
        <v>0</v>
      </c>
      <c r="BS127" s="483">
        <f t="shared" si="56"/>
        <v>0</v>
      </c>
    </row>
    <row r="128" spans="1:71" ht="15.75" customHeight="1">
      <c r="A128" s="292" t="str">
        <f>'Unit Savings Calculations'!C124</f>
        <v>Res - MF PTA Rebates</v>
      </c>
      <c r="B128" s="292" t="str">
        <f>'Unit Savings Calculations'!D124</f>
        <v>Pipe Insulation - Steam - Small 1" to 2"</v>
      </c>
      <c r="C128" s="293">
        <f t="shared" si="78"/>
        <v>1</v>
      </c>
      <c r="D128" s="292" t="str">
        <f>'Unit Savings Calculations'!T124</f>
        <v>4.4.14</v>
      </c>
      <c r="E128" s="438">
        <v>15</v>
      </c>
      <c r="F128" s="438">
        <v>15</v>
      </c>
      <c r="G128" s="292" t="str">
        <f>'Unit Savings Calculations'!E124</f>
        <v>ft</v>
      </c>
      <c r="H128" s="294">
        <f>'Unit Savings Calculations'!$F124*'Unit Savings Calculations'!J124</f>
        <v>375</v>
      </c>
      <c r="I128" s="294">
        <f>'Unit Savings Calculations'!$F124*'Unit Savings Calculations'!K124</f>
        <v>375</v>
      </c>
      <c r="J128" s="294">
        <f>'Unit Savings Calculations'!$F124*'Unit Savings Calculations'!L124</f>
        <v>375</v>
      </c>
      <c r="K128" s="294">
        <f>'Unit Savings Calculations'!$F124*'Unit Savings Calculations'!M124</f>
        <v>375</v>
      </c>
      <c r="L128" s="292" t="str">
        <f>'Unit Savings Calculations'!U124</f>
        <v>CI-HVC-PINS-V04-160601</v>
      </c>
      <c r="M128" s="383" t="str">
        <f>'Unit Savings Calculations'!R124</f>
        <v>Exhibit 1.5A_R North Shore EEPS_Adjustable_Savings_Goal_Template.xlsx, Pipe Insulation Detail Tab</v>
      </c>
      <c r="N128" s="295">
        <v>3.967097058288509</v>
      </c>
      <c r="O128" s="295">
        <v>3.967097058288509</v>
      </c>
      <c r="P128" s="295">
        <v>3.967097058288509</v>
      </c>
      <c r="Q128" s="295">
        <v>3.967097058288509</v>
      </c>
      <c r="R128" s="296">
        <f>'Unit Savings Calculations'!$G124</f>
        <v>0.88</v>
      </c>
      <c r="S128" s="296">
        <f>'Unit Savings Calculations'!$G124</f>
        <v>0.88</v>
      </c>
      <c r="T128" s="296">
        <f>'Unit Savings Calculations'!$G124</f>
        <v>0.88</v>
      </c>
      <c r="U128" s="296">
        <f>'Unit Savings Calculations'!$G124</f>
        <v>0.88</v>
      </c>
      <c r="V128" s="297">
        <f t="shared" si="79"/>
        <v>1309.1420292352082</v>
      </c>
      <c r="W128" s="297">
        <f t="shared" si="80"/>
        <v>1309.1420292352082</v>
      </c>
      <c r="X128" s="297">
        <f t="shared" si="81"/>
        <v>1309.1420292352082</v>
      </c>
      <c r="Y128" s="297">
        <f t="shared" si="82"/>
        <v>1309.1420292352082</v>
      </c>
      <c r="Z128" s="297">
        <f t="shared" si="83"/>
        <v>5236.5681169408326</v>
      </c>
      <c r="AA128" s="292"/>
      <c r="AB128" s="292"/>
      <c r="AC128" s="295">
        <v>3.967097058288509</v>
      </c>
      <c r="AD128" s="292"/>
      <c r="AE128" s="297">
        <f t="shared" si="57"/>
        <v>1309.1420292352082</v>
      </c>
      <c r="AF128" s="294">
        <f t="shared" si="58"/>
        <v>0</v>
      </c>
      <c r="AG128" s="292"/>
      <c r="AH128" s="292">
        <f t="shared" si="59"/>
        <v>0</v>
      </c>
      <c r="AI128" s="295">
        <v>3.967097058288509</v>
      </c>
      <c r="AJ128" s="383" t="s">
        <v>878</v>
      </c>
      <c r="AK128" s="297">
        <f t="shared" si="60"/>
        <v>1309.1420292352082</v>
      </c>
      <c r="AL128" s="294">
        <f t="shared" si="61"/>
        <v>0</v>
      </c>
      <c r="AM128" s="292"/>
      <c r="AN128" s="292"/>
      <c r="AO128" s="295">
        <f>'Unit Savings Calculations'!P124</f>
        <v>3.967097058288509</v>
      </c>
      <c r="AP128" s="383" t="s">
        <v>763</v>
      </c>
      <c r="AQ128" s="297">
        <f t="shared" si="62"/>
        <v>1309.1420292352082</v>
      </c>
      <c r="AR128" s="294">
        <f t="shared" si="63"/>
        <v>0</v>
      </c>
      <c r="AS128" s="292"/>
      <c r="AT128" s="292"/>
      <c r="AU128" s="295">
        <f>'Unit Savings Calculations'!Q124</f>
        <v>3.967097058288509</v>
      </c>
      <c r="AV128" s="383" t="str">
        <f t="shared" si="64"/>
        <v>n/a</v>
      </c>
      <c r="AW128" s="297">
        <f t="shared" si="65"/>
        <v>1309.1420292352082</v>
      </c>
      <c r="AX128" s="294">
        <f t="shared" si="66"/>
        <v>0</v>
      </c>
      <c r="AY128" s="297">
        <f t="shared" si="67"/>
        <v>1309.1420292352082</v>
      </c>
      <c r="AZ128" s="297">
        <f t="shared" si="68"/>
        <v>1309.1420292352082</v>
      </c>
      <c r="BA128" s="297">
        <f t="shared" si="69"/>
        <v>1309.1420292352082</v>
      </c>
      <c r="BB128" s="297">
        <f t="shared" si="70"/>
        <v>1309.1420292352082</v>
      </c>
      <c r="BC128" s="298">
        <f t="shared" si="71"/>
        <v>5236.5681169408326</v>
      </c>
      <c r="BD128" s="292" t="s">
        <v>763</v>
      </c>
      <c r="BE128" s="299" t="str">
        <f t="shared" si="72"/>
        <v>Exhibit 1.5A_R North Shore EEPS_Adjustable_Savings_Goal_Template.xlsx, Pipe Insulation Detail Tab</v>
      </c>
      <c r="BF128" s="298">
        <f t="shared" si="73"/>
        <v>19637.130438528122</v>
      </c>
      <c r="BG128" s="298">
        <f t="shared" si="73"/>
        <v>19637.130438528122</v>
      </c>
      <c r="BH128" s="298">
        <f t="shared" si="73"/>
        <v>19637.130438528122</v>
      </c>
      <c r="BI128" s="298">
        <f t="shared" si="73"/>
        <v>19637.130438528122</v>
      </c>
      <c r="BJ128" s="298">
        <f t="shared" si="74"/>
        <v>78548.521754112488</v>
      </c>
      <c r="BK128" s="482">
        <v>15</v>
      </c>
      <c r="BL128" s="482">
        <v>15</v>
      </c>
      <c r="BM128" s="482">
        <f>INDEX('Unit Savings Calculations'!$I$4:$I$421,MATCH('Measure-Level Adjustments Tab'!$A128&amp;"_"&amp;'Measure-Level Adjustments Tab'!$B128,'Unit Savings Calculations'!$A$4:$A$421,0))</f>
        <v>15</v>
      </c>
      <c r="BN128" s="482">
        <f t="shared" si="75"/>
        <v>15</v>
      </c>
      <c r="BO128" s="483">
        <f t="shared" si="76"/>
        <v>19637.130438528122</v>
      </c>
      <c r="BP128" s="483">
        <f t="shared" si="76"/>
        <v>19637.130438528122</v>
      </c>
      <c r="BQ128" s="483">
        <f t="shared" si="76"/>
        <v>19637.130438528122</v>
      </c>
      <c r="BR128" s="483">
        <f t="shared" si="76"/>
        <v>19637.130438528122</v>
      </c>
      <c r="BS128" s="483">
        <f t="shared" si="56"/>
        <v>78548.521754112488</v>
      </c>
    </row>
    <row r="129" spans="1:71" ht="15.75" customHeight="1">
      <c r="A129" s="292" t="str">
        <f>'Unit Savings Calculations'!C125</f>
        <v>Res - MF PTA Rebates</v>
      </c>
      <c r="B129" s="292" t="str">
        <f>'Unit Savings Calculations'!D125</f>
        <v>Pipe Insulation - Steam - Med 2.1" to 5"</v>
      </c>
      <c r="C129" s="293">
        <f t="shared" si="78"/>
        <v>1</v>
      </c>
      <c r="D129" s="292" t="str">
        <f>'Unit Savings Calculations'!T125</f>
        <v>4.4.14</v>
      </c>
      <c r="E129" s="438">
        <v>15</v>
      </c>
      <c r="F129" s="438">
        <v>15</v>
      </c>
      <c r="G129" s="292" t="str">
        <f>'Unit Savings Calculations'!E125</f>
        <v>ft</v>
      </c>
      <c r="H129" s="294">
        <f>'Unit Savings Calculations'!$F125*'Unit Savings Calculations'!J125</f>
        <v>150</v>
      </c>
      <c r="I129" s="294">
        <f>'Unit Savings Calculations'!$F125*'Unit Savings Calculations'!K125</f>
        <v>150</v>
      </c>
      <c r="J129" s="294">
        <f>'Unit Savings Calculations'!$F125*'Unit Savings Calculations'!L125</f>
        <v>150</v>
      </c>
      <c r="K129" s="294">
        <f>'Unit Savings Calculations'!$F125*'Unit Savings Calculations'!M125</f>
        <v>150</v>
      </c>
      <c r="L129" s="292" t="str">
        <f>'Unit Savings Calculations'!U125</f>
        <v>CI-HVC-PINS-V04-160601</v>
      </c>
      <c r="M129" s="383" t="str">
        <f>'Unit Savings Calculations'!R125</f>
        <v>Exhibit 1.5A_R North Shore EEPS_Adjustable_Savings_Goal_Template.xlsx, Pipe Insulation Detail Tab</v>
      </c>
      <c r="N129" s="295">
        <v>13.577404706790121</v>
      </c>
      <c r="O129" s="295">
        <v>13.577404706790121</v>
      </c>
      <c r="P129" s="295">
        <v>13.577404706790121</v>
      </c>
      <c r="Q129" s="295">
        <v>13.577404706790121</v>
      </c>
      <c r="R129" s="296">
        <f>'Unit Savings Calculations'!$G125</f>
        <v>0.88</v>
      </c>
      <c r="S129" s="296">
        <f>'Unit Savings Calculations'!$G125</f>
        <v>0.88</v>
      </c>
      <c r="T129" s="296">
        <f>'Unit Savings Calculations'!$G125</f>
        <v>0.88</v>
      </c>
      <c r="U129" s="296">
        <f>'Unit Savings Calculations'!$G125</f>
        <v>0.88</v>
      </c>
      <c r="V129" s="297">
        <f t="shared" si="79"/>
        <v>1792.2174212962959</v>
      </c>
      <c r="W129" s="297">
        <f t="shared" si="80"/>
        <v>1792.2174212962959</v>
      </c>
      <c r="X129" s="297">
        <f t="shared" si="81"/>
        <v>1792.2174212962959</v>
      </c>
      <c r="Y129" s="297">
        <f t="shared" si="82"/>
        <v>1792.2174212962959</v>
      </c>
      <c r="Z129" s="297">
        <f t="shared" si="83"/>
        <v>7168.8696851851837</v>
      </c>
      <c r="AA129" s="292"/>
      <c r="AB129" s="292"/>
      <c r="AC129" s="295">
        <v>13.577404706790121</v>
      </c>
      <c r="AD129" s="292"/>
      <c r="AE129" s="297">
        <f t="shared" si="57"/>
        <v>1792.2174212962959</v>
      </c>
      <c r="AF129" s="294">
        <f t="shared" si="58"/>
        <v>0</v>
      </c>
      <c r="AG129" s="292"/>
      <c r="AH129" s="292">
        <f t="shared" si="59"/>
        <v>0</v>
      </c>
      <c r="AI129" s="295">
        <v>13.577404706790121</v>
      </c>
      <c r="AJ129" s="383" t="s">
        <v>878</v>
      </c>
      <c r="AK129" s="297">
        <f t="shared" si="60"/>
        <v>1792.2174212962959</v>
      </c>
      <c r="AL129" s="294">
        <f t="shared" si="61"/>
        <v>0</v>
      </c>
      <c r="AM129" s="292"/>
      <c r="AN129" s="292"/>
      <c r="AO129" s="295">
        <f>'Unit Savings Calculations'!P125</f>
        <v>13.577404706790121</v>
      </c>
      <c r="AP129" s="383" t="s">
        <v>763</v>
      </c>
      <c r="AQ129" s="297">
        <f t="shared" si="62"/>
        <v>1792.2174212962959</v>
      </c>
      <c r="AR129" s="294">
        <f t="shared" si="63"/>
        <v>0</v>
      </c>
      <c r="AS129" s="292"/>
      <c r="AT129" s="292"/>
      <c r="AU129" s="295">
        <f>'Unit Savings Calculations'!Q125</f>
        <v>13.577404706790121</v>
      </c>
      <c r="AV129" s="383" t="str">
        <f t="shared" si="64"/>
        <v>n/a</v>
      </c>
      <c r="AW129" s="297">
        <f t="shared" si="65"/>
        <v>1792.2174212962959</v>
      </c>
      <c r="AX129" s="294">
        <f t="shared" si="66"/>
        <v>0</v>
      </c>
      <c r="AY129" s="297">
        <f t="shared" si="67"/>
        <v>1792.2174212962959</v>
      </c>
      <c r="AZ129" s="297">
        <f t="shared" si="68"/>
        <v>1792.2174212962959</v>
      </c>
      <c r="BA129" s="297">
        <f t="shared" si="69"/>
        <v>1792.2174212962959</v>
      </c>
      <c r="BB129" s="297">
        <f t="shared" si="70"/>
        <v>1792.2174212962959</v>
      </c>
      <c r="BC129" s="298">
        <f t="shared" si="71"/>
        <v>7168.8696851851837</v>
      </c>
      <c r="BD129" s="292" t="s">
        <v>763</v>
      </c>
      <c r="BE129" s="299" t="str">
        <f t="shared" si="72"/>
        <v>Exhibit 1.5A_R North Shore EEPS_Adjustable_Savings_Goal_Template.xlsx, Pipe Insulation Detail Tab</v>
      </c>
      <c r="BF129" s="298">
        <f t="shared" si="73"/>
        <v>26883.261319444438</v>
      </c>
      <c r="BG129" s="298">
        <f t="shared" si="73"/>
        <v>26883.261319444438</v>
      </c>
      <c r="BH129" s="298">
        <f t="shared" si="73"/>
        <v>26883.261319444438</v>
      </c>
      <c r="BI129" s="298">
        <f t="shared" si="73"/>
        <v>26883.261319444438</v>
      </c>
      <c r="BJ129" s="298">
        <f t="shared" si="74"/>
        <v>107533.04527777775</v>
      </c>
      <c r="BK129" s="482">
        <v>15</v>
      </c>
      <c r="BL129" s="482">
        <v>15</v>
      </c>
      <c r="BM129" s="482">
        <f>INDEX('Unit Savings Calculations'!$I$4:$I$421,MATCH('Measure-Level Adjustments Tab'!$A129&amp;"_"&amp;'Measure-Level Adjustments Tab'!$B129,'Unit Savings Calculations'!$A$4:$A$421,0))</f>
        <v>15</v>
      </c>
      <c r="BN129" s="482">
        <f t="shared" si="75"/>
        <v>15</v>
      </c>
      <c r="BO129" s="483">
        <f t="shared" si="76"/>
        <v>26883.261319444438</v>
      </c>
      <c r="BP129" s="483">
        <f t="shared" si="76"/>
        <v>26883.261319444438</v>
      </c>
      <c r="BQ129" s="483">
        <f t="shared" si="76"/>
        <v>26883.261319444438</v>
      </c>
      <c r="BR129" s="483">
        <f t="shared" si="76"/>
        <v>26883.261319444438</v>
      </c>
      <c r="BS129" s="483">
        <f t="shared" si="56"/>
        <v>107533.04527777775</v>
      </c>
    </row>
    <row r="130" spans="1:71" ht="15.75" customHeight="1">
      <c r="A130" s="292" t="str">
        <f>'Unit Savings Calculations'!C126</f>
        <v>Res - MF PTA Rebates</v>
      </c>
      <c r="B130" s="292" t="str">
        <f>'Unit Savings Calculations'!D126</f>
        <v>Pipe Insulation - Steam - Large 5.1" to 8"</v>
      </c>
      <c r="C130" s="293">
        <f t="shared" si="78"/>
        <v>1</v>
      </c>
      <c r="D130" s="292" t="str">
        <f>'Unit Savings Calculations'!T126</f>
        <v>4.4.14</v>
      </c>
      <c r="E130" s="438">
        <v>15</v>
      </c>
      <c r="F130" s="438">
        <v>15</v>
      </c>
      <c r="G130" s="292" t="str">
        <f>'Unit Savings Calculations'!E126</f>
        <v>ft</v>
      </c>
      <c r="H130" s="294">
        <f>'Unit Savings Calculations'!$F126*'Unit Savings Calculations'!J126</f>
        <v>0</v>
      </c>
      <c r="I130" s="294">
        <f>'Unit Savings Calculations'!$F126*'Unit Savings Calculations'!K126</f>
        <v>0</v>
      </c>
      <c r="J130" s="294">
        <f>'Unit Savings Calculations'!$F126*'Unit Savings Calculations'!L126</f>
        <v>0</v>
      </c>
      <c r="K130" s="294">
        <f>'Unit Savings Calculations'!$F126*'Unit Savings Calculations'!M126</f>
        <v>0</v>
      </c>
      <c r="L130" s="292" t="str">
        <f>'Unit Savings Calculations'!U126</f>
        <v>CI-HVC-PINS-V04-160601</v>
      </c>
      <c r="M130" s="383" t="str">
        <f>'Unit Savings Calculations'!R126</f>
        <v>Exhibit 1.5A_R North Shore EEPS_Adjustable_Savings_Goal_Template.xlsx, Pipe Insulation Detail Tab</v>
      </c>
      <c r="N130" s="295">
        <v>30.207245887345675</v>
      </c>
      <c r="O130" s="295">
        <v>30.207245887345675</v>
      </c>
      <c r="P130" s="295">
        <v>30.207245887345675</v>
      </c>
      <c r="Q130" s="295">
        <v>30.207245887345675</v>
      </c>
      <c r="R130" s="296">
        <f>'Unit Savings Calculations'!$G126</f>
        <v>0.88</v>
      </c>
      <c r="S130" s="296">
        <f>'Unit Savings Calculations'!$G126</f>
        <v>0.88</v>
      </c>
      <c r="T130" s="296">
        <f>'Unit Savings Calculations'!$G126</f>
        <v>0.88</v>
      </c>
      <c r="U130" s="296">
        <f>'Unit Savings Calculations'!$G126</f>
        <v>0.88</v>
      </c>
      <c r="V130" s="297">
        <f t="shared" si="79"/>
        <v>0</v>
      </c>
      <c r="W130" s="297">
        <f t="shared" si="80"/>
        <v>0</v>
      </c>
      <c r="X130" s="297">
        <f t="shared" si="81"/>
        <v>0</v>
      </c>
      <c r="Y130" s="297">
        <f t="shared" si="82"/>
        <v>0</v>
      </c>
      <c r="Z130" s="297">
        <f t="shared" si="83"/>
        <v>0</v>
      </c>
      <c r="AA130" s="292"/>
      <c r="AB130" s="292"/>
      <c r="AC130" s="295">
        <v>30.207245887345675</v>
      </c>
      <c r="AD130" s="292"/>
      <c r="AE130" s="297">
        <f t="shared" si="57"/>
        <v>0</v>
      </c>
      <c r="AF130" s="294">
        <f t="shared" si="58"/>
        <v>0</v>
      </c>
      <c r="AG130" s="292"/>
      <c r="AH130" s="292">
        <f t="shared" si="59"/>
        <v>0</v>
      </c>
      <c r="AI130" s="295">
        <v>30.207245887345675</v>
      </c>
      <c r="AJ130" s="383" t="s">
        <v>878</v>
      </c>
      <c r="AK130" s="297">
        <f t="shared" si="60"/>
        <v>0</v>
      </c>
      <c r="AL130" s="294">
        <f t="shared" si="61"/>
        <v>0</v>
      </c>
      <c r="AM130" s="292"/>
      <c r="AN130" s="292"/>
      <c r="AO130" s="295">
        <f>'Unit Savings Calculations'!P126</f>
        <v>30.207245887345675</v>
      </c>
      <c r="AP130" s="383" t="s">
        <v>763</v>
      </c>
      <c r="AQ130" s="297">
        <f t="shared" si="62"/>
        <v>0</v>
      </c>
      <c r="AR130" s="294">
        <f t="shared" si="63"/>
        <v>0</v>
      </c>
      <c r="AS130" s="292"/>
      <c r="AT130" s="292"/>
      <c r="AU130" s="295">
        <f>'Unit Savings Calculations'!Q126</f>
        <v>30.207245887345675</v>
      </c>
      <c r="AV130" s="383" t="str">
        <f t="shared" si="64"/>
        <v>n/a</v>
      </c>
      <c r="AW130" s="297">
        <f t="shared" si="65"/>
        <v>0</v>
      </c>
      <c r="AX130" s="294">
        <f t="shared" si="66"/>
        <v>0</v>
      </c>
      <c r="AY130" s="297">
        <f t="shared" si="67"/>
        <v>0</v>
      </c>
      <c r="AZ130" s="297">
        <f t="shared" si="68"/>
        <v>0</v>
      </c>
      <c r="BA130" s="297">
        <f t="shared" si="69"/>
        <v>0</v>
      </c>
      <c r="BB130" s="297">
        <f t="shared" si="70"/>
        <v>0</v>
      </c>
      <c r="BC130" s="298">
        <f t="shared" si="71"/>
        <v>0</v>
      </c>
      <c r="BD130" s="292" t="s">
        <v>763</v>
      </c>
      <c r="BE130" s="299" t="str">
        <f t="shared" si="72"/>
        <v>Exhibit 1.5A_R North Shore EEPS_Adjustable_Savings_Goal_Template.xlsx, Pipe Insulation Detail Tab</v>
      </c>
      <c r="BF130" s="298">
        <f t="shared" si="73"/>
        <v>0</v>
      </c>
      <c r="BG130" s="298">
        <f t="shared" si="73"/>
        <v>0</v>
      </c>
      <c r="BH130" s="298">
        <f t="shared" si="73"/>
        <v>0</v>
      </c>
      <c r="BI130" s="298">
        <f t="shared" si="73"/>
        <v>0</v>
      </c>
      <c r="BJ130" s="298">
        <f t="shared" si="74"/>
        <v>0</v>
      </c>
      <c r="BK130" s="482">
        <v>15</v>
      </c>
      <c r="BL130" s="482">
        <v>15</v>
      </c>
      <c r="BM130" s="482">
        <f>INDEX('Unit Savings Calculations'!$I$4:$I$421,MATCH('Measure-Level Adjustments Tab'!$A130&amp;"_"&amp;'Measure-Level Adjustments Tab'!$B130,'Unit Savings Calculations'!$A$4:$A$421,0))</f>
        <v>15</v>
      </c>
      <c r="BN130" s="482">
        <f t="shared" si="75"/>
        <v>15</v>
      </c>
      <c r="BO130" s="483">
        <f t="shared" si="76"/>
        <v>0</v>
      </c>
      <c r="BP130" s="483">
        <f t="shared" si="76"/>
        <v>0</v>
      </c>
      <c r="BQ130" s="483">
        <f t="shared" si="76"/>
        <v>0</v>
      </c>
      <c r="BR130" s="483">
        <f t="shared" si="76"/>
        <v>0</v>
      </c>
      <c r="BS130" s="483">
        <f t="shared" si="56"/>
        <v>0</v>
      </c>
    </row>
    <row r="131" spans="1:71" ht="15.75" customHeight="1">
      <c r="A131" s="292" t="str">
        <f>'Unit Savings Calculations'!C127</f>
        <v>Res - MF PTA Rebates</v>
      </c>
      <c r="B131" s="292" t="str">
        <f>'Unit Savings Calculations'!D127</f>
        <v>Pipe Insulation - Steam - X-Large &gt;8"</v>
      </c>
      <c r="C131" s="293">
        <f t="shared" si="78"/>
        <v>1</v>
      </c>
      <c r="D131" s="292" t="str">
        <f>'Unit Savings Calculations'!T127</f>
        <v>4.4.14</v>
      </c>
      <c r="E131" s="438">
        <v>15</v>
      </c>
      <c r="F131" s="438">
        <v>15</v>
      </c>
      <c r="G131" s="292" t="str">
        <f>'Unit Savings Calculations'!E127</f>
        <v>ft</v>
      </c>
      <c r="H131" s="294">
        <f>'Unit Savings Calculations'!$F127*'Unit Savings Calculations'!J127</f>
        <v>0</v>
      </c>
      <c r="I131" s="294">
        <f>'Unit Savings Calculations'!$F127*'Unit Savings Calculations'!K127</f>
        <v>0</v>
      </c>
      <c r="J131" s="294">
        <f>'Unit Savings Calculations'!$F127*'Unit Savings Calculations'!L127</f>
        <v>0</v>
      </c>
      <c r="K131" s="294">
        <f>'Unit Savings Calculations'!$F127*'Unit Savings Calculations'!M127</f>
        <v>0</v>
      </c>
      <c r="L131" s="292" t="str">
        <f>'Unit Savings Calculations'!U127</f>
        <v>CI-HVC-PINS-V04-160601</v>
      </c>
      <c r="M131" s="383" t="str">
        <f>'Unit Savings Calculations'!R127</f>
        <v>Exhibit 1.5A_R North Shore EEPS_Adjustable_Savings_Goal_Template.xlsx, Pipe Insulation Detail Tab</v>
      </c>
      <c r="N131" s="295">
        <v>44.814401171573145</v>
      </c>
      <c r="O131" s="295">
        <v>44.814401171573145</v>
      </c>
      <c r="P131" s="295">
        <v>44.814401171573145</v>
      </c>
      <c r="Q131" s="295">
        <v>44.814401171573145</v>
      </c>
      <c r="R131" s="296">
        <f>'Unit Savings Calculations'!$G127</f>
        <v>0.88</v>
      </c>
      <c r="S131" s="296">
        <f>'Unit Savings Calculations'!$G127</f>
        <v>0.88</v>
      </c>
      <c r="T131" s="296">
        <f>'Unit Savings Calculations'!$G127</f>
        <v>0.88</v>
      </c>
      <c r="U131" s="296">
        <f>'Unit Savings Calculations'!$G127</f>
        <v>0.88</v>
      </c>
      <c r="V131" s="297">
        <f t="shared" si="79"/>
        <v>0</v>
      </c>
      <c r="W131" s="297">
        <f t="shared" si="80"/>
        <v>0</v>
      </c>
      <c r="X131" s="297">
        <f t="shared" si="81"/>
        <v>0</v>
      </c>
      <c r="Y131" s="297">
        <f t="shared" si="82"/>
        <v>0</v>
      </c>
      <c r="Z131" s="297">
        <f t="shared" si="83"/>
        <v>0</v>
      </c>
      <c r="AA131" s="292"/>
      <c r="AB131" s="292"/>
      <c r="AC131" s="295">
        <v>44.814401171573145</v>
      </c>
      <c r="AD131" s="292"/>
      <c r="AE131" s="297">
        <f t="shared" si="57"/>
        <v>0</v>
      </c>
      <c r="AF131" s="294">
        <f t="shared" si="58"/>
        <v>0</v>
      </c>
      <c r="AG131" s="292"/>
      <c r="AH131" s="292">
        <f t="shared" si="59"/>
        <v>0</v>
      </c>
      <c r="AI131" s="295">
        <v>44.814401171573145</v>
      </c>
      <c r="AJ131" s="383" t="s">
        <v>878</v>
      </c>
      <c r="AK131" s="297">
        <f t="shared" si="60"/>
        <v>0</v>
      </c>
      <c r="AL131" s="294">
        <f t="shared" si="61"/>
        <v>0</v>
      </c>
      <c r="AM131" s="292"/>
      <c r="AN131" s="292"/>
      <c r="AO131" s="295">
        <f>'Unit Savings Calculations'!P127</f>
        <v>44.814401171573145</v>
      </c>
      <c r="AP131" s="383" t="s">
        <v>763</v>
      </c>
      <c r="AQ131" s="297">
        <f t="shared" si="62"/>
        <v>0</v>
      </c>
      <c r="AR131" s="294">
        <f t="shared" si="63"/>
        <v>0</v>
      </c>
      <c r="AS131" s="292"/>
      <c r="AT131" s="292"/>
      <c r="AU131" s="295">
        <f>'Unit Savings Calculations'!Q127</f>
        <v>44.814401171573145</v>
      </c>
      <c r="AV131" s="383" t="str">
        <f t="shared" si="64"/>
        <v>n/a</v>
      </c>
      <c r="AW131" s="297">
        <f t="shared" si="65"/>
        <v>0</v>
      </c>
      <c r="AX131" s="294">
        <f t="shared" si="66"/>
        <v>0</v>
      </c>
      <c r="AY131" s="297">
        <f t="shared" si="67"/>
        <v>0</v>
      </c>
      <c r="AZ131" s="297">
        <f t="shared" si="68"/>
        <v>0</v>
      </c>
      <c r="BA131" s="297">
        <f t="shared" si="69"/>
        <v>0</v>
      </c>
      <c r="BB131" s="297">
        <f t="shared" si="70"/>
        <v>0</v>
      </c>
      <c r="BC131" s="298">
        <f t="shared" si="71"/>
        <v>0</v>
      </c>
      <c r="BD131" s="292" t="s">
        <v>763</v>
      </c>
      <c r="BE131" s="299" t="str">
        <f t="shared" si="72"/>
        <v>Exhibit 1.5A_R North Shore EEPS_Adjustable_Savings_Goal_Template.xlsx, Pipe Insulation Detail Tab</v>
      </c>
      <c r="BF131" s="298">
        <f t="shared" si="73"/>
        <v>0</v>
      </c>
      <c r="BG131" s="298">
        <f t="shared" si="73"/>
        <v>0</v>
      </c>
      <c r="BH131" s="298">
        <f t="shared" si="73"/>
        <v>0</v>
      </c>
      <c r="BI131" s="298">
        <f t="shared" si="73"/>
        <v>0</v>
      </c>
      <c r="BJ131" s="298">
        <f t="shared" si="74"/>
        <v>0</v>
      </c>
      <c r="BK131" s="482">
        <v>15</v>
      </c>
      <c r="BL131" s="482">
        <v>15</v>
      </c>
      <c r="BM131" s="482">
        <f>INDEX('Unit Savings Calculations'!$I$4:$I$421,MATCH('Measure-Level Adjustments Tab'!$A131&amp;"_"&amp;'Measure-Level Adjustments Tab'!$B131,'Unit Savings Calculations'!$A$4:$A$421,0))</f>
        <v>15</v>
      </c>
      <c r="BN131" s="482">
        <f t="shared" si="75"/>
        <v>15</v>
      </c>
      <c r="BO131" s="483">
        <f t="shared" si="76"/>
        <v>0</v>
      </c>
      <c r="BP131" s="483">
        <f t="shared" si="76"/>
        <v>0</v>
      </c>
      <c r="BQ131" s="483">
        <f t="shared" si="76"/>
        <v>0</v>
      </c>
      <c r="BR131" s="483">
        <f t="shared" si="76"/>
        <v>0</v>
      </c>
      <c r="BS131" s="483">
        <f t="shared" si="56"/>
        <v>0</v>
      </c>
    </row>
    <row r="132" spans="1:71" ht="15.75" customHeight="1">
      <c r="A132" s="292" t="str">
        <f>'Unit Savings Calculations'!C128</f>
        <v>Res - MF PTA Rebates</v>
      </c>
      <c r="B132" s="292" t="str">
        <f>'Unit Savings Calculations'!D128</f>
        <v>Pipe Insulation - Steam Med Fitting</v>
      </c>
      <c r="C132" s="293">
        <f t="shared" si="78"/>
        <v>1</v>
      </c>
      <c r="D132" s="292" t="str">
        <f>'Unit Savings Calculations'!T128</f>
        <v>4.4.14</v>
      </c>
      <c r="E132" s="438">
        <v>15</v>
      </c>
      <c r="F132" s="438">
        <v>15</v>
      </c>
      <c r="G132" s="292" t="str">
        <f>'Unit Savings Calculations'!E128</f>
        <v>each</v>
      </c>
      <c r="H132" s="294">
        <f>'Unit Savings Calculations'!$F128*'Unit Savings Calculations'!J128</f>
        <v>0</v>
      </c>
      <c r="I132" s="294">
        <f>'Unit Savings Calculations'!$F128*'Unit Savings Calculations'!K128</f>
        <v>0</v>
      </c>
      <c r="J132" s="294">
        <f>'Unit Savings Calculations'!$F128*'Unit Savings Calculations'!L128</f>
        <v>0</v>
      </c>
      <c r="K132" s="294">
        <f>'Unit Savings Calculations'!$F128*'Unit Savings Calculations'!M128</f>
        <v>0</v>
      </c>
      <c r="L132" s="292" t="str">
        <f>'Unit Savings Calculations'!U128</f>
        <v>CI-HVC-PINS-V04-160601</v>
      </c>
      <c r="M132" s="383" t="str">
        <f>'Unit Savings Calculations'!R128</f>
        <v>Exhibit 1.5A_R North Shore EEPS_Adjustable_Savings_Goal_Template.xlsx, Pipe Insulation Detail Tab</v>
      </c>
      <c r="N132" s="295">
        <v>15.586033402860688</v>
      </c>
      <c r="O132" s="295">
        <v>15.586033402860688</v>
      </c>
      <c r="P132" s="295">
        <v>15.586033402860688</v>
      </c>
      <c r="Q132" s="295">
        <v>15.586033402860688</v>
      </c>
      <c r="R132" s="296">
        <f>'Unit Savings Calculations'!$G128</f>
        <v>0.88</v>
      </c>
      <c r="S132" s="296">
        <f>'Unit Savings Calculations'!$G128</f>
        <v>0.88</v>
      </c>
      <c r="T132" s="296">
        <f>'Unit Savings Calculations'!$G128</f>
        <v>0.88</v>
      </c>
      <c r="U132" s="296">
        <f>'Unit Savings Calculations'!$G128</f>
        <v>0.88</v>
      </c>
      <c r="V132" s="297">
        <f t="shared" si="79"/>
        <v>0</v>
      </c>
      <c r="W132" s="297">
        <f t="shared" si="80"/>
        <v>0</v>
      </c>
      <c r="X132" s="297">
        <f t="shared" si="81"/>
        <v>0</v>
      </c>
      <c r="Y132" s="297">
        <f t="shared" si="82"/>
        <v>0</v>
      </c>
      <c r="Z132" s="297">
        <f t="shared" si="83"/>
        <v>0</v>
      </c>
      <c r="AA132" s="292"/>
      <c r="AB132" s="292"/>
      <c r="AC132" s="295">
        <v>15.586033402860688</v>
      </c>
      <c r="AD132" s="292"/>
      <c r="AE132" s="297">
        <f t="shared" si="57"/>
        <v>0</v>
      </c>
      <c r="AF132" s="294">
        <f t="shared" si="58"/>
        <v>0</v>
      </c>
      <c r="AG132" s="292"/>
      <c r="AH132" s="292">
        <f t="shared" si="59"/>
        <v>0</v>
      </c>
      <c r="AI132" s="295">
        <v>15.586033402860688</v>
      </c>
      <c r="AJ132" s="383" t="s">
        <v>878</v>
      </c>
      <c r="AK132" s="297">
        <f t="shared" si="60"/>
        <v>0</v>
      </c>
      <c r="AL132" s="294">
        <f t="shared" si="61"/>
        <v>0</v>
      </c>
      <c r="AM132" s="292"/>
      <c r="AN132" s="292"/>
      <c r="AO132" s="295">
        <f>'Unit Savings Calculations'!P128</f>
        <v>15.586033402860688</v>
      </c>
      <c r="AP132" s="383" t="s">
        <v>763</v>
      </c>
      <c r="AQ132" s="297">
        <f t="shared" si="62"/>
        <v>0</v>
      </c>
      <c r="AR132" s="294">
        <f t="shared" si="63"/>
        <v>0</v>
      </c>
      <c r="AS132" s="292"/>
      <c r="AT132" s="292"/>
      <c r="AU132" s="295">
        <f>'Unit Savings Calculations'!Q128</f>
        <v>15.586033402860688</v>
      </c>
      <c r="AV132" s="383" t="str">
        <f t="shared" si="64"/>
        <v>n/a</v>
      </c>
      <c r="AW132" s="297">
        <f t="shared" si="65"/>
        <v>0</v>
      </c>
      <c r="AX132" s="294">
        <f t="shared" si="66"/>
        <v>0</v>
      </c>
      <c r="AY132" s="297">
        <f t="shared" si="67"/>
        <v>0</v>
      </c>
      <c r="AZ132" s="297">
        <f t="shared" si="68"/>
        <v>0</v>
      </c>
      <c r="BA132" s="297">
        <f t="shared" si="69"/>
        <v>0</v>
      </c>
      <c r="BB132" s="297">
        <f t="shared" si="70"/>
        <v>0</v>
      </c>
      <c r="BC132" s="298">
        <f t="shared" si="71"/>
        <v>0</v>
      </c>
      <c r="BD132" s="292" t="s">
        <v>763</v>
      </c>
      <c r="BE132" s="299" t="str">
        <f t="shared" si="72"/>
        <v>Exhibit 1.5A_R North Shore EEPS_Adjustable_Savings_Goal_Template.xlsx, Pipe Insulation Detail Tab</v>
      </c>
      <c r="BF132" s="298">
        <f t="shared" si="73"/>
        <v>0</v>
      </c>
      <c r="BG132" s="298">
        <f t="shared" si="73"/>
        <v>0</v>
      </c>
      <c r="BH132" s="298">
        <f t="shared" si="73"/>
        <v>0</v>
      </c>
      <c r="BI132" s="298">
        <f t="shared" si="73"/>
        <v>0</v>
      </c>
      <c r="BJ132" s="298">
        <f t="shared" si="74"/>
        <v>0</v>
      </c>
      <c r="BK132" s="482">
        <v>15</v>
      </c>
      <c r="BL132" s="482">
        <v>15</v>
      </c>
      <c r="BM132" s="482">
        <f>INDEX('Unit Savings Calculations'!$I$4:$I$421,MATCH('Measure-Level Adjustments Tab'!$A132&amp;"_"&amp;'Measure-Level Adjustments Tab'!$B132,'Unit Savings Calculations'!$A$4:$A$421,0))</f>
        <v>15</v>
      </c>
      <c r="BN132" s="482">
        <f t="shared" si="75"/>
        <v>15</v>
      </c>
      <c r="BO132" s="483">
        <f t="shared" si="76"/>
        <v>0</v>
      </c>
      <c r="BP132" s="483">
        <f t="shared" si="76"/>
        <v>0</v>
      </c>
      <c r="BQ132" s="483">
        <f t="shared" si="76"/>
        <v>0</v>
      </c>
      <c r="BR132" s="483">
        <f t="shared" si="76"/>
        <v>0</v>
      </c>
      <c r="BS132" s="483">
        <f t="shared" si="56"/>
        <v>0</v>
      </c>
    </row>
    <row r="133" spans="1:71" ht="15.75" customHeight="1">
      <c r="A133" s="292" t="str">
        <f>'Unit Savings Calculations'!C129</f>
        <v>Res - MF PTA Rebates</v>
      </c>
      <c r="B133" s="292" t="str">
        <f>'Unit Savings Calculations'!D129</f>
        <v>Pipe Insulation - Steam Large Fitting</v>
      </c>
      <c r="C133" s="293">
        <f t="shared" si="78"/>
        <v>1</v>
      </c>
      <c r="D133" s="292" t="str">
        <f>'Unit Savings Calculations'!T129</f>
        <v>4.4.14</v>
      </c>
      <c r="E133" s="438">
        <v>15</v>
      </c>
      <c r="F133" s="438">
        <v>15</v>
      </c>
      <c r="G133" s="292" t="str">
        <f>'Unit Savings Calculations'!E129</f>
        <v>each</v>
      </c>
      <c r="H133" s="294">
        <f>'Unit Savings Calculations'!$F129*'Unit Savings Calculations'!J129</f>
        <v>0</v>
      </c>
      <c r="I133" s="294">
        <f>'Unit Savings Calculations'!$F129*'Unit Savings Calculations'!K129</f>
        <v>0</v>
      </c>
      <c r="J133" s="294">
        <f>'Unit Savings Calculations'!$F129*'Unit Savings Calculations'!L129</f>
        <v>0</v>
      </c>
      <c r="K133" s="294">
        <f>'Unit Savings Calculations'!$F129*'Unit Savings Calculations'!M129</f>
        <v>0</v>
      </c>
      <c r="L133" s="292" t="str">
        <f>'Unit Savings Calculations'!U129</f>
        <v>CI-HVC-PINS-V04-160601</v>
      </c>
      <c r="M133" s="383" t="str">
        <f>'Unit Savings Calculations'!R129</f>
        <v>Exhibit 1.5A_R North Shore EEPS_Adjustable_Savings_Goal_Template.xlsx, Pipe Insulation Detail Tab</v>
      </c>
      <c r="N133" s="295">
        <v>63.824627950912159</v>
      </c>
      <c r="O133" s="295">
        <v>63.824627950912159</v>
      </c>
      <c r="P133" s="295">
        <v>63.824627950912159</v>
      </c>
      <c r="Q133" s="295">
        <v>63.824627950912159</v>
      </c>
      <c r="R133" s="296">
        <f>'Unit Savings Calculations'!$G129</f>
        <v>0.88</v>
      </c>
      <c r="S133" s="296">
        <f>'Unit Savings Calculations'!$G129</f>
        <v>0.88</v>
      </c>
      <c r="T133" s="296">
        <f>'Unit Savings Calculations'!$G129</f>
        <v>0.88</v>
      </c>
      <c r="U133" s="296">
        <f>'Unit Savings Calculations'!$G129</f>
        <v>0.88</v>
      </c>
      <c r="V133" s="297">
        <f t="shared" si="79"/>
        <v>0</v>
      </c>
      <c r="W133" s="297">
        <f t="shared" si="80"/>
        <v>0</v>
      </c>
      <c r="X133" s="297">
        <f t="shared" si="81"/>
        <v>0</v>
      </c>
      <c r="Y133" s="297">
        <f t="shared" si="82"/>
        <v>0</v>
      </c>
      <c r="Z133" s="297">
        <f t="shared" si="83"/>
        <v>0</v>
      </c>
      <c r="AA133" s="292"/>
      <c r="AB133" s="292"/>
      <c r="AC133" s="295">
        <v>63.824627950912159</v>
      </c>
      <c r="AD133" s="292"/>
      <c r="AE133" s="297">
        <f t="shared" si="57"/>
        <v>0</v>
      </c>
      <c r="AF133" s="294">
        <f t="shared" si="58"/>
        <v>0</v>
      </c>
      <c r="AG133" s="292"/>
      <c r="AH133" s="292">
        <f t="shared" si="59"/>
        <v>0</v>
      </c>
      <c r="AI133" s="295">
        <v>63.824627950912159</v>
      </c>
      <c r="AJ133" s="383" t="s">
        <v>878</v>
      </c>
      <c r="AK133" s="297">
        <f t="shared" si="60"/>
        <v>0</v>
      </c>
      <c r="AL133" s="294">
        <f t="shared" si="61"/>
        <v>0</v>
      </c>
      <c r="AM133" s="292"/>
      <c r="AN133" s="292"/>
      <c r="AO133" s="295">
        <f>'Unit Savings Calculations'!P129</f>
        <v>63.824627950912159</v>
      </c>
      <c r="AP133" s="383" t="s">
        <v>763</v>
      </c>
      <c r="AQ133" s="297">
        <f t="shared" si="62"/>
        <v>0</v>
      </c>
      <c r="AR133" s="294">
        <f t="shared" si="63"/>
        <v>0</v>
      </c>
      <c r="AS133" s="292"/>
      <c r="AT133" s="292"/>
      <c r="AU133" s="295">
        <f>'Unit Savings Calculations'!Q129</f>
        <v>63.824627950912159</v>
      </c>
      <c r="AV133" s="383" t="str">
        <f t="shared" si="64"/>
        <v>n/a</v>
      </c>
      <c r="AW133" s="297">
        <f t="shared" si="65"/>
        <v>0</v>
      </c>
      <c r="AX133" s="294">
        <f t="shared" si="66"/>
        <v>0</v>
      </c>
      <c r="AY133" s="297">
        <f t="shared" si="67"/>
        <v>0</v>
      </c>
      <c r="AZ133" s="297">
        <f t="shared" si="68"/>
        <v>0</v>
      </c>
      <c r="BA133" s="297">
        <f t="shared" si="69"/>
        <v>0</v>
      </c>
      <c r="BB133" s="297">
        <f t="shared" si="70"/>
        <v>0</v>
      </c>
      <c r="BC133" s="298">
        <f t="shared" si="71"/>
        <v>0</v>
      </c>
      <c r="BD133" s="292" t="s">
        <v>763</v>
      </c>
      <c r="BE133" s="299" t="str">
        <f t="shared" si="72"/>
        <v>Exhibit 1.5A_R North Shore EEPS_Adjustable_Savings_Goal_Template.xlsx, Pipe Insulation Detail Tab</v>
      </c>
      <c r="BF133" s="298">
        <f t="shared" si="73"/>
        <v>0</v>
      </c>
      <c r="BG133" s="298">
        <f t="shared" si="73"/>
        <v>0</v>
      </c>
      <c r="BH133" s="298">
        <f t="shared" si="73"/>
        <v>0</v>
      </c>
      <c r="BI133" s="298">
        <f t="shared" si="73"/>
        <v>0</v>
      </c>
      <c r="BJ133" s="298">
        <f t="shared" si="74"/>
        <v>0</v>
      </c>
      <c r="BK133" s="482">
        <v>15</v>
      </c>
      <c r="BL133" s="482">
        <v>15</v>
      </c>
      <c r="BM133" s="482">
        <f>INDEX('Unit Savings Calculations'!$I$4:$I$421,MATCH('Measure-Level Adjustments Tab'!$A133&amp;"_"&amp;'Measure-Level Adjustments Tab'!$B133,'Unit Savings Calculations'!$A$4:$A$421,0))</f>
        <v>15</v>
      </c>
      <c r="BN133" s="482">
        <f t="shared" si="75"/>
        <v>15</v>
      </c>
      <c r="BO133" s="483">
        <f t="shared" si="76"/>
        <v>0</v>
      </c>
      <c r="BP133" s="483">
        <f t="shared" si="76"/>
        <v>0</v>
      </c>
      <c r="BQ133" s="483">
        <f t="shared" si="76"/>
        <v>0</v>
      </c>
      <c r="BR133" s="483">
        <f t="shared" si="76"/>
        <v>0</v>
      </c>
      <c r="BS133" s="483">
        <f t="shared" si="56"/>
        <v>0</v>
      </c>
    </row>
    <row r="134" spans="1:71" ht="15.75" customHeight="1">
      <c r="A134" s="292" t="str">
        <f>'Unit Savings Calculations'!C130</f>
        <v>Res - MF PTA Rebates</v>
      </c>
      <c r="B134" s="292" t="str">
        <f>'Unit Savings Calculations'!D130</f>
        <v>Pipe Insulation - Steam X-Large Fitting</v>
      </c>
      <c r="C134" s="293">
        <f t="shared" si="78"/>
        <v>1</v>
      </c>
      <c r="D134" s="292" t="str">
        <f>'Unit Savings Calculations'!T130</f>
        <v>4.4.14</v>
      </c>
      <c r="E134" s="438">
        <v>15</v>
      </c>
      <c r="F134" s="438">
        <v>15</v>
      </c>
      <c r="G134" s="292" t="str">
        <f>'Unit Savings Calculations'!E130</f>
        <v>each</v>
      </c>
      <c r="H134" s="294">
        <f>'Unit Savings Calculations'!$F130*'Unit Savings Calculations'!J130</f>
        <v>0</v>
      </c>
      <c r="I134" s="294">
        <f>'Unit Savings Calculations'!$F130*'Unit Savings Calculations'!K130</f>
        <v>0</v>
      </c>
      <c r="J134" s="294">
        <f>'Unit Savings Calculations'!$F130*'Unit Savings Calculations'!L130</f>
        <v>0</v>
      </c>
      <c r="K134" s="294">
        <f>'Unit Savings Calculations'!$F130*'Unit Savings Calculations'!M130</f>
        <v>0</v>
      </c>
      <c r="L134" s="292" t="str">
        <f>'Unit Savings Calculations'!U130</f>
        <v>CI-HVC-PINS-V04-160601</v>
      </c>
      <c r="M134" s="383" t="str">
        <f>'Unit Savings Calculations'!R130</f>
        <v>Exhibit 1.5A_R North Shore EEPS_Adjustable_Savings_Goal_Template.xlsx, Pipe Insulation Detail Tab</v>
      </c>
      <c r="N134" s="295">
        <v>123.46367522768401</v>
      </c>
      <c r="O134" s="295">
        <v>123.46367522768401</v>
      </c>
      <c r="P134" s="295">
        <v>123.46367522768401</v>
      </c>
      <c r="Q134" s="295">
        <v>123.46367522768401</v>
      </c>
      <c r="R134" s="296">
        <f>'Unit Savings Calculations'!$G130</f>
        <v>0.88</v>
      </c>
      <c r="S134" s="296">
        <f>'Unit Savings Calculations'!$G130</f>
        <v>0.88</v>
      </c>
      <c r="T134" s="296">
        <f>'Unit Savings Calculations'!$G130</f>
        <v>0.88</v>
      </c>
      <c r="U134" s="296">
        <f>'Unit Savings Calculations'!$G130</f>
        <v>0.88</v>
      </c>
      <c r="V134" s="297">
        <f t="shared" si="79"/>
        <v>0</v>
      </c>
      <c r="W134" s="297">
        <f t="shared" si="80"/>
        <v>0</v>
      </c>
      <c r="X134" s="297">
        <f t="shared" si="81"/>
        <v>0</v>
      </c>
      <c r="Y134" s="297">
        <f t="shared" si="82"/>
        <v>0</v>
      </c>
      <c r="Z134" s="297">
        <f t="shared" si="83"/>
        <v>0</v>
      </c>
      <c r="AA134" s="292"/>
      <c r="AB134" s="292"/>
      <c r="AC134" s="295">
        <v>123.46367522768401</v>
      </c>
      <c r="AD134" s="292"/>
      <c r="AE134" s="297">
        <f t="shared" si="57"/>
        <v>0</v>
      </c>
      <c r="AF134" s="294">
        <f t="shared" si="58"/>
        <v>0</v>
      </c>
      <c r="AG134" s="292"/>
      <c r="AH134" s="292">
        <f t="shared" si="59"/>
        <v>0</v>
      </c>
      <c r="AI134" s="295">
        <v>123.46367522768401</v>
      </c>
      <c r="AJ134" s="383" t="s">
        <v>878</v>
      </c>
      <c r="AK134" s="297">
        <f t="shared" si="60"/>
        <v>0</v>
      </c>
      <c r="AL134" s="294">
        <f t="shared" si="61"/>
        <v>0</v>
      </c>
      <c r="AM134" s="292"/>
      <c r="AN134" s="292"/>
      <c r="AO134" s="295">
        <f>'Unit Savings Calculations'!P130</f>
        <v>123.46367522768401</v>
      </c>
      <c r="AP134" s="383" t="s">
        <v>763</v>
      </c>
      <c r="AQ134" s="297">
        <f t="shared" si="62"/>
        <v>0</v>
      </c>
      <c r="AR134" s="294">
        <f t="shared" si="63"/>
        <v>0</v>
      </c>
      <c r="AS134" s="292"/>
      <c r="AT134" s="292"/>
      <c r="AU134" s="295">
        <f>'Unit Savings Calculations'!Q130</f>
        <v>123.46367522768401</v>
      </c>
      <c r="AV134" s="383" t="str">
        <f t="shared" si="64"/>
        <v>n/a</v>
      </c>
      <c r="AW134" s="297">
        <f t="shared" si="65"/>
        <v>0</v>
      </c>
      <c r="AX134" s="294">
        <f t="shared" si="66"/>
        <v>0</v>
      </c>
      <c r="AY134" s="297">
        <f t="shared" si="67"/>
        <v>0</v>
      </c>
      <c r="AZ134" s="297">
        <f t="shared" si="68"/>
        <v>0</v>
      </c>
      <c r="BA134" s="297">
        <f t="shared" si="69"/>
        <v>0</v>
      </c>
      <c r="BB134" s="297">
        <f t="shared" si="70"/>
        <v>0</v>
      </c>
      <c r="BC134" s="298">
        <f t="shared" si="71"/>
        <v>0</v>
      </c>
      <c r="BD134" s="292" t="s">
        <v>763</v>
      </c>
      <c r="BE134" s="299" t="str">
        <f t="shared" si="72"/>
        <v>Exhibit 1.5A_R North Shore EEPS_Adjustable_Savings_Goal_Template.xlsx, Pipe Insulation Detail Tab</v>
      </c>
      <c r="BF134" s="298">
        <f t="shared" si="73"/>
        <v>0</v>
      </c>
      <c r="BG134" s="298">
        <f t="shared" si="73"/>
        <v>0</v>
      </c>
      <c r="BH134" s="298">
        <f t="shared" si="73"/>
        <v>0</v>
      </c>
      <c r="BI134" s="298">
        <f t="shared" si="73"/>
        <v>0</v>
      </c>
      <c r="BJ134" s="298">
        <f t="shared" si="74"/>
        <v>0</v>
      </c>
      <c r="BK134" s="482">
        <v>15</v>
      </c>
      <c r="BL134" s="482">
        <v>15</v>
      </c>
      <c r="BM134" s="482">
        <f>INDEX('Unit Savings Calculations'!$I$4:$I$421,MATCH('Measure-Level Adjustments Tab'!$A134&amp;"_"&amp;'Measure-Level Adjustments Tab'!$B134,'Unit Savings Calculations'!$A$4:$A$421,0))</f>
        <v>15</v>
      </c>
      <c r="BN134" s="482">
        <f t="shared" si="75"/>
        <v>15</v>
      </c>
      <c r="BO134" s="483">
        <f t="shared" si="76"/>
        <v>0</v>
      </c>
      <c r="BP134" s="483">
        <f t="shared" si="76"/>
        <v>0</v>
      </c>
      <c r="BQ134" s="483">
        <f t="shared" si="76"/>
        <v>0</v>
      </c>
      <c r="BR134" s="483">
        <f t="shared" si="76"/>
        <v>0</v>
      </c>
      <c r="BS134" s="483">
        <f t="shared" si="56"/>
        <v>0</v>
      </c>
    </row>
    <row r="135" spans="1:71" ht="15.75" customHeight="1">
      <c r="A135" s="292" t="str">
        <f>'Unit Savings Calculations'!C131</f>
        <v>Res - MF PTA Rebates</v>
      </c>
      <c r="B135" s="292" t="str">
        <f>'Unit Savings Calculations'!D131</f>
        <v>Pipe Insulation - Steam Med Valve</v>
      </c>
      <c r="C135" s="293">
        <f t="shared" si="78"/>
        <v>1</v>
      </c>
      <c r="D135" s="292" t="str">
        <f>'Unit Savings Calculations'!T131</f>
        <v>4.4.14</v>
      </c>
      <c r="E135" s="438">
        <v>15</v>
      </c>
      <c r="F135" s="438">
        <v>15</v>
      </c>
      <c r="G135" s="292" t="str">
        <f>'Unit Savings Calculations'!E131</f>
        <v>each</v>
      </c>
      <c r="H135" s="294">
        <f>'Unit Savings Calculations'!$F131*'Unit Savings Calculations'!J131</f>
        <v>0</v>
      </c>
      <c r="I135" s="294">
        <f>'Unit Savings Calculations'!$F131*'Unit Savings Calculations'!K131</f>
        <v>0</v>
      </c>
      <c r="J135" s="294">
        <f>'Unit Savings Calculations'!$F131*'Unit Savings Calculations'!L131</f>
        <v>0</v>
      </c>
      <c r="K135" s="294">
        <f>'Unit Savings Calculations'!$F131*'Unit Savings Calculations'!M131</f>
        <v>0</v>
      </c>
      <c r="L135" s="292" t="str">
        <f>'Unit Savings Calculations'!U131</f>
        <v>CI-HVC-PINS-V04-160601</v>
      </c>
      <c r="M135" s="383" t="str">
        <f>'Unit Savings Calculations'!R131</f>
        <v>Exhibit 1.5A_R North Shore EEPS_Adjustable_Savings_Goal_Template.xlsx, Pipe Insulation Detail Tab</v>
      </c>
      <c r="N135" s="295">
        <v>46.605980670745772</v>
      </c>
      <c r="O135" s="295">
        <v>46.605980670745772</v>
      </c>
      <c r="P135" s="295">
        <v>46.605980670745772</v>
      </c>
      <c r="Q135" s="295">
        <v>46.605980670745772</v>
      </c>
      <c r="R135" s="296">
        <f>'Unit Savings Calculations'!$G131</f>
        <v>0.88</v>
      </c>
      <c r="S135" s="296">
        <f>'Unit Savings Calculations'!$G131</f>
        <v>0.88</v>
      </c>
      <c r="T135" s="296">
        <f>'Unit Savings Calculations'!$G131</f>
        <v>0.88</v>
      </c>
      <c r="U135" s="296">
        <f>'Unit Savings Calculations'!$G131</f>
        <v>0.88</v>
      </c>
      <c r="V135" s="297">
        <f t="shared" si="79"/>
        <v>0</v>
      </c>
      <c r="W135" s="297">
        <f t="shared" si="80"/>
        <v>0</v>
      </c>
      <c r="X135" s="297">
        <f t="shared" si="81"/>
        <v>0</v>
      </c>
      <c r="Y135" s="297">
        <f t="shared" si="82"/>
        <v>0</v>
      </c>
      <c r="Z135" s="297">
        <f t="shared" si="83"/>
        <v>0</v>
      </c>
      <c r="AA135" s="292"/>
      <c r="AB135" s="292"/>
      <c r="AC135" s="295">
        <v>46.605980670745772</v>
      </c>
      <c r="AD135" s="292"/>
      <c r="AE135" s="297">
        <f t="shared" si="57"/>
        <v>0</v>
      </c>
      <c r="AF135" s="294">
        <f t="shared" si="58"/>
        <v>0</v>
      </c>
      <c r="AG135" s="292"/>
      <c r="AH135" s="292">
        <f t="shared" si="59"/>
        <v>0</v>
      </c>
      <c r="AI135" s="295">
        <v>46.605980670745772</v>
      </c>
      <c r="AJ135" s="383" t="s">
        <v>878</v>
      </c>
      <c r="AK135" s="297">
        <f t="shared" si="60"/>
        <v>0</v>
      </c>
      <c r="AL135" s="294">
        <f t="shared" si="61"/>
        <v>0</v>
      </c>
      <c r="AM135" s="292"/>
      <c r="AN135" s="292"/>
      <c r="AO135" s="295">
        <f>'Unit Savings Calculations'!P131</f>
        <v>46.605980670745772</v>
      </c>
      <c r="AP135" s="383" t="s">
        <v>763</v>
      </c>
      <c r="AQ135" s="297">
        <f t="shared" si="62"/>
        <v>0</v>
      </c>
      <c r="AR135" s="294">
        <f t="shared" si="63"/>
        <v>0</v>
      </c>
      <c r="AS135" s="292"/>
      <c r="AT135" s="292"/>
      <c r="AU135" s="295">
        <f>'Unit Savings Calculations'!Q131</f>
        <v>46.605980670745772</v>
      </c>
      <c r="AV135" s="383" t="str">
        <f t="shared" si="64"/>
        <v>n/a</v>
      </c>
      <c r="AW135" s="297">
        <f t="shared" si="65"/>
        <v>0</v>
      </c>
      <c r="AX135" s="294">
        <f t="shared" si="66"/>
        <v>0</v>
      </c>
      <c r="AY135" s="297">
        <f t="shared" si="67"/>
        <v>0</v>
      </c>
      <c r="AZ135" s="297">
        <f t="shared" si="68"/>
        <v>0</v>
      </c>
      <c r="BA135" s="297">
        <f t="shared" si="69"/>
        <v>0</v>
      </c>
      <c r="BB135" s="297">
        <f t="shared" si="70"/>
        <v>0</v>
      </c>
      <c r="BC135" s="298">
        <f t="shared" si="71"/>
        <v>0</v>
      </c>
      <c r="BD135" s="292" t="s">
        <v>763</v>
      </c>
      <c r="BE135" s="299" t="str">
        <f t="shared" si="72"/>
        <v>Exhibit 1.5A_R North Shore EEPS_Adjustable_Savings_Goal_Template.xlsx, Pipe Insulation Detail Tab</v>
      </c>
      <c r="BF135" s="298">
        <f t="shared" si="73"/>
        <v>0</v>
      </c>
      <c r="BG135" s="298">
        <f t="shared" si="73"/>
        <v>0</v>
      </c>
      <c r="BH135" s="298">
        <f t="shared" si="73"/>
        <v>0</v>
      </c>
      <c r="BI135" s="298">
        <f t="shared" si="73"/>
        <v>0</v>
      </c>
      <c r="BJ135" s="298">
        <f t="shared" si="74"/>
        <v>0</v>
      </c>
      <c r="BK135" s="482">
        <v>15</v>
      </c>
      <c r="BL135" s="482">
        <v>15</v>
      </c>
      <c r="BM135" s="482">
        <f>INDEX('Unit Savings Calculations'!$I$4:$I$421,MATCH('Measure-Level Adjustments Tab'!$A135&amp;"_"&amp;'Measure-Level Adjustments Tab'!$B135,'Unit Savings Calculations'!$A$4:$A$421,0))</f>
        <v>15</v>
      </c>
      <c r="BN135" s="482">
        <f t="shared" si="75"/>
        <v>15</v>
      </c>
      <c r="BO135" s="483">
        <f t="shared" si="76"/>
        <v>0</v>
      </c>
      <c r="BP135" s="483">
        <f t="shared" si="76"/>
        <v>0</v>
      </c>
      <c r="BQ135" s="483">
        <f t="shared" si="76"/>
        <v>0</v>
      </c>
      <c r="BR135" s="483">
        <f t="shared" si="76"/>
        <v>0</v>
      </c>
      <c r="BS135" s="483">
        <f t="shared" si="56"/>
        <v>0</v>
      </c>
    </row>
    <row r="136" spans="1:71" ht="15.75" customHeight="1">
      <c r="A136" s="292" t="str">
        <f>'Unit Savings Calculations'!C132</f>
        <v>Res - MF PTA Rebates</v>
      </c>
      <c r="B136" s="292" t="str">
        <f>'Unit Savings Calculations'!D132</f>
        <v>Pipe Insulation - Steam Large Valve</v>
      </c>
      <c r="C136" s="293">
        <f t="shared" si="78"/>
        <v>1</v>
      </c>
      <c r="D136" s="292" t="str">
        <f>'Unit Savings Calculations'!T132</f>
        <v>4.4.14</v>
      </c>
      <c r="E136" s="438">
        <v>15</v>
      </c>
      <c r="F136" s="438">
        <v>15</v>
      </c>
      <c r="G136" s="292" t="str">
        <f>'Unit Savings Calculations'!E132</f>
        <v>each</v>
      </c>
      <c r="H136" s="294">
        <f>'Unit Savings Calculations'!$F132*'Unit Savings Calculations'!J132</f>
        <v>0</v>
      </c>
      <c r="I136" s="294">
        <f>'Unit Savings Calculations'!$F132*'Unit Savings Calculations'!K132</f>
        <v>0</v>
      </c>
      <c r="J136" s="294">
        <f>'Unit Savings Calculations'!$F132*'Unit Savings Calculations'!L132</f>
        <v>0</v>
      </c>
      <c r="K136" s="294">
        <f>'Unit Savings Calculations'!$F132*'Unit Savings Calculations'!M132</f>
        <v>0</v>
      </c>
      <c r="L136" s="292" t="str">
        <f>'Unit Savings Calculations'!U132</f>
        <v>CI-HVC-PINS-V04-160601</v>
      </c>
      <c r="M136" s="383" t="str">
        <f>'Unit Savings Calculations'!R132</f>
        <v>Exhibit 1.5A_R North Shore EEPS_Adjustable_Savings_Goal_Template.xlsx, Pipe Insulation Detail Tab</v>
      </c>
      <c r="N136" s="295">
        <v>133.90978522057964</v>
      </c>
      <c r="O136" s="295">
        <v>133.90978522057964</v>
      </c>
      <c r="P136" s="295">
        <v>133.90978522057964</v>
      </c>
      <c r="Q136" s="295">
        <v>133.90978522057964</v>
      </c>
      <c r="R136" s="296">
        <f>'Unit Savings Calculations'!$G132</f>
        <v>0.88</v>
      </c>
      <c r="S136" s="296">
        <f>'Unit Savings Calculations'!$G132</f>
        <v>0.88</v>
      </c>
      <c r="T136" s="296">
        <f>'Unit Savings Calculations'!$G132</f>
        <v>0.88</v>
      </c>
      <c r="U136" s="296">
        <f>'Unit Savings Calculations'!$G132</f>
        <v>0.88</v>
      </c>
      <c r="V136" s="297">
        <f t="shared" si="79"/>
        <v>0</v>
      </c>
      <c r="W136" s="297">
        <f t="shared" si="80"/>
        <v>0</v>
      </c>
      <c r="X136" s="297">
        <f t="shared" si="81"/>
        <v>0</v>
      </c>
      <c r="Y136" s="297">
        <f t="shared" si="82"/>
        <v>0</v>
      </c>
      <c r="Z136" s="297">
        <f t="shared" si="83"/>
        <v>0</v>
      </c>
      <c r="AA136" s="292"/>
      <c r="AB136" s="292"/>
      <c r="AC136" s="295">
        <v>133.90978522057964</v>
      </c>
      <c r="AD136" s="292"/>
      <c r="AE136" s="297">
        <f t="shared" si="57"/>
        <v>0</v>
      </c>
      <c r="AF136" s="294">
        <f t="shared" si="58"/>
        <v>0</v>
      </c>
      <c r="AG136" s="292"/>
      <c r="AH136" s="292">
        <f t="shared" si="59"/>
        <v>0</v>
      </c>
      <c r="AI136" s="295">
        <v>133.90978522057964</v>
      </c>
      <c r="AJ136" s="383" t="s">
        <v>878</v>
      </c>
      <c r="AK136" s="297">
        <f t="shared" si="60"/>
        <v>0</v>
      </c>
      <c r="AL136" s="294">
        <f t="shared" si="61"/>
        <v>0</v>
      </c>
      <c r="AM136" s="292"/>
      <c r="AN136" s="292"/>
      <c r="AO136" s="295">
        <f>'Unit Savings Calculations'!P132</f>
        <v>133.90978522057964</v>
      </c>
      <c r="AP136" s="383" t="s">
        <v>763</v>
      </c>
      <c r="AQ136" s="297">
        <f t="shared" si="62"/>
        <v>0</v>
      </c>
      <c r="AR136" s="294">
        <f t="shared" si="63"/>
        <v>0</v>
      </c>
      <c r="AS136" s="292"/>
      <c r="AT136" s="292"/>
      <c r="AU136" s="295">
        <f>'Unit Savings Calculations'!Q132</f>
        <v>133.90978522057964</v>
      </c>
      <c r="AV136" s="383" t="str">
        <f t="shared" si="64"/>
        <v>n/a</v>
      </c>
      <c r="AW136" s="297">
        <f t="shared" si="65"/>
        <v>0</v>
      </c>
      <c r="AX136" s="294">
        <f t="shared" si="66"/>
        <v>0</v>
      </c>
      <c r="AY136" s="297">
        <f t="shared" si="67"/>
        <v>0</v>
      </c>
      <c r="AZ136" s="297">
        <f t="shared" si="68"/>
        <v>0</v>
      </c>
      <c r="BA136" s="297">
        <f t="shared" si="69"/>
        <v>0</v>
      </c>
      <c r="BB136" s="297">
        <f t="shared" si="70"/>
        <v>0</v>
      </c>
      <c r="BC136" s="298">
        <f t="shared" si="71"/>
        <v>0</v>
      </c>
      <c r="BD136" s="292" t="s">
        <v>763</v>
      </c>
      <c r="BE136" s="299" t="str">
        <f t="shared" si="72"/>
        <v>Exhibit 1.5A_R North Shore EEPS_Adjustable_Savings_Goal_Template.xlsx, Pipe Insulation Detail Tab</v>
      </c>
      <c r="BF136" s="298">
        <f t="shared" si="73"/>
        <v>0</v>
      </c>
      <c r="BG136" s="298">
        <f t="shared" si="73"/>
        <v>0</v>
      </c>
      <c r="BH136" s="298">
        <f t="shared" si="73"/>
        <v>0</v>
      </c>
      <c r="BI136" s="298">
        <f t="shared" ref="BI136:BI199" si="84">$F136*Y136</f>
        <v>0</v>
      </c>
      <c r="BJ136" s="298">
        <f t="shared" si="74"/>
        <v>0</v>
      </c>
      <c r="BK136" s="482">
        <v>15</v>
      </c>
      <c r="BL136" s="482">
        <v>15</v>
      </c>
      <c r="BM136" s="482">
        <f>INDEX('Unit Savings Calculations'!$I$4:$I$421,MATCH('Measure-Level Adjustments Tab'!$A136&amp;"_"&amp;'Measure-Level Adjustments Tab'!$B136,'Unit Savings Calculations'!$A$4:$A$421,0))</f>
        <v>15</v>
      </c>
      <c r="BN136" s="482">
        <f t="shared" si="75"/>
        <v>15</v>
      </c>
      <c r="BO136" s="483">
        <f t="shared" si="76"/>
        <v>0</v>
      </c>
      <c r="BP136" s="483">
        <f t="shared" si="76"/>
        <v>0</v>
      </c>
      <c r="BQ136" s="483">
        <f t="shared" si="76"/>
        <v>0</v>
      </c>
      <c r="BR136" s="483">
        <f t="shared" ref="BR136:BR199" si="85">BB136*BN136</f>
        <v>0</v>
      </c>
      <c r="BS136" s="483">
        <f t="shared" ref="BS136:BS199" si="86">SUM(BO136:BR136)</f>
        <v>0</v>
      </c>
    </row>
    <row r="137" spans="1:71" ht="15.75" customHeight="1">
      <c r="A137" s="292" t="str">
        <f>'Unit Savings Calculations'!C133</f>
        <v>Res - MF PTA Rebates</v>
      </c>
      <c r="B137" s="292" t="str">
        <f>'Unit Savings Calculations'!D133</f>
        <v>Pipe Insulation - Steam X-Large Valve</v>
      </c>
      <c r="C137" s="293">
        <f t="shared" si="78"/>
        <v>1</v>
      </c>
      <c r="D137" s="292" t="str">
        <f>'Unit Savings Calculations'!T133</f>
        <v>4.4.14</v>
      </c>
      <c r="E137" s="438">
        <v>15</v>
      </c>
      <c r="F137" s="438">
        <v>15</v>
      </c>
      <c r="G137" s="292" t="str">
        <f>'Unit Savings Calculations'!E133</f>
        <v>each</v>
      </c>
      <c r="H137" s="294">
        <f>'Unit Savings Calculations'!$F133*'Unit Savings Calculations'!J133</f>
        <v>0</v>
      </c>
      <c r="I137" s="294">
        <f>'Unit Savings Calculations'!$F133*'Unit Savings Calculations'!K133</f>
        <v>0</v>
      </c>
      <c r="J137" s="294">
        <f>'Unit Savings Calculations'!$F133*'Unit Savings Calculations'!L133</f>
        <v>0</v>
      </c>
      <c r="K137" s="294">
        <f>'Unit Savings Calculations'!$F133*'Unit Savings Calculations'!M133</f>
        <v>0</v>
      </c>
      <c r="L137" s="292" t="str">
        <f>'Unit Savings Calculations'!U133</f>
        <v>CI-HVC-PINS-V04-160601</v>
      </c>
      <c r="M137" s="383" t="str">
        <f>'Unit Savings Calculations'!R133</f>
        <v>Exhibit 1.5A_R North Shore EEPS_Adjustable_Savings_Goal_Template.xlsx, Pipe Insulation Detail Tab</v>
      </c>
      <c r="N137" s="295">
        <v>218.0177023221575</v>
      </c>
      <c r="O137" s="295">
        <v>218.0177023221575</v>
      </c>
      <c r="P137" s="295">
        <v>218.0177023221575</v>
      </c>
      <c r="Q137" s="295">
        <v>218.0177023221575</v>
      </c>
      <c r="R137" s="296">
        <f>'Unit Savings Calculations'!$G133</f>
        <v>0.88</v>
      </c>
      <c r="S137" s="296">
        <f>'Unit Savings Calculations'!$G133</f>
        <v>0.88</v>
      </c>
      <c r="T137" s="296">
        <f>'Unit Savings Calculations'!$G133</f>
        <v>0.88</v>
      </c>
      <c r="U137" s="296">
        <f>'Unit Savings Calculations'!$G133</f>
        <v>0.88</v>
      </c>
      <c r="V137" s="297">
        <f t="shared" si="79"/>
        <v>0</v>
      </c>
      <c r="W137" s="297">
        <f t="shared" si="80"/>
        <v>0</v>
      </c>
      <c r="X137" s="297">
        <f t="shared" si="81"/>
        <v>0</v>
      </c>
      <c r="Y137" s="297">
        <f t="shared" si="82"/>
        <v>0</v>
      </c>
      <c r="Z137" s="297">
        <f t="shared" si="83"/>
        <v>0</v>
      </c>
      <c r="AA137" s="292"/>
      <c r="AB137" s="292"/>
      <c r="AC137" s="295">
        <v>218.0177023221575</v>
      </c>
      <c r="AD137" s="292"/>
      <c r="AE137" s="297">
        <f t="shared" ref="AE137:AE201" si="87">H137*AC137*R137</f>
        <v>0</v>
      </c>
      <c r="AF137" s="294">
        <f t="shared" ref="AF137:AF201" si="88">AE137-V137</f>
        <v>0</v>
      </c>
      <c r="AG137" s="292"/>
      <c r="AH137" s="292">
        <f t="shared" ref="AH137:AH201" si="89">AB137</f>
        <v>0</v>
      </c>
      <c r="AI137" s="295">
        <v>218.0177023221575</v>
      </c>
      <c r="AJ137" s="383" t="s">
        <v>878</v>
      </c>
      <c r="AK137" s="297">
        <f t="shared" ref="AK137:AK201" si="90">I137*AI137*S137</f>
        <v>0</v>
      </c>
      <c r="AL137" s="294">
        <f t="shared" ref="AL137:AL201" si="91">AK137-W137</f>
        <v>0</v>
      </c>
      <c r="AM137" s="292"/>
      <c r="AN137" s="292"/>
      <c r="AO137" s="295">
        <f>'Unit Savings Calculations'!P133</f>
        <v>218.0177023221575</v>
      </c>
      <c r="AP137" s="383" t="s">
        <v>763</v>
      </c>
      <c r="AQ137" s="297">
        <f t="shared" ref="AQ137:AQ201" si="92">J137*AO137*T137</f>
        <v>0</v>
      </c>
      <c r="AR137" s="294">
        <f t="shared" ref="AR137:AR201" si="93">AQ137-X137</f>
        <v>0</v>
      </c>
      <c r="AS137" s="292"/>
      <c r="AT137" s="292"/>
      <c r="AU137" s="295">
        <f>'Unit Savings Calculations'!Q133</f>
        <v>218.0177023221575</v>
      </c>
      <c r="AV137" s="383" t="str">
        <f t="shared" ref="AV137:AV200" si="94">AP137</f>
        <v>n/a</v>
      </c>
      <c r="AW137" s="297">
        <f t="shared" ref="AW137:AW201" si="95">K137*AU137*U137</f>
        <v>0</v>
      </c>
      <c r="AX137" s="294">
        <f t="shared" ref="AX137:AX201" si="96">AW137-Y137</f>
        <v>0</v>
      </c>
      <c r="AY137" s="297">
        <f t="shared" ref="AY137:AY200" si="97">IF(C137=1,AE137,V137)</f>
        <v>0</v>
      </c>
      <c r="AZ137" s="297">
        <f t="shared" ref="AZ137:AZ200" si="98">IF(C137=1,AK137,W137)</f>
        <v>0</v>
      </c>
      <c r="BA137" s="297">
        <f t="shared" ref="BA137:BA200" si="99">IF(C137=1,AQ137,X137)</f>
        <v>0</v>
      </c>
      <c r="BB137" s="297">
        <f t="shared" ref="BB137:BB200" si="100">IF(C137=1,AW137,Y137)</f>
        <v>0</v>
      </c>
      <c r="BC137" s="298">
        <f t="shared" ref="BC137:BC200" si="101">AY137+AZ137+BA137+BB137</f>
        <v>0</v>
      </c>
      <c r="BD137" s="292" t="s">
        <v>763</v>
      </c>
      <c r="BE137" s="299" t="str">
        <f t="shared" ref="BE137:BE200" si="102">M137</f>
        <v>Exhibit 1.5A_R North Shore EEPS_Adjustable_Savings_Goal_Template.xlsx, Pipe Insulation Detail Tab</v>
      </c>
      <c r="BF137" s="298">
        <f t="shared" ref="BF137:BI200" si="103">$F137*V137</f>
        <v>0</v>
      </c>
      <c r="BG137" s="298">
        <f t="shared" si="103"/>
        <v>0</v>
      </c>
      <c r="BH137" s="298">
        <f t="shared" si="103"/>
        <v>0</v>
      </c>
      <c r="BI137" s="298">
        <f t="shared" si="84"/>
        <v>0</v>
      </c>
      <c r="BJ137" s="298">
        <f t="shared" ref="BJ137:BJ200" si="104">SUM(BF137:BI137)</f>
        <v>0</v>
      </c>
      <c r="BK137" s="482">
        <v>15</v>
      </c>
      <c r="BL137" s="482">
        <v>15</v>
      </c>
      <c r="BM137" s="482">
        <f>INDEX('Unit Savings Calculations'!$I$4:$I$421,MATCH('Measure-Level Adjustments Tab'!$A137&amp;"_"&amp;'Measure-Level Adjustments Tab'!$B137,'Unit Savings Calculations'!$A$4:$A$421,0))</f>
        <v>15</v>
      </c>
      <c r="BN137" s="482">
        <f t="shared" ref="BN137:BN200" si="105">BM137</f>
        <v>15</v>
      </c>
      <c r="BO137" s="483">
        <f t="shared" ref="BO137:BR200" si="106">AY137*BK137</f>
        <v>0</v>
      </c>
      <c r="BP137" s="483">
        <f t="shared" si="106"/>
        <v>0</v>
      </c>
      <c r="BQ137" s="483">
        <f t="shared" si="106"/>
        <v>0</v>
      </c>
      <c r="BR137" s="483">
        <f t="shared" si="85"/>
        <v>0</v>
      </c>
      <c r="BS137" s="483">
        <f t="shared" si="86"/>
        <v>0</v>
      </c>
    </row>
    <row r="138" spans="1:71" ht="15.75" customHeight="1">
      <c r="A138" s="292" t="str">
        <f>'Unit Savings Calculations'!C134</f>
        <v>Res - MF PTA Rebates</v>
      </c>
      <c r="B138" s="292" t="str">
        <f>'Unit Savings Calculations'!D134</f>
        <v>Steam Boiler ≥82% AFUE, &gt;300MBh TE</v>
      </c>
      <c r="C138" s="293">
        <f t="shared" si="78"/>
        <v>1</v>
      </c>
      <c r="D138" s="292" t="str">
        <f>'Unit Savings Calculations'!T134</f>
        <v>4.4.10</v>
      </c>
      <c r="E138" s="438">
        <v>20</v>
      </c>
      <c r="F138" s="438">
        <v>20</v>
      </c>
      <c r="G138" s="292" t="str">
        <f>'Unit Savings Calculations'!E134</f>
        <v>MBH</v>
      </c>
      <c r="H138" s="294">
        <f>'Unit Savings Calculations'!$F134*'Unit Savings Calculations'!J134</f>
        <v>0</v>
      </c>
      <c r="I138" s="294">
        <f>'Unit Savings Calculations'!$F134*'Unit Savings Calculations'!K134</f>
        <v>0</v>
      </c>
      <c r="J138" s="294">
        <f>'Unit Savings Calculations'!$F134*'Unit Savings Calculations'!L134</f>
        <v>0</v>
      </c>
      <c r="K138" s="294">
        <f>'Unit Savings Calculations'!$F134*'Unit Savings Calculations'!M134</f>
        <v>0</v>
      </c>
      <c r="L138" s="292" t="str">
        <f>'Unit Savings Calculations'!U134</f>
        <v>CI-HVC-BOIL-V05-150601</v>
      </c>
      <c r="M138" s="383" t="str">
        <f>'Unit Savings Calculations'!R134</f>
        <v>Exhibit 1.5A_R North Shore EEPS_Adjustable_Savings_Goal_Template.xlsx, Unit Savings Calculations Tab</v>
      </c>
      <c r="N138" s="295">
        <v>0.63987341772151718</v>
      </c>
      <c r="O138" s="295">
        <v>0.63987341772151718</v>
      </c>
      <c r="P138" s="295">
        <v>0.63987341772151718</v>
      </c>
      <c r="Q138" s="295">
        <v>0.63987341772151718</v>
      </c>
      <c r="R138" s="296">
        <f>'Unit Savings Calculations'!$G134</f>
        <v>0.88</v>
      </c>
      <c r="S138" s="296">
        <f>'Unit Savings Calculations'!$G134</f>
        <v>0.88</v>
      </c>
      <c r="T138" s="296">
        <f>'Unit Savings Calculations'!$G134</f>
        <v>0.88</v>
      </c>
      <c r="U138" s="296">
        <f>'Unit Savings Calculations'!$G134</f>
        <v>0.88</v>
      </c>
      <c r="V138" s="297">
        <f t="shared" si="79"/>
        <v>0</v>
      </c>
      <c r="W138" s="297">
        <f t="shared" si="80"/>
        <v>0</v>
      </c>
      <c r="X138" s="297">
        <f t="shared" si="81"/>
        <v>0</v>
      </c>
      <c r="Y138" s="297">
        <f t="shared" si="82"/>
        <v>0</v>
      </c>
      <c r="Z138" s="297">
        <f t="shared" si="83"/>
        <v>0</v>
      </c>
      <c r="AA138" s="292"/>
      <c r="AB138" s="292"/>
      <c r="AC138" s="295">
        <v>0.63987341772151718</v>
      </c>
      <c r="AD138" s="292"/>
      <c r="AE138" s="297">
        <f t="shared" si="87"/>
        <v>0</v>
      </c>
      <c r="AF138" s="294">
        <f t="shared" si="88"/>
        <v>0</v>
      </c>
      <c r="AG138" s="292"/>
      <c r="AH138" s="292">
        <f t="shared" si="89"/>
        <v>0</v>
      </c>
      <c r="AI138" s="295">
        <v>0.64708860759493481</v>
      </c>
      <c r="AJ138" s="383" t="s">
        <v>878</v>
      </c>
      <c r="AK138" s="297">
        <f t="shared" si="90"/>
        <v>0</v>
      </c>
      <c r="AL138" s="294">
        <f t="shared" si="91"/>
        <v>0</v>
      </c>
      <c r="AM138" s="292"/>
      <c r="AN138" s="292"/>
      <c r="AO138" s="295">
        <f>'Unit Savings Calculations'!P134</f>
        <v>0.67670886075949166</v>
      </c>
      <c r="AP138" s="383" t="s">
        <v>1441</v>
      </c>
      <c r="AQ138" s="297">
        <f t="shared" si="92"/>
        <v>0</v>
      </c>
      <c r="AR138" s="294">
        <f t="shared" si="93"/>
        <v>0</v>
      </c>
      <c r="AS138" s="292"/>
      <c r="AT138" s="292"/>
      <c r="AU138" s="295">
        <f>'Unit Savings Calculations'!Q134</f>
        <v>0.67670886075949166</v>
      </c>
      <c r="AV138" s="383" t="str">
        <f t="shared" si="94"/>
        <v>Updated heating EFLH</v>
      </c>
      <c r="AW138" s="297">
        <f t="shared" si="95"/>
        <v>0</v>
      </c>
      <c r="AX138" s="294">
        <f t="shared" si="96"/>
        <v>0</v>
      </c>
      <c r="AY138" s="297">
        <f t="shared" si="97"/>
        <v>0</v>
      </c>
      <c r="AZ138" s="297">
        <f t="shared" si="98"/>
        <v>0</v>
      </c>
      <c r="BA138" s="297">
        <f t="shared" si="99"/>
        <v>0</v>
      </c>
      <c r="BB138" s="297">
        <f t="shared" si="100"/>
        <v>0</v>
      </c>
      <c r="BC138" s="298">
        <f t="shared" si="101"/>
        <v>0</v>
      </c>
      <c r="BD138" s="292" t="s">
        <v>763</v>
      </c>
      <c r="BE138" s="299" t="str">
        <f t="shared" si="102"/>
        <v>Exhibit 1.5A_R North Shore EEPS_Adjustable_Savings_Goal_Template.xlsx, Unit Savings Calculations Tab</v>
      </c>
      <c r="BF138" s="298">
        <f t="shared" si="103"/>
        <v>0</v>
      </c>
      <c r="BG138" s="298">
        <f t="shared" si="103"/>
        <v>0</v>
      </c>
      <c r="BH138" s="298">
        <f t="shared" si="103"/>
        <v>0</v>
      </c>
      <c r="BI138" s="298">
        <f t="shared" si="84"/>
        <v>0</v>
      </c>
      <c r="BJ138" s="298">
        <f t="shared" si="104"/>
        <v>0</v>
      </c>
      <c r="BK138" s="482">
        <v>20</v>
      </c>
      <c r="BL138" s="482">
        <v>20</v>
      </c>
      <c r="BM138" s="482">
        <f>INDEX('Unit Savings Calculations'!$I$4:$I$421,MATCH('Measure-Level Adjustments Tab'!$A138&amp;"_"&amp;'Measure-Level Adjustments Tab'!$B138,'Unit Savings Calculations'!$A$4:$A$421,0))</f>
        <v>25</v>
      </c>
      <c r="BN138" s="482">
        <f t="shared" si="105"/>
        <v>25</v>
      </c>
      <c r="BO138" s="483">
        <f t="shared" si="106"/>
        <v>0</v>
      </c>
      <c r="BP138" s="483">
        <f t="shared" si="106"/>
        <v>0</v>
      </c>
      <c r="BQ138" s="483">
        <f t="shared" si="106"/>
        <v>0</v>
      </c>
      <c r="BR138" s="483">
        <f t="shared" si="85"/>
        <v>0</v>
      </c>
      <c r="BS138" s="483">
        <f t="shared" si="86"/>
        <v>0</v>
      </c>
    </row>
    <row r="139" spans="1:71" ht="15.75" customHeight="1">
      <c r="A139" s="292" t="str">
        <f>'Unit Savings Calculations'!C135</f>
        <v>Res - MF PTA Rebates</v>
      </c>
      <c r="B139" s="292" t="str">
        <f>'Unit Savings Calculations'!D135</f>
        <v>Steam Boiler Averaging Controls</v>
      </c>
      <c r="C139" s="293">
        <f t="shared" si="78"/>
        <v>1</v>
      </c>
      <c r="D139" s="292" t="str">
        <f>'Unit Savings Calculations'!T135</f>
        <v>4.4.36</v>
      </c>
      <c r="E139" s="438">
        <v>20</v>
      </c>
      <c r="F139" s="438">
        <v>20</v>
      </c>
      <c r="G139" s="292" t="str">
        <f>'Unit Savings Calculations'!E135</f>
        <v>each</v>
      </c>
      <c r="H139" s="294">
        <f>'Unit Savings Calculations'!$F135*'Unit Savings Calculations'!J135</f>
        <v>0</v>
      </c>
      <c r="I139" s="294">
        <f>'Unit Savings Calculations'!$F135*'Unit Savings Calculations'!K135</f>
        <v>0</v>
      </c>
      <c r="J139" s="294">
        <f>'Unit Savings Calculations'!$F135*'Unit Savings Calculations'!L135</f>
        <v>0</v>
      </c>
      <c r="K139" s="294">
        <f>'Unit Savings Calculations'!$F135*'Unit Savings Calculations'!M135</f>
        <v>0</v>
      </c>
      <c r="L139" s="292" t="str">
        <f>'Unit Savings Calculations'!U135</f>
        <v>CI-HVC-SBAC-V01-160601</v>
      </c>
      <c r="M139" s="383" t="str">
        <f>'Unit Savings Calculations'!R135</f>
        <v>Exhibit 1.5A_R North Shore EEPS_Adjustable_Savings_Goal_Template.xlsx, Unit Savings Calculations Tab</v>
      </c>
      <c r="N139" s="295">
        <v>76.95</v>
      </c>
      <c r="O139" s="295">
        <v>76.95</v>
      </c>
      <c r="P139" s="295">
        <v>76.95</v>
      </c>
      <c r="Q139" s="295">
        <v>76.95</v>
      </c>
      <c r="R139" s="296">
        <f>'Unit Savings Calculations'!$G135</f>
        <v>0.88</v>
      </c>
      <c r="S139" s="296">
        <f>'Unit Savings Calculations'!$G135</f>
        <v>0.88</v>
      </c>
      <c r="T139" s="296">
        <f>'Unit Savings Calculations'!$G135</f>
        <v>0.88</v>
      </c>
      <c r="U139" s="296">
        <f>'Unit Savings Calculations'!$G135</f>
        <v>0.88</v>
      </c>
      <c r="V139" s="297">
        <f t="shared" si="79"/>
        <v>0</v>
      </c>
      <c r="W139" s="297">
        <f t="shared" si="80"/>
        <v>0</v>
      </c>
      <c r="X139" s="297">
        <f t="shared" si="81"/>
        <v>0</v>
      </c>
      <c r="Y139" s="297">
        <f t="shared" si="82"/>
        <v>0</v>
      </c>
      <c r="Z139" s="297">
        <f t="shared" si="83"/>
        <v>0</v>
      </c>
      <c r="AA139" s="292"/>
      <c r="AB139" s="292"/>
      <c r="AC139" s="295">
        <v>76.95</v>
      </c>
      <c r="AD139" s="292"/>
      <c r="AE139" s="297">
        <f t="shared" si="87"/>
        <v>0</v>
      </c>
      <c r="AF139" s="294">
        <f t="shared" si="88"/>
        <v>0</v>
      </c>
      <c r="AG139" s="292"/>
      <c r="AH139" s="292">
        <f t="shared" si="89"/>
        <v>0</v>
      </c>
      <c r="AI139" s="295">
        <v>156.97800000000001</v>
      </c>
      <c r="AJ139" s="383" t="s">
        <v>934</v>
      </c>
      <c r="AK139" s="297">
        <f t="shared" si="90"/>
        <v>0</v>
      </c>
      <c r="AL139" s="294">
        <f t="shared" si="91"/>
        <v>0</v>
      </c>
      <c r="AM139" s="292"/>
      <c r="AN139" s="292"/>
      <c r="AO139" s="295">
        <f>'Unit Savings Calculations'!P135</f>
        <v>171.15600000000001</v>
      </c>
      <c r="AP139" s="383" t="s">
        <v>763</v>
      </c>
      <c r="AQ139" s="297">
        <f t="shared" si="92"/>
        <v>0</v>
      </c>
      <c r="AR139" s="294">
        <f t="shared" si="93"/>
        <v>0</v>
      </c>
      <c r="AS139" s="292"/>
      <c r="AT139" s="292"/>
      <c r="AU139" s="295">
        <f>'Unit Savings Calculations'!Q135</f>
        <v>171.15600000000001</v>
      </c>
      <c r="AV139" s="383" t="str">
        <f t="shared" si="94"/>
        <v>n/a</v>
      </c>
      <c r="AW139" s="297">
        <f t="shared" si="95"/>
        <v>0</v>
      </c>
      <c r="AX139" s="294">
        <f t="shared" si="96"/>
        <v>0</v>
      </c>
      <c r="AY139" s="297">
        <f t="shared" si="97"/>
        <v>0</v>
      </c>
      <c r="AZ139" s="297">
        <f t="shared" si="98"/>
        <v>0</v>
      </c>
      <c r="BA139" s="297">
        <f t="shared" si="99"/>
        <v>0</v>
      </c>
      <c r="BB139" s="297">
        <f t="shared" si="100"/>
        <v>0</v>
      </c>
      <c r="BC139" s="298">
        <f t="shared" si="101"/>
        <v>0</v>
      </c>
      <c r="BD139" s="292" t="s">
        <v>763</v>
      </c>
      <c r="BE139" s="299" t="str">
        <f t="shared" si="102"/>
        <v>Exhibit 1.5A_R North Shore EEPS_Adjustable_Savings_Goal_Template.xlsx, Unit Savings Calculations Tab</v>
      </c>
      <c r="BF139" s="298">
        <f t="shared" si="103"/>
        <v>0</v>
      </c>
      <c r="BG139" s="298">
        <f t="shared" si="103"/>
        <v>0</v>
      </c>
      <c r="BH139" s="298">
        <f t="shared" si="103"/>
        <v>0</v>
      </c>
      <c r="BI139" s="298">
        <f t="shared" si="84"/>
        <v>0</v>
      </c>
      <c r="BJ139" s="298">
        <f t="shared" si="104"/>
        <v>0</v>
      </c>
      <c r="BK139" s="482">
        <v>20</v>
      </c>
      <c r="BL139" s="482">
        <v>20</v>
      </c>
      <c r="BM139" s="482">
        <f>INDEX('Unit Savings Calculations'!$I$4:$I$421,MATCH('Measure-Level Adjustments Tab'!$A139&amp;"_"&amp;'Measure-Level Adjustments Tab'!$B139,'Unit Savings Calculations'!$A$4:$A$421,0))</f>
        <v>20</v>
      </c>
      <c r="BN139" s="482">
        <f t="shared" si="105"/>
        <v>20</v>
      </c>
      <c r="BO139" s="483">
        <f t="shared" si="106"/>
        <v>0</v>
      </c>
      <c r="BP139" s="483">
        <f t="shared" si="106"/>
        <v>0</v>
      </c>
      <c r="BQ139" s="483">
        <f t="shared" si="106"/>
        <v>0</v>
      </c>
      <c r="BR139" s="483">
        <f t="shared" si="85"/>
        <v>0</v>
      </c>
      <c r="BS139" s="483">
        <f t="shared" si="86"/>
        <v>0</v>
      </c>
    </row>
    <row r="140" spans="1:71" ht="15.75" customHeight="1">
      <c r="A140" s="292" t="str">
        <f>'Unit Savings Calculations'!C136</f>
        <v>Res - MF PTA Rebates</v>
      </c>
      <c r="B140" s="292" t="str">
        <f>'Unit Savings Calculations'!D136</f>
        <v>Steam Traps - Dry Cleaner/Industrial</v>
      </c>
      <c r="C140" s="293">
        <f t="shared" si="78"/>
        <v>1</v>
      </c>
      <c r="D140" s="292" t="str">
        <f>'Unit Savings Calculations'!T136</f>
        <v>4.4.16</v>
      </c>
      <c r="E140" s="438">
        <v>6</v>
      </c>
      <c r="F140" s="438">
        <v>6</v>
      </c>
      <c r="G140" s="292" t="str">
        <f>'Unit Savings Calculations'!E136</f>
        <v>each</v>
      </c>
      <c r="H140" s="294">
        <f>'Unit Savings Calculations'!$F136*'Unit Savings Calculations'!J136</f>
        <v>0</v>
      </c>
      <c r="I140" s="294">
        <f>'Unit Savings Calculations'!$F136*'Unit Savings Calculations'!K136</f>
        <v>0</v>
      </c>
      <c r="J140" s="294">
        <f>'Unit Savings Calculations'!$F136*'Unit Savings Calculations'!L136</f>
        <v>0</v>
      </c>
      <c r="K140" s="294">
        <f>'Unit Savings Calculations'!$F136*'Unit Savings Calculations'!M136</f>
        <v>0</v>
      </c>
      <c r="L140" s="292" t="str">
        <f>'Unit Savings Calculations'!U136</f>
        <v>CI-HVC-STRE-V05-180101</v>
      </c>
      <c r="M140" s="383" t="str">
        <f>'Unit Savings Calculations'!R136</f>
        <v>Exhibit 1.5A_R North Shore EEPS_Adjustable_Savings_Goal_Template.xlsx, Unit Savings Calculations Tab</v>
      </c>
      <c r="N140" s="295">
        <v>137.91939591078068</v>
      </c>
      <c r="O140" s="295">
        <v>137.91939591078068</v>
      </c>
      <c r="P140" s="295">
        <v>137.91939591078068</v>
      </c>
      <c r="Q140" s="295">
        <v>137.91939591078068</v>
      </c>
      <c r="R140" s="296">
        <f>'Unit Savings Calculations'!$G136</f>
        <v>0.88</v>
      </c>
      <c r="S140" s="296">
        <f>'Unit Savings Calculations'!$G136</f>
        <v>0.88</v>
      </c>
      <c r="T140" s="296">
        <f>'Unit Savings Calculations'!$G136</f>
        <v>0.88</v>
      </c>
      <c r="U140" s="296">
        <f>'Unit Savings Calculations'!$G136</f>
        <v>0.88</v>
      </c>
      <c r="V140" s="297">
        <f t="shared" si="79"/>
        <v>0</v>
      </c>
      <c r="W140" s="297">
        <f t="shared" si="80"/>
        <v>0</v>
      </c>
      <c r="X140" s="297">
        <f t="shared" si="81"/>
        <v>0</v>
      </c>
      <c r="Y140" s="297">
        <f t="shared" si="82"/>
        <v>0</v>
      </c>
      <c r="Z140" s="297">
        <f t="shared" si="83"/>
        <v>0</v>
      </c>
      <c r="AA140" s="292"/>
      <c r="AB140" s="292"/>
      <c r="AC140" s="295">
        <v>137.91939591078068</v>
      </c>
      <c r="AD140" s="292"/>
      <c r="AE140" s="297">
        <f t="shared" si="87"/>
        <v>0</v>
      </c>
      <c r="AF140" s="294">
        <f t="shared" si="88"/>
        <v>0</v>
      </c>
      <c r="AG140" s="292"/>
      <c r="AH140" s="292">
        <f t="shared" si="89"/>
        <v>0</v>
      </c>
      <c r="AI140" s="295">
        <v>137.91939591078068</v>
      </c>
      <c r="AJ140" s="383" t="s">
        <v>878</v>
      </c>
      <c r="AK140" s="297">
        <f t="shared" si="90"/>
        <v>0</v>
      </c>
      <c r="AL140" s="294">
        <f t="shared" si="91"/>
        <v>0</v>
      </c>
      <c r="AM140" s="292"/>
      <c r="AN140" s="292"/>
      <c r="AO140" s="295">
        <f>'Unit Savings Calculations'!P136</f>
        <v>137.91939591078068</v>
      </c>
      <c r="AP140" s="383" t="s">
        <v>763</v>
      </c>
      <c r="AQ140" s="297">
        <f t="shared" si="92"/>
        <v>0</v>
      </c>
      <c r="AR140" s="294">
        <f t="shared" si="93"/>
        <v>0</v>
      </c>
      <c r="AS140" s="292"/>
      <c r="AT140" s="292"/>
      <c r="AU140" s="295">
        <f>'Unit Savings Calculations'!Q136</f>
        <v>137.91939591078068</v>
      </c>
      <c r="AV140" s="383" t="str">
        <f t="shared" si="94"/>
        <v>n/a</v>
      </c>
      <c r="AW140" s="297">
        <f t="shared" si="95"/>
        <v>0</v>
      </c>
      <c r="AX140" s="294">
        <f t="shared" si="96"/>
        <v>0</v>
      </c>
      <c r="AY140" s="297">
        <f t="shared" si="97"/>
        <v>0</v>
      </c>
      <c r="AZ140" s="297">
        <f t="shared" si="98"/>
        <v>0</v>
      </c>
      <c r="BA140" s="297">
        <f t="shared" si="99"/>
        <v>0</v>
      </c>
      <c r="BB140" s="297">
        <f t="shared" si="100"/>
        <v>0</v>
      </c>
      <c r="BC140" s="298">
        <f t="shared" si="101"/>
        <v>0</v>
      </c>
      <c r="BD140" s="292" t="s">
        <v>763</v>
      </c>
      <c r="BE140" s="299" t="str">
        <f t="shared" si="102"/>
        <v>Exhibit 1.5A_R North Shore EEPS_Adjustable_Savings_Goal_Template.xlsx, Unit Savings Calculations Tab</v>
      </c>
      <c r="BF140" s="298">
        <f t="shared" si="103"/>
        <v>0</v>
      </c>
      <c r="BG140" s="298">
        <f t="shared" si="103"/>
        <v>0</v>
      </c>
      <c r="BH140" s="298">
        <f t="shared" si="103"/>
        <v>0</v>
      </c>
      <c r="BI140" s="298">
        <f t="shared" si="84"/>
        <v>0</v>
      </c>
      <c r="BJ140" s="298">
        <f t="shared" si="104"/>
        <v>0</v>
      </c>
      <c r="BK140" s="482">
        <v>6</v>
      </c>
      <c r="BL140" s="482">
        <v>6</v>
      </c>
      <c r="BM140" s="482">
        <f>INDEX('Unit Savings Calculations'!$I$4:$I$421,MATCH('Measure-Level Adjustments Tab'!$A140&amp;"_"&amp;'Measure-Level Adjustments Tab'!$B140,'Unit Savings Calculations'!$A$4:$A$421,0))</f>
        <v>6</v>
      </c>
      <c r="BN140" s="482">
        <f t="shared" si="105"/>
        <v>6</v>
      </c>
      <c r="BO140" s="483">
        <f t="shared" si="106"/>
        <v>0</v>
      </c>
      <c r="BP140" s="483">
        <f t="shared" si="106"/>
        <v>0</v>
      </c>
      <c r="BQ140" s="483">
        <f t="shared" si="106"/>
        <v>0</v>
      </c>
      <c r="BR140" s="483">
        <f t="shared" si="85"/>
        <v>0</v>
      </c>
      <c r="BS140" s="483">
        <f t="shared" si="86"/>
        <v>0</v>
      </c>
    </row>
    <row r="141" spans="1:71" ht="15.75" customHeight="1">
      <c r="A141" s="292" t="str">
        <f>'Unit Savings Calculations'!C137</f>
        <v>Res - MF PTA Rebates</v>
      </c>
      <c r="B141" s="292" t="str">
        <f>'Unit Savings Calculations'!D137</f>
        <v>Steam Traps - HVAC Repair/Rep - Audit</v>
      </c>
      <c r="C141" s="293">
        <f t="shared" si="78"/>
        <v>1</v>
      </c>
      <c r="D141" s="292" t="str">
        <f>'Unit Savings Calculations'!T137</f>
        <v>4.4.16</v>
      </c>
      <c r="E141" s="438">
        <v>6</v>
      </c>
      <c r="F141" s="438">
        <v>6</v>
      </c>
      <c r="G141" s="292" t="str">
        <f>'Unit Savings Calculations'!E137</f>
        <v>each</v>
      </c>
      <c r="H141" s="294">
        <f>'Unit Savings Calculations'!$F137*'Unit Savings Calculations'!J137</f>
        <v>0</v>
      </c>
      <c r="I141" s="294">
        <f>'Unit Savings Calculations'!$F137*'Unit Savings Calculations'!K137</f>
        <v>0</v>
      </c>
      <c r="J141" s="294">
        <f>'Unit Savings Calculations'!$F137*'Unit Savings Calculations'!L137</f>
        <v>0</v>
      </c>
      <c r="K141" s="294">
        <f>'Unit Savings Calculations'!$F137*'Unit Savings Calculations'!M137</f>
        <v>0</v>
      </c>
      <c r="L141" s="292" t="str">
        <f>'Unit Savings Calculations'!U137</f>
        <v>CI-HVC-STRE-V05-180101</v>
      </c>
      <c r="M141" s="383" t="str">
        <f>'Unit Savings Calculations'!R137</f>
        <v>Exhibit 1.5A_R North Shore EEPS_Adjustable_Savings_Goal_Template.xlsx, Unit Savings Calculations Tab</v>
      </c>
      <c r="N141" s="295">
        <v>110.15789625000002</v>
      </c>
      <c r="O141" s="295">
        <v>110.15789625000002</v>
      </c>
      <c r="P141" s="295">
        <v>110.15789625000002</v>
      </c>
      <c r="Q141" s="295">
        <v>110.15789625000002</v>
      </c>
      <c r="R141" s="296">
        <f>'Unit Savings Calculations'!$G137</f>
        <v>0.88</v>
      </c>
      <c r="S141" s="296">
        <f>'Unit Savings Calculations'!$G137</f>
        <v>0.88</v>
      </c>
      <c r="T141" s="296">
        <f>'Unit Savings Calculations'!$G137</f>
        <v>0.88</v>
      </c>
      <c r="U141" s="296">
        <f>'Unit Savings Calculations'!$G137</f>
        <v>0.88</v>
      </c>
      <c r="V141" s="297">
        <f t="shared" si="79"/>
        <v>0</v>
      </c>
      <c r="W141" s="297">
        <f t="shared" si="80"/>
        <v>0</v>
      </c>
      <c r="X141" s="297">
        <f t="shared" si="81"/>
        <v>0</v>
      </c>
      <c r="Y141" s="297">
        <f t="shared" si="82"/>
        <v>0</v>
      </c>
      <c r="Z141" s="297">
        <f t="shared" si="83"/>
        <v>0</v>
      </c>
      <c r="AA141" s="292"/>
      <c r="AB141" s="292"/>
      <c r="AC141" s="295">
        <v>110.15789625000002</v>
      </c>
      <c r="AD141" s="292"/>
      <c r="AE141" s="297">
        <f t="shared" si="87"/>
        <v>0</v>
      </c>
      <c r="AF141" s="294">
        <f t="shared" si="88"/>
        <v>0</v>
      </c>
      <c r="AG141" s="292"/>
      <c r="AH141" s="292">
        <f t="shared" si="89"/>
        <v>0</v>
      </c>
      <c r="AI141" s="295">
        <v>110.15789625000002</v>
      </c>
      <c r="AJ141" s="383" t="s">
        <v>878</v>
      </c>
      <c r="AK141" s="297">
        <f t="shared" si="90"/>
        <v>0</v>
      </c>
      <c r="AL141" s="294">
        <f t="shared" si="91"/>
        <v>0</v>
      </c>
      <c r="AM141" s="292"/>
      <c r="AN141" s="292"/>
      <c r="AO141" s="295">
        <f>'Unit Savings Calculations'!P137</f>
        <v>110.15789625000002</v>
      </c>
      <c r="AP141" s="383" t="s">
        <v>763</v>
      </c>
      <c r="AQ141" s="297">
        <f t="shared" si="92"/>
        <v>0</v>
      </c>
      <c r="AR141" s="294">
        <f t="shared" si="93"/>
        <v>0</v>
      </c>
      <c r="AS141" s="292"/>
      <c r="AT141" s="292"/>
      <c r="AU141" s="295">
        <f>'Unit Savings Calculations'!Q137</f>
        <v>110.15789625000002</v>
      </c>
      <c r="AV141" s="383" t="str">
        <f t="shared" si="94"/>
        <v>n/a</v>
      </c>
      <c r="AW141" s="297">
        <f t="shared" si="95"/>
        <v>0</v>
      </c>
      <c r="AX141" s="294">
        <f t="shared" si="96"/>
        <v>0</v>
      </c>
      <c r="AY141" s="297">
        <f t="shared" si="97"/>
        <v>0</v>
      </c>
      <c r="AZ141" s="297">
        <f t="shared" si="98"/>
        <v>0</v>
      </c>
      <c r="BA141" s="297">
        <f t="shared" si="99"/>
        <v>0</v>
      </c>
      <c r="BB141" s="297">
        <f t="shared" si="100"/>
        <v>0</v>
      </c>
      <c r="BC141" s="298">
        <f t="shared" si="101"/>
        <v>0</v>
      </c>
      <c r="BD141" s="292" t="s">
        <v>763</v>
      </c>
      <c r="BE141" s="299" t="str">
        <f t="shared" si="102"/>
        <v>Exhibit 1.5A_R North Shore EEPS_Adjustable_Savings_Goal_Template.xlsx, Unit Savings Calculations Tab</v>
      </c>
      <c r="BF141" s="298">
        <f t="shared" si="103"/>
        <v>0</v>
      </c>
      <c r="BG141" s="298">
        <f t="shared" si="103"/>
        <v>0</v>
      </c>
      <c r="BH141" s="298">
        <f t="shared" si="103"/>
        <v>0</v>
      </c>
      <c r="BI141" s="298">
        <f t="shared" si="84"/>
        <v>0</v>
      </c>
      <c r="BJ141" s="298">
        <f t="shared" si="104"/>
        <v>0</v>
      </c>
      <c r="BK141" s="482">
        <v>6</v>
      </c>
      <c r="BL141" s="482">
        <v>6</v>
      </c>
      <c r="BM141" s="482">
        <f>INDEX('Unit Savings Calculations'!$I$4:$I$421,MATCH('Measure-Level Adjustments Tab'!$A141&amp;"_"&amp;'Measure-Level Adjustments Tab'!$B141,'Unit Savings Calculations'!$A$4:$A$421,0))</f>
        <v>6</v>
      </c>
      <c r="BN141" s="482">
        <f t="shared" si="105"/>
        <v>6</v>
      </c>
      <c r="BO141" s="483">
        <f t="shared" si="106"/>
        <v>0</v>
      </c>
      <c r="BP141" s="483">
        <f t="shared" si="106"/>
        <v>0</v>
      </c>
      <c r="BQ141" s="483">
        <f t="shared" si="106"/>
        <v>0</v>
      </c>
      <c r="BR141" s="483">
        <f t="shared" si="85"/>
        <v>0</v>
      </c>
      <c r="BS141" s="483">
        <f t="shared" si="86"/>
        <v>0</v>
      </c>
    </row>
    <row r="142" spans="1:71" ht="15.75" customHeight="1">
      <c r="A142" s="292" t="str">
        <f>'Unit Savings Calculations'!C138</f>
        <v>Res - MF PTA Rebates</v>
      </c>
      <c r="B142" s="292" t="str">
        <f>'Unit Savings Calculations'!D138</f>
        <v>Steam Traps - HVAC Repair/Rep - No Audit</v>
      </c>
      <c r="C142" s="293">
        <f t="shared" si="78"/>
        <v>1</v>
      </c>
      <c r="D142" s="292" t="str">
        <f>'Unit Savings Calculations'!T138</f>
        <v>4.4.16</v>
      </c>
      <c r="E142" s="438">
        <v>6</v>
      </c>
      <c r="F142" s="438">
        <v>6</v>
      </c>
      <c r="G142" s="292" t="str">
        <f>'Unit Savings Calculations'!E138</f>
        <v>each</v>
      </c>
      <c r="H142" s="294">
        <f>'Unit Savings Calculations'!$F138*'Unit Savings Calculations'!J138</f>
        <v>0</v>
      </c>
      <c r="I142" s="294">
        <f>'Unit Savings Calculations'!$F138*'Unit Savings Calculations'!K138</f>
        <v>0</v>
      </c>
      <c r="J142" s="294">
        <f>'Unit Savings Calculations'!$F138*'Unit Savings Calculations'!L138</f>
        <v>0</v>
      </c>
      <c r="K142" s="294">
        <f>'Unit Savings Calculations'!$F138*'Unit Savings Calculations'!M138</f>
        <v>0</v>
      </c>
      <c r="L142" s="292" t="str">
        <f>'Unit Savings Calculations'!U138</f>
        <v>CI-HVC-STRE-V05-180101</v>
      </c>
      <c r="M142" s="383" t="str">
        <f>'Unit Savings Calculations'!R138</f>
        <v>Exhibit 1.5A_R North Shore EEPS_Adjustable_Savings_Goal_Template.xlsx, Unit Savings Calculations Tab</v>
      </c>
      <c r="N142" s="295">
        <v>110.15789625000002</v>
      </c>
      <c r="O142" s="295">
        <v>110.15789625000002</v>
      </c>
      <c r="P142" s="295">
        <v>110.15789625000002</v>
      </c>
      <c r="Q142" s="295">
        <v>110.15789625000002</v>
      </c>
      <c r="R142" s="296">
        <f>'Unit Savings Calculations'!$G138</f>
        <v>0.88</v>
      </c>
      <c r="S142" s="296">
        <f>'Unit Savings Calculations'!$G138</f>
        <v>0.88</v>
      </c>
      <c r="T142" s="296">
        <f>'Unit Savings Calculations'!$G138</f>
        <v>0.88</v>
      </c>
      <c r="U142" s="296">
        <f>'Unit Savings Calculations'!$G138</f>
        <v>0.88</v>
      </c>
      <c r="V142" s="297">
        <f t="shared" si="79"/>
        <v>0</v>
      </c>
      <c r="W142" s="297">
        <f t="shared" si="80"/>
        <v>0</v>
      </c>
      <c r="X142" s="297">
        <f t="shared" si="81"/>
        <v>0</v>
      </c>
      <c r="Y142" s="297">
        <f t="shared" si="82"/>
        <v>0</v>
      </c>
      <c r="Z142" s="297">
        <f t="shared" si="83"/>
        <v>0</v>
      </c>
      <c r="AA142" s="292"/>
      <c r="AB142" s="292"/>
      <c r="AC142" s="295">
        <v>110.15789625000002</v>
      </c>
      <c r="AD142" s="292"/>
      <c r="AE142" s="297">
        <f t="shared" si="87"/>
        <v>0</v>
      </c>
      <c r="AF142" s="294">
        <f t="shared" si="88"/>
        <v>0</v>
      </c>
      <c r="AG142" s="292"/>
      <c r="AH142" s="292">
        <f t="shared" si="89"/>
        <v>0</v>
      </c>
      <c r="AI142" s="295">
        <v>110.15789625000002</v>
      </c>
      <c r="AJ142" s="383" t="s">
        <v>878</v>
      </c>
      <c r="AK142" s="297">
        <f t="shared" si="90"/>
        <v>0</v>
      </c>
      <c r="AL142" s="294">
        <f t="shared" si="91"/>
        <v>0</v>
      </c>
      <c r="AM142" s="292"/>
      <c r="AN142" s="292"/>
      <c r="AO142" s="295">
        <f>'Unit Savings Calculations'!P138</f>
        <v>110.15789625000002</v>
      </c>
      <c r="AP142" s="383" t="s">
        <v>763</v>
      </c>
      <c r="AQ142" s="297">
        <f t="shared" si="92"/>
        <v>0</v>
      </c>
      <c r="AR142" s="294">
        <f t="shared" si="93"/>
        <v>0</v>
      </c>
      <c r="AS142" s="292"/>
      <c r="AT142" s="292"/>
      <c r="AU142" s="295">
        <f>'Unit Savings Calculations'!Q138</f>
        <v>110.15789625000002</v>
      </c>
      <c r="AV142" s="383" t="str">
        <f t="shared" si="94"/>
        <v>n/a</v>
      </c>
      <c r="AW142" s="297">
        <f t="shared" si="95"/>
        <v>0</v>
      </c>
      <c r="AX142" s="294">
        <f t="shared" si="96"/>
        <v>0</v>
      </c>
      <c r="AY142" s="297">
        <f t="shared" si="97"/>
        <v>0</v>
      </c>
      <c r="AZ142" s="297">
        <f t="shared" si="98"/>
        <v>0</v>
      </c>
      <c r="BA142" s="297">
        <f t="shared" si="99"/>
        <v>0</v>
      </c>
      <c r="BB142" s="297">
        <f t="shared" si="100"/>
        <v>0</v>
      </c>
      <c r="BC142" s="298">
        <f t="shared" si="101"/>
        <v>0</v>
      </c>
      <c r="BD142" s="292" t="s">
        <v>763</v>
      </c>
      <c r="BE142" s="299" t="str">
        <f t="shared" si="102"/>
        <v>Exhibit 1.5A_R North Shore EEPS_Adjustable_Savings_Goal_Template.xlsx, Unit Savings Calculations Tab</v>
      </c>
      <c r="BF142" s="298">
        <f t="shared" si="103"/>
        <v>0</v>
      </c>
      <c r="BG142" s="298">
        <f t="shared" si="103"/>
        <v>0</v>
      </c>
      <c r="BH142" s="298">
        <f t="shared" si="103"/>
        <v>0</v>
      </c>
      <c r="BI142" s="298">
        <f t="shared" si="84"/>
        <v>0</v>
      </c>
      <c r="BJ142" s="298">
        <f t="shared" si="104"/>
        <v>0</v>
      </c>
      <c r="BK142" s="482">
        <v>6</v>
      </c>
      <c r="BL142" s="482">
        <v>6</v>
      </c>
      <c r="BM142" s="482">
        <f>INDEX('Unit Savings Calculations'!$I$4:$I$421,MATCH('Measure-Level Adjustments Tab'!$A142&amp;"_"&amp;'Measure-Level Adjustments Tab'!$B142,'Unit Savings Calculations'!$A$4:$A$421,0))</f>
        <v>6</v>
      </c>
      <c r="BN142" s="482">
        <f t="shared" si="105"/>
        <v>6</v>
      </c>
      <c r="BO142" s="483">
        <f t="shared" si="106"/>
        <v>0</v>
      </c>
      <c r="BP142" s="483">
        <f t="shared" si="106"/>
        <v>0</v>
      </c>
      <c r="BQ142" s="483">
        <f t="shared" si="106"/>
        <v>0</v>
      </c>
      <c r="BR142" s="483">
        <f t="shared" si="85"/>
        <v>0</v>
      </c>
      <c r="BS142" s="483">
        <f t="shared" si="86"/>
        <v>0</v>
      </c>
    </row>
    <row r="143" spans="1:71" ht="15.75" customHeight="1">
      <c r="A143" s="292" t="str">
        <f>'Unit Savings Calculations'!C139</f>
        <v>Res - MF PTA Rebates</v>
      </c>
      <c r="B143" s="292" t="str">
        <f>'Unit Savings Calculations'!D139</f>
        <v>Steam Traps - Test</v>
      </c>
      <c r="C143" s="293">
        <f t="shared" si="78"/>
        <v>0</v>
      </c>
      <c r="D143" s="292" t="str">
        <f>'Unit Savings Calculations'!T139</f>
        <v>Custom</v>
      </c>
      <c r="E143" s="438">
        <v>3</v>
      </c>
      <c r="F143" s="438">
        <v>3</v>
      </c>
      <c r="G143" s="292" t="str">
        <f>'Unit Savings Calculations'!E139</f>
        <v>each</v>
      </c>
      <c r="H143" s="294">
        <f>'Unit Savings Calculations'!$F139*'Unit Savings Calculations'!J139</f>
        <v>0</v>
      </c>
      <c r="I143" s="294">
        <f>'Unit Savings Calculations'!$F139*'Unit Savings Calculations'!K139</f>
        <v>0</v>
      </c>
      <c r="J143" s="294">
        <f>'Unit Savings Calculations'!$F139*'Unit Savings Calculations'!L139</f>
        <v>0</v>
      </c>
      <c r="K143" s="294">
        <f>'Unit Savings Calculations'!$F139*'Unit Savings Calculations'!M139</f>
        <v>0</v>
      </c>
      <c r="L143" s="292" t="str">
        <f>'Unit Savings Calculations'!U139</f>
        <v>Custom</v>
      </c>
      <c r="M143" s="383" t="str">
        <f>'Unit Savings Calculations'!R139</f>
        <v>Custom</v>
      </c>
      <c r="N143" s="295">
        <v>0</v>
      </c>
      <c r="O143" s="295">
        <v>0</v>
      </c>
      <c r="P143" s="295">
        <v>0</v>
      </c>
      <c r="Q143" s="295">
        <v>0</v>
      </c>
      <c r="R143" s="296">
        <f>'Unit Savings Calculations'!$G139</f>
        <v>0.88</v>
      </c>
      <c r="S143" s="296">
        <f>'Unit Savings Calculations'!$G139</f>
        <v>0.88</v>
      </c>
      <c r="T143" s="296">
        <f>'Unit Savings Calculations'!$G139</f>
        <v>0.88</v>
      </c>
      <c r="U143" s="296">
        <f>'Unit Savings Calculations'!$G139</f>
        <v>0.88</v>
      </c>
      <c r="V143" s="297">
        <f t="shared" si="79"/>
        <v>0</v>
      </c>
      <c r="W143" s="297">
        <f t="shared" si="80"/>
        <v>0</v>
      </c>
      <c r="X143" s="297">
        <f t="shared" si="81"/>
        <v>0</v>
      </c>
      <c r="Y143" s="297">
        <f t="shared" si="82"/>
        <v>0</v>
      </c>
      <c r="Z143" s="297">
        <f t="shared" si="83"/>
        <v>0</v>
      </c>
      <c r="AA143" s="384"/>
      <c r="AB143" s="384"/>
      <c r="AC143" s="387">
        <v>0</v>
      </c>
      <c r="AD143" s="384"/>
      <c r="AE143" s="385">
        <f t="shared" si="87"/>
        <v>0</v>
      </c>
      <c r="AF143" s="386">
        <f t="shared" si="88"/>
        <v>0</v>
      </c>
      <c r="AG143" s="384"/>
      <c r="AH143" s="384">
        <f t="shared" si="89"/>
        <v>0</v>
      </c>
      <c r="AI143" s="387">
        <v>0</v>
      </c>
      <c r="AJ143" s="435" t="s">
        <v>878</v>
      </c>
      <c r="AK143" s="385">
        <f t="shared" si="90"/>
        <v>0</v>
      </c>
      <c r="AL143" s="386">
        <f t="shared" si="91"/>
        <v>0</v>
      </c>
      <c r="AM143" s="384"/>
      <c r="AN143" s="384"/>
      <c r="AO143" s="387">
        <f>'Unit Savings Calculations'!P139</f>
        <v>0</v>
      </c>
      <c r="AP143" s="435" t="s">
        <v>763</v>
      </c>
      <c r="AQ143" s="385">
        <f t="shared" si="92"/>
        <v>0</v>
      </c>
      <c r="AR143" s="386">
        <f t="shared" si="93"/>
        <v>0</v>
      </c>
      <c r="AS143" s="384"/>
      <c r="AT143" s="384"/>
      <c r="AU143" s="387">
        <f>'Unit Savings Calculations'!Q139</f>
        <v>0</v>
      </c>
      <c r="AV143" s="435" t="str">
        <f t="shared" si="94"/>
        <v>n/a</v>
      </c>
      <c r="AW143" s="385">
        <f t="shared" si="95"/>
        <v>0</v>
      </c>
      <c r="AX143" s="386">
        <f t="shared" si="96"/>
        <v>0</v>
      </c>
      <c r="AY143" s="297">
        <f t="shared" si="97"/>
        <v>0</v>
      </c>
      <c r="AZ143" s="297">
        <f t="shared" si="98"/>
        <v>0</v>
      </c>
      <c r="BA143" s="297">
        <f t="shared" si="99"/>
        <v>0</v>
      </c>
      <c r="BB143" s="297">
        <f t="shared" si="100"/>
        <v>0</v>
      </c>
      <c r="BC143" s="298">
        <f t="shared" si="101"/>
        <v>0</v>
      </c>
      <c r="BD143" s="292" t="s">
        <v>763</v>
      </c>
      <c r="BE143" s="299" t="str">
        <f t="shared" si="102"/>
        <v>Custom</v>
      </c>
      <c r="BF143" s="298">
        <f t="shared" si="103"/>
        <v>0</v>
      </c>
      <c r="BG143" s="298">
        <f t="shared" si="103"/>
        <v>0</v>
      </c>
      <c r="BH143" s="298">
        <f t="shared" si="103"/>
        <v>0</v>
      </c>
      <c r="BI143" s="298">
        <f t="shared" si="84"/>
        <v>0</v>
      </c>
      <c r="BJ143" s="298">
        <f t="shared" si="104"/>
        <v>0</v>
      </c>
      <c r="BK143" s="482">
        <v>3</v>
      </c>
      <c r="BL143" s="482">
        <v>3</v>
      </c>
      <c r="BM143" s="482">
        <f>INDEX('Unit Savings Calculations'!$I$4:$I$421,MATCH('Measure-Level Adjustments Tab'!$A143&amp;"_"&amp;'Measure-Level Adjustments Tab'!$B143,'Unit Savings Calculations'!$A$4:$A$421,0))</f>
        <v>3</v>
      </c>
      <c r="BN143" s="482">
        <f t="shared" si="105"/>
        <v>3</v>
      </c>
      <c r="BO143" s="483">
        <f t="shared" si="106"/>
        <v>0</v>
      </c>
      <c r="BP143" s="483">
        <f t="shared" si="106"/>
        <v>0</v>
      </c>
      <c r="BQ143" s="483">
        <f t="shared" si="106"/>
        <v>0</v>
      </c>
      <c r="BR143" s="483">
        <f t="shared" si="85"/>
        <v>0</v>
      </c>
      <c r="BS143" s="483">
        <f t="shared" si="86"/>
        <v>0</v>
      </c>
    </row>
    <row r="144" spans="1:71" ht="15.75" customHeight="1">
      <c r="A144" s="292" t="str">
        <f>'Unit Savings Calculations'!C140</f>
        <v>Res - MF PTA Rebates</v>
      </c>
      <c r="B144" s="292" t="str">
        <f>'Unit Savings Calculations'!D140</f>
        <v>Thermostat - Programmable</v>
      </c>
      <c r="C144" s="293">
        <f t="shared" si="78"/>
        <v>1</v>
      </c>
      <c r="D144" s="292" t="str">
        <f>'Unit Savings Calculations'!T140</f>
        <v>4.4.18</v>
      </c>
      <c r="E144" s="438">
        <v>4</v>
      </c>
      <c r="F144" s="438">
        <v>4</v>
      </c>
      <c r="G144" s="292" t="str">
        <f>'Unit Savings Calculations'!E140</f>
        <v>each</v>
      </c>
      <c r="H144" s="294">
        <f>'Unit Savings Calculations'!$F140*'Unit Savings Calculations'!J140</f>
        <v>0</v>
      </c>
      <c r="I144" s="294">
        <f>'Unit Savings Calculations'!$F140*'Unit Savings Calculations'!K140</f>
        <v>0</v>
      </c>
      <c r="J144" s="294">
        <f>'Unit Savings Calculations'!$F140*'Unit Savings Calculations'!L140</f>
        <v>0</v>
      </c>
      <c r="K144" s="294">
        <f>'Unit Savings Calculations'!$F140*'Unit Savings Calculations'!M140</f>
        <v>0</v>
      </c>
      <c r="L144" s="292" t="str">
        <f>'Unit Savings Calculations'!U140</f>
        <v>CI-HVC-PROG-V02-150601</v>
      </c>
      <c r="M144" s="383" t="str">
        <f>'Unit Savings Calculations'!R140</f>
        <v>Exhibit 1.5A_R North Shore EEPS_Adjustable_Savings_Goal_Template.xlsx, Thermostat Detail Tab</v>
      </c>
      <c r="N144" s="295">
        <v>124.68584320000001</v>
      </c>
      <c r="O144" s="295">
        <v>124.68584320000001</v>
      </c>
      <c r="P144" s="295">
        <v>124.68584320000001</v>
      </c>
      <c r="Q144" s="295">
        <v>124.68584320000001</v>
      </c>
      <c r="R144" s="296">
        <f>'Unit Savings Calculations'!$G140</f>
        <v>0.88</v>
      </c>
      <c r="S144" s="296">
        <f>'Unit Savings Calculations'!$G140</f>
        <v>0.88</v>
      </c>
      <c r="T144" s="296">
        <f>'Unit Savings Calculations'!$G140</f>
        <v>0.88</v>
      </c>
      <c r="U144" s="296">
        <f>'Unit Savings Calculations'!$G140</f>
        <v>0.88</v>
      </c>
      <c r="V144" s="297">
        <f t="shared" si="79"/>
        <v>0</v>
      </c>
      <c r="W144" s="297">
        <f t="shared" si="80"/>
        <v>0</v>
      </c>
      <c r="X144" s="297">
        <f t="shared" si="81"/>
        <v>0</v>
      </c>
      <c r="Y144" s="297">
        <f t="shared" si="82"/>
        <v>0</v>
      </c>
      <c r="Z144" s="297">
        <f t="shared" si="83"/>
        <v>0</v>
      </c>
      <c r="AA144" s="292"/>
      <c r="AB144" s="292"/>
      <c r="AC144" s="295">
        <v>124.68584320000001</v>
      </c>
      <c r="AD144" s="292"/>
      <c r="AE144" s="297">
        <f t="shared" si="87"/>
        <v>0</v>
      </c>
      <c r="AF144" s="294">
        <f t="shared" si="88"/>
        <v>0</v>
      </c>
      <c r="AG144" s="292"/>
      <c r="AH144" s="292">
        <f t="shared" si="89"/>
        <v>0</v>
      </c>
      <c r="AI144" s="295">
        <v>124.68584320000001</v>
      </c>
      <c r="AJ144" s="383" t="s">
        <v>878</v>
      </c>
      <c r="AK144" s="297">
        <f t="shared" si="90"/>
        <v>0</v>
      </c>
      <c r="AL144" s="294">
        <f t="shared" si="91"/>
        <v>0</v>
      </c>
      <c r="AM144" s="292"/>
      <c r="AN144" s="292"/>
      <c r="AO144" s="295">
        <f>'Unit Savings Calculations'!P140</f>
        <v>124.68584320000001</v>
      </c>
      <c r="AP144" s="383" t="s">
        <v>763</v>
      </c>
      <c r="AQ144" s="297">
        <f t="shared" si="92"/>
        <v>0</v>
      </c>
      <c r="AR144" s="294">
        <f t="shared" si="93"/>
        <v>0</v>
      </c>
      <c r="AS144" s="292"/>
      <c r="AT144" s="292"/>
      <c r="AU144" s="295">
        <f>'Unit Savings Calculations'!Q140</f>
        <v>124.68584320000001</v>
      </c>
      <c r="AV144" s="383" t="str">
        <f t="shared" si="94"/>
        <v>n/a</v>
      </c>
      <c r="AW144" s="297">
        <f t="shared" si="95"/>
        <v>0</v>
      </c>
      <c r="AX144" s="294">
        <f t="shared" si="96"/>
        <v>0</v>
      </c>
      <c r="AY144" s="297">
        <f t="shared" si="97"/>
        <v>0</v>
      </c>
      <c r="AZ144" s="297">
        <f t="shared" si="98"/>
        <v>0</v>
      </c>
      <c r="BA144" s="297">
        <f t="shared" si="99"/>
        <v>0</v>
      </c>
      <c r="BB144" s="297">
        <f t="shared" si="100"/>
        <v>0</v>
      </c>
      <c r="BC144" s="298">
        <f t="shared" si="101"/>
        <v>0</v>
      </c>
      <c r="BD144" s="292" t="s">
        <v>763</v>
      </c>
      <c r="BE144" s="299" t="str">
        <f t="shared" si="102"/>
        <v>Exhibit 1.5A_R North Shore EEPS_Adjustable_Savings_Goal_Template.xlsx, Thermostat Detail Tab</v>
      </c>
      <c r="BF144" s="298">
        <f t="shared" si="103"/>
        <v>0</v>
      </c>
      <c r="BG144" s="298">
        <f t="shared" si="103"/>
        <v>0</v>
      </c>
      <c r="BH144" s="298">
        <f t="shared" si="103"/>
        <v>0</v>
      </c>
      <c r="BI144" s="298">
        <f t="shared" si="84"/>
        <v>0</v>
      </c>
      <c r="BJ144" s="298">
        <f t="shared" si="104"/>
        <v>0</v>
      </c>
      <c r="BK144" s="482">
        <v>4</v>
      </c>
      <c r="BL144" s="482">
        <v>4</v>
      </c>
      <c r="BM144" s="482">
        <f>INDEX('Unit Savings Calculations'!$I$4:$I$421,MATCH('Measure-Level Adjustments Tab'!$A144&amp;"_"&amp;'Measure-Level Adjustments Tab'!$B144,'Unit Savings Calculations'!$A$4:$A$421,0))</f>
        <v>4</v>
      </c>
      <c r="BN144" s="482">
        <f t="shared" si="105"/>
        <v>4</v>
      </c>
      <c r="BO144" s="483">
        <f t="shared" si="106"/>
        <v>0</v>
      </c>
      <c r="BP144" s="483">
        <f t="shared" si="106"/>
        <v>0</v>
      </c>
      <c r="BQ144" s="483">
        <f t="shared" si="106"/>
        <v>0</v>
      </c>
      <c r="BR144" s="483">
        <f t="shared" si="85"/>
        <v>0</v>
      </c>
      <c r="BS144" s="483">
        <f t="shared" si="86"/>
        <v>0</v>
      </c>
    </row>
    <row r="145" spans="1:71" ht="15.75" customHeight="1">
      <c r="A145" s="292" t="str">
        <f>'Unit Savings Calculations'!C141</f>
        <v>Res - MF Rebates</v>
      </c>
      <c r="B145" s="292" t="str">
        <f>'Unit Savings Calculations'!D141</f>
        <v>Multifamily Custom</v>
      </c>
      <c r="C145" s="293">
        <f t="shared" si="78"/>
        <v>0</v>
      </c>
      <c r="D145" s="292" t="str">
        <f>'Unit Savings Calculations'!T141</f>
        <v>Custom</v>
      </c>
      <c r="E145" s="438">
        <v>15</v>
      </c>
      <c r="F145" s="438">
        <v>15</v>
      </c>
      <c r="G145" s="292" t="str">
        <f>'Unit Savings Calculations'!E141</f>
        <v>each</v>
      </c>
      <c r="H145" s="294">
        <f>'Unit Savings Calculations'!$F141*'Unit Savings Calculations'!J141</f>
        <v>3900</v>
      </c>
      <c r="I145" s="294">
        <f>'Unit Savings Calculations'!$F141*'Unit Savings Calculations'!K141</f>
        <v>3900</v>
      </c>
      <c r="J145" s="294">
        <f>'Unit Savings Calculations'!$F141*'Unit Savings Calculations'!L141</f>
        <v>1300</v>
      </c>
      <c r="K145" s="294">
        <f>'Unit Savings Calculations'!$F141*'Unit Savings Calculations'!M141</f>
        <v>3900</v>
      </c>
      <c r="L145" s="292" t="str">
        <f>'Unit Savings Calculations'!U141</f>
        <v>Custom</v>
      </c>
      <c r="M145" s="383" t="str">
        <f>'Unit Savings Calculations'!R141</f>
        <v>Custom</v>
      </c>
      <c r="N145" s="295">
        <v>1</v>
      </c>
      <c r="O145" s="295">
        <v>1</v>
      </c>
      <c r="P145" s="295">
        <v>1</v>
      </c>
      <c r="Q145" s="295">
        <v>1</v>
      </c>
      <c r="R145" s="296">
        <f>'Unit Savings Calculations'!$G141</f>
        <v>0.72</v>
      </c>
      <c r="S145" s="296">
        <f>'Unit Savings Calculations'!$G141</f>
        <v>0.72</v>
      </c>
      <c r="T145" s="296">
        <f>'Unit Savings Calculations'!$G141</f>
        <v>0.72</v>
      </c>
      <c r="U145" s="296">
        <f>'Unit Savings Calculations'!$G141</f>
        <v>0.72</v>
      </c>
      <c r="V145" s="297">
        <f t="shared" si="79"/>
        <v>2808</v>
      </c>
      <c r="W145" s="297">
        <f t="shared" si="80"/>
        <v>2808</v>
      </c>
      <c r="X145" s="297">
        <f t="shared" si="81"/>
        <v>936</v>
      </c>
      <c r="Y145" s="297">
        <f t="shared" si="82"/>
        <v>2808</v>
      </c>
      <c r="Z145" s="297">
        <f t="shared" si="83"/>
        <v>9360</v>
      </c>
      <c r="AA145" s="384"/>
      <c r="AB145" s="384"/>
      <c r="AC145" s="387">
        <v>1</v>
      </c>
      <c r="AD145" s="384"/>
      <c r="AE145" s="385">
        <f t="shared" si="87"/>
        <v>2808</v>
      </c>
      <c r="AF145" s="386">
        <f t="shared" si="88"/>
        <v>0</v>
      </c>
      <c r="AG145" s="384"/>
      <c r="AH145" s="384">
        <f t="shared" si="89"/>
        <v>0</v>
      </c>
      <c r="AI145" s="387">
        <v>1</v>
      </c>
      <c r="AJ145" s="435" t="s">
        <v>878</v>
      </c>
      <c r="AK145" s="385">
        <f t="shared" si="90"/>
        <v>2808</v>
      </c>
      <c r="AL145" s="386">
        <f t="shared" si="91"/>
        <v>0</v>
      </c>
      <c r="AM145" s="384"/>
      <c r="AN145" s="384"/>
      <c r="AO145" s="387">
        <f>'Unit Savings Calculations'!P141</f>
        <v>1</v>
      </c>
      <c r="AP145" s="435" t="s">
        <v>763</v>
      </c>
      <c r="AQ145" s="385">
        <f t="shared" si="92"/>
        <v>936</v>
      </c>
      <c r="AR145" s="386">
        <f t="shared" si="93"/>
        <v>0</v>
      </c>
      <c r="AS145" s="384"/>
      <c r="AT145" s="384"/>
      <c r="AU145" s="387">
        <f>'Unit Savings Calculations'!Q141</f>
        <v>1</v>
      </c>
      <c r="AV145" s="435" t="str">
        <f t="shared" si="94"/>
        <v>n/a</v>
      </c>
      <c r="AW145" s="385">
        <f t="shared" si="95"/>
        <v>2808</v>
      </c>
      <c r="AX145" s="386">
        <f t="shared" si="96"/>
        <v>0</v>
      </c>
      <c r="AY145" s="297">
        <f t="shared" si="97"/>
        <v>2808</v>
      </c>
      <c r="AZ145" s="297">
        <f t="shared" si="98"/>
        <v>2808</v>
      </c>
      <c r="BA145" s="297">
        <f t="shared" si="99"/>
        <v>936</v>
      </c>
      <c r="BB145" s="297">
        <f t="shared" si="100"/>
        <v>2808</v>
      </c>
      <c r="BC145" s="298">
        <f t="shared" si="101"/>
        <v>9360</v>
      </c>
      <c r="BD145" s="292" t="s">
        <v>763</v>
      </c>
      <c r="BE145" s="299" t="str">
        <f t="shared" si="102"/>
        <v>Custom</v>
      </c>
      <c r="BF145" s="298">
        <f t="shared" si="103"/>
        <v>42120</v>
      </c>
      <c r="BG145" s="298">
        <f t="shared" si="103"/>
        <v>42120</v>
      </c>
      <c r="BH145" s="298">
        <f t="shared" si="103"/>
        <v>14040</v>
      </c>
      <c r="BI145" s="298">
        <f t="shared" si="84"/>
        <v>42120</v>
      </c>
      <c r="BJ145" s="298">
        <f t="shared" si="104"/>
        <v>140400</v>
      </c>
      <c r="BK145" s="482">
        <v>15</v>
      </c>
      <c r="BL145" s="482">
        <v>15</v>
      </c>
      <c r="BM145" s="482">
        <f>INDEX('Unit Savings Calculations'!$I$4:$I$421,MATCH('Measure-Level Adjustments Tab'!$A145&amp;"_"&amp;'Measure-Level Adjustments Tab'!$B145,'Unit Savings Calculations'!$A$4:$A$421,0))</f>
        <v>15</v>
      </c>
      <c r="BN145" s="482">
        <f t="shared" si="105"/>
        <v>15</v>
      </c>
      <c r="BO145" s="483">
        <f t="shared" si="106"/>
        <v>42120</v>
      </c>
      <c r="BP145" s="483">
        <f t="shared" si="106"/>
        <v>42120</v>
      </c>
      <c r="BQ145" s="483">
        <f t="shared" si="106"/>
        <v>14040</v>
      </c>
      <c r="BR145" s="483">
        <f t="shared" si="85"/>
        <v>42120</v>
      </c>
      <c r="BS145" s="483">
        <f t="shared" si="86"/>
        <v>140400</v>
      </c>
    </row>
    <row r="146" spans="1:71" ht="15.75" customHeight="1">
      <c r="A146" s="292" t="str">
        <f>'Unit Savings Calculations'!C142</f>
        <v>Bus - CI Assessments</v>
      </c>
      <c r="B146" s="292" t="str">
        <f>'Unit Savings Calculations'!D142</f>
        <v>Aerator - Bathroom</v>
      </c>
      <c r="C146" s="293">
        <f t="shared" si="78"/>
        <v>1</v>
      </c>
      <c r="D146" s="292" t="str">
        <f>'Unit Savings Calculations'!T142</f>
        <v>4.3.2</v>
      </c>
      <c r="E146" s="438">
        <v>9</v>
      </c>
      <c r="F146" s="438">
        <v>10</v>
      </c>
      <c r="G146" s="292" t="str">
        <f>'Unit Savings Calculations'!E142</f>
        <v>each</v>
      </c>
      <c r="H146" s="294">
        <f>'Unit Savings Calculations'!$F142*'Unit Savings Calculations'!J142</f>
        <v>35</v>
      </c>
      <c r="I146" s="294">
        <f>'Unit Savings Calculations'!$F142*'Unit Savings Calculations'!K142</f>
        <v>35</v>
      </c>
      <c r="J146" s="294">
        <f>'Unit Savings Calculations'!$F142*'Unit Savings Calculations'!L142</f>
        <v>35</v>
      </c>
      <c r="K146" s="294">
        <f>'Unit Savings Calculations'!$F142*'Unit Savings Calculations'!M142</f>
        <v>35</v>
      </c>
      <c r="L146" s="292" t="str">
        <f>'Unit Savings Calculations'!U142</f>
        <v>CI-HWE-LFFA-V07-180101</v>
      </c>
      <c r="M146" s="383" t="str">
        <f>'Unit Savings Calculations'!R142</f>
        <v>Exhibit 1.5A_R North Shore EEPS_Adjustable_Savings_Goal_Template.xlsx, Unit Savings Calculations Tab</v>
      </c>
      <c r="N146" s="295">
        <v>6.1049460431654667</v>
      </c>
      <c r="O146" s="295">
        <v>6.1049460431654667</v>
      </c>
      <c r="P146" s="295">
        <v>6.1049460431654667</v>
      </c>
      <c r="Q146" s="295">
        <v>6.1049460431654667</v>
      </c>
      <c r="R146" s="296">
        <f>'Unit Savings Calculations'!$G142</f>
        <v>0.79</v>
      </c>
      <c r="S146" s="296">
        <f>'Unit Savings Calculations'!$G142</f>
        <v>0.79</v>
      </c>
      <c r="T146" s="296">
        <f>'Unit Savings Calculations'!$G142</f>
        <v>0.79</v>
      </c>
      <c r="U146" s="296">
        <f>'Unit Savings Calculations'!$G142</f>
        <v>0.79</v>
      </c>
      <c r="V146" s="297">
        <f t="shared" si="79"/>
        <v>168.80175809352517</v>
      </c>
      <c r="W146" s="297">
        <f t="shared" si="80"/>
        <v>168.80175809352517</v>
      </c>
      <c r="X146" s="297">
        <f t="shared" si="81"/>
        <v>168.80175809352517</v>
      </c>
      <c r="Y146" s="297">
        <f t="shared" si="82"/>
        <v>168.80175809352517</v>
      </c>
      <c r="Z146" s="297">
        <f t="shared" si="83"/>
        <v>675.20703237410066</v>
      </c>
      <c r="AA146" s="292"/>
      <c r="AB146" s="292"/>
      <c r="AC146" s="295">
        <v>6.1049460431654667</v>
      </c>
      <c r="AD146" s="292"/>
      <c r="AE146" s="297">
        <f t="shared" si="87"/>
        <v>168.80175809352517</v>
      </c>
      <c r="AF146" s="294">
        <f t="shared" si="88"/>
        <v>0</v>
      </c>
      <c r="AG146" s="292"/>
      <c r="AH146" s="292">
        <f t="shared" si="89"/>
        <v>0</v>
      </c>
      <c r="AI146" s="295">
        <v>6.1049460431654667</v>
      </c>
      <c r="AJ146" s="383" t="s">
        <v>878</v>
      </c>
      <c r="AK146" s="297">
        <f t="shared" si="90"/>
        <v>168.80175809352517</v>
      </c>
      <c r="AL146" s="294">
        <f t="shared" si="91"/>
        <v>0</v>
      </c>
      <c r="AM146" s="292"/>
      <c r="AN146" s="292"/>
      <c r="AO146" s="295">
        <f>'Unit Savings Calculations'!P142</f>
        <v>6.1049460431654667</v>
      </c>
      <c r="AP146" s="383" t="s">
        <v>763</v>
      </c>
      <c r="AQ146" s="297">
        <f t="shared" si="92"/>
        <v>168.80175809352517</v>
      </c>
      <c r="AR146" s="294">
        <f t="shared" si="93"/>
        <v>0</v>
      </c>
      <c r="AS146" s="292"/>
      <c r="AT146" s="292"/>
      <c r="AU146" s="295">
        <f>'Unit Savings Calculations'!Q142</f>
        <v>6.1049460431654667</v>
      </c>
      <c r="AV146" s="383" t="str">
        <f t="shared" si="94"/>
        <v>n/a</v>
      </c>
      <c r="AW146" s="297">
        <f t="shared" si="95"/>
        <v>168.80175809352517</v>
      </c>
      <c r="AX146" s="294">
        <f t="shared" si="96"/>
        <v>0</v>
      </c>
      <c r="AY146" s="297">
        <f t="shared" si="97"/>
        <v>168.80175809352517</v>
      </c>
      <c r="AZ146" s="297">
        <f t="shared" si="98"/>
        <v>168.80175809352517</v>
      </c>
      <c r="BA146" s="297">
        <f t="shared" si="99"/>
        <v>168.80175809352517</v>
      </c>
      <c r="BB146" s="297">
        <f t="shared" si="100"/>
        <v>168.80175809352517</v>
      </c>
      <c r="BC146" s="298">
        <f t="shared" si="101"/>
        <v>675.20703237410066</v>
      </c>
      <c r="BD146" s="292" t="s">
        <v>763</v>
      </c>
      <c r="BE146" s="299" t="str">
        <f t="shared" si="102"/>
        <v>Exhibit 1.5A_R North Shore EEPS_Adjustable_Savings_Goal_Template.xlsx, Unit Savings Calculations Tab</v>
      </c>
      <c r="BF146" s="298">
        <f t="shared" si="103"/>
        <v>1688.0175809352518</v>
      </c>
      <c r="BG146" s="298">
        <f t="shared" si="103"/>
        <v>1688.0175809352518</v>
      </c>
      <c r="BH146" s="298">
        <f t="shared" si="103"/>
        <v>1688.0175809352518</v>
      </c>
      <c r="BI146" s="298">
        <f t="shared" si="84"/>
        <v>1688.0175809352518</v>
      </c>
      <c r="BJ146" s="298">
        <f t="shared" si="104"/>
        <v>6752.0703237410071</v>
      </c>
      <c r="BK146" s="482">
        <v>10</v>
      </c>
      <c r="BL146" s="482">
        <v>10</v>
      </c>
      <c r="BM146" s="482">
        <f>INDEX('Unit Savings Calculations'!$I$4:$I$421,MATCH('Measure-Level Adjustments Tab'!$A146&amp;"_"&amp;'Measure-Level Adjustments Tab'!$B146,'Unit Savings Calculations'!$A$4:$A$421,0))</f>
        <v>10</v>
      </c>
      <c r="BN146" s="482">
        <f t="shared" si="105"/>
        <v>10</v>
      </c>
      <c r="BO146" s="483">
        <f t="shared" si="106"/>
        <v>1688.0175809352518</v>
      </c>
      <c r="BP146" s="483">
        <f t="shared" si="106"/>
        <v>1688.0175809352518</v>
      </c>
      <c r="BQ146" s="483">
        <f t="shared" si="106"/>
        <v>1688.0175809352518</v>
      </c>
      <c r="BR146" s="483">
        <f t="shared" si="85"/>
        <v>1688.0175809352518</v>
      </c>
      <c r="BS146" s="483">
        <f t="shared" si="86"/>
        <v>6752.0703237410071</v>
      </c>
    </row>
    <row r="147" spans="1:71" ht="15.75" customHeight="1">
      <c r="A147" s="292" t="str">
        <f>'Unit Savings Calculations'!C143</f>
        <v>Bus - CI Assessments</v>
      </c>
      <c r="B147" s="292" t="str">
        <f>'Unit Savings Calculations'!D143</f>
        <v>Aerator - Kitchen</v>
      </c>
      <c r="C147" s="293">
        <f t="shared" si="78"/>
        <v>1</v>
      </c>
      <c r="D147" s="292" t="str">
        <f>'Unit Savings Calculations'!T143</f>
        <v>4.3.2</v>
      </c>
      <c r="E147" s="438">
        <v>9</v>
      </c>
      <c r="F147" s="438">
        <v>10</v>
      </c>
      <c r="G147" s="292" t="str">
        <f>'Unit Savings Calculations'!E143</f>
        <v>each</v>
      </c>
      <c r="H147" s="294">
        <f>'Unit Savings Calculations'!$F143*'Unit Savings Calculations'!J143</f>
        <v>8</v>
      </c>
      <c r="I147" s="294">
        <f>'Unit Savings Calculations'!$F143*'Unit Savings Calculations'!K143</f>
        <v>8</v>
      </c>
      <c r="J147" s="294">
        <f>'Unit Savings Calculations'!$F143*'Unit Savings Calculations'!L143</f>
        <v>8</v>
      </c>
      <c r="K147" s="294">
        <f>'Unit Savings Calculations'!$F143*'Unit Savings Calculations'!M143</f>
        <v>8</v>
      </c>
      <c r="L147" s="292" t="str">
        <f>'Unit Savings Calculations'!U143</f>
        <v>CI-HWE-LFFA-V07-180101</v>
      </c>
      <c r="M147" s="383" t="str">
        <f>'Unit Savings Calculations'!R143</f>
        <v>Exhibit 1.5A_R North Shore EEPS_Adjustable_Savings_Goal_Template.xlsx, Unit Savings Calculations Tab</v>
      </c>
      <c r="N147" s="295">
        <v>7.4428057553956819</v>
      </c>
      <c r="O147" s="295">
        <v>7.4428057553956819</v>
      </c>
      <c r="P147" s="295">
        <v>7.4428057553956819</v>
      </c>
      <c r="Q147" s="295">
        <v>7.4428057553956819</v>
      </c>
      <c r="R147" s="296">
        <f>'Unit Savings Calculations'!$G143</f>
        <v>0.79</v>
      </c>
      <c r="S147" s="296">
        <f>'Unit Savings Calculations'!$G143</f>
        <v>0.79</v>
      </c>
      <c r="T147" s="296">
        <f>'Unit Savings Calculations'!$G143</f>
        <v>0.79</v>
      </c>
      <c r="U147" s="296">
        <f>'Unit Savings Calculations'!$G143</f>
        <v>0.79</v>
      </c>
      <c r="V147" s="297">
        <f t="shared" si="79"/>
        <v>47.038532374100711</v>
      </c>
      <c r="W147" s="297">
        <f t="shared" si="80"/>
        <v>47.038532374100711</v>
      </c>
      <c r="X147" s="297">
        <f t="shared" si="81"/>
        <v>47.038532374100711</v>
      </c>
      <c r="Y147" s="297">
        <f t="shared" si="82"/>
        <v>47.038532374100711</v>
      </c>
      <c r="Z147" s="297">
        <f t="shared" si="83"/>
        <v>188.15412949640285</v>
      </c>
      <c r="AA147" s="292"/>
      <c r="AB147" s="292"/>
      <c r="AC147" s="295">
        <v>7.4428057553956819</v>
      </c>
      <c r="AD147" s="292"/>
      <c r="AE147" s="297">
        <f t="shared" si="87"/>
        <v>47.038532374100711</v>
      </c>
      <c r="AF147" s="294">
        <f t="shared" si="88"/>
        <v>0</v>
      </c>
      <c r="AG147" s="292"/>
      <c r="AH147" s="292">
        <f t="shared" si="89"/>
        <v>0</v>
      </c>
      <c r="AI147" s="295">
        <v>7.4428057553956819</v>
      </c>
      <c r="AJ147" s="383" t="s">
        <v>878</v>
      </c>
      <c r="AK147" s="297">
        <f t="shared" si="90"/>
        <v>47.038532374100711</v>
      </c>
      <c r="AL147" s="294">
        <f t="shared" si="91"/>
        <v>0</v>
      </c>
      <c r="AM147" s="292"/>
      <c r="AN147" s="292"/>
      <c r="AO147" s="295">
        <f>'Unit Savings Calculations'!P143</f>
        <v>7.4428057553956819</v>
      </c>
      <c r="AP147" s="383" t="s">
        <v>763</v>
      </c>
      <c r="AQ147" s="297">
        <f t="shared" si="92"/>
        <v>47.038532374100711</v>
      </c>
      <c r="AR147" s="294">
        <f t="shared" si="93"/>
        <v>0</v>
      </c>
      <c r="AS147" s="292"/>
      <c r="AT147" s="292"/>
      <c r="AU147" s="295">
        <f>'Unit Savings Calculations'!Q143</f>
        <v>7.4428057553956819</v>
      </c>
      <c r="AV147" s="383" t="str">
        <f t="shared" si="94"/>
        <v>n/a</v>
      </c>
      <c r="AW147" s="297">
        <f t="shared" si="95"/>
        <v>47.038532374100711</v>
      </c>
      <c r="AX147" s="294">
        <f t="shared" si="96"/>
        <v>0</v>
      </c>
      <c r="AY147" s="297">
        <f t="shared" si="97"/>
        <v>47.038532374100711</v>
      </c>
      <c r="AZ147" s="297">
        <f t="shared" si="98"/>
        <v>47.038532374100711</v>
      </c>
      <c r="BA147" s="297">
        <f t="shared" si="99"/>
        <v>47.038532374100711</v>
      </c>
      <c r="BB147" s="297">
        <f t="shared" si="100"/>
        <v>47.038532374100711</v>
      </c>
      <c r="BC147" s="298">
        <f t="shared" si="101"/>
        <v>188.15412949640285</v>
      </c>
      <c r="BD147" s="292" t="s">
        <v>763</v>
      </c>
      <c r="BE147" s="299" t="str">
        <f t="shared" si="102"/>
        <v>Exhibit 1.5A_R North Shore EEPS_Adjustable_Savings_Goal_Template.xlsx, Unit Savings Calculations Tab</v>
      </c>
      <c r="BF147" s="298">
        <f t="shared" si="103"/>
        <v>470.38532374100714</v>
      </c>
      <c r="BG147" s="298">
        <f t="shared" si="103"/>
        <v>470.38532374100714</v>
      </c>
      <c r="BH147" s="298">
        <f t="shared" si="103"/>
        <v>470.38532374100714</v>
      </c>
      <c r="BI147" s="298">
        <f t="shared" si="84"/>
        <v>470.38532374100714</v>
      </c>
      <c r="BJ147" s="298">
        <f t="shared" si="104"/>
        <v>1881.5412949640286</v>
      </c>
      <c r="BK147" s="482">
        <v>10</v>
      </c>
      <c r="BL147" s="482">
        <v>10</v>
      </c>
      <c r="BM147" s="482">
        <f>INDEX('Unit Savings Calculations'!$I$4:$I$421,MATCH('Measure-Level Adjustments Tab'!$A147&amp;"_"&amp;'Measure-Level Adjustments Tab'!$B147,'Unit Savings Calculations'!$A$4:$A$421,0))</f>
        <v>10</v>
      </c>
      <c r="BN147" s="482">
        <f t="shared" si="105"/>
        <v>10</v>
      </c>
      <c r="BO147" s="483">
        <f t="shared" si="106"/>
        <v>470.38532374100714</v>
      </c>
      <c r="BP147" s="483">
        <f t="shared" si="106"/>
        <v>470.38532374100714</v>
      </c>
      <c r="BQ147" s="483">
        <f t="shared" si="106"/>
        <v>470.38532374100714</v>
      </c>
      <c r="BR147" s="483">
        <f t="shared" si="85"/>
        <v>470.38532374100714</v>
      </c>
      <c r="BS147" s="483">
        <f t="shared" si="86"/>
        <v>1881.5412949640286</v>
      </c>
    </row>
    <row r="148" spans="1:71" ht="15.75" customHeight="1">
      <c r="A148" s="292" t="str">
        <f>'Unit Savings Calculations'!C144</f>
        <v>Bus - CI Assessments</v>
      </c>
      <c r="B148" s="292" t="str">
        <f>'Unit Savings Calculations'!D144</f>
        <v>Showerhead</v>
      </c>
      <c r="C148" s="293">
        <f t="shared" si="78"/>
        <v>1</v>
      </c>
      <c r="D148" s="292" t="str">
        <f>'Unit Savings Calculations'!T144</f>
        <v>4.3.3</v>
      </c>
      <c r="E148" s="438">
        <v>10</v>
      </c>
      <c r="F148" s="438">
        <v>10</v>
      </c>
      <c r="G148" s="292" t="str">
        <f>'Unit Savings Calculations'!E144</f>
        <v>each</v>
      </c>
      <c r="H148" s="294">
        <f>'Unit Savings Calculations'!$F144*'Unit Savings Calculations'!J144</f>
        <v>1</v>
      </c>
      <c r="I148" s="294">
        <f>'Unit Savings Calculations'!$F144*'Unit Savings Calculations'!K144</f>
        <v>1</v>
      </c>
      <c r="J148" s="294">
        <f>'Unit Savings Calculations'!$F144*'Unit Savings Calculations'!L144</f>
        <v>1</v>
      </c>
      <c r="K148" s="294">
        <f>'Unit Savings Calculations'!$F144*'Unit Savings Calculations'!M144</f>
        <v>1</v>
      </c>
      <c r="L148" s="292" t="str">
        <f>'Unit Savings Calculations'!U144</f>
        <v>RS-HWE-LFSH-V04-180101</v>
      </c>
      <c r="M148" s="383" t="str">
        <f>'Unit Savings Calculations'!R144</f>
        <v>Exhibit 1.5A_R North Shore EEPS_Adjustable_Savings_Goal_Template.xlsx, Unit Savings Calculations Tab</v>
      </c>
      <c r="N148" s="295">
        <v>21.634983278999997</v>
      </c>
      <c r="O148" s="295">
        <v>21.634983278999997</v>
      </c>
      <c r="P148" s="295">
        <v>21.634983278999997</v>
      </c>
      <c r="Q148" s="295">
        <v>21.634983278999997</v>
      </c>
      <c r="R148" s="296">
        <f>'Unit Savings Calculations'!$G144</f>
        <v>0.79</v>
      </c>
      <c r="S148" s="296">
        <f>'Unit Savings Calculations'!$G144</f>
        <v>0.79</v>
      </c>
      <c r="T148" s="296">
        <f>'Unit Savings Calculations'!$G144</f>
        <v>0.79</v>
      </c>
      <c r="U148" s="296">
        <f>'Unit Savings Calculations'!$G144</f>
        <v>0.79</v>
      </c>
      <c r="V148" s="297">
        <f t="shared" si="79"/>
        <v>17.091636790409996</v>
      </c>
      <c r="W148" s="297">
        <f t="shared" si="80"/>
        <v>17.091636790409996</v>
      </c>
      <c r="X148" s="297">
        <f t="shared" si="81"/>
        <v>17.091636790409996</v>
      </c>
      <c r="Y148" s="297">
        <f t="shared" si="82"/>
        <v>17.091636790409996</v>
      </c>
      <c r="Z148" s="297">
        <f t="shared" si="83"/>
        <v>68.366547161639986</v>
      </c>
      <c r="AA148" s="292"/>
      <c r="AB148" s="292"/>
      <c r="AC148" s="295">
        <v>21.634983278999997</v>
      </c>
      <c r="AD148" s="292"/>
      <c r="AE148" s="297">
        <f t="shared" si="87"/>
        <v>17.091636790409996</v>
      </c>
      <c r="AF148" s="294">
        <f t="shared" si="88"/>
        <v>0</v>
      </c>
      <c r="AG148" s="292"/>
      <c r="AH148" s="292">
        <f t="shared" si="89"/>
        <v>0</v>
      </c>
      <c r="AI148" s="295">
        <v>21.634983278999997</v>
      </c>
      <c r="AJ148" s="383" t="s">
        <v>878</v>
      </c>
      <c r="AK148" s="297">
        <f t="shared" si="90"/>
        <v>17.091636790409996</v>
      </c>
      <c r="AL148" s="294">
        <f t="shared" si="91"/>
        <v>0</v>
      </c>
      <c r="AM148" s="292"/>
      <c r="AN148" s="292"/>
      <c r="AO148" s="295">
        <f>'Unit Savings Calculations'!P144</f>
        <v>19.917921113999995</v>
      </c>
      <c r="AP148" s="383" t="s">
        <v>1429</v>
      </c>
      <c r="AQ148" s="297">
        <f t="shared" si="92"/>
        <v>15.735157680059997</v>
      </c>
      <c r="AR148" s="294">
        <f t="shared" si="93"/>
        <v>-1.3564791103499996</v>
      </c>
      <c r="AS148" s="292"/>
      <c r="AT148" s="292"/>
      <c r="AU148" s="295">
        <f>'Unit Savings Calculations'!Q144</f>
        <v>19.917921113999995</v>
      </c>
      <c r="AV148" s="383" t="str">
        <f t="shared" si="94"/>
        <v>Updated EPG_gas</v>
      </c>
      <c r="AW148" s="297">
        <f t="shared" si="95"/>
        <v>15.735157680059997</v>
      </c>
      <c r="AX148" s="294">
        <f t="shared" si="96"/>
        <v>-1.3564791103499996</v>
      </c>
      <c r="AY148" s="297">
        <f t="shared" si="97"/>
        <v>17.091636790409996</v>
      </c>
      <c r="AZ148" s="297">
        <f t="shared" si="98"/>
        <v>17.091636790409996</v>
      </c>
      <c r="BA148" s="297">
        <f t="shared" si="99"/>
        <v>15.735157680059997</v>
      </c>
      <c r="BB148" s="297">
        <f t="shared" si="100"/>
        <v>15.735157680059997</v>
      </c>
      <c r="BC148" s="298">
        <f t="shared" si="101"/>
        <v>65.653588940939983</v>
      </c>
      <c r="BD148" s="292" t="s">
        <v>763</v>
      </c>
      <c r="BE148" s="299" t="str">
        <f t="shared" si="102"/>
        <v>Exhibit 1.5A_R North Shore EEPS_Adjustable_Savings_Goal_Template.xlsx, Unit Savings Calculations Tab</v>
      </c>
      <c r="BF148" s="298">
        <f t="shared" si="103"/>
        <v>170.91636790409996</v>
      </c>
      <c r="BG148" s="298">
        <f t="shared" si="103"/>
        <v>170.91636790409996</v>
      </c>
      <c r="BH148" s="298">
        <f t="shared" si="103"/>
        <v>170.91636790409996</v>
      </c>
      <c r="BI148" s="298">
        <f t="shared" si="84"/>
        <v>170.91636790409996</v>
      </c>
      <c r="BJ148" s="298">
        <f t="shared" si="104"/>
        <v>683.66547161639983</v>
      </c>
      <c r="BK148" s="482">
        <v>10</v>
      </c>
      <c r="BL148" s="482">
        <v>10</v>
      </c>
      <c r="BM148" s="482">
        <f>INDEX('Unit Savings Calculations'!$I$4:$I$421,MATCH('Measure-Level Adjustments Tab'!$A148&amp;"_"&amp;'Measure-Level Adjustments Tab'!$B148,'Unit Savings Calculations'!$A$4:$A$421,0))</f>
        <v>10</v>
      </c>
      <c r="BN148" s="482">
        <f t="shared" si="105"/>
        <v>10</v>
      </c>
      <c r="BO148" s="483">
        <f t="shared" si="106"/>
        <v>170.91636790409996</v>
      </c>
      <c r="BP148" s="483">
        <f t="shared" si="106"/>
        <v>170.91636790409996</v>
      </c>
      <c r="BQ148" s="483">
        <f t="shared" si="106"/>
        <v>157.35157680059996</v>
      </c>
      <c r="BR148" s="483">
        <f t="shared" si="85"/>
        <v>157.35157680059996</v>
      </c>
      <c r="BS148" s="483">
        <f t="shared" si="86"/>
        <v>656.53588940939983</v>
      </c>
    </row>
    <row r="149" spans="1:71" ht="15.75" customHeight="1">
      <c r="A149" s="292" t="str">
        <f>'Unit Savings Calculations'!C145</f>
        <v>Bus - CI Assessments</v>
      </c>
      <c r="B149" s="292" t="str">
        <f>'Unit Savings Calculations'!D145</f>
        <v>Pre Rinse Sprayer</v>
      </c>
      <c r="C149" s="293">
        <f t="shared" si="78"/>
        <v>1</v>
      </c>
      <c r="D149" s="292" t="str">
        <f>'Unit Savings Calculations'!T145</f>
        <v>4.2.11</v>
      </c>
      <c r="E149" s="438">
        <v>5</v>
      </c>
      <c r="F149" s="438">
        <v>5</v>
      </c>
      <c r="G149" s="292" t="str">
        <f>'Unit Savings Calculations'!E145</f>
        <v>each</v>
      </c>
      <c r="H149" s="294">
        <f>'Unit Savings Calculations'!$F145*'Unit Savings Calculations'!J145</f>
        <v>0</v>
      </c>
      <c r="I149" s="294">
        <f>'Unit Savings Calculations'!$F145*'Unit Savings Calculations'!K145</f>
        <v>0</v>
      </c>
      <c r="J149" s="294">
        <f>'Unit Savings Calculations'!$F145*'Unit Savings Calculations'!L145</f>
        <v>0</v>
      </c>
      <c r="K149" s="294">
        <f>'Unit Savings Calculations'!$F145*'Unit Savings Calculations'!M145</f>
        <v>0</v>
      </c>
      <c r="L149" s="292" t="str">
        <f>'Unit Savings Calculations'!U145</f>
        <v>CI-FSE-SPRY-V04-180101</v>
      </c>
      <c r="M149" s="383" t="str">
        <f>'Unit Savings Calculations'!R145</f>
        <v>Exhibit 1.5A_R North Shore EEPS_Adjustable_Savings_Goal_Template.xlsx, Unit Savings Calculations Tab</v>
      </c>
      <c r="N149" s="295">
        <v>343.84240799999998</v>
      </c>
      <c r="O149" s="295">
        <v>343.84240799999998</v>
      </c>
      <c r="P149" s="295">
        <v>343.84240799999998</v>
      </c>
      <c r="Q149" s="295">
        <v>343.84240799999998</v>
      </c>
      <c r="R149" s="296">
        <f>'Unit Savings Calculations'!$G145</f>
        <v>0.79</v>
      </c>
      <c r="S149" s="296">
        <f>'Unit Savings Calculations'!$G145</f>
        <v>0.79</v>
      </c>
      <c r="T149" s="296">
        <f>'Unit Savings Calculations'!$G145</f>
        <v>0.79</v>
      </c>
      <c r="U149" s="296">
        <f>'Unit Savings Calculations'!$G145</f>
        <v>0.79</v>
      </c>
      <c r="V149" s="297">
        <f t="shared" si="79"/>
        <v>0</v>
      </c>
      <c r="W149" s="297">
        <f t="shared" si="80"/>
        <v>0</v>
      </c>
      <c r="X149" s="297">
        <f t="shared" si="81"/>
        <v>0</v>
      </c>
      <c r="Y149" s="297">
        <f t="shared" si="82"/>
        <v>0</v>
      </c>
      <c r="Z149" s="297">
        <f t="shared" si="83"/>
        <v>0</v>
      </c>
      <c r="AA149" s="292"/>
      <c r="AB149" s="292"/>
      <c r="AC149" s="295">
        <v>343.84240799999998</v>
      </c>
      <c r="AD149" s="292"/>
      <c r="AE149" s="297">
        <f t="shared" si="87"/>
        <v>0</v>
      </c>
      <c r="AF149" s="294">
        <f t="shared" si="88"/>
        <v>0</v>
      </c>
      <c r="AG149" s="292"/>
      <c r="AH149" s="292">
        <f t="shared" si="89"/>
        <v>0</v>
      </c>
      <c r="AI149" s="295">
        <v>343.84240799999998</v>
      </c>
      <c r="AJ149" s="383" t="s">
        <v>878</v>
      </c>
      <c r="AK149" s="297">
        <f t="shared" si="90"/>
        <v>0</v>
      </c>
      <c r="AL149" s="294">
        <f t="shared" si="91"/>
        <v>0</v>
      </c>
      <c r="AM149" s="292"/>
      <c r="AN149" s="292"/>
      <c r="AO149" s="295">
        <f>'Unit Savings Calculations'!P145</f>
        <v>474.829992</v>
      </c>
      <c r="AP149" s="383" t="s">
        <v>1427</v>
      </c>
      <c r="AQ149" s="297">
        <f t="shared" si="92"/>
        <v>0</v>
      </c>
      <c r="AR149" s="294">
        <f t="shared" si="93"/>
        <v>0</v>
      </c>
      <c r="AS149" s="292"/>
      <c r="AT149" s="292"/>
      <c r="AU149" s="295">
        <f>'Unit Savings Calculations'!Q145</f>
        <v>474.829992</v>
      </c>
      <c r="AV149" s="383" t="str">
        <f t="shared" si="94"/>
        <v>Updated base and EE flow rates</v>
      </c>
      <c r="AW149" s="297">
        <f t="shared" si="95"/>
        <v>0</v>
      </c>
      <c r="AX149" s="294">
        <f t="shared" si="96"/>
        <v>0</v>
      </c>
      <c r="AY149" s="297">
        <f t="shared" si="97"/>
        <v>0</v>
      </c>
      <c r="AZ149" s="297">
        <f t="shared" si="98"/>
        <v>0</v>
      </c>
      <c r="BA149" s="297">
        <f t="shared" si="99"/>
        <v>0</v>
      </c>
      <c r="BB149" s="297">
        <f t="shared" si="100"/>
        <v>0</v>
      </c>
      <c r="BC149" s="298">
        <f t="shared" si="101"/>
        <v>0</v>
      </c>
      <c r="BD149" s="292" t="s">
        <v>763</v>
      </c>
      <c r="BE149" s="299" t="str">
        <f t="shared" si="102"/>
        <v>Exhibit 1.5A_R North Shore EEPS_Adjustable_Savings_Goal_Template.xlsx, Unit Savings Calculations Tab</v>
      </c>
      <c r="BF149" s="298">
        <f t="shared" si="103"/>
        <v>0</v>
      </c>
      <c r="BG149" s="298">
        <f t="shared" si="103"/>
        <v>0</v>
      </c>
      <c r="BH149" s="298">
        <f t="shared" si="103"/>
        <v>0</v>
      </c>
      <c r="BI149" s="298">
        <f t="shared" si="84"/>
        <v>0</v>
      </c>
      <c r="BJ149" s="298">
        <f t="shared" si="104"/>
        <v>0</v>
      </c>
      <c r="BK149" s="482">
        <v>5</v>
      </c>
      <c r="BL149" s="482">
        <v>5</v>
      </c>
      <c r="BM149" s="482">
        <f>INDEX('Unit Savings Calculations'!$I$4:$I$421,MATCH('Measure-Level Adjustments Tab'!$A149&amp;"_"&amp;'Measure-Level Adjustments Tab'!$B149,'Unit Savings Calculations'!$A$4:$A$421,0))</f>
        <v>5</v>
      </c>
      <c r="BN149" s="482">
        <f t="shared" si="105"/>
        <v>5</v>
      </c>
      <c r="BO149" s="483">
        <f t="shared" si="106"/>
        <v>0</v>
      </c>
      <c r="BP149" s="483">
        <f t="shared" si="106"/>
        <v>0</v>
      </c>
      <c r="BQ149" s="483">
        <f t="shared" si="106"/>
        <v>0</v>
      </c>
      <c r="BR149" s="483">
        <f t="shared" si="85"/>
        <v>0</v>
      </c>
      <c r="BS149" s="483">
        <f t="shared" si="86"/>
        <v>0</v>
      </c>
    </row>
    <row r="150" spans="1:71" ht="15.75" customHeight="1">
      <c r="A150" s="292" t="str">
        <f>'Unit Savings Calculations'!C146</f>
        <v>Bus - CI Assessments</v>
      </c>
      <c r="B150" s="292" t="str">
        <f>'Unit Savings Calculations'!D146</f>
        <v>Laminar</v>
      </c>
      <c r="C150" s="293">
        <f t="shared" si="78"/>
        <v>0</v>
      </c>
      <c r="D150" s="292" t="str">
        <f>'Unit Savings Calculations'!T146</f>
        <v>Custom</v>
      </c>
      <c r="E150" s="438">
        <v>9</v>
      </c>
      <c r="F150" s="438">
        <v>9</v>
      </c>
      <c r="G150" s="292" t="str">
        <f>'Unit Savings Calculations'!E146</f>
        <v>each</v>
      </c>
      <c r="H150" s="294">
        <f>'Unit Savings Calculations'!$F146*'Unit Savings Calculations'!J146</f>
        <v>400</v>
      </c>
      <c r="I150" s="294">
        <f>'Unit Savings Calculations'!$F146*'Unit Savings Calculations'!K146</f>
        <v>400</v>
      </c>
      <c r="J150" s="294">
        <f>'Unit Savings Calculations'!$F146*'Unit Savings Calculations'!L146</f>
        <v>400</v>
      </c>
      <c r="K150" s="294">
        <f>'Unit Savings Calculations'!$F146*'Unit Savings Calculations'!M146</f>
        <v>400</v>
      </c>
      <c r="L150" s="292" t="str">
        <f>'Unit Savings Calculations'!U146</f>
        <v>Custom</v>
      </c>
      <c r="M150" s="383" t="str">
        <f>'Unit Savings Calculations'!R146</f>
        <v>Custom</v>
      </c>
      <c r="N150" s="295">
        <v>17.892857142857142</v>
      </c>
      <c r="O150" s="295">
        <v>17.892857142857142</v>
      </c>
      <c r="P150" s="295">
        <v>17.892857142857142</v>
      </c>
      <c r="Q150" s="295">
        <v>17.892857142857142</v>
      </c>
      <c r="R150" s="296">
        <f>'Unit Savings Calculations'!$G146</f>
        <v>0.79</v>
      </c>
      <c r="S150" s="296">
        <f>'Unit Savings Calculations'!$G146</f>
        <v>0.79</v>
      </c>
      <c r="T150" s="296">
        <f>'Unit Savings Calculations'!$G146</f>
        <v>0.79</v>
      </c>
      <c r="U150" s="296">
        <f>'Unit Savings Calculations'!$G146</f>
        <v>0.79</v>
      </c>
      <c r="V150" s="297">
        <f t="shared" si="79"/>
        <v>5654.1428571428569</v>
      </c>
      <c r="W150" s="297">
        <f t="shared" si="80"/>
        <v>5654.1428571428569</v>
      </c>
      <c r="X150" s="297">
        <f t="shared" si="81"/>
        <v>5654.1428571428569</v>
      </c>
      <c r="Y150" s="297">
        <f t="shared" si="82"/>
        <v>5654.1428571428569</v>
      </c>
      <c r="Z150" s="297">
        <f t="shared" si="83"/>
        <v>22616.571428571428</v>
      </c>
      <c r="AA150" s="384"/>
      <c r="AB150" s="384"/>
      <c r="AC150" s="387">
        <v>17.892857142857142</v>
      </c>
      <c r="AD150" s="384"/>
      <c r="AE150" s="385">
        <f t="shared" si="87"/>
        <v>5654.1428571428569</v>
      </c>
      <c r="AF150" s="386">
        <f t="shared" si="88"/>
        <v>0</v>
      </c>
      <c r="AG150" s="384"/>
      <c r="AH150" s="384">
        <f t="shared" si="89"/>
        <v>0</v>
      </c>
      <c r="AI150" s="387">
        <v>17.892857142857142</v>
      </c>
      <c r="AJ150" s="435" t="s">
        <v>878</v>
      </c>
      <c r="AK150" s="385">
        <f t="shared" si="90"/>
        <v>5654.1428571428569</v>
      </c>
      <c r="AL150" s="386">
        <f t="shared" si="91"/>
        <v>0</v>
      </c>
      <c r="AM150" s="384"/>
      <c r="AN150" s="384"/>
      <c r="AO150" s="387">
        <f>'Unit Savings Calculations'!P146</f>
        <v>17.892857142857142</v>
      </c>
      <c r="AP150" s="435" t="s">
        <v>763</v>
      </c>
      <c r="AQ150" s="385">
        <f t="shared" si="92"/>
        <v>5654.1428571428569</v>
      </c>
      <c r="AR150" s="386">
        <f t="shared" si="93"/>
        <v>0</v>
      </c>
      <c r="AS150" s="384"/>
      <c r="AT150" s="384"/>
      <c r="AU150" s="387">
        <f>'Unit Savings Calculations'!Q146</f>
        <v>17.892857142857142</v>
      </c>
      <c r="AV150" s="435" t="str">
        <f t="shared" si="94"/>
        <v>n/a</v>
      </c>
      <c r="AW150" s="385">
        <f t="shared" si="95"/>
        <v>5654.1428571428569</v>
      </c>
      <c r="AX150" s="386">
        <f t="shared" si="96"/>
        <v>0</v>
      </c>
      <c r="AY150" s="297">
        <f t="shared" si="97"/>
        <v>5654.1428571428569</v>
      </c>
      <c r="AZ150" s="297">
        <f t="shared" si="98"/>
        <v>5654.1428571428569</v>
      </c>
      <c r="BA150" s="297">
        <f t="shared" si="99"/>
        <v>5654.1428571428569</v>
      </c>
      <c r="BB150" s="297">
        <f t="shared" si="100"/>
        <v>5654.1428571428569</v>
      </c>
      <c r="BC150" s="298">
        <f t="shared" si="101"/>
        <v>22616.571428571428</v>
      </c>
      <c r="BD150" s="292" t="s">
        <v>763</v>
      </c>
      <c r="BE150" s="299" t="str">
        <f t="shared" si="102"/>
        <v>Custom</v>
      </c>
      <c r="BF150" s="298">
        <f t="shared" si="103"/>
        <v>50887.28571428571</v>
      </c>
      <c r="BG150" s="298">
        <f t="shared" si="103"/>
        <v>50887.28571428571</v>
      </c>
      <c r="BH150" s="298">
        <f t="shared" si="103"/>
        <v>50887.28571428571</v>
      </c>
      <c r="BI150" s="298">
        <f t="shared" si="84"/>
        <v>50887.28571428571</v>
      </c>
      <c r="BJ150" s="298">
        <f t="shared" si="104"/>
        <v>203549.14285714284</v>
      </c>
      <c r="BK150" s="482">
        <v>9</v>
      </c>
      <c r="BL150" s="482">
        <v>9</v>
      </c>
      <c r="BM150" s="482">
        <f>INDEX('Unit Savings Calculations'!$I$4:$I$421,MATCH('Measure-Level Adjustments Tab'!$A150&amp;"_"&amp;'Measure-Level Adjustments Tab'!$B150,'Unit Savings Calculations'!$A$4:$A$421,0))</f>
        <v>9</v>
      </c>
      <c r="BN150" s="482">
        <f t="shared" si="105"/>
        <v>9</v>
      </c>
      <c r="BO150" s="483">
        <f t="shared" si="106"/>
        <v>50887.28571428571</v>
      </c>
      <c r="BP150" s="483">
        <f t="shared" si="106"/>
        <v>50887.28571428571</v>
      </c>
      <c r="BQ150" s="483">
        <f t="shared" si="106"/>
        <v>50887.28571428571</v>
      </c>
      <c r="BR150" s="483">
        <f t="shared" si="85"/>
        <v>50887.28571428571</v>
      </c>
      <c r="BS150" s="483">
        <f t="shared" si="86"/>
        <v>203549.14285714284</v>
      </c>
    </row>
    <row r="151" spans="1:71" ht="15.75" customHeight="1">
      <c r="A151" s="292" t="str">
        <f>'Unit Savings Calculations'!C147</f>
        <v>Bus - SB Assessments</v>
      </c>
      <c r="B151" s="292" t="str">
        <f>'Unit Savings Calculations'!D147</f>
        <v>Aerator - Bathroom</v>
      </c>
      <c r="C151" s="293">
        <f t="shared" ref="C151:C215" si="107">IF(D151="Custom",0,1)</f>
        <v>1</v>
      </c>
      <c r="D151" s="292" t="str">
        <f>'Unit Savings Calculations'!T147</f>
        <v>4.3.2</v>
      </c>
      <c r="E151" s="438">
        <v>9</v>
      </c>
      <c r="F151" s="438">
        <v>10</v>
      </c>
      <c r="G151" s="292" t="str">
        <f>'Unit Savings Calculations'!E147</f>
        <v>each</v>
      </c>
      <c r="H151" s="294">
        <f>'Unit Savings Calculations'!$F147*'Unit Savings Calculations'!J147</f>
        <v>72</v>
      </c>
      <c r="I151" s="294">
        <f>'Unit Savings Calculations'!$F147*'Unit Savings Calculations'!K147</f>
        <v>72</v>
      </c>
      <c r="J151" s="294">
        <f>'Unit Savings Calculations'!$F147*'Unit Savings Calculations'!L147</f>
        <v>72</v>
      </c>
      <c r="K151" s="294">
        <f>'Unit Savings Calculations'!$F147*'Unit Savings Calculations'!M147</f>
        <v>72</v>
      </c>
      <c r="L151" s="292" t="str">
        <f>'Unit Savings Calculations'!U147</f>
        <v>CI-HWE-LFFA-V07-180101</v>
      </c>
      <c r="M151" s="383" t="str">
        <f>'Unit Savings Calculations'!R147</f>
        <v>Exhibit 1.5A_R North Shore EEPS_Adjustable_Savings_Goal_Template.xlsx, Unit Savings Calculations Tab</v>
      </c>
      <c r="N151" s="295">
        <v>6.1049460431654667</v>
      </c>
      <c r="O151" s="295">
        <v>6.1049460431654667</v>
      </c>
      <c r="P151" s="295">
        <v>6.1049460431654667</v>
      </c>
      <c r="Q151" s="295">
        <v>6.1049460431654667</v>
      </c>
      <c r="R151" s="296">
        <f>'Unit Savings Calculations'!$G147</f>
        <v>0.92</v>
      </c>
      <c r="S151" s="296">
        <f>'Unit Savings Calculations'!$G147</f>
        <v>0.92</v>
      </c>
      <c r="T151" s="296">
        <f>'Unit Savings Calculations'!$G147</f>
        <v>0.92</v>
      </c>
      <c r="U151" s="296">
        <f>'Unit Savings Calculations'!$G147</f>
        <v>0.92</v>
      </c>
      <c r="V151" s="297">
        <f t="shared" si="79"/>
        <v>404.39162589928054</v>
      </c>
      <c r="W151" s="297">
        <f t="shared" si="80"/>
        <v>404.39162589928054</v>
      </c>
      <c r="X151" s="297">
        <f t="shared" si="81"/>
        <v>404.39162589928054</v>
      </c>
      <c r="Y151" s="297">
        <f t="shared" si="82"/>
        <v>404.39162589928054</v>
      </c>
      <c r="Z151" s="297">
        <f t="shared" si="83"/>
        <v>1617.5665035971222</v>
      </c>
      <c r="AA151" s="292"/>
      <c r="AB151" s="292"/>
      <c r="AC151" s="295">
        <v>6.1049460431654667</v>
      </c>
      <c r="AD151" s="292"/>
      <c r="AE151" s="297">
        <f t="shared" si="87"/>
        <v>404.39162589928054</v>
      </c>
      <c r="AF151" s="294">
        <f t="shared" si="88"/>
        <v>0</v>
      </c>
      <c r="AG151" s="292"/>
      <c r="AH151" s="292">
        <f t="shared" si="89"/>
        <v>0</v>
      </c>
      <c r="AI151" s="295">
        <v>6.1049460431654667</v>
      </c>
      <c r="AJ151" s="383" t="s">
        <v>878</v>
      </c>
      <c r="AK151" s="297">
        <f t="shared" si="90"/>
        <v>404.39162589928054</v>
      </c>
      <c r="AL151" s="294">
        <f t="shared" si="91"/>
        <v>0</v>
      </c>
      <c r="AM151" s="292"/>
      <c r="AN151" s="292"/>
      <c r="AO151" s="295">
        <f>'Unit Savings Calculations'!P147</f>
        <v>6.1049460431654667</v>
      </c>
      <c r="AP151" s="383" t="s">
        <v>763</v>
      </c>
      <c r="AQ151" s="297">
        <f t="shared" si="92"/>
        <v>404.39162589928054</v>
      </c>
      <c r="AR151" s="294">
        <f t="shared" si="93"/>
        <v>0</v>
      </c>
      <c r="AS151" s="292"/>
      <c r="AT151" s="292"/>
      <c r="AU151" s="295">
        <f>'Unit Savings Calculations'!Q147</f>
        <v>6.1049460431654667</v>
      </c>
      <c r="AV151" s="383" t="str">
        <f t="shared" si="94"/>
        <v>n/a</v>
      </c>
      <c r="AW151" s="297">
        <f t="shared" si="95"/>
        <v>404.39162589928054</v>
      </c>
      <c r="AX151" s="294">
        <f t="shared" si="96"/>
        <v>0</v>
      </c>
      <c r="AY151" s="297">
        <f t="shared" si="97"/>
        <v>404.39162589928054</v>
      </c>
      <c r="AZ151" s="297">
        <f t="shared" si="98"/>
        <v>404.39162589928054</v>
      </c>
      <c r="BA151" s="297">
        <f t="shared" si="99"/>
        <v>404.39162589928054</v>
      </c>
      <c r="BB151" s="297">
        <f t="shared" si="100"/>
        <v>404.39162589928054</v>
      </c>
      <c r="BC151" s="298">
        <f t="shared" si="101"/>
        <v>1617.5665035971222</v>
      </c>
      <c r="BD151" s="292" t="s">
        <v>763</v>
      </c>
      <c r="BE151" s="299" t="str">
        <f t="shared" si="102"/>
        <v>Exhibit 1.5A_R North Shore EEPS_Adjustable_Savings_Goal_Template.xlsx, Unit Savings Calculations Tab</v>
      </c>
      <c r="BF151" s="298">
        <f t="shared" si="103"/>
        <v>4043.9162589928055</v>
      </c>
      <c r="BG151" s="298">
        <f t="shared" si="103"/>
        <v>4043.9162589928055</v>
      </c>
      <c r="BH151" s="298">
        <f t="shared" si="103"/>
        <v>4043.9162589928055</v>
      </c>
      <c r="BI151" s="298">
        <f t="shared" si="84"/>
        <v>4043.9162589928055</v>
      </c>
      <c r="BJ151" s="298">
        <f t="shared" si="104"/>
        <v>16175.665035971222</v>
      </c>
      <c r="BK151" s="482">
        <v>10</v>
      </c>
      <c r="BL151" s="482">
        <v>10</v>
      </c>
      <c r="BM151" s="482">
        <f>INDEX('Unit Savings Calculations'!$I$4:$I$421,MATCH('Measure-Level Adjustments Tab'!$A151&amp;"_"&amp;'Measure-Level Adjustments Tab'!$B151,'Unit Savings Calculations'!$A$4:$A$421,0))</f>
        <v>10</v>
      </c>
      <c r="BN151" s="482">
        <f t="shared" si="105"/>
        <v>10</v>
      </c>
      <c r="BO151" s="483">
        <f t="shared" si="106"/>
        <v>4043.9162589928055</v>
      </c>
      <c r="BP151" s="483">
        <f t="shared" si="106"/>
        <v>4043.9162589928055</v>
      </c>
      <c r="BQ151" s="483">
        <f t="shared" si="106"/>
        <v>4043.9162589928055</v>
      </c>
      <c r="BR151" s="483">
        <f t="shared" si="85"/>
        <v>4043.9162589928055</v>
      </c>
      <c r="BS151" s="483">
        <f t="shared" si="86"/>
        <v>16175.665035971222</v>
      </c>
    </row>
    <row r="152" spans="1:71" ht="15.75" customHeight="1">
      <c r="A152" s="292" t="str">
        <f>'Unit Savings Calculations'!C148</f>
        <v>Bus - SB Assessments</v>
      </c>
      <c r="B152" s="292" t="str">
        <f>'Unit Savings Calculations'!D148</f>
        <v>Aerator - Kitchen</v>
      </c>
      <c r="C152" s="293">
        <f t="shared" si="107"/>
        <v>1</v>
      </c>
      <c r="D152" s="292" t="str">
        <f>'Unit Savings Calculations'!T148</f>
        <v>4.3.2</v>
      </c>
      <c r="E152" s="438">
        <v>9</v>
      </c>
      <c r="F152" s="438">
        <v>10</v>
      </c>
      <c r="G152" s="292" t="str">
        <f>'Unit Savings Calculations'!E148</f>
        <v>each</v>
      </c>
      <c r="H152" s="294">
        <f>'Unit Savings Calculations'!$F148*'Unit Savings Calculations'!J148</f>
        <v>71</v>
      </c>
      <c r="I152" s="294">
        <f>'Unit Savings Calculations'!$F148*'Unit Savings Calculations'!K148</f>
        <v>71</v>
      </c>
      <c r="J152" s="294">
        <f>'Unit Savings Calculations'!$F148*'Unit Savings Calculations'!L148</f>
        <v>71</v>
      </c>
      <c r="K152" s="294">
        <f>'Unit Savings Calculations'!$F148*'Unit Savings Calculations'!M148</f>
        <v>71</v>
      </c>
      <c r="L152" s="292" t="str">
        <f>'Unit Savings Calculations'!U148</f>
        <v>CI-HWE-LFFA-V07-180101</v>
      </c>
      <c r="M152" s="383" t="str">
        <f>'Unit Savings Calculations'!R148</f>
        <v>Exhibit 1.5A_R North Shore EEPS_Adjustable_Savings_Goal_Template.xlsx, Unit Savings Calculations Tab</v>
      </c>
      <c r="N152" s="295">
        <v>7.4428057553956819</v>
      </c>
      <c r="O152" s="295">
        <v>7.4428057553956819</v>
      </c>
      <c r="P152" s="295">
        <v>7.4428057553956819</v>
      </c>
      <c r="Q152" s="295">
        <v>7.4428057553956819</v>
      </c>
      <c r="R152" s="296">
        <f>'Unit Savings Calculations'!$G148</f>
        <v>0.92</v>
      </c>
      <c r="S152" s="296">
        <f>'Unit Savings Calculations'!$G148</f>
        <v>0.92</v>
      </c>
      <c r="T152" s="296">
        <f>'Unit Savings Calculations'!$G148</f>
        <v>0.92</v>
      </c>
      <c r="U152" s="296">
        <f>'Unit Savings Calculations'!$G148</f>
        <v>0.92</v>
      </c>
      <c r="V152" s="297">
        <f t="shared" si="79"/>
        <v>486.1640719424459</v>
      </c>
      <c r="W152" s="297">
        <f t="shared" si="80"/>
        <v>486.1640719424459</v>
      </c>
      <c r="X152" s="297">
        <f t="shared" si="81"/>
        <v>486.1640719424459</v>
      </c>
      <c r="Y152" s="297">
        <f t="shared" si="82"/>
        <v>486.1640719424459</v>
      </c>
      <c r="Z152" s="297">
        <f t="shared" si="83"/>
        <v>1944.6562877697836</v>
      </c>
      <c r="AA152" s="292"/>
      <c r="AB152" s="292"/>
      <c r="AC152" s="295">
        <v>7.4428057553956819</v>
      </c>
      <c r="AD152" s="292"/>
      <c r="AE152" s="297">
        <f t="shared" si="87"/>
        <v>486.1640719424459</v>
      </c>
      <c r="AF152" s="294">
        <f t="shared" si="88"/>
        <v>0</v>
      </c>
      <c r="AG152" s="292"/>
      <c r="AH152" s="292">
        <f t="shared" si="89"/>
        <v>0</v>
      </c>
      <c r="AI152" s="295">
        <v>7.4428057553956819</v>
      </c>
      <c r="AJ152" s="383" t="s">
        <v>878</v>
      </c>
      <c r="AK152" s="297">
        <f t="shared" si="90"/>
        <v>486.1640719424459</v>
      </c>
      <c r="AL152" s="294">
        <f t="shared" si="91"/>
        <v>0</v>
      </c>
      <c r="AM152" s="292"/>
      <c r="AN152" s="292"/>
      <c r="AO152" s="295">
        <f>'Unit Savings Calculations'!P148</f>
        <v>7.4428057553956819</v>
      </c>
      <c r="AP152" s="383" t="s">
        <v>763</v>
      </c>
      <c r="AQ152" s="297">
        <f t="shared" si="92"/>
        <v>486.1640719424459</v>
      </c>
      <c r="AR152" s="294">
        <f t="shared" si="93"/>
        <v>0</v>
      </c>
      <c r="AS152" s="292"/>
      <c r="AT152" s="292"/>
      <c r="AU152" s="295">
        <f>'Unit Savings Calculations'!Q148</f>
        <v>7.4428057553956819</v>
      </c>
      <c r="AV152" s="383" t="str">
        <f t="shared" si="94"/>
        <v>n/a</v>
      </c>
      <c r="AW152" s="297">
        <f t="shared" si="95"/>
        <v>486.1640719424459</v>
      </c>
      <c r="AX152" s="294">
        <f t="shared" si="96"/>
        <v>0</v>
      </c>
      <c r="AY152" s="297">
        <f t="shared" si="97"/>
        <v>486.1640719424459</v>
      </c>
      <c r="AZ152" s="297">
        <f t="shared" si="98"/>
        <v>486.1640719424459</v>
      </c>
      <c r="BA152" s="297">
        <f t="shared" si="99"/>
        <v>486.1640719424459</v>
      </c>
      <c r="BB152" s="297">
        <f t="shared" si="100"/>
        <v>486.1640719424459</v>
      </c>
      <c r="BC152" s="298">
        <f t="shared" si="101"/>
        <v>1944.6562877697836</v>
      </c>
      <c r="BD152" s="292" t="s">
        <v>763</v>
      </c>
      <c r="BE152" s="299" t="str">
        <f t="shared" si="102"/>
        <v>Exhibit 1.5A_R North Shore EEPS_Adjustable_Savings_Goal_Template.xlsx, Unit Savings Calculations Tab</v>
      </c>
      <c r="BF152" s="298">
        <f t="shared" si="103"/>
        <v>4861.6407194244593</v>
      </c>
      <c r="BG152" s="298">
        <f t="shared" si="103"/>
        <v>4861.6407194244593</v>
      </c>
      <c r="BH152" s="298">
        <f t="shared" si="103"/>
        <v>4861.6407194244593</v>
      </c>
      <c r="BI152" s="298">
        <f t="shared" si="84"/>
        <v>4861.6407194244593</v>
      </c>
      <c r="BJ152" s="298">
        <f t="shared" si="104"/>
        <v>19446.562877697837</v>
      </c>
      <c r="BK152" s="482">
        <v>10</v>
      </c>
      <c r="BL152" s="482">
        <v>10</v>
      </c>
      <c r="BM152" s="482">
        <f>INDEX('Unit Savings Calculations'!$I$4:$I$421,MATCH('Measure-Level Adjustments Tab'!$A152&amp;"_"&amp;'Measure-Level Adjustments Tab'!$B152,'Unit Savings Calculations'!$A$4:$A$421,0))</f>
        <v>10</v>
      </c>
      <c r="BN152" s="482">
        <f t="shared" si="105"/>
        <v>10</v>
      </c>
      <c r="BO152" s="483">
        <f t="shared" si="106"/>
        <v>4861.6407194244593</v>
      </c>
      <c r="BP152" s="483">
        <f t="shared" si="106"/>
        <v>4861.6407194244593</v>
      </c>
      <c r="BQ152" s="483">
        <f t="shared" si="106"/>
        <v>4861.6407194244593</v>
      </c>
      <c r="BR152" s="483">
        <f t="shared" si="85"/>
        <v>4861.6407194244593</v>
      </c>
      <c r="BS152" s="483">
        <f t="shared" si="86"/>
        <v>19446.562877697837</v>
      </c>
    </row>
    <row r="153" spans="1:71" ht="15.75" customHeight="1">
      <c r="A153" s="292" t="str">
        <f>'Unit Savings Calculations'!C149</f>
        <v>Bus - SB Assessments</v>
      </c>
      <c r="B153" s="292" t="str">
        <f>'Unit Savings Calculations'!D149</f>
        <v>Showerhead</v>
      </c>
      <c r="C153" s="293">
        <f t="shared" si="107"/>
        <v>1</v>
      </c>
      <c r="D153" s="292" t="str">
        <f>'Unit Savings Calculations'!T149</f>
        <v>4.3.3</v>
      </c>
      <c r="E153" s="438">
        <v>10</v>
      </c>
      <c r="F153" s="438">
        <v>10</v>
      </c>
      <c r="G153" s="292" t="str">
        <f>'Unit Savings Calculations'!E149</f>
        <v>each</v>
      </c>
      <c r="H153" s="294">
        <f>'Unit Savings Calculations'!$F149*'Unit Savings Calculations'!J149</f>
        <v>32</v>
      </c>
      <c r="I153" s="294">
        <f>'Unit Savings Calculations'!$F149*'Unit Savings Calculations'!K149</f>
        <v>32</v>
      </c>
      <c r="J153" s="294">
        <f>'Unit Savings Calculations'!$F149*'Unit Savings Calculations'!L149</f>
        <v>32</v>
      </c>
      <c r="K153" s="294">
        <f>'Unit Savings Calculations'!$F149*'Unit Savings Calculations'!M149</f>
        <v>32</v>
      </c>
      <c r="L153" s="292" t="str">
        <f>'Unit Savings Calculations'!U149</f>
        <v>RS-HWE-LFSH-V04-180101</v>
      </c>
      <c r="M153" s="383" t="str">
        <f>'Unit Savings Calculations'!R149</f>
        <v>Exhibit 1.5A_R North Shore EEPS_Adjustable_Savings_Goal_Template.xlsx, Unit Savings Calculations Tab</v>
      </c>
      <c r="N153" s="295">
        <v>21.634983278999997</v>
      </c>
      <c r="O153" s="295">
        <v>21.634983278999997</v>
      </c>
      <c r="P153" s="295">
        <v>21.634983278999997</v>
      </c>
      <c r="Q153" s="295">
        <v>21.634983278999997</v>
      </c>
      <c r="R153" s="296">
        <f>'Unit Savings Calculations'!$G149</f>
        <v>0.92</v>
      </c>
      <c r="S153" s="296">
        <f>'Unit Savings Calculations'!$G149</f>
        <v>0.92</v>
      </c>
      <c r="T153" s="296">
        <f>'Unit Savings Calculations'!$G149</f>
        <v>0.92</v>
      </c>
      <c r="U153" s="296">
        <f>'Unit Savings Calculations'!$G149</f>
        <v>0.92</v>
      </c>
      <c r="V153" s="297">
        <f t="shared" si="79"/>
        <v>636.93390773375995</v>
      </c>
      <c r="W153" s="297">
        <f t="shared" si="80"/>
        <v>636.93390773375995</v>
      </c>
      <c r="X153" s="297">
        <f t="shared" si="81"/>
        <v>636.93390773375995</v>
      </c>
      <c r="Y153" s="297">
        <f t="shared" si="82"/>
        <v>636.93390773375995</v>
      </c>
      <c r="Z153" s="297">
        <f t="shared" si="83"/>
        <v>2547.7356309350398</v>
      </c>
      <c r="AA153" s="292"/>
      <c r="AB153" s="292"/>
      <c r="AC153" s="295">
        <v>21.634983278999997</v>
      </c>
      <c r="AD153" s="292"/>
      <c r="AE153" s="297">
        <f t="shared" si="87"/>
        <v>636.93390773375995</v>
      </c>
      <c r="AF153" s="294">
        <f t="shared" si="88"/>
        <v>0</v>
      </c>
      <c r="AG153" s="292"/>
      <c r="AH153" s="292">
        <f t="shared" si="89"/>
        <v>0</v>
      </c>
      <c r="AI153" s="295">
        <v>21.634983278999997</v>
      </c>
      <c r="AJ153" s="383" t="s">
        <v>878</v>
      </c>
      <c r="AK153" s="297">
        <f t="shared" si="90"/>
        <v>636.93390773375995</v>
      </c>
      <c r="AL153" s="294">
        <f t="shared" si="91"/>
        <v>0</v>
      </c>
      <c r="AM153" s="292"/>
      <c r="AN153" s="292"/>
      <c r="AO153" s="295">
        <f>'Unit Savings Calculations'!P149</f>
        <v>19.917921113999995</v>
      </c>
      <c r="AP153" s="383" t="s">
        <v>1429</v>
      </c>
      <c r="AQ153" s="297">
        <f t="shared" si="92"/>
        <v>586.38359759615992</v>
      </c>
      <c r="AR153" s="294">
        <f t="shared" si="93"/>
        <v>-50.550310137600036</v>
      </c>
      <c r="AS153" s="292"/>
      <c r="AT153" s="292"/>
      <c r="AU153" s="295">
        <f>'Unit Savings Calculations'!Q149</f>
        <v>19.917921113999995</v>
      </c>
      <c r="AV153" s="383" t="str">
        <f t="shared" si="94"/>
        <v>Updated EPG_gas</v>
      </c>
      <c r="AW153" s="297">
        <f t="shared" si="95"/>
        <v>586.38359759615992</v>
      </c>
      <c r="AX153" s="294">
        <f t="shared" si="96"/>
        <v>-50.550310137600036</v>
      </c>
      <c r="AY153" s="297">
        <f t="shared" si="97"/>
        <v>636.93390773375995</v>
      </c>
      <c r="AZ153" s="297">
        <f t="shared" si="98"/>
        <v>636.93390773375995</v>
      </c>
      <c r="BA153" s="297">
        <f t="shared" si="99"/>
        <v>586.38359759615992</v>
      </c>
      <c r="BB153" s="297">
        <f t="shared" si="100"/>
        <v>586.38359759615992</v>
      </c>
      <c r="BC153" s="298">
        <f t="shared" si="101"/>
        <v>2446.6350106598397</v>
      </c>
      <c r="BD153" s="292" t="s">
        <v>763</v>
      </c>
      <c r="BE153" s="299" t="str">
        <f t="shared" si="102"/>
        <v>Exhibit 1.5A_R North Shore EEPS_Adjustable_Savings_Goal_Template.xlsx, Unit Savings Calculations Tab</v>
      </c>
      <c r="BF153" s="298">
        <f t="shared" si="103"/>
        <v>6369.3390773375995</v>
      </c>
      <c r="BG153" s="298">
        <f t="shared" si="103"/>
        <v>6369.3390773375995</v>
      </c>
      <c r="BH153" s="298">
        <f t="shared" si="103"/>
        <v>6369.3390773375995</v>
      </c>
      <c r="BI153" s="298">
        <f t="shared" si="84"/>
        <v>6369.3390773375995</v>
      </c>
      <c r="BJ153" s="298">
        <f t="shared" si="104"/>
        <v>25477.356309350398</v>
      </c>
      <c r="BK153" s="482">
        <v>10</v>
      </c>
      <c r="BL153" s="482">
        <v>10</v>
      </c>
      <c r="BM153" s="482">
        <f>INDEX('Unit Savings Calculations'!$I$4:$I$421,MATCH('Measure-Level Adjustments Tab'!$A153&amp;"_"&amp;'Measure-Level Adjustments Tab'!$B153,'Unit Savings Calculations'!$A$4:$A$421,0))</f>
        <v>10</v>
      </c>
      <c r="BN153" s="482">
        <f t="shared" si="105"/>
        <v>10</v>
      </c>
      <c r="BO153" s="483">
        <f t="shared" si="106"/>
        <v>6369.3390773375995</v>
      </c>
      <c r="BP153" s="483">
        <f t="shared" si="106"/>
        <v>6369.3390773375995</v>
      </c>
      <c r="BQ153" s="483">
        <f t="shared" si="106"/>
        <v>5863.8359759615996</v>
      </c>
      <c r="BR153" s="483">
        <f t="shared" si="85"/>
        <v>5863.8359759615996</v>
      </c>
      <c r="BS153" s="483">
        <f t="shared" si="86"/>
        <v>24466.350106598398</v>
      </c>
    </row>
    <row r="154" spans="1:71" ht="15.75" customHeight="1">
      <c r="A154" s="292" t="str">
        <f>'Unit Savings Calculations'!C150</f>
        <v>Bus - SB Assessments</v>
      </c>
      <c r="B154" s="292" t="str">
        <f>'Unit Savings Calculations'!D150</f>
        <v>Pipe Insulation - DHW</v>
      </c>
      <c r="C154" s="293">
        <f t="shared" si="107"/>
        <v>1</v>
      </c>
      <c r="D154" s="292" t="str">
        <f>'Unit Savings Calculations'!T150</f>
        <v>4.4.14</v>
      </c>
      <c r="E154" s="438">
        <v>15</v>
      </c>
      <c r="F154" s="438">
        <v>15</v>
      </c>
      <c r="G154" s="292" t="str">
        <f>'Unit Savings Calculations'!E150</f>
        <v>each</v>
      </c>
      <c r="H154" s="294">
        <f>'Unit Savings Calculations'!$F150*'Unit Savings Calculations'!J150</f>
        <v>675</v>
      </c>
      <c r="I154" s="294">
        <f>'Unit Savings Calculations'!$F150*'Unit Savings Calculations'!K150</f>
        <v>675</v>
      </c>
      <c r="J154" s="294">
        <f>'Unit Savings Calculations'!$F150*'Unit Savings Calculations'!L150</f>
        <v>675</v>
      </c>
      <c r="K154" s="294">
        <f>'Unit Savings Calculations'!$F150*'Unit Savings Calculations'!M150</f>
        <v>675</v>
      </c>
      <c r="L154" s="292" t="str">
        <f>'Unit Savings Calculations'!U150</f>
        <v>CI-HVC-PINS-V04-160601</v>
      </c>
      <c r="M154" s="383" t="str">
        <f>'Unit Savings Calculations'!R150</f>
        <v>Exhibit 1.5A_R North Shore EEPS_Adjustable_Savings_Goal_Template.xlsx, Unit Savings Calculations Tab</v>
      </c>
      <c r="N154" s="295">
        <v>5.2492031493764015</v>
      </c>
      <c r="O154" s="295">
        <v>5.2492031493764015</v>
      </c>
      <c r="P154" s="295">
        <v>5.2492031493764015</v>
      </c>
      <c r="Q154" s="295">
        <v>5.2492031493764015</v>
      </c>
      <c r="R154" s="296">
        <f>'Unit Savings Calculations'!$G150</f>
        <v>0.92</v>
      </c>
      <c r="S154" s="296">
        <f>'Unit Savings Calculations'!$G150</f>
        <v>0.92</v>
      </c>
      <c r="T154" s="296">
        <f>'Unit Savings Calculations'!$G150</f>
        <v>0.92</v>
      </c>
      <c r="U154" s="296">
        <f>'Unit Savings Calculations'!$G150</f>
        <v>0.92</v>
      </c>
      <c r="V154" s="297">
        <f t="shared" si="79"/>
        <v>3259.7551557627453</v>
      </c>
      <c r="W154" s="297">
        <f t="shared" si="80"/>
        <v>3259.7551557627453</v>
      </c>
      <c r="X154" s="297">
        <f t="shared" si="81"/>
        <v>3259.7551557627453</v>
      </c>
      <c r="Y154" s="297">
        <f t="shared" si="82"/>
        <v>3259.7551557627453</v>
      </c>
      <c r="Z154" s="297">
        <f t="shared" si="83"/>
        <v>13039.020623050981</v>
      </c>
      <c r="AA154" s="292"/>
      <c r="AB154" s="292"/>
      <c r="AC154" s="295">
        <v>5.2492031493764015</v>
      </c>
      <c r="AD154" s="292"/>
      <c r="AE154" s="297">
        <f t="shared" si="87"/>
        <v>3259.7551557627453</v>
      </c>
      <c r="AF154" s="294">
        <f t="shared" si="88"/>
        <v>0</v>
      </c>
      <c r="AG154" s="292"/>
      <c r="AH154" s="292">
        <f t="shared" si="89"/>
        <v>0</v>
      </c>
      <c r="AI154" s="295">
        <v>5.2492031493764015</v>
      </c>
      <c r="AJ154" s="383" t="s">
        <v>878</v>
      </c>
      <c r="AK154" s="297">
        <f t="shared" si="90"/>
        <v>3259.7551557627453</v>
      </c>
      <c r="AL154" s="294">
        <f t="shared" si="91"/>
        <v>0</v>
      </c>
      <c r="AM154" s="292"/>
      <c r="AN154" s="292"/>
      <c r="AO154" s="295">
        <f>'Unit Savings Calculations'!P150</f>
        <v>5.2492031493764015</v>
      </c>
      <c r="AP154" s="383" t="s">
        <v>763</v>
      </c>
      <c r="AQ154" s="297">
        <f t="shared" si="92"/>
        <v>3259.7551557627453</v>
      </c>
      <c r="AR154" s="294">
        <f t="shared" si="93"/>
        <v>0</v>
      </c>
      <c r="AS154" s="292"/>
      <c r="AT154" s="292"/>
      <c r="AU154" s="295">
        <f>'Unit Savings Calculations'!Q150</f>
        <v>5.2492031493764015</v>
      </c>
      <c r="AV154" s="383" t="str">
        <f t="shared" si="94"/>
        <v>n/a</v>
      </c>
      <c r="AW154" s="297">
        <f t="shared" si="95"/>
        <v>3259.7551557627453</v>
      </c>
      <c r="AX154" s="294">
        <f t="shared" si="96"/>
        <v>0</v>
      </c>
      <c r="AY154" s="297">
        <f t="shared" si="97"/>
        <v>3259.7551557627453</v>
      </c>
      <c r="AZ154" s="297">
        <f t="shared" si="98"/>
        <v>3259.7551557627453</v>
      </c>
      <c r="BA154" s="297">
        <f t="shared" si="99"/>
        <v>3259.7551557627453</v>
      </c>
      <c r="BB154" s="297">
        <f t="shared" si="100"/>
        <v>3259.7551557627453</v>
      </c>
      <c r="BC154" s="298">
        <f t="shared" si="101"/>
        <v>13039.020623050981</v>
      </c>
      <c r="BD154" s="292" t="s">
        <v>763</v>
      </c>
      <c r="BE154" s="299" t="str">
        <f t="shared" si="102"/>
        <v>Exhibit 1.5A_R North Shore EEPS_Adjustable_Savings_Goal_Template.xlsx, Unit Savings Calculations Tab</v>
      </c>
      <c r="BF154" s="298">
        <f t="shared" si="103"/>
        <v>48896.32733644118</v>
      </c>
      <c r="BG154" s="298">
        <f t="shared" si="103"/>
        <v>48896.32733644118</v>
      </c>
      <c r="BH154" s="298">
        <f t="shared" si="103"/>
        <v>48896.32733644118</v>
      </c>
      <c r="BI154" s="298">
        <f t="shared" si="84"/>
        <v>48896.32733644118</v>
      </c>
      <c r="BJ154" s="298">
        <f t="shared" si="104"/>
        <v>195585.30934576472</v>
      </c>
      <c r="BK154" s="482">
        <v>15</v>
      </c>
      <c r="BL154" s="482">
        <v>15</v>
      </c>
      <c r="BM154" s="482">
        <f>INDEX('Unit Savings Calculations'!$I$4:$I$421,MATCH('Measure-Level Adjustments Tab'!$A154&amp;"_"&amp;'Measure-Level Adjustments Tab'!$B154,'Unit Savings Calculations'!$A$4:$A$421,0))</f>
        <v>15</v>
      </c>
      <c r="BN154" s="482">
        <f t="shared" si="105"/>
        <v>15</v>
      </c>
      <c r="BO154" s="483">
        <f t="shared" si="106"/>
        <v>48896.32733644118</v>
      </c>
      <c r="BP154" s="483">
        <f t="shared" si="106"/>
        <v>48896.32733644118</v>
      </c>
      <c r="BQ154" s="483">
        <f t="shared" si="106"/>
        <v>48896.32733644118</v>
      </c>
      <c r="BR154" s="483">
        <f t="shared" si="85"/>
        <v>48896.32733644118</v>
      </c>
      <c r="BS154" s="483">
        <f t="shared" si="86"/>
        <v>195585.30934576472</v>
      </c>
    </row>
    <row r="155" spans="1:71" ht="15.75" customHeight="1">
      <c r="A155" s="292" t="str">
        <f>'Unit Savings Calculations'!C151</f>
        <v>Bus - SB Assessments</v>
      </c>
      <c r="B155" s="292" t="str">
        <f>'Unit Savings Calculations'!D151</f>
        <v>Pre Rinse Sprayer</v>
      </c>
      <c r="C155" s="293">
        <f t="shared" si="107"/>
        <v>1</v>
      </c>
      <c r="D155" s="292" t="str">
        <f>'Unit Savings Calculations'!T151</f>
        <v>4.2.11</v>
      </c>
      <c r="E155" s="438">
        <v>5</v>
      </c>
      <c r="F155" s="438">
        <v>5</v>
      </c>
      <c r="G155" s="292" t="str">
        <f>'Unit Savings Calculations'!E151</f>
        <v>each</v>
      </c>
      <c r="H155" s="294">
        <f>'Unit Savings Calculations'!$F151*'Unit Savings Calculations'!J151</f>
        <v>15</v>
      </c>
      <c r="I155" s="294">
        <f>'Unit Savings Calculations'!$F151*'Unit Savings Calculations'!K151</f>
        <v>15</v>
      </c>
      <c r="J155" s="294">
        <f>'Unit Savings Calculations'!$F151*'Unit Savings Calculations'!L151</f>
        <v>15</v>
      </c>
      <c r="K155" s="294">
        <f>'Unit Savings Calculations'!$F151*'Unit Savings Calculations'!M151</f>
        <v>15</v>
      </c>
      <c r="L155" s="292" t="str">
        <f>'Unit Savings Calculations'!U151</f>
        <v>CI-FSE-SPRY-V04-180101</v>
      </c>
      <c r="M155" s="383" t="str">
        <f>'Unit Savings Calculations'!R151</f>
        <v>Exhibit 1.5A_R North Shore EEPS_Adjustable_Savings_Goal_Template.xlsx, Unit Savings Calculations Tab</v>
      </c>
      <c r="N155" s="295">
        <v>171.92120399999999</v>
      </c>
      <c r="O155" s="295">
        <v>171.92120399999999</v>
      </c>
      <c r="P155" s="295">
        <v>171.92120399999999</v>
      </c>
      <c r="Q155" s="295">
        <v>171.92120399999999</v>
      </c>
      <c r="R155" s="296">
        <f>'Unit Savings Calculations'!$G151</f>
        <v>0.92</v>
      </c>
      <c r="S155" s="296">
        <f>'Unit Savings Calculations'!$G151</f>
        <v>0.92</v>
      </c>
      <c r="T155" s="296">
        <f>'Unit Savings Calculations'!$G151</f>
        <v>0.92</v>
      </c>
      <c r="U155" s="296">
        <f>'Unit Savings Calculations'!$G151</f>
        <v>0.92</v>
      </c>
      <c r="V155" s="297">
        <f t="shared" si="79"/>
        <v>2372.5126151999998</v>
      </c>
      <c r="W155" s="297">
        <f t="shared" si="80"/>
        <v>2372.5126151999998</v>
      </c>
      <c r="X155" s="297">
        <f t="shared" si="81"/>
        <v>2372.5126151999998</v>
      </c>
      <c r="Y155" s="297">
        <f t="shared" si="82"/>
        <v>2372.5126151999998</v>
      </c>
      <c r="Z155" s="297">
        <f t="shared" si="83"/>
        <v>9490.0504607999992</v>
      </c>
      <c r="AA155" s="292"/>
      <c r="AB155" s="292"/>
      <c r="AC155" s="295">
        <v>171.92120399999999</v>
      </c>
      <c r="AD155" s="292"/>
      <c r="AE155" s="297">
        <f t="shared" si="87"/>
        <v>2372.5126151999998</v>
      </c>
      <c r="AF155" s="294">
        <f t="shared" si="88"/>
        <v>0</v>
      </c>
      <c r="AG155" s="292"/>
      <c r="AH155" s="292">
        <f t="shared" si="89"/>
        <v>0</v>
      </c>
      <c r="AI155" s="295">
        <v>171.92120399999999</v>
      </c>
      <c r="AJ155" s="383" t="s">
        <v>878</v>
      </c>
      <c r="AK155" s="297">
        <f t="shared" si="90"/>
        <v>2372.5126151999998</v>
      </c>
      <c r="AL155" s="294">
        <f t="shared" si="91"/>
        <v>0</v>
      </c>
      <c r="AM155" s="292"/>
      <c r="AN155" s="292"/>
      <c r="AO155" s="295">
        <f>'Unit Savings Calculations'!P151</f>
        <v>237.414996</v>
      </c>
      <c r="AP155" s="383" t="s">
        <v>1427</v>
      </c>
      <c r="AQ155" s="297">
        <f t="shared" si="92"/>
        <v>3276.3269448000001</v>
      </c>
      <c r="AR155" s="294">
        <f t="shared" si="93"/>
        <v>903.81432960000029</v>
      </c>
      <c r="AS155" s="292"/>
      <c r="AT155" s="292"/>
      <c r="AU155" s="295">
        <f>'Unit Savings Calculations'!Q151</f>
        <v>237.414996</v>
      </c>
      <c r="AV155" s="383" t="str">
        <f t="shared" si="94"/>
        <v>Updated base and EE flow rates</v>
      </c>
      <c r="AW155" s="297">
        <f t="shared" si="95"/>
        <v>3276.3269448000001</v>
      </c>
      <c r="AX155" s="294">
        <f t="shared" si="96"/>
        <v>903.81432960000029</v>
      </c>
      <c r="AY155" s="297">
        <f t="shared" si="97"/>
        <v>2372.5126151999998</v>
      </c>
      <c r="AZ155" s="297">
        <f t="shared" si="98"/>
        <v>2372.5126151999998</v>
      </c>
      <c r="BA155" s="297">
        <f t="shared" si="99"/>
        <v>3276.3269448000001</v>
      </c>
      <c r="BB155" s="297">
        <f t="shared" si="100"/>
        <v>3276.3269448000001</v>
      </c>
      <c r="BC155" s="298">
        <f t="shared" si="101"/>
        <v>11297.679120000001</v>
      </c>
      <c r="BD155" s="292" t="s">
        <v>763</v>
      </c>
      <c r="BE155" s="299" t="str">
        <f t="shared" si="102"/>
        <v>Exhibit 1.5A_R North Shore EEPS_Adjustable_Savings_Goal_Template.xlsx, Unit Savings Calculations Tab</v>
      </c>
      <c r="BF155" s="298">
        <f t="shared" si="103"/>
        <v>11862.563075999999</v>
      </c>
      <c r="BG155" s="298">
        <f t="shared" si="103"/>
        <v>11862.563075999999</v>
      </c>
      <c r="BH155" s="298">
        <f t="shared" si="103"/>
        <v>11862.563075999999</v>
      </c>
      <c r="BI155" s="298">
        <f t="shared" si="84"/>
        <v>11862.563075999999</v>
      </c>
      <c r="BJ155" s="298">
        <f t="shared" si="104"/>
        <v>47450.252303999994</v>
      </c>
      <c r="BK155" s="482">
        <v>5</v>
      </c>
      <c r="BL155" s="482">
        <v>5</v>
      </c>
      <c r="BM155" s="482">
        <f>INDEX('Unit Savings Calculations'!$I$4:$I$421,MATCH('Measure-Level Adjustments Tab'!$A155&amp;"_"&amp;'Measure-Level Adjustments Tab'!$B155,'Unit Savings Calculations'!$A$4:$A$421,0))</f>
        <v>5</v>
      </c>
      <c r="BN155" s="482">
        <f t="shared" si="105"/>
        <v>5</v>
      </c>
      <c r="BO155" s="483">
        <f t="shared" si="106"/>
        <v>11862.563075999999</v>
      </c>
      <c r="BP155" s="483">
        <f t="shared" si="106"/>
        <v>11862.563075999999</v>
      </c>
      <c r="BQ155" s="483">
        <f t="shared" si="106"/>
        <v>16381.634724</v>
      </c>
      <c r="BR155" s="483">
        <f t="shared" si="85"/>
        <v>16381.634724</v>
      </c>
      <c r="BS155" s="483">
        <f t="shared" si="86"/>
        <v>56488.395600000003</v>
      </c>
    </row>
    <row r="156" spans="1:71" ht="15.75" customHeight="1">
      <c r="A156" s="292" t="str">
        <f>'Unit Savings Calculations'!C152</f>
        <v>Bus - SB Assessments</v>
      </c>
      <c r="B156" s="292" t="str">
        <f>'Unit Savings Calculations'!D152</f>
        <v>Thermostat - Programmable</v>
      </c>
      <c r="C156" s="293">
        <f t="shared" ref="C156" si="108">IF(D156="Custom",0,1)</f>
        <v>1</v>
      </c>
      <c r="D156" s="292" t="str">
        <f>'Unit Savings Calculations'!T152</f>
        <v>4.4.18</v>
      </c>
      <c r="E156" s="438">
        <v>4</v>
      </c>
      <c r="F156" s="438">
        <v>4</v>
      </c>
      <c r="G156" s="292" t="str">
        <f>'Unit Savings Calculations'!E152</f>
        <v>each</v>
      </c>
      <c r="H156" s="294">
        <f>'Unit Savings Calculations'!$F152*'Unit Savings Calculations'!J152</f>
        <v>1</v>
      </c>
      <c r="I156" s="294">
        <f>'Unit Savings Calculations'!$F152*'Unit Savings Calculations'!K152</f>
        <v>1</v>
      </c>
      <c r="J156" s="294">
        <f>'Unit Savings Calculations'!$F152*'Unit Savings Calculations'!L152</f>
        <v>1</v>
      </c>
      <c r="K156" s="294">
        <f>'Unit Savings Calculations'!$F152*'Unit Savings Calculations'!M152</f>
        <v>1</v>
      </c>
      <c r="L156" s="292" t="str">
        <f>'Unit Savings Calculations'!U152</f>
        <v>CI-HVC-PROG-V02-150601</v>
      </c>
      <c r="M156" s="383" t="str">
        <f>'Unit Savings Calculations'!R152</f>
        <v>Exhibit 1.5A_R North Shore EEPS_Adjustable_Savings_Goal_Template.xlsx, Thermostat Detail Tab</v>
      </c>
      <c r="N156" s="295">
        <v>124.68584320000001</v>
      </c>
      <c r="O156" s="295">
        <v>124.68584320000001</v>
      </c>
      <c r="P156" s="295">
        <v>124.68584320000001</v>
      </c>
      <c r="Q156" s="295">
        <v>124.68584320000001</v>
      </c>
      <c r="R156" s="296">
        <f>'Unit Savings Calculations'!$G152</f>
        <v>0.92</v>
      </c>
      <c r="S156" s="296">
        <f>'Unit Savings Calculations'!$G152</f>
        <v>0.92</v>
      </c>
      <c r="T156" s="296">
        <f>'Unit Savings Calculations'!$G152</f>
        <v>0.92</v>
      </c>
      <c r="U156" s="296">
        <f>'Unit Savings Calculations'!$G152</f>
        <v>0.92</v>
      </c>
      <c r="V156" s="297">
        <f t="shared" ref="V156" si="109">H156*N156*R156</f>
        <v>114.71097574400001</v>
      </c>
      <c r="W156" s="297">
        <f t="shared" ref="W156" si="110">I156*O156*S156</f>
        <v>114.71097574400001</v>
      </c>
      <c r="X156" s="297">
        <f t="shared" ref="X156" si="111">J156*P156*T156</f>
        <v>114.71097574400001</v>
      </c>
      <c r="Y156" s="297">
        <f t="shared" ref="Y156" si="112">K156*Q156*U156</f>
        <v>114.71097574400001</v>
      </c>
      <c r="Z156" s="297">
        <f t="shared" ref="Z156" si="113">V156+W156+X156+Y156</f>
        <v>458.84390297600004</v>
      </c>
      <c r="AA156" s="292"/>
      <c r="AB156" s="292"/>
      <c r="AC156" s="295">
        <v>124.68584320000001</v>
      </c>
      <c r="AD156" s="292"/>
      <c r="AE156" s="297">
        <f t="shared" ref="AE156" si="114">H156*AC156*R156</f>
        <v>114.71097574400001</v>
      </c>
      <c r="AF156" s="294">
        <f t="shared" ref="AF156" si="115">AE156-V156</f>
        <v>0</v>
      </c>
      <c r="AG156" s="292"/>
      <c r="AH156" s="292">
        <f t="shared" ref="AH156" si="116">AB156</f>
        <v>0</v>
      </c>
      <c r="AI156" s="295">
        <v>124.68584320000001</v>
      </c>
      <c r="AJ156" s="383" t="s">
        <v>878</v>
      </c>
      <c r="AK156" s="297">
        <f t="shared" ref="AK156" si="117">I156*AI156*S156</f>
        <v>114.71097574400001</v>
      </c>
      <c r="AL156" s="294">
        <f t="shared" ref="AL156" si="118">AK156-W156</f>
        <v>0</v>
      </c>
      <c r="AM156" s="292"/>
      <c r="AN156" s="292"/>
      <c r="AO156" s="295">
        <f>'Unit Savings Calculations'!P152</f>
        <v>124.68584320000001</v>
      </c>
      <c r="AP156" s="383" t="s">
        <v>763</v>
      </c>
      <c r="AQ156" s="297">
        <f t="shared" ref="AQ156" si="119">J156*AO156*T156</f>
        <v>114.71097574400001</v>
      </c>
      <c r="AR156" s="294">
        <f t="shared" ref="AR156" si="120">AQ156-X156</f>
        <v>0</v>
      </c>
      <c r="AS156" s="292"/>
      <c r="AT156" s="292"/>
      <c r="AU156" s="295">
        <f>'Unit Savings Calculations'!Q152</f>
        <v>124.68584320000001</v>
      </c>
      <c r="AV156" s="383" t="str">
        <f t="shared" si="94"/>
        <v>n/a</v>
      </c>
      <c r="AW156" s="297">
        <f t="shared" ref="AW156" si="121">K156*AU156*U156</f>
        <v>114.71097574400001</v>
      </c>
      <c r="AX156" s="294">
        <f t="shared" ref="AX156" si="122">AW156-Y156</f>
        <v>0</v>
      </c>
      <c r="AY156" s="297">
        <f t="shared" si="97"/>
        <v>114.71097574400001</v>
      </c>
      <c r="AZ156" s="297">
        <f t="shared" si="98"/>
        <v>114.71097574400001</v>
      </c>
      <c r="BA156" s="297">
        <f t="shared" si="99"/>
        <v>114.71097574400001</v>
      </c>
      <c r="BB156" s="297">
        <f t="shared" si="100"/>
        <v>114.71097574400001</v>
      </c>
      <c r="BC156" s="298">
        <f t="shared" si="101"/>
        <v>458.84390297600004</v>
      </c>
      <c r="BD156" s="292" t="s">
        <v>763</v>
      </c>
      <c r="BE156" s="299" t="str">
        <f t="shared" si="102"/>
        <v>Exhibit 1.5A_R North Shore EEPS_Adjustable_Savings_Goal_Template.xlsx, Thermostat Detail Tab</v>
      </c>
      <c r="BF156" s="298">
        <f t="shared" si="103"/>
        <v>458.84390297600004</v>
      </c>
      <c r="BG156" s="298">
        <f t="shared" si="103"/>
        <v>458.84390297600004</v>
      </c>
      <c r="BH156" s="298">
        <f t="shared" si="103"/>
        <v>458.84390297600004</v>
      </c>
      <c r="BI156" s="298">
        <f t="shared" si="84"/>
        <v>458.84390297600004</v>
      </c>
      <c r="BJ156" s="298">
        <f t="shared" si="104"/>
        <v>1835.3756119040002</v>
      </c>
      <c r="BK156" s="482">
        <v>4</v>
      </c>
      <c r="BL156" s="482">
        <v>4</v>
      </c>
      <c r="BM156" s="482">
        <f>INDEX('Unit Savings Calculations'!$I$4:$I$421,MATCH('Measure-Level Adjustments Tab'!$A156&amp;"_"&amp;'Measure-Level Adjustments Tab'!$B156,'Unit Savings Calculations'!$A$4:$A$421,0))</f>
        <v>4</v>
      </c>
      <c r="BN156" s="482">
        <f t="shared" si="105"/>
        <v>4</v>
      </c>
      <c r="BO156" s="483">
        <f t="shared" si="106"/>
        <v>458.84390297600004</v>
      </c>
      <c r="BP156" s="483">
        <f t="shared" si="106"/>
        <v>458.84390297600004</v>
      </c>
      <c r="BQ156" s="483">
        <f t="shared" si="106"/>
        <v>458.84390297600004</v>
      </c>
      <c r="BR156" s="483">
        <f t="shared" si="85"/>
        <v>458.84390297600004</v>
      </c>
      <c r="BS156" s="483">
        <f t="shared" si="86"/>
        <v>1835.3756119040002</v>
      </c>
    </row>
    <row r="157" spans="1:71" ht="15.75" customHeight="1">
      <c r="A157" s="292" t="str">
        <f>'Unit Savings Calculations'!C153</f>
        <v>Bus - CI Assessments</v>
      </c>
      <c r="B157" s="292" t="str">
        <f>'Unit Savings Calculations'!D153</f>
        <v>Gas Optimization</v>
      </c>
      <c r="C157" s="293">
        <f t="shared" si="107"/>
        <v>0</v>
      </c>
      <c r="D157" s="292" t="str">
        <f>'Unit Savings Calculations'!T153</f>
        <v>Custom</v>
      </c>
      <c r="E157" s="438">
        <v>15</v>
      </c>
      <c r="F157" s="438">
        <v>15</v>
      </c>
      <c r="G157" s="292" t="str">
        <f>'Unit Savings Calculations'!E153</f>
        <v>each</v>
      </c>
      <c r="H157" s="294">
        <f>'Unit Savings Calculations'!$F153*'Unit Savings Calculations'!J153</f>
        <v>7</v>
      </c>
      <c r="I157" s="294">
        <f>'Unit Savings Calculations'!$F153*'Unit Savings Calculations'!K153</f>
        <v>7</v>
      </c>
      <c r="J157" s="294">
        <f>'Unit Savings Calculations'!$F153*'Unit Savings Calculations'!L153</f>
        <v>5</v>
      </c>
      <c r="K157" s="294">
        <f>'Unit Savings Calculations'!$F153*'Unit Savings Calculations'!M153</f>
        <v>7</v>
      </c>
      <c r="L157" s="292" t="str">
        <f>'Unit Savings Calculations'!U153</f>
        <v>Custom</v>
      </c>
      <c r="M157" s="383" t="str">
        <f>'Unit Savings Calculations'!R153</f>
        <v>Custom</v>
      </c>
      <c r="N157" s="295">
        <v>35300</v>
      </c>
      <c r="O157" s="295">
        <v>35300</v>
      </c>
      <c r="P157" s="295">
        <v>35300</v>
      </c>
      <c r="Q157" s="295">
        <v>35300</v>
      </c>
      <c r="R157" s="296">
        <f>'Unit Savings Calculations'!$G153</f>
        <v>1.02</v>
      </c>
      <c r="S157" s="296">
        <f>'Unit Savings Calculations'!$G153</f>
        <v>1.02</v>
      </c>
      <c r="T157" s="296">
        <f>'Unit Savings Calculations'!$G153</f>
        <v>1.02</v>
      </c>
      <c r="U157" s="296">
        <f>'Unit Savings Calculations'!$G153</f>
        <v>1.02</v>
      </c>
      <c r="V157" s="297">
        <f>H157*N157*R157</f>
        <v>252042</v>
      </c>
      <c r="W157" s="297">
        <f t="shared" si="80"/>
        <v>252042</v>
      </c>
      <c r="X157" s="297">
        <f t="shared" si="81"/>
        <v>180030</v>
      </c>
      <c r="Y157" s="297">
        <f t="shared" si="82"/>
        <v>252042</v>
      </c>
      <c r="Z157" s="297">
        <f t="shared" si="83"/>
        <v>936156</v>
      </c>
      <c r="AA157" s="384"/>
      <c r="AB157" s="384"/>
      <c r="AC157" s="387">
        <v>35300</v>
      </c>
      <c r="AD157" s="384"/>
      <c r="AE157" s="385">
        <f t="shared" si="87"/>
        <v>252042</v>
      </c>
      <c r="AF157" s="386">
        <f t="shared" si="88"/>
        <v>0</v>
      </c>
      <c r="AG157" s="384"/>
      <c r="AH157" s="384">
        <f t="shared" si="89"/>
        <v>0</v>
      </c>
      <c r="AI157" s="387">
        <v>35300</v>
      </c>
      <c r="AJ157" s="435" t="s">
        <v>878</v>
      </c>
      <c r="AK157" s="385">
        <f t="shared" si="90"/>
        <v>252042</v>
      </c>
      <c r="AL157" s="386">
        <f t="shared" si="91"/>
        <v>0</v>
      </c>
      <c r="AM157" s="384"/>
      <c r="AN157" s="384"/>
      <c r="AO157" s="387">
        <f>'Unit Savings Calculations'!P153</f>
        <v>35300</v>
      </c>
      <c r="AP157" s="435" t="s">
        <v>763</v>
      </c>
      <c r="AQ157" s="385">
        <f t="shared" si="92"/>
        <v>180030</v>
      </c>
      <c r="AR157" s="386">
        <f t="shared" si="93"/>
        <v>0</v>
      </c>
      <c r="AS157" s="384"/>
      <c r="AT157" s="384"/>
      <c r="AU157" s="387">
        <f>'Unit Savings Calculations'!Q153</f>
        <v>35300</v>
      </c>
      <c r="AV157" s="435" t="str">
        <f t="shared" si="94"/>
        <v>n/a</v>
      </c>
      <c r="AW157" s="385">
        <f t="shared" si="95"/>
        <v>252042</v>
      </c>
      <c r="AX157" s="386">
        <f t="shared" si="96"/>
        <v>0</v>
      </c>
      <c r="AY157" s="297">
        <f t="shared" si="97"/>
        <v>252042</v>
      </c>
      <c r="AZ157" s="297">
        <f t="shared" si="98"/>
        <v>252042</v>
      </c>
      <c r="BA157" s="297">
        <f t="shared" si="99"/>
        <v>180030</v>
      </c>
      <c r="BB157" s="297">
        <f t="shared" si="100"/>
        <v>252042</v>
      </c>
      <c r="BC157" s="298">
        <f t="shared" si="101"/>
        <v>936156</v>
      </c>
      <c r="BD157" s="292" t="s">
        <v>763</v>
      </c>
      <c r="BE157" s="299" t="str">
        <f t="shared" si="102"/>
        <v>Custom</v>
      </c>
      <c r="BF157" s="298">
        <f t="shared" si="103"/>
        <v>3780630</v>
      </c>
      <c r="BG157" s="298">
        <f t="shared" si="103"/>
        <v>3780630</v>
      </c>
      <c r="BH157" s="298">
        <f t="shared" si="103"/>
        <v>2700450</v>
      </c>
      <c r="BI157" s="298">
        <f t="shared" si="84"/>
        <v>3780630</v>
      </c>
      <c r="BJ157" s="298">
        <f t="shared" si="104"/>
        <v>14042340</v>
      </c>
      <c r="BK157" s="482">
        <v>15</v>
      </c>
      <c r="BL157" s="482">
        <v>15</v>
      </c>
      <c r="BM157" s="482">
        <f>INDEX('Unit Savings Calculations'!$I$4:$I$421,MATCH('Measure-Level Adjustments Tab'!$A157&amp;"_"&amp;'Measure-Level Adjustments Tab'!$B157,'Unit Savings Calculations'!$A$4:$A$421,0))</f>
        <v>15</v>
      </c>
      <c r="BN157" s="482">
        <f t="shared" si="105"/>
        <v>15</v>
      </c>
      <c r="BO157" s="483">
        <f t="shared" si="106"/>
        <v>3780630</v>
      </c>
      <c r="BP157" s="483">
        <f t="shared" si="106"/>
        <v>3780630</v>
      </c>
      <c r="BQ157" s="483">
        <f t="shared" si="106"/>
        <v>2700450</v>
      </c>
      <c r="BR157" s="483">
        <f t="shared" si="85"/>
        <v>3780630</v>
      </c>
      <c r="BS157" s="483">
        <f t="shared" si="86"/>
        <v>14042340</v>
      </c>
    </row>
    <row r="158" spans="1:71" ht="15.75" customHeight="1">
      <c r="A158" s="292" t="str">
        <f>'Unit Savings Calculations'!C154</f>
        <v>Bus - CI Assessments</v>
      </c>
      <c r="B158" s="292" t="str">
        <f>'Unit Savings Calculations'!D154</f>
        <v>Retrocommissioning</v>
      </c>
      <c r="C158" s="293">
        <f t="shared" si="107"/>
        <v>0</v>
      </c>
      <c r="D158" s="292" t="str">
        <f>'Unit Savings Calculations'!T154</f>
        <v>Custom</v>
      </c>
      <c r="E158" s="438">
        <v>15</v>
      </c>
      <c r="F158" s="438">
        <v>15</v>
      </c>
      <c r="G158" s="292" t="str">
        <f>'Unit Savings Calculations'!E154</f>
        <v>each</v>
      </c>
      <c r="H158" s="294">
        <f>'Unit Savings Calculations'!$F154*'Unit Savings Calculations'!J154</f>
        <v>2</v>
      </c>
      <c r="I158" s="294">
        <f>'Unit Savings Calculations'!$F154*'Unit Savings Calculations'!K154</f>
        <v>2</v>
      </c>
      <c r="J158" s="294">
        <f>'Unit Savings Calculations'!$F154*'Unit Savings Calculations'!L154</f>
        <v>2</v>
      </c>
      <c r="K158" s="294">
        <f>'Unit Savings Calculations'!$F154*'Unit Savings Calculations'!M154</f>
        <v>2</v>
      </c>
      <c r="L158" s="292" t="str">
        <f>'Unit Savings Calculations'!U154</f>
        <v>Custom</v>
      </c>
      <c r="M158" s="383" t="str">
        <f>'Unit Savings Calculations'!R154</f>
        <v>Custom</v>
      </c>
      <c r="N158" s="295">
        <v>19700</v>
      </c>
      <c r="O158" s="295">
        <v>19700</v>
      </c>
      <c r="P158" s="295">
        <v>19700</v>
      </c>
      <c r="Q158" s="295">
        <v>19700</v>
      </c>
      <c r="R158" s="296">
        <f>'Unit Savings Calculations'!$G154</f>
        <v>1.02</v>
      </c>
      <c r="S158" s="296">
        <f>'Unit Savings Calculations'!$G154</f>
        <v>1.02</v>
      </c>
      <c r="T158" s="296">
        <f>'Unit Savings Calculations'!$G154</f>
        <v>1.02</v>
      </c>
      <c r="U158" s="296">
        <f>'Unit Savings Calculations'!$G154</f>
        <v>1.02</v>
      </c>
      <c r="V158" s="297">
        <f t="shared" ref="V158:V221" si="123">H158*N158*R158</f>
        <v>40188</v>
      </c>
      <c r="W158" s="297">
        <f t="shared" ref="W158:W221" si="124">I158*O158*S158</f>
        <v>40188</v>
      </c>
      <c r="X158" s="297">
        <f t="shared" ref="X158:X221" si="125">J158*P158*T158</f>
        <v>40188</v>
      </c>
      <c r="Y158" s="297">
        <f t="shared" ref="Y158:Y221" si="126">K158*Q158*U158</f>
        <v>40188</v>
      </c>
      <c r="Z158" s="297">
        <f t="shared" ref="Z158:Z221" si="127">V158+W158+X158+Y158</f>
        <v>160752</v>
      </c>
      <c r="AA158" s="384"/>
      <c r="AB158" s="384"/>
      <c r="AC158" s="387">
        <v>19700</v>
      </c>
      <c r="AD158" s="384"/>
      <c r="AE158" s="385">
        <f t="shared" si="87"/>
        <v>40188</v>
      </c>
      <c r="AF158" s="386">
        <f t="shared" si="88"/>
        <v>0</v>
      </c>
      <c r="AG158" s="384"/>
      <c r="AH158" s="384">
        <f t="shared" si="89"/>
        <v>0</v>
      </c>
      <c r="AI158" s="387">
        <v>19700</v>
      </c>
      <c r="AJ158" s="435" t="s">
        <v>878</v>
      </c>
      <c r="AK158" s="385">
        <f t="shared" si="90"/>
        <v>40188</v>
      </c>
      <c r="AL158" s="386">
        <f t="shared" si="91"/>
        <v>0</v>
      </c>
      <c r="AM158" s="384"/>
      <c r="AN158" s="384"/>
      <c r="AO158" s="387">
        <f>'Unit Savings Calculations'!P154</f>
        <v>19700</v>
      </c>
      <c r="AP158" s="435" t="s">
        <v>763</v>
      </c>
      <c r="AQ158" s="385">
        <f t="shared" si="92"/>
        <v>40188</v>
      </c>
      <c r="AR158" s="386">
        <f t="shared" si="93"/>
        <v>0</v>
      </c>
      <c r="AS158" s="384"/>
      <c r="AT158" s="384"/>
      <c r="AU158" s="387">
        <f>'Unit Savings Calculations'!Q154</f>
        <v>19700</v>
      </c>
      <c r="AV158" s="435" t="str">
        <f t="shared" si="94"/>
        <v>n/a</v>
      </c>
      <c r="AW158" s="385">
        <f t="shared" si="95"/>
        <v>40188</v>
      </c>
      <c r="AX158" s="386">
        <f t="shared" si="96"/>
        <v>0</v>
      </c>
      <c r="AY158" s="297">
        <f t="shared" si="97"/>
        <v>40188</v>
      </c>
      <c r="AZ158" s="297">
        <f t="shared" si="98"/>
        <v>40188</v>
      </c>
      <c r="BA158" s="297">
        <f t="shared" si="99"/>
        <v>40188</v>
      </c>
      <c r="BB158" s="297">
        <f t="shared" si="100"/>
        <v>40188</v>
      </c>
      <c r="BC158" s="298">
        <f t="shared" si="101"/>
        <v>160752</v>
      </c>
      <c r="BD158" s="292" t="s">
        <v>763</v>
      </c>
      <c r="BE158" s="299" t="str">
        <f t="shared" si="102"/>
        <v>Custom</v>
      </c>
      <c r="BF158" s="298">
        <f t="shared" si="103"/>
        <v>602820</v>
      </c>
      <c r="BG158" s="298">
        <f t="shared" si="103"/>
        <v>602820</v>
      </c>
      <c r="BH158" s="298">
        <f t="shared" si="103"/>
        <v>602820</v>
      </c>
      <c r="BI158" s="298">
        <f t="shared" si="84"/>
        <v>602820</v>
      </c>
      <c r="BJ158" s="298">
        <f t="shared" si="104"/>
        <v>2411280</v>
      </c>
      <c r="BK158" s="482">
        <v>15</v>
      </c>
      <c r="BL158" s="482">
        <v>15</v>
      </c>
      <c r="BM158" s="482">
        <f>INDEX('Unit Savings Calculations'!$I$4:$I$421,MATCH('Measure-Level Adjustments Tab'!$A158&amp;"_"&amp;'Measure-Level Adjustments Tab'!$B158,'Unit Savings Calculations'!$A$4:$A$421,0))</f>
        <v>15</v>
      </c>
      <c r="BN158" s="482">
        <f t="shared" si="105"/>
        <v>15</v>
      </c>
      <c r="BO158" s="483">
        <f t="shared" si="106"/>
        <v>602820</v>
      </c>
      <c r="BP158" s="483">
        <f t="shared" si="106"/>
        <v>602820</v>
      </c>
      <c r="BQ158" s="483">
        <f t="shared" si="106"/>
        <v>602820</v>
      </c>
      <c r="BR158" s="483">
        <f t="shared" si="85"/>
        <v>602820</v>
      </c>
      <c r="BS158" s="483">
        <f t="shared" si="86"/>
        <v>2411280</v>
      </c>
    </row>
    <row r="159" spans="1:71" ht="15.75" customHeight="1">
      <c r="A159" s="292" t="str">
        <f>'Unit Savings Calculations'!C155</f>
        <v>Bus - CI Assessments</v>
      </c>
      <c r="B159" s="292" t="str">
        <f>'Unit Savings Calculations'!D155</f>
        <v>Engineering Study</v>
      </c>
      <c r="C159" s="293">
        <f t="shared" si="107"/>
        <v>0</v>
      </c>
      <c r="D159" s="292" t="str">
        <f>'Unit Savings Calculations'!T155</f>
        <v>Custom</v>
      </c>
      <c r="E159" s="438">
        <v>0</v>
      </c>
      <c r="F159" s="438">
        <v>0</v>
      </c>
      <c r="G159" s="292" t="str">
        <f>'Unit Savings Calculations'!E155</f>
        <v>each</v>
      </c>
      <c r="H159" s="294">
        <f>'Unit Savings Calculations'!$F155*'Unit Savings Calculations'!J155</f>
        <v>0</v>
      </c>
      <c r="I159" s="294">
        <f>'Unit Savings Calculations'!$F155*'Unit Savings Calculations'!K155</f>
        <v>0</v>
      </c>
      <c r="J159" s="294">
        <f>'Unit Savings Calculations'!$F155*'Unit Savings Calculations'!L155</f>
        <v>0</v>
      </c>
      <c r="K159" s="294">
        <f>'Unit Savings Calculations'!$F155*'Unit Savings Calculations'!M155</f>
        <v>0</v>
      </c>
      <c r="L159" s="292" t="str">
        <f>'Unit Savings Calculations'!U155</f>
        <v>Custom</v>
      </c>
      <c r="M159" s="383" t="str">
        <f>'Unit Savings Calculations'!R155</f>
        <v>Custom</v>
      </c>
      <c r="N159" s="295">
        <v>1</v>
      </c>
      <c r="O159" s="295">
        <v>1</v>
      </c>
      <c r="P159" s="295">
        <v>1</v>
      </c>
      <c r="Q159" s="295">
        <v>1</v>
      </c>
      <c r="R159" s="296">
        <f>'Unit Savings Calculations'!$G155</f>
        <v>1.02</v>
      </c>
      <c r="S159" s="296">
        <f>'Unit Savings Calculations'!$G155</f>
        <v>1.02</v>
      </c>
      <c r="T159" s="296">
        <f>'Unit Savings Calculations'!$G155</f>
        <v>1.02</v>
      </c>
      <c r="U159" s="296">
        <f>'Unit Savings Calculations'!$G155</f>
        <v>1.02</v>
      </c>
      <c r="V159" s="297">
        <f t="shared" si="123"/>
        <v>0</v>
      </c>
      <c r="W159" s="297">
        <f t="shared" si="124"/>
        <v>0</v>
      </c>
      <c r="X159" s="297">
        <f t="shared" si="125"/>
        <v>0</v>
      </c>
      <c r="Y159" s="297">
        <f t="shared" si="126"/>
        <v>0</v>
      </c>
      <c r="Z159" s="297">
        <f t="shared" si="127"/>
        <v>0</v>
      </c>
      <c r="AA159" s="384"/>
      <c r="AB159" s="384"/>
      <c r="AC159" s="387">
        <v>1</v>
      </c>
      <c r="AD159" s="384"/>
      <c r="AE159" s="385">
        <f t="shared" si="87"/>
        <v>0</v>
      </c>
      <c r="AF159" s="386">
        <f t="shared" si="88"/>
        <v>0</v>
      </c>
      <c r="AG159" s="384"/>
      <c r="AH159" s="384">
        <f t="shared" si="89"/>
        <v>0</v>
      </c>
      <c r="AI159" s="387">
        <v>1</v>
      </c>
      <c r="AJ159" s="435" t="s">
        <v>878</v>
      </c>
      <c r="AK159" s="385">
        <f t="shared" si="90"/>
        <v>0</v>
      </c>
      <c r="AL159" s="386">
        <f t="shared" si="91"/>
        <v>0</v>
      </c>
      <c r="AM159" s="384"/>
      <c r="AN159" s="384"/>
      <c r="AO159" s="387">
        <f>'Unit Savings Calculations'!P155</f>
        <v>1</v>
      </c>
      <c r="AP159" s="435" t="s">
        <v>763</v>
      </c>
      <c r="AQ159" s="385">
        <f t="shared" si="92"/>
        <v>0</v>
      </c>
      <c r="AR159" s="386">
        <f t="shared" si="93"/>
        <v>0</v>
      </c>
      <c r="AS159" s="384"/>
      <c r="AT159" s="384"/>
      <c r="AU159" s="387">
        <f>'Unit Savings Calculations'!Q155</f>
        <v>1</v>
      </c>
      <c r="AV159" s="435" t="str">
        <f t="shared" si="94"/>
        <v>n/a</v>
      </c>
      <c r="AW159" s="385">
        <f t="shared" si="95"/>
        <v>0</v>
      </c>
      <c r="AX159" s="386">
        <f t="shared" si="96"/>
        <v>0</v>
      </c>
      <c r="AY159" s="297">
        <f t="shared" si="97"/>
        <v>0</v>
      </c>
      <c r="AZ159" s="297">
        <f t="shared" si="98"/>
        <v>0</v>
      </c>
      <c r="BA159" s="297">
        <f t="shared" si="99"/>
        <v>0</v>
      </c>
      <c r="BB159" s="297">
        <f t="shared" si="100"/>
        <v>0</v>
      </c>
      <c r="BC159" s="298">
        <f t="shared" si="101"/>
        <v>0</v>
      </c>
      <c r="BD159" s="292" t="s">
        <v>763</v>
      </c>
      <c r="BE159" s="299" t="str">
        <f t="shared" si="102"/>
        <v>Custom</v>
      </c>
      <c r="BF159" s="298">
        <f t="shared" si="103"/>
        <v>0</v>
      </c>
      <c r="BG159" s="298">
        <f t="shared" si="103"/>
        <v>0</v>
      </c>
      <c r="BH159" s="298">
        <f t="shared" si="103"/>
        <v>0</v>
      </c>
      <c r="BI159" s="298">
        <f t="shared" si="84"/>
        <v>0</v>
      </c>
      <c r="BJ159" s="298">
        <f t="shared" si="104"/>
        <v>0</v>
      </c>
      <c r="BK159" s="482">
        <v>0</v>
      </c>
      <c r="BL159" s="482">
        <v>0</v>
      </c>
      <c r="BM159" s="482">
        <f>INDEX('Unit Savings Calculations'!$I$4:$I$421,MATCH('Measure-Level Adjustments Tab'!$A159&amp;"_"&amp;'Measure-Level Adjustments Tab'!$B159,'Unit Savings Calculations'!$A$4:$A$421,0))</f>
        <v>0</v>
      </c>
      <c r="BN159" s="482">
        <f t="shared" si="105"/>
        <v>0</v>
      </c>
      <c r="BO159" s="483">
        <f t="shared" si="106"/>
        <v>0</v>
      </c>
      <c r="BP159" s="483">
        <f t="shared" si="106"/>
        <v>0</v>
      </c>
      <c r="BQ159" s="483">
        <f t="shared" si="106"/>
        <v>0</v>
      </c>
      <c r="BR159" s="483">
        <f t="shared" si="85"/>
        <v>0</v>
      </c>
      <c r="BS159" s="483">
        <f t="shared" si="86"/>
        <v>0</v>
      </c>
    </row>
    <row r="160" spans="1:71" ht="15.75" customHeight="1">
      <c r="A160" s="292" t="str">
        <f>'Unit Savings Calculations'!C156</f>
        <v>Bus - CI Rebates</v>
      </c>
      <c r="B160" s="292" t="str">
        <f>'Unit Savings Calculations'!D156</f>
        <v>Staffing</v>
      </c>
      <c r="C160" s="293">
        <f t="shared" si="107"/>
        <v>0</v>
      </c>
      <c r="D160" s="292" t="str">
        <f>'Unit Savings Calculations'!T156</f>
        <v>Custom</v>
      </c>
      <c r="E160" s="438">
        <v>0</v>
      </c>
      <c r="F160" s="438">
        <v>0</v>
      </c>
      <c r="G160" s="292" t="str">
        <f>'Unit Savings Calculations'!E156</f>
        <v>each</v>
      </c>
      <c r="H160" s="294">
        <f>'Unit Savings Calculations'!$F156*'Unit Savings Calculations'!J156</f>
        <v>0</v>
      </c>
      <c r="I160" s="294">
        <f>'Unit Savings Calculations'!$F156*'Unit Savings Calculations'!K156</f>
        <v>0</v>
      </c>
      <c r="J160" s="294">
        <f>'Unit Savings Calculations'!$F156*'Unit Savings Calculations'!L156</f>
        <v>0</v>
      </c>
      <c r="K160" s="294">
        <f>'Unit Savings Calculations'!$F156*'Unit Savings Calculations'!M156</f>
        <v>0</v>
      </c>
      <c r="L160" s="292" t="str">
        <f>'Unit Savings Calculations'!U156</f>
        <v>Custom</v>
      </c>
      <c r="M160" s="383" t="str">
        <f>'Unit Savings Calculations'!R156</f>
        <v>Custom</v>
      </c>
      <c r="N160" s="295">
        <v>1</v>
      </c>
      <c r="O160" s="295">
        <v>1</v>
      </c>
      <c r="P160" s="295">
        <v>1</v>
      </c>
      <c r="Q160" s="295">
        <v>1</v>
      </c>
      <c r="R160" s="296">
        <f>'Unit Savings Calculations'!$G156</f>
        <v>1.02</v>
      </c>
      <c r="S160" s="296">
        <f>'Unit Savings Calculations'!$G156</f>
        <v>1.02</v>
      </c>
      <c r="T160" s="296">
        <f>'Unit Savings Calculations'!$G156</f>
        <v>1.02</v>
      </c>
      <c r="U160" s="296">
        <f>'Unit Savings Calculations'!$G156</f>
        <v>1.02</v>
      </c>
      <c r="V160" s="297">
        <f t="shared" si="123"/>
        <v>0</v>
      </c>
      <c r="W160" s="297">
        <f t="shared" si="124"/>
        <v>0</v>
      </c>
      <c r="X160" s="297">
        <f t="shared" si="125"/>
        <v>0</v>
      </c>
      <c r="Y160" s="297">
        <f t="shared" si="126"/>
        <v>0</v>
      </c>
      <c r="Z160" s="297">
        <f t="shared" si="127"/>
        <v>0</v>
      </c>
      <c r="AA160" s="384"/>
      <c r="AB160" s="384"/>
      <c r="AC160" s="387">
        <v>1</v>
      </c>
      <c r="AD160" s="384"/>
      <c r="AE160" s="385">
        <f t="shared" si="87"/>
        <v>0</v>
      </c>
      <c r="AF160" s="386">
        <f t="shared" si="88"/>
        <v>0</v>
      </c>
      <c r="AG160" s="384"/>
      <c r="AH160" s="384">
        <f t="shared" si="89"/>
        <v>0</v>
      </c>
      <c r="AI160" s="387">
        <v>1</v>
      </c>
      <c r="AJ160" s="435" t="s">
        <v>878</v>
      </c>
      <c r="AK160" s="385">
        <f t="shared" si="90"/>
        <v>0</v>
      </c>
      <c r="AL160" s="386">
        <f t="shared" si="91"/>
        <v>0</v>
      </c>
      <c r="AM160" s="384"/>
      <c r="AN160" s="384"/>
      <c r="AO160" s="387">
        <f>'Unit Savings Calculations'!P156</f>
        <v>1</v>
      </c>
      <c r="AP160" s="435" t="s">
        <v>763</v>
      </c>
      <c r="AQ160" s="385">
        <f t="shared" si="92"/>
        <v>0</v>
      </c>
      <c r="AR160" s="386">
        <f t="shared" si="93"/>
        <v>0</v>
      </c>
      <c r="AS160" s="384"/>
      <c r="AT160" s="384"/>
      <c r="AU160" s="387">
        <f>'Unit Savings Calculations'!Q156</f>
        <v>1</v>
      </c>
      <c r="AV160" s="435" t="str">
        <f t="shared" si="94"/>
        <v>n/a</v>
      </c>
      <c r="AW160" s="385">
        <f t="shared" si="95"/>
        <v>0</v>
      </c>
      <c r="AX160" s="386">
        <f t="shared" si="96"/>
        <v>0</v>
      </c>
      <c r="AY160" s="297">
        <f t="shared" si="97"/>
        <v>0</v>
      </c>
      <c r="AZ160" s="297">
        <f t="shared" si="98"/>
        <v>0</v>
      </c>
      <c r="BA160" s="297">
        <f t="shared" si="99"/>
        <v>0</v>
      </c>
      <c r="BB160" s="297">
        <f t="shared" si="100"/>
        <v>0</v>
      </c>
      <c r="BC160" s="298">
        <f t="shared" si="101"/>
        <v>0</v>
      </c>
      <c r="BD160" s="292" t="s">
        <v>763</v>
      </c>
      <c r="BE160" s="299" t="str">
        <f t="shared" si="102"/>
        <v>Custom</v>
      </c>
      <c r="BF160" s="298">
        <f t="shared" si="103"/>
        <v>0</v>
      </c>
      <c r="BG160" s="298">
        <f t="shared" si="103"/>
        <v>0</v>
      </c>
      <c r="BH160" s="298">
        <f t="shared" si="103"/>
        <v>0</v>
      </c>
      <c r="BI160" s="298">
        <f t="shared" si="84"/>
        <v>0</v>
      </c>
      <c r="BJ160" s="298">
        <f t="shared" si="104"/>
        <v>0</v>
      </c>
      <c r="BK160" s="482">
        <v>0</v>
      </c>
      <c r="BL160" s="482">
        <v>0</v>
      </c>
      <c r="BM160" s="482">
        <f>INDEX('Unit Savings Calculations'!$I$4:$I$421,MATCH('Measure-Level Adjustments Tab'!$A160&amp;"_"&amp;'Measure-Level Adjustments Tab'!$B160,'Unit Savings Calculations'!$A$4:$A$421,0))</f>
        <v>0</v>
      </c>
      <c r="BN160" s="482">
        <f t="shared" si="105"/>
        <v>0</v>
      </c>
      <c r="BO160" s="483">
        <f t="shared" si="106"/>
        <v>0</v>
      </c>
      <c r="BP160" s="483">
        <f t="shared" si="106"/>
        <v>0</v>
      </c>
      <c r="BQ160" s="483">
        <f t="shared" si="106"/>
        <v>0</v>
      </c>
      <c r="BR160" s="483">
        <f t="shared" si="85"/>
        <v>0</v>
      </c>
      <c r="BS160" s="483">
        <f t="shared" si="86"/>
        <v>0</v>
      </c>
    </row>
    <row r="161" spans="1:71" ht="15.75" customHeight="1">
      <c r="A161" s="292" t="str">
        <f>'Unit Savings Calculations'!C157</f>
        <v>Bus - SB Rebates</v>
      </c>
      <c r="B161" s="292" t="str">
        <f>'Unit Savings Calculations'!D157</f>
        <v>Boiler ≥88% AFUE, &lt;300MBh</v>
      </c>
      <c r="C161" s="293">
        <f t="shared" si="107"/>
        <v>1</v>
      </c>
      <c r="D161" s="292" t="str">
        <f>'Unit Savings Calculations'!T157</f>
        <v>4.4.10</v>
      </c>
      <c r="E161" s="438">
        <v>20</v>
      </c>
      <c r="F161" s="438">
        <v>20</v>
      </c>
      <c r="G161" s="292" t="str">
        <f>'Unit Savings Calculations'!E157</f>
        <v>MBH</v>
      </c>
      <c r="H161" s="294">
        <f>'Unit Savings Calculations'!$F157*'Unit Savings Calculations'!J157</f>
        <v>0</v>
      </c>
      <c r="I161" s="294">
        <f>'Unit Savings Calculations'!$F157*'Unit Savings Calculations'!K157</f>
        <v>0</v>
      </c>
      <c r="J161" s="294">
        <f>'Unit Savings Calculations'!$F157*'Unit Savings Calculations'!L157</f>
        <v>0</v>
      </c>
      <c r="K161" s="294">
        <f>'Unit Savings Calculations'!$F157*'Unit Savings Calculations'!M157</f>
        <v>0</v>
      </c>
      <c r="L161" s="292" t="str">
        <f>'Unit Savings Calculations'!U157</f>
        <v>CI-HVC-BOIL-V05-150601</v>
      </c>
      <c r="M161" s="383" t="str">
        <f>'Unit Savings Calculations'!R157</f>
        <v>Exhibit 1.5A_R North Shore EEPS_Adjustable_Savings_Goal_Template.xlsx, Unit Savings Calculations Tab</v>
      </c>
      <c r="N161" s="295">
        <v>1.161219512195123</v>
      </c>
      <c r="O161" s="295">
        <v>1.161219512195123</v>
      </c>
      <c r="P161" s="295">
        <v>1.161219512195123</v>
      </c>
      <c r="Q161" s="295">
        <v>1.161219512195123</v>
      </c>
      <c r="R161" s="296">
        <f>'Unit Savings Calculations'!$G157</f>
        <v>0.92</v>
      </c>
      <c r="S161" s="296">
        <f>'Unit Savings Calculations'!$G157</f>
        <v>0.92</v>
      </c>
      <c r="T161" s="296">
        <f>'Unit Savings Calculations'!$G157</f>
        <v>0.92</v>
      </c>
      <c r="U161" s="296">
        <f>'Unit Savings Calculations'!$G157</f>
        <v>0.92</v>
      </c>
      <c r="V161" s="297">
        <f t="shared" si="123"/>
        <v>0</v>
      </c>
      <c r="W161" s="297">
        <f t="shared" si="124"/>
        <v>0</v>
      </c>
      <c r="X161" s="297">
        <f t="shared" si="125"/>
        <v>0</v>
      </c>
      <c r="Y161" s="297">
        <f t="shared" si="126"/>
        <v>0</v>
      </c>
      <c r="Z161" s="297">
        <f t="shared" si="127"/>
        <v>0</v>
      </c>
      <c r="AA161" s="292"/>
      <c r="AB161" s="292"/>
      <c r="AC161" s="295">
        <v>1.161219512195123</v>
      </c>
      <c r="AD161" s="292"/>
      <c r="AE161" s="297">
        <f t="shared" si="87"/>
        <v>0</v>
      </c>
      <c r="AF161" s="294">
        <f t="shared" si="88"/>
        <v>0</v>
      </c>
      <c r="AG161" s="292"/>
      <c r="AH161" s="292">
        <f t="shared" si="89"/>
        <v>0</v>
      </c>
      <c r="AI161" s="295">
        <v>1.1253658536585376</v>
      </c>
      <c r="AJ161" s="383" t="s">
        <v>878</v>
      </c>
      <c r="AK161" s="297">
        <f t="shared" si="90"/>
        <v>0</v>
      </c>
      <c r="AL161" s="294">
        <f t="shared" si="91"/>
        <v>0</v>
      </c>
      <c r="AM161" s="292"/>
      <c r="AN161" s="292"/>
      <c r="AO161" s="295">
        <f>'Unit Savings Calculations'!P157</f>
        <v>1.1919512195121962</v>
      </c>
      <c r="AP161" s="383" t="s">
        <v>1441</v>
      </c>
      <c r="AQ161" s="297">
        <f t="shared" si="92"/>
        <v>0</v>
      </c>
      <c r="AR161" s="294">
        <f t="shared" si="93"/>
        <v>0</v>
      </c>
      <c r="AS161" s="292"/>
      <c r="AT161" s="292"/>
      <c r="AU161" s="295">
        <f>'Unit Savings Calculations'!Q157</f>
        <v>1.1919512195121962</v>
      </c>
      <c r="AV161" s="383" t="str">
        <f t="shared" si="94"/>
        <v>Updated heating EFLH</v>
      </c>
      <c r="AW161" s="297">
        <f t="shared" si="95"/>
        <v>0</v>
      </c>
      <c r="AX161" s="294">
        <f t="shared" si="96"/>
        <v>0</v>
      </c>
      <c r="AY161" s="297">
        <f t="shared" si="97"/>
        <v>0</v>
      </c>
      <c r="AZ161" s="297">
        <f t="shared" si="98"/>
        <v>0</v>
      </c>
      <c r="BA161" s="297">
        <f t="shared" si="99"/>
        <v>0</v>
      </c>
      <c r="BB161" s="297">
        <f t="shared" si="100"/>
        <v>0</v>
      </c>
      <c r="BC161" s="298">
        <f t="shared" si="101"/>
        <v>0</v>
      </c>
      <c r="BD161" s="292" t="s">
        <v>763</v>
      </c>
      <c r="BE161" s="299" t="str">
        <f t="shared" si="102"/>
        <v>Exhibit 1.5A_R North Shore EEPS_Adjustable_Savings_Goal_Template.xlsx, Unit Savings Calculations Tab</v>
      </c>
      <c r="BF161" s="298">
        <f t="shared" si="103"/>
        <v>0</v>
      </c>
      <c r="BG161" s="298">
        <f t="shared" si="103"/>
        <v>0</v>
      </c>
      <c r="BH161" s="298">
        <f t="shared" si="103"/>
        <v>0</v>
      </c>
      <c r="BI161" s="298">
        <f t="shared" si="84"/>
        <v>0</v>
      </c>
      <c r="BJ161" s="298">
        <f t="shared" si="104"/>
        <v>0</v>
      </c>
      <c r="BK161" s="482">
        <v>20</v>
      </c>
      <c r="BL161" s="482">
        <v>20</v>
      </c>
      <c r="BM161" s="482">
        <f>INDEX('Unit Savings Calculations'!$I$4:$I$421,MATCH('Measure-Level Adjustments Tab'!$A161&amp;"_"&amp;'Measure-Level Adjustments Tab'!$B161,'Unit Savings Calculations'!$A$4:$A$421,0))</f>
        <v>25</v>
      </c>
      <c r="BN161" s="482">
        <f t="shared" si="105"/>
        <v>25</v>
      </c>
      <c r="BO161" s="483">
        <f t="shared" si="106"/>
        <v>0</v>
      </c>
      <c r="BP161" s="483">
        <f t="shared" si="106"/>
        <v>0</v>
      </c>
      <c r="BQ161" s="483">
        <f t="shared" si="106"/>
        <v>0</v>
      </c>
      <c r="BR161" s="483">
        <f t="shared" si="85"/>
        <v>0</v>
      </c>
      <c r="BS161" s="483">
        <f t="shared" si="86"/>
        <v>0</v>
      </c>
    </row>
    <row r="162" spans="1:71" ht="15.75" customHeight="1">
      <c r="A162" s="292" t="str">
        <f>'Unit Savings Calculations'!C158</f>
        <v>Bus - SB Rebates</v>
      </c>
      <c r="B162" s="292" t="str">
        <f>'Unit Savings Calculations'!D158</f>
        <v>Boiler ≥88% AFUE, ≥300MBh TE</v>
      </c>
      <c r="C162" s="293">
        <f t="shared" si="107"/>
        <v>1</v>
      </c>
      <c r="D162" s="292" t="str">
        <f>'Unit Savings Calculations'!T158</f>
        <v>4.4.10</v>
      </c>
      <c r="E162" s="438">
        <v>20</v>
      </c>
      <c r="F162" s="438">
        <v>20</v>
      </c>
      <c r="G162" s="292" t="str">
        <f>'Unit Savings Calculations'!E158</f>
        <v>MBH</v>
      </c>
      <c r="H162" s="294">
        <f>'Unit Savings Calculations'!$F158*'Unit Savings Calculations'!J158</f>
        <v>0</v>
      </c>
      <c r="I162" s="294">
        <f>'Unit Savings Calculations'!$F158*'Unit Savings Calculations'!K158</f>
        <v>0</v>
      </c>
      <c r="J162" s="294">
        <f>'Unit Savings Calculations'!$F158*'Unit Savings Calculations'!L158</f>
        <v>0</v>
      </c>
      <c r="K162" s="294">
        <f>'Unit Savings Calculations'!$F158*'Unit Savings Calculations'!M158</f>
        <v>0</v>
      </c>
      <c r="L162" s="292" t="str">
        <f>'Unit Savings Calculations'!U158</f>
        <v>CI-HVC-BOIL-V05-150601</v>
      </c>
      <c r="M162" s="383" t="str">
        <f>'Unit Savings Calculations'!R158</f>
        <v>Exhibit 1.5A_R North Shore EEPS_Adjustable_Savings_Goal_Template.xlsx, Unit Savings Calculations Tab</v>
      </c>
      <c r="N162" s="295">
        <v>1.5869999999999991</v>
      </c>
      <c r="O162" s="295">
        <v>1.5869999999999991</v>
      </c>
      <c r="P162" s="295">
        <v>1.5869999999999991</v>
      </c>
      <c r="Q162" s="295">
        <v>1.5869999999999991</v>
      </c>
      <c r="R162" s="296">
        <f>'Unit Savings Calculations'!$G158</f>
        <v>0.92</v>
      </c>
      <c r="S162" s="296">
        <f>'Unit Savings Calculations'!$G158</f>
        <v>0.92</v>
      </c>
      <c r="T162" s="296">
        <f>'Unit Savings Calculations'!$G158</f>
        <v>0.92</v>
      </c>
      <c r="U162" s="296">
        <f>'Unit Savings Calculations'!$G158</f>
        <v>0.92</v>
      </c>
      <c r="V162" s="297">
        <f t="shared" si="123"/>
        <v>0</v>
      </c>
      <c r="W162" s="297">
        <f t="shared" si="124"/>
        <v>0</v>
      </c>
      <c r="X162" s="297">
        <f t="shared" si="125"/>
        <v>0</v>
      </c>
      <c r="Y162" s="297">
        <f t="shared" si="126"/>
        <v>0</v>
      </c>
      <c r="Z162" s="297">
        <f t="shared" si="127"/>
        <v>0</v>
      </c>
      <c r="AA162" s="292"/>
      <c r="AB162" s="292"/>
      <c r="AC162" s="295">
        <v>1.5869999999999991</v>
      </c>
      <c r="AD162" s="292"/>
      <c r="AE162" s="297">
        <f t="shared" si="87"/>
        <v>0</v>
      </c>
      <c r="AF162" s="294">
        <f t="shared" si="88"/>
        <v>0</v>
      </c>
      <c r="AG162" s="292"/>
      <c r="AH162" s="292">
        <f t="shared" si="89"/>
        <v>0</v>
      </c>
      <c r="AI162" s="295">
        <v>1.5379999999999991</v>
      </c>
      <c r="AJ162" s="383" t="s">
        <v>878</v>
      </c>
      <c r="AK162" s="297">
        <f t="shared" si="90"/>
        <v>0</v>
      </c>
      <c r="AL162" s="294">
        <f t="shared" si="91"/>
        <v>0</v>
      </c>
      <c r="AM162" s="292"/>
      <c r="AN162" s="292"/>
      <c r="AO162" s="295">
        <f>'Unit Savings Calculations'!P158</f>
        <v>1.6289999999999993</v>
      </c>
      <c r="AP162" s="383" t="s">
        <v>1441</v>
      </c>
      <c r="AQ162" s="297">
        <f t="shared" si="92"/>
        <v>0</v>
      </c>
      <c r="AR162" s="294">
        <f t="shared" si="93"/>
        <v>0</v>
      </c>
      <c r="AS162" s="292"/>
      <c r="AT162" s="292"/>
      <c r="AU162" s="295">
        <f>'Unit Savings Calculations'!Q158</f>
        <v>1.6289999999999993</v>
      </c>
      <c r="AV162" s="383" t="str">
        <f t="shared" si="94"/>
        <v>Updated heating EFLH</v>
      </c>
      <c r="AW162" s="297">
        <f t="shared" si="95"/>
        <v>0</v>
      </c>
      <c r="AX162" s="294">
        <f t="shared" si="96"/>
        <v>0</v>
      </c>
      <c r="AY162" s="297">
        <f t="shared" si="97"/>
        <v>0</v>
      </c>
      <c r="AZ162" s="297">
        <f t="shared" si="98"/>
        <v>0</v>
      </c>
      <c r="BA162" s="297">
        <f t="shared" si="99"/>
        <v>0</v>
      </c>
      <c r="BB162" s="297">
        <f t="shared" si="100"/>
        <v>0</v>
      </c>
      <c r="BC162" s="298">
        <f t="shared" si="101"/>
        <v>0</v>
      </c>
      <c r="BD162" s="292" t="s">
        <v>763</v>
      </c>
      <c r="BE162" s="299" t="str">
        <f t="shared" si="102"/>
        <v>Exhibit 1.5A_R North Shore EEPS_Adjustable_Savings_Goal_Template.xlsx, Unit Savings Calculations Tab</v>
      </c>
      <c r="BF162" s="298">
        <f t="shared" si="103"/>
        <v>0</v>
      </c>
      <c r="BG162" s="298">
        <f t="shared" si="103"/>
        <v>0</v>
      </c>
      <c r="BH162" s="298">
        <f t="shared" si="103"/>
        <v>0</v>
      </c>
      <c r="BI162" s="298">
        <f t="shared" si="84"/>
        <v>0</v>
      </c>
      <c r="BJ162" s="298">
        <f t="shared" si="104"/>
        <v>0</v>
      </c>
      <c r="BK162" s="482">
        <v>20</v>
      </c>
      <c r="BL162" s="482">
        <v>20</v>
      </c>
      <c r="BM162" s="482">
        <f>INDEX('Unit Savings Calculations'!$I$4:$I$421,MATCH('Measure-Level Adjustments Tab'!$A162&amp;"_"&amp;'Measure-Level Adjustments Tab'!$B162,'Unit Savings Calculations'!$A$4:$A$421,0))</f>
        <v>25</v>
      </c>
      <c r="BN162" s="482">
        <f t="shared" si="105"/>
        <v>25</v>
      </c>
      <c r="BO162" s="483">
        <f t="shared" si="106"/>
        <v>0</v>
      </c>
      <c r="BP162" s="483">
        <f t="shared" si="106"/>
        <v>0</v>
      </c>
      <c r="BQ162" s="483">
        <f t="shared" si="106"/>
        <v>0</v>
      </c>
      <c r="BR162" s="483">
        <f t="shared" si="85"/>
        <v>0</v>
      </c>
      <c r="BS162" s="483">
        <f t="shared" si="86"/>
        <v>0</v>
      </c>
    </row>
    <row r="163" spans="1:71" ht="15.75" customHeight="1">
      <c r="A163" s="292" t="str">
        <f>'Unit Savings Calculations'!C159</f>
        <v>Bus - SB Rebates</v>
      </c>
      <c r="B163" s="292" t="str">
        <f>'Unit Savings Calculations'!D159</f>
        <v>Boiler Reset Controls</v>
      </c>
      <c r="C163" s="293">
        <f t="shared" si="107"/>
        <v>1</v>
      </c>
      <c r="D163" s="292" t="str">
        <f>'Unit Savings Calculations'!T159</f>
        <v>4.4.4</v>
      </c>
      <c r="E163" s="438">
        <v>20</v>
      </c>
      <c r="F163" s="438">
        <v>20</v>
      </c>
      <c r="G163" s="292" t="str">
        <f>'Unit Savings Calculations'!E159</f>
        <v>each</v>
      </c>
      <c r="H163" s="294">
        <f>'Unit Savings Calculations'!$F159*'Unit Savings Calculations'!J159</f>
        <v>0</v>
      </c>
      <c r="I163" s="294">
        <f>'Unit Savings Calculations'!$F159*'Unit Savings Calculations'!K159</f>
        <v>0</v>
      </c>
      <c r="J163" s="294">
        <f>'Unit Savings Calculations'!$F159*'Unit Savings Calculations'!L159</f>
        <v>0</v>
      </c>
      <c r="K163" s="294">
        <f>'Unit Savings Calculations'!$F159*'Unit Savings Calculations'!M159</f>
        <v>0</v>
      </c>
      <c r="L163" s="292" t="str">
        <f>'Unit Savings Calculations'!U159</f>
        <v>CI-HVC-BLRC-V03-150601</v>
      </c>
      <c r="M163" s="383" t="str">
        <f>'Unit Savings Calculations'!R159</f>
        <v>Exhibit 1.5A_R North Shore EEPS_Adjustable_Savings_Goal_Template.xlsx, Unit Savings Calculations Tab</v>
      </c>
      <c r="N163" s="295">
        <v>1.2696000000000001</v>
      </c>
      <c r="O163" s="295">
        <v>1.2696000000000001</v>
      </c>
      <c r="P163" s="295">
        <v>1.2696000000000001</v>
      </c>
      <c r="Q163" s="295">
        <v>1.2696000000000001</v>
      </c>
      <c r="R163" s="296">
        <f>'Unit Savings Calculations'!$G159</f>
        <v>0.92</v>
      </c>
      <c r="S163" s="296">
        <f>'Unit Savings Calculations'!$G159</f>
        <v>0.92</v>
      </c>
      <c r="T163" s="296">
        <f>'Unit Savings Calculations'!$G159</f>
        <v>0.92</v>
      </c>
      <c r="U163" s="296">
        <f>'Unit Savings Calculations'!$G159</f>
        <v>0.92</v>
      </c>
      <c r="V163" s="297">
        <f t="shared" si="123"/>
        <v>0</v>
      </c>
      <c r="W163" s="297">
        <f t="shared" si="124"/>
        <v>0</v>
      </c>
      <c r="X163" s="297">
        <f t="shared" si="125"/>
        <v>0</v>
      </c>
      <c r="Y163" s="297">
        <f t="shared" si="126"/>
        <v>0</v>
      </c>
      <c r="Z163" s="297">
        <f t="shared" si="127"/>
        <v>0</v>
      </c>
      <c r="AA163" s="292"/>
      <c r="AB163" s="292"/>
      <c r="AC163" s="295">
        <v>1.2696000000000001</v>
      </c>
      <c r="AD163" s="292"/>
      <c r="AE163" s="297">
        <f t="shared" si="87"/>
        <v>0</v>
      </c>
      <c r="AF163" s="294">
        <f t="shared" si="88"/>
        <v>0</v>
      </c>
      <c r="AG163" s="292"/>
      <c r="AH163" s="292">
        <f t="shared" si="89"/>
        <v>0</v>
      </c>
      <c r="AI163" s="295">
        <v>1.2304000000000002</v>
      </c>
      <c r="AJ163" s="383" t="s">
        <v>878</v>
      </c>
      <c r="AK163" s="297">
        <f t="shared" si="90"/>
        <v>0</v>
      </c>
      <c r="AL163" s="294">
        <f t="shared" si="91"/>
        <v>0</v>
      </c>
      <c r="AM163" s="292"/>
      <c r="AN163" s="292"/>
      <c r="AO163" s="295">
        <f>'Unit Savings Calculations'!P159</f>
        <v>1.3031999999999999</v>
      </c>
      <c r="AP163" s="383" t="s">
        <v>1441</v>
      </c>
      <c r="AQ163" s="297">
        <f t="shared" si="92"/>
        <v>0</v>
      </c>
      <c r="AR163" s="294">
        <f t="shared" si="93"/>
        <v>0</v>
      </c>
      <c r="AS163" s="292"/>
      <c r="AT163" s="292"/>
      <c r="AU163" s="295">
        <f>'Unit Savings Calculations'!Q159</f>
        <v>1.3031999999999999</v>
      </c>
      <c r="AV163" s="383" t="str">
        <f t="shared" si="94"/>
        <v>Updated heating EFLH</v>
      </c>
      <c r="AW163" s="297">
        <f t="shared" si="95"/>
        <v>0</v>
      </c>
      <c r="AX163" s="294">
        <f t="shared" si="96"/>
        <v>0</v>
      </c>
      <c r="AY163" s="297">
        <f t="shared" si="97"/>
        <v>0</v>
      </c>
      <c r="AZ163" s="297">
        <f t="shared" si="98"/>
        <v>0</v>
      </c>
      <c r="BA163" s="297">
        <f t="shared" si="99"/>
        <v>0</v>
      </c>
      <c r="BB163" s="297">
        <f t="shared" si="100"/>
        <v>0</v>
      </c>
      <c r="BC163" s="298">
        <f t="shared" si="101"/>
        <v>0</v>
      </c>
      <c r="BD163" s="292" t="s">
        <v>763</v>
      </c>
      <c r="BE163" s="299" t="str">
        <f t="shared" si="102"/>
        <v>Exhibit 1.5A_R North Shore EEPS_Adjustable_Savings_Goal_Template.xlsx, Unit Savings Calculations Tab</v>
      </c>
      <c r="BF163" s="298">
        <f t="shared" si="103"/>
        <v>0</v>
      </c>
      <c r="BG163" s="298">
        <f t="shared" si="103"/>
        <v>0</v>
      </c>
      <c r="BH163" s="298">
        <f t="shared" si="103"/>
        <v>0</v>
      </c>
      <c r="BI163" s="298">
        <f t="shared" si="84"/>
        <v>0</v>
      </c>
      <c r="BJ163" s="298">
        <f t="shared" si="104"/>
        <v>0</v>
      </c>
      <c r="BK163" s="482">
        <v>20</v>
      </c>
      <c r="BL163" s="482">
        <v>20</v>
      </c>
      <c r="BM163" s="482">
        <f>INDEX('Unit Savings Calculations'!$I$4:$I$421,MATCH('Measure-Level Adjustments Tab'!$A163&amp;"_"&amp;'Measure-Level Adjustments Tab'!$B163,'Unit Savings Calculations'!$A$4:$A$421,0))</f>
        <v>20</v>
      </c>
      <c r="BN163" s="482">
        <f t="shared" si="105"/>
        <v>20</v>
      </c>
      <c r="BO163" s="483">
        <f t="shared" si="106"/>
        <v>0</v>
      </c>
      <c r="BP163" s="483">
        <f t="shared" si="106"/>
        <v>0</v>
      </c>
      <c r="BQ163" s="483">
        <f t="shared" si="106"/>
        <v>0</v>
      </c>
      <c r="BR163" s="483">
        <f t="shared" si="85"/>
        <v>0</v>
      </c>
      <c r="BS163" s="483">
        <f t="shared" si="86"/>
        <v>0</v>
      </c>
    </row>
    <row r="164" spans="1:71" ht="15.75" customHeight="1">
      <c r="A164" s="292" t="str">
        <f>'Unit Savings Calculations'!C160</f>
        <v>Bus - SB Rebates</v>
      </c>
      <c r="B164" s="292" t="str">
        <f>'Unit Savings Calculations'!D160</f>
        <v>Boiler Tune Up - Process</v>
      </c>
      <c r="C164" s="293">
        <f t="shared" si="107"/>
        <v>1</v>
      </c>
      <c r="D164" s="292" t="str">
        <f>'Unit Savings Calculations'!T160</f>
        <v>4.4.3</v>
      </c>
      <c r="E164" s="438">
        <v>3</v>
      </c>
      <c r="F164" s="438">
        <v>3</v>
      </c>
      <c r="G164" s="292" t="str">
        <f>'Unit Savings Calculations'!E160</f>
        <v>MBH</v>
      </c>
      <c r="H164" s="294">
        <f>'Unit Savings Calculations'!$F160*'Unit Savings Calculations'!J160</f>
        <v>0</v>
      </c>
      <c r="I164" s="294">
        <f>'Unit Savings Calculations'!$F160*'Unit Savings Calculations'!K160</f>
        <v>0</v>
      </c>
      <c r="J164" s="294">
        <f>'Unit Savings Calculations'!$F160*'Unit Savings Calculations'!L160</f>
        <v>0</v>
      </c>
      <c r="K164" s="294">
        <f>'Unit Savings Calculations'!$F160*'Unit Savings Calculations'!M160</f>
        <v>0</v>
      </c>
      <c r="L164" s="292" t="str">
        <f>'Unit Savings Calculations'!U160</f>
        <v>CI-HVC-PBTU-V05-160601</v>
      </c>
      <c r="M164" s="383" t="str">
        <f>'Unit Savings Calculations'!R160</f>
        <v>Exhibit 1.5A_R North Shore EEPS_Adjustable_Savings_Goal_Template.xlsx, Unit Savings Calculations Tab</v>
      </c>
      <c r="N164" s="295">
        <v>0.83823507428978783</v>
      </c>
      <c r="O164" s="295">
        <v>0.83823507428978783</v>
      </c>
      <c r="P164" s="295">
        <v>0.83823507428978783</v>
      </c>
      <c r="Q164" s="295">
        <v>0.83823507428978783</v>
      </c>
      <c r="R164" s="296">
        <f>'Unit Savings Calculations'!$G160</f>
        <v>0.92</v>
      </c>
      <c r="S164" s="296">
        <f>'Unit Savings Calculations'!$G160</f>
        <v>0.92</v>
      </c>
      <c r="T164" s="296">
        <f>'Unit Savings Calculations'!$G160</f>
        <v>0.92</v>
      </c>
      <c r="U164" s="296">
        <f>'Unit Savings Calculations'!$G160</f>
        <v>0.92</v>
      </c>
      <c r="V164" s="297">
        <f t="shared" si="123"/>
        <v>0</v>
      </c>
      <c r="W164" s="297">
        <f t="shared" si="124"/>
        <v>0</v>
      </c>
      <c r="X164" s="297">
        <f t="shared" si="125"/>
        <v>0</v>
      </c>
      <c r="Y164" s="297">
        <f t="shared" si="126"/>
        <v>0</v>
      </c>
      <c r="Z164" s="297">
        <f t="shared" si="127"/>
        <v>0</v>
      </c>
      <c r="AA164" s="292"/>
      <c r="AB164" s="292"/>
      <c r="AC164" s="295">
        <v>0.83823507428978783</v>
      </c>
      <c r="AD164" s="292"/>
      <c r="AE164" s="297">
        <f t="shared" si="87"/>
        <v>0</v>
      </c>
      <c r="AF164" s="294">
        <f t="shared" si="88"/>
        <v>0</v>
      </c>
      <c r="AG164" s="292"/>
      <c r="AH164" s="292">
        <f t="shared" si="89"/>
        <v>0</v>
      </c>
      <c r="AI164" s="295">
        <v>0.83823507428978783</v>
      </c>
      <c r="AJ164" s="383" t="s">
        <v>878</v>
      </c>
      <c r="AK164" s="297">
        <f t="shared" si="90"/>
        <v>0</v>
      </c>
      <c r="AL164" s="294">
        <f t="shared" si="91"/>
        <v>0</v>
      </c>
      <c r="AM164" s="292"/>
      <c r="AN164" s="292"/>
      <c r="AO164" s="295">
        <f>'Unit Savings Calculations'!P160</f>
        <v>0.83823507428978783</v>
      </c>
      <c r="AP164" s="383" t="s">
        <v>763</v>
      </c>
      <c r="AQ164" s="297">
        <f t="shared" si="92"/>
        <v>0</v>
      </c>
      <c r="AR164" s="294">
        <f t="shared" si="93"/>
        <v>0</v>
      </c>
      <c r="AS164" s="292"/>
      <c r="AT164" s="292"/>
      <c r="AU164" s="295">
        <f>'Unit Savings Calculations'!Q160</f>
        <v>0.83823507428978783</v>
      </c>
      <c r="AV164" s="383" t="str">
        <f t="shared" si="94"/>
        <v>n/a</v>
      </c>
      <c r="AW164" s="297">
        <f t="shared" si="95"/>
        <v>0</v>
      </c>
      <c r="AX164" s="294">
        <f t="shared" si="96"/>
        <v>0</v>
      </c>
      <c r="AY164" s="297">
        <f t="shared" si="97"/>
        <v>0</v>
      </c>
      <c r="AZ164" s="297">
        <f t="shared" si="98"/>
        <v>0</v>
      </c>
      <c r="BA164" s="297">
        <f t="shared" si="99"/>
        <v>0</v>
      </c>
      <c r="BB164" s="297">
        <f t="shared" si="100"/>
        <v>0</v>
      </c>
      <c r="BC164" s="298">
        <f t="shared" si="101"/>
        <v>0</v>
      </c>
      <c r="BD164" s="292" t="s">
        <v>763</v>
      </c>
      <c r="BE164" s="299" t="str">
        <f t="shared" si="102"/>
        <v>Exhibit 1.5A_R North Shore EEPS_Adjustable_Savings_Goal_Template.xlsx, Unit Savings Calculations Tab</v>
      </c>
      <c r="BF164" s="298">
        <f t="shared" si="103"/>
        <v>0</v>
      </c>
      <c r="BG164" s="298">
        <f t="shared" si="103"/>
        <v>0</v>
      </c>
      <c r="BH164" s="298">
        <f t="shared" si="103"/>
        <v>0</v>
      </c>
      <c r="BI164" s="298">
        <f t="shared" si="84"/>
        <v>0</v>
      </c>
      <c r="BJ164" s="298">
        <f t="shared" si="104"/>
        <v>0</v>
      </c>
      <c r="BK164" s="482">
        <v>3</v>
      </c>
      <c r="BL164" s="482">
        <v>3</v>
      </c>
      <c r="BM164" s="482">
        <f>INDEX('Unit Savings Calculations'!$I$4:$I$421,MATCH('Measure-Level Adjustments Tab'!$A164&amp;"_"&amp;'Measure-Level Adjustments Tab'!$B164,'Unit Savings Calculations'!$A$4:$A$421,0))</f>
        <v>3</v>
      </c>
      <c r="BN164" s="482">
        <f t="shared" si="105"/>
        <v>3</v>
      </c>
      <c r="BO164" s="483">
        <f t="shared" si="106"/>
        <v>0</v>
      </c>
      <c r="BP164" s="483">
        <f t="shared" si="106"/>
        <v>0</v>
      </c>
      <c r="BQ164" s="483">
        <f t="shared" si="106"/>
        <v>0</v>
      </c>
      <c r="BR164" s="483">
        <f t="shared" si="85"/>
        <v>0</v>
      </c>
      <c r="BS164" s="483">
        <f t="shared" si="86"/>
        <v>0</v>
      </c>
    </row>
    <row r="165" spans="1:71" ht="15.75" customHeight="1">
      <c r="A165" s="292" t="str">
        <f>'Unit Savings Calculations'!C161</f>
        <v>Bus - SB Rebates</v>
      </c>
      <c r="B165" s="292" t="str">
        <f>'Unit Savings Calculations'!D161</f>
        <v>Boiler Tune Up - Space Heating</v>
      </c>
      <c r="C165" s="293">
        <f t="shared" si="107"/>
        <v>1</v>
      </c>
      <c r="D165" s="292" t="str">
        <f>'Unit Savings Calculations'!T161</f>
        <v>4.4.2</v>
      </c>
      <c r="E165" s="438">
        <v>3</v>
      </c>
      <c r="F165" s="438">
        <v>3</v>
      </c>
      <c r="G165" s="292" t="str">
        <f>'Unit Savings Calculations'!E161</f>
        <v>MBH</v>
      </c>
      <c r="H165" s="294">
        <f>'Unit Savings Calculations'!$F161*'Unit Savings Calculations'!J161</f>
        <v>0</v>
      </c>
      <c r="I165" s="294">
        <f>'Unit Savings Calculations'!$F161*'Unit Savings Calculations'!K161</f>
        <v>0</v>
      </c>
      <c r="J165" s="294">
        <f>'Unit Savings Calculations'!$F161*'Unit Savings Calculations'!L161</f>
        <v>0</v>
      </c>
      <c r="K165" s="294">
        <f>'Unit Savings Calculations'!$F161*'Unit Savings Calculations'!M161</f>
        <v>0</v>
      </c>
      <c r="L165" s="292" t="str">
        <f>'Unit Savings Calculations'!U161</f>
        <v>CI-HVC-BLRT-V06-160601</v>
      </c>
      <c r="M165" s="383" t="str">
        <f>'Unit Savings Calculations'!R161</f>
        <v>Exhibit 1.5A_R North Shore EEPS_Adjustable_Savings_Goal_Template.xlsx, Unit Savings Calculations Tab</v>
      </c>
      <c r="N165" s="295">
        <v>0.37064104123585789</v>
      </c>
      <c r="O165" s="295">
        <v>0.37064104123585789</v>
      </c>
      <c r="P165" s="295">
        <v>0.37064104123585789</v>
      </c>
      <c r="Q165" s="295">
        <v>0.37064104123585789</v>
      </c>
      <c r="R165" s="296">
        <f>'Unit Savings Calculations'!$G161</f>
        <v>0.92</v>
      </c>
      <c r="S165" s="296">
        <f>'Unit Savings Calculations'!$G161</f>
        <v>0.92</v>
      </c>
      <c r="T165" s="296">
        <f>'Unit Savings Calculations'!$G161</f>
        <v>0.92</v>
      </c>
      <c r="U165" s="296">
        <f>'Unit Savings Calculations'!$G161</f>
        <v>0.92</v>
      </c>
      <c r="V165" s="297">
        <f t="shared" si="123"/>
        <v>0</v>
      </c>
      <c r="W165" s="297">
        <f t="shared" si="124"/>
        <v>0</v>
      </c>
      <c r="X165" s="297">
        <f t="shared" si="125"/>
        <v>0</v>
      </c>
      <c r="Y165" s="297">
        <f t="shared" si="126"/>
        <v>0</v>
      </c>
      <c r="Z165" s="297">
        <f t="shared" si="127"/>
        <v>0</v>
      </c>
      <c r="AA165" s="292"/>
      <c r="AB165" s="292"/>
      <c r="AC165" s="295">
        <v>0.37064104123585789</v>
      </c>
      <c r="AD165" s="292"/>
      <c r="AE165" s="297">
        <f t="shared" si="87"/>
        <v>0</v>
      </c>
      <c r="AF165" s="294">
        <f t="shared" si="88"/>
        <v>0</v>
      </c>
      <c r="AG165" s="292"/>
      <c r="AH165" s="292">
        <f t="shared" si="89"/>
        <v>0</v>
      </c>
      <c r="AI165" s="295">
        <v>0.35919717795888428</v>
      </c>
      <c r="AJ165" s="383" t="s">
        <v>878</v>
      </c>
      <c r="AK165" s="297">
        <f t="shared" si="90"/>
        <v>0</v>
      </c>
      <c r="AL165" s="294">
        <f t="shared" si="91"/>
        <v>0</v>
      </c>
      <c r="AM165" s="292"/>
      <c r="AN165" s="292"/>
      <c r="AO165" s="295">
        <f>'Unit Savings Calculations'!P161</f>
        <v>0.38045006690183525</v>
      </c>
      <c r="AP165" s="383" t="s">
        <v>1441</v>
      </c>
      <c r="AQ165" s="297">
        <f t="shared" si="92"/>
        <v>0</v>
      </c>
      <c r="AR165" s="294">
        <f t="shared" si="93"/>
        <v>0</v>
      </c>
      <c r="AS165" s="292"/>
      <c r="AT165" s="292"/>
      <c r="AU165" s="295">
        <f>'Unit Savings Calculations'!Q161</f>
        <v>0.38045006690183525</v>
      </c>
      <c r="AV165" s="383" t="str">
        <f t="shared" si="94"/>
        <v>Updated heating EFLH</v>
      </c>
      <c r="AW165" s="297">
        <f t="shared" si="95"/>
        <v>0</v>
      </c>
      <c r="AX165" s="294">
        <f t="shared" si="96"/>
        <v>0</v>
      </c>
      <c r="AY165" s="297">
        <f t="shared" si="97"/>
        <v>0</v>
      </c>
      <c r="AZ165" s="297">
        <f t="shared" si="98"/>
        <v>0</v>
      </c>
      <c r="BA165" s="297">
        <f t="shared" si="99"/>
        <v>0</v>
      </c>
      <c r="BB165" s="297">
        <f t="shared" si="100"/>
        <v>0</v>
      </c>
      <c r="BC165" s="298">
        <f t="shared" si="101"/>
        <v>0</v>
      </c>
      <c r="BD165" s="292" t="s">
        <v>763</v>
      </c>
      <c r="BE165" s="299" t="str">
        <f t="shared" si="102"/>
        <v>Exhibit 1.5A_R North Shore EEPS_Adjustable_Savings_Goal_Template.xlsx, Unit Savings Calculations Tab</v>
      </c>
      <c r="BF165" s="298">
        <f t="shared" si="103"/>
        <v>0</v>
      </c>
      <c r="BG165" s="298">
        <f t="shared" si="103"/>
        <v>0</v>
      </c>
      <c r="BH165" s="298">
        <f t="shared" si="103"/>
        <v>0</v>
      </c>
      <c r="BI165" s="298">
        <f t="shared" si="84"/>
        <v>0</v>
      </c>
      <c r="BJ165" s="298">
        <f t="shared" si="104"/>
        <v>0</v>
      </c>
      <c r="BK165" s="482">
        <v>3</v>
      </c>
      <c r="BL165" s="482">
        <v>3</v>
      </c>
      <c r="BM165" s="482">
        <f>INDEX('Unit Savings Calculations'!$I$4:$I$421,MATCH('Measure-Level Adjustments Tab'!$A165&amp;"_"&amp;'Measure-Level Adjustments Tab'!$B165,'Unit Savings Calculations'!$A$4:$A$421,0))</f>
        <v>3</v>
      </c>
      <c r="BN165" s="482">
        <f t="shared" si="105"/>
        <v>3</v>
      </c>
      <c r="BO165" s="483">
        <f t="shared" si="106"/>
        <v>0</v>
      </c>
      <c r="BP165" s="483">
        <f t="shared" si="106"/>
        <v>0</v>
      </c>
      <c r="BQ165" s="483">
        <f t="shared" si="106"/>
        <v>0</v>
      </c>
      <c r="BR165" s="483">
        <f t="shared" si="85"/>
        <v>0</v>
      </c>
      <c r="BS165" s="483">
        <f t="shared" si="86"/>
        <v>0</v>
      </c>
    </row>
    <row r="166" spans="1:71" ht="15.75" customHeight="1">
      <c r="A166" s="292" t="str">
        <f>'Unit Savings Calculations'!C162</f>
        <v>Bus - SB Rebates</v>
      </c>
      <c r="B166" s="292" t="str">
        <f>'Unit Savings Calculations'!D162</f>
        <v>Condensing Unit Heater</v>
      </c>
      <c r="C166" s="293">
        <f t="shared" si="107"/>
        <v>1</v>
      </c>
      <c r="D166" s="292" t="str">
        <f>'Unit Savings Calculations'!T162</f>
        <v>4.4.5</v>
      </c>
      <c r="E166" s="438">
        <v>12</v>
      </c>
      <c r="F166" s="438">
        <v>12</v>
      </c>
      <c r="G166" s="292" t="str">
        <f>'Unit Savings Calculations'!E162</f>
        <v>MBH</v>
      </c>
      <c r="H166" s="294">
        <f>'Unit Savings Calculations'!$F162*'Unit Savings Calculations'!J162</f>
        <v>0</v>
      </c>
      <c r="I166" s="294">
        <f>'Unit Savings Calculations'!$F162*'Unit Savings Calculations'!K162</f>
        <v>0</v>
      </c>
      <c r="J166" s="294">
        <f>'Unit Savings Calculations'!$F162*'Unit Savings Calculations'!L162</f>
        <v>0</v>
      </c>
      <c r="K166" s="294">
        <f>'Unit Savings Calculations'!$F162*'Unit Savings Calculations'!M162</f>
        <v>0</v>
      </c>
      <c r="L166" s="292" t="str">
        <f>'Unit Savings Calculations'!U162</f>
        <v>CI-HVC-CUHT-V01-120601</v>
      </c>
      <c r="M166" s="383" t="str">
        <f>'Unit Savings Calculations'!R162</f>
        <v>Exhibit 1.5A_R North Shore EEPS_Adjustable_Savings_Goal_Template.xlsx, Unit Savings Calculations Tab</v>
      </c>
      <c r="N166" s="295">
        <v>1.7733333333333334</v>
      </c>
      <c r="O166" s="295">
        <v>1.7733333333333334</v>
      </c>
      <c r="P166" s="295">
        <v>1.7733333333333334</v>
      </c>
      <c r="Q166" s="295">
        <v>1.7733333333333334</v>
      </c>
      <c r="R166" s="296">
        <f>'Unit Savings Calculations'!$G162</f>
        <v>0.92</v>
      </c>
      <c r="S166" s="296">
        <f>'Unit Savings Calculations'!$G162</f>
        <v>0.92</v>
      </c>
      <c r="T166" s="296">
        <f>'Unit Savings Calculations'!$G162</f>
        <v>0.92</v>
      </c>
      <c r="U166" s="296">
        <f>'Unit Savings Calculations'!$G162</f>
        <v>0.92</v>
      </c>
      <c r="V166" s="297">
        <f t="shared" si="123"/>
        <v>0</v>
      </c>
      <c r="W166" s="297">
        <f t="shared" si="124"/>
        <v>0</v>
      </c>
      <c r="X166" s="297">
        <f t="shared" si="125"/>
        <v>0</v>
      </c>
      <c r="Y166" s="297">
        <f t="shared" si="126"/>
        <v>0</v>
      </c>
      <c r="Z166" s="297">
        <f t="shared" si="127"/>
        <v>0</v>
      </c>
      <c r="AA166" s="292"/>
      <c r="AB166" s="292"/>
      <c r="AC166" s="295">
        <v>1.7733333333333334</v>
      </c>
      <c r="AD166" s="292"/>
      <c r="AE166" s="297">
        <f t="shared" si="87"/>
        <v>0</v>
      </c>
      <c r="AF166" s="294">
        <f t="shared" si="88"/>
        <v>0</v>
      </c>
      <c r="AG166" s="292"/>
      <c r="AH166" s="292">
        <f t="shared" si="89"/>
        <v>0</v>
      </c>
      <c r="AI166" s="295">
        <v>1.7733333333333334</v>
      </c>
      <c r="AJ166" s="383" t="s">
        <v>878</v>
      </c>
      <c r="AK166" s="297">
        <f t="shared" si="90"/>
        <v>0</v>
      </c>
      <c r="AL166" s="294">
        <f t="shared" si="91"/>
        <v>0</v>
      </c>
      <c r="AM166" s="292"/>
      <c r="AN166" s="292"/>
      <c r="AO166" s="295">
        <f>'Unit Savings Calculations'!P162</f>
        <v>1.7733333333333334</v>
      </c>
      <c r="AP166" s="383" t="s">
        <v>763</v>
      </c>
      <c r="AQ166" s="297">
        <f t="shared" si="92"/>
        <v>0</v>
      </c>
      <c r="AR166" s="294">
        <f t="shared" si="93"/>
        <v>0</v>
      </c>
      <c r="AS166" s="292"/>
      <c r="AT166" s="292"/>
      <c r="AU166" s="295">
        <f>'Unit Savings Calculations'!Q162</f>
        <v>1.7733333333333334</v>
      </c>
      <c r="AV166" s="383" t="str">
        <f t="shared" si="94"/>
        <v>n/a</v>
      </c>
      <c r="AW166" s="297">
        <f t="shared" si="95"/>
        <v>0</v>
      </c>
      <c r="AX166" s="294">
        <f t="shared" si="96"/>
        <v>0</v>
      </c>
      <c r="AY166" s="297">
        <f t="shared" si="97"/>
        <v>0</v>
      </c>
      <c r="AZ166" s="297">
        <f t="shared" si="98"/>
        <v>0</v>
      </c>
      <c r="BA166" s="297">
        <f t="shared" si="99"/>
        <v>0</v>
      </c>
      <c r="BB166" s="297">
        <f t="shared" si="100"/>
        <v>0</v>
      </c>
      <c r="BC166" s="298">
        <f t="shared" si="101"/>
        <v>0</v>
      </c>
      <c r="BD166" s="292" t="s">
        <v>763</v>
      </c>
      <c r="BE166" s="299" t="str">
        <f t="shared" si="102"/>
        <v>Exhibit 1.5A_R North Shore EEPS_Adjustable_Savings_Goal_Template.xlsx, Unit Savings Calculations Tab</v>
      </c>
      <c r="BF166" s="298">
        <f t="shared" si="103"/>
        <v>0</v>
      </c>
      <c r="BG166" s="298">
        <f t="shared" si="103"/>
        <v>0</v>
      </c>
      <c r="BH166" s="298">
        <f t="shared" si="103"/>
        <v>0</v>
      </c>
      <c r="BI166" s="298">
        <f t="shared" si="84"/>
        <v>0</v>
      </c>
      <c r="BJ166" s="298">
        <f t="shared" si="104"/>
        <v>0</v>
      </c>
      <c r="BK166" s="482">
        <v>12</v>
      </c>
      <c r="BL166" s="482">
        <v>12</v>
      </c>
      <c r="BM166" s="482">
        <f>INDEX('Unit Savings Calculations'!$I$4:$I$421,MATCH('Measure-Level Adjustments Tab'!$A166&amp;"_"&amp;'Measure-Level Adjustments Tab'!$B166,'Unit Savings Calculations'!$A$4:$A$421,0))</f>
        <v>12</v>
      </c>
      <c r="BN166" s="482">
        <f t="shared" si="105"/>
        <v>12</v>
      </c>
      <c r="BO166" s="483">
        <f t="shared" si="106"/>
        <v>0</v>
      </c>
      <c r="BP166" s="483">
        <f t="shared" si="106"/>
        <v>0</v>
      </c>
      <c r="BQ166" s="483">
        <f t="shared" si="106"/>
        <v>0</v>
      </c>
      <c r="BR166" s="483">
        <f t="shared" si="85"/>
        <v>0</v>
      </c>
      <c r="BS166" s="483">
        <f t="shared" si="86"/>
        <v>0</v>
      </c>
    </row>
    <row r="167" spans="1:71" ht="15.75" customHeight="1">
      <c r="A167" s="292" t="str">
        <f>'Unit Savings Calculations'!C163</f>
        <v>Bus - SB Rebates</v>
      </c>
      <c r="B167" s="292" t="str">
        <f>'Unit Savings Calculations'!D163</f>
        <v>DCV - Kitchen</v>
      </c>
      <c r="C167" s="293">
        <f t="shared" si="107"/>
        <v>1</v>
      </c>
      <c r="D167" s="292" t="str">
        <f>'Unit Savings Calculations'!T163</f>
        <v>4.2.16</v>
      </c>
      <c r="E167" s="438">
        <v>15</v>
      </c>
      <c r="F167" s="438">
        <v>15</v>
      </c>
      <c r="G167" s="292" t="str">
        <f>'Unit Savings Calculations'!E163</f>
        <v>each</v>
      </c>
      <c r="H167" s="294">
        <f>'Unit Savings Calculations'!$F163*'Unit Savings Calculations'!J163</f>
        <v>0</v>
      </c>
      <c r="I167" s="294">
        <f>'Unit Savings Calculations'!$F163*'Unit Savings Calculations'!K163</f>
        <v>0</v>
      </c>
      <c r="J167" s="294">
        <f>'Unit Savings Calculations'!$F163*'Unit Savings Calculations'!L163</f>
        <v>0</v>
      </c>
      <c r="K167" s="294">
        <f>'Unit Savings Calculations'!$F163*'Unit Savings Calculations'!M163</f>
        <v>0</v>
      </c>
      <c r="L167" s="292" t="str">
        <f>'Unit Savings Calculations'!U163</f>
        <v>CI-FSE-VENT-V03-160601</v>
      </c>
      <c r="M167" s="383" t="str">
        <f>'Unit Savings Calculations'!R163</f>
        <v>Exhibit 1.5A_R North Shore EEPS_Adjustable_Savings_Goal_Template.xlsx, Unit Savings Calculations Tab</v>
      </c>
      <c r="N167" s="295">
        <v>5998.5</v>
      </c>
      <c r="O167" s="295">
        <v>5998.5</v>
      </c>
      <c r="P167" s="295">
        <v>5998.5</v>
      </c>
      <c r="Q167" s="295">
        <v>5998.5</v>
      </c>
      <c r="R167" s="296">
        <f>'Unit Savings Calculations'!$G163</f>
        <v>0.92</v>
      </c>
      <c r="S167" s="296">
        <f>'Unit Savings Calculations'!$G163</f>
        <v>0.92</v>
      </c>
      <c r="T167" s="296">
        <f>'Unit Savings Calculations'!$G163</f>
        <v>0.92</v>
      </c>
      <c r="U167" s="296">
        <f>'Unit Savings Calculations'!$G163</f>
        <v>0.92</v>
      </c>
      <c r="V167" s="297">
        <f t="shared" si="123"/>
        <v>0</v>
      </c>
      <c r="W167" s="297">
        <f t="shared" si="124"/>
        <v>0</v>
      </c>
      <c r="X167" s="297">
        <f t="shared" si="125"/>
        <v>0</v>
      </c>
      <c r="Y167" s="297">
        <f t="shared" si="126"/>
        <v>0</v>
      </c>
      <c r="Z167" s="297">
        <f t="shared" si="127"/>
        <v>0</v>
      </c>
      <c r="AA167" s="292"/>
      <c r="AB167" s="292"/>
      <c r="AC167" s="295">
        <v>5998.5</v>
      </c>
      <c r="AD167" s="292"/>
      <c r="AE167" s="297">
        <f t="shared" si="87"/>
        <v>0</v>
      </c>
      <c r="AF167" s="294">
        <f t="shared" si="88"/>
        <v>0</v>
      </c>
      <c r="AG167" s="292"/>
      <c r="AH167" s="292">
        <f t="shared" si="89"/>
        <v>0</v>
      </c>
      <c r="AI167" s="295">
        <v>5998.5</v>
      </c>
      <c r="AJ167" s="383" t="s">
        <v>878</v>
      </c>
      <c r="AK167" s="297">
        <f t="shared" si="90"/>
        <v>0</v>
      </c>
      <c r="AL167" s="294">
        <f t="shared" si="91"/>
        <v>0</v>
      </c>
      <c r="AM167" s="292"/>
      <c r="AN167" s="292"/>
      <c r="AO167" s="295">
        <f>'Unit Savings Calculations'!P163</f>
        <v>5998.5</v>
      </c>
      <c r="AP167" s="383" t="s">
        <v>763</v>
      </c>
      <c r="AQ167" s="297">
        <f t="shared" si="92"/>
        <v>0</v>
      </c>
      <c r="AR167" s="294">
        <f t="shared" si="93"/>
        <v>0</v>
      </c>
      <c r="AS167" s="292"/>
      <c r="AT167" s="292"/>
      <c r="AU167" s="295">
        <f>'Unit Savings Calculations'!Q163</f>
        <v>5998.5</v>
      </c>
      <c r="AV167" s="383" t="str">
        <f t="shared" si="94"/>
        <v>n/a</v>
      </c>
      <c r="AW167" s="297">
        <f t="shared" si="95"/>
        <v>0</v>
      </c>
      <c r="AX167" s="294">
        <f t="shared" si="96"/>
        <v>0</v>
      </c>
      <c r="AY167" s="297">
        <f t="shared" si="97"/>
        <v>0</v>
      </c>
      <c r="AZ167" s="297">
        <f t="shared" si="98"/>
        <v>0</v>
      </c>
      <c r="BA167" s="297">
        <f t="shared" si="99"/>
        <v>0</v>
      </c>
      <c r="BB167" s="297">
        <f t="shared" si="100"/>
        <v>0</v>
      </c>
      <c r="BC167" s="298">
        <f t="shared" si="101"/>
        <v>0</v>
      </c>
      <c r="BD167" s="292" t="s">
        <v>763</v>
      </c>
      <c r="BE167" s="299" t="str">
        <f t="shared" si="102"/>
        <v>Exhibit 1.5A_R North Shore EEPS_Adjustable_Savings_Goal_Template.xlsx, Unit Savings Calculations Tab</v>
      </c>
      <c r="BF167" s="298">
        <f t="shared" si="103"/>
        <v>0</v>
      </c>
      <c r="BG167" s="298">
        <f t="shared" si="103"/>
        <v>0</v>
      </c>
      <c r="BH167" s="298">
        <f t="shared" si="103"/>
        <v>0</v>
      </c>
      <c r="BI167" s="298">
        <f t="shared" si="84"/>
        <v>0</v>
      </c>
      <c r="BJ167" s="298">
        <f t="shared" si="104"/>
        <v>0</v>
      </c>
      <c r="BK167" s="482">
        <v>15</v>
      </c>
      <c r="BL167" s="482">
        <v>15</v>
      </c>
      <c r="BM167" s="482">
        <f>INDEX('Unit Savings Calculations'!$I$4:$I$421,MATCH('Measure-Level Adjustments Tab'!$A167&amp;"_"&amp;'Measure-Level Adjustments Tab'!$B167,'Unit Savings Calculations'!$A$4:$A$421,0))</f>
        <v>15</v>
      </c>
      <c r="BN167" s="482">
        <f t="shared" si="105"/>
        <v>15</v>
      </c>
      <c r="BO167" s="483">
        <f t="shared" si="106"/>
        <v>0</v>
      </c>
      <c r="BP167" s="483">
        <f t="shared" si="106"/>
        <v>0</v>
      </c>
      <c r="BQ167" s="483">
        <f t="shared" si="106"/>
        <v>0</v>
      </c>
      <c r="BR167" s="483">
        <f t="shared" si="85"/>
        <v>0</v>
      </c>
      <c r="BS167" s="483">
        <f t="shared" si="86"/>
        <v>0</v>
      </c>
    </row>
    <row r="168" spans="1:71" ht="15.75" customHeight="1">
      <c r="A168" s="292" t="str">
        <f>'Unit Savings Calculations'!C164</f>
        <v>Bus - SB Rebates</v>
      </c>
      <c r="B168" s="292" t="str">
        <f>'Unit Savings Calculations'!D164</f>
        <v>Direct Fired Heaters</v>
      </c>
      <c r="C168" s="293">
        <f t="shared" si="107"/>
        <v>0</v>
      </c>
      <c r="D168" s="292" t="str">
        <f>'Unit Savings Calculations'!T164</f>
        <v>Custom</v>
      </c>
      <c r="E168" s="438">
        <v>20</v>
      </c>
      <c r="F168" s="438">
        <v>20</v>
      </c>
      <c r="G168" s="292" t="str">
        <f>'Unit Savings Calculations'!E164</f>
        <v>MBH</v>
      </c>
      <c r="H168" s="294">
        <f>'Unit Savings Calculations'!$F164*'Unit Savings Calculations'!J164</f>
        <v>0</v>
      </c>
      <c r="I168" s="294">
        <f>'Unit Savings Calculations'!$F164*'Unit Savings Calculations'!K164</f>
        <v>0</v>
      </c>
      <c r="J168" s="294">
        <f>'Unit Savings Calculations'!$F164*'Unit Savings Calculations'!L164</f>
        <v>0</v>
      </c>
      <c r="K168" s="294">
        <f>'Unit Savings Calculations'!$F164*'Unit Savings Calculations'!M164</f>
        <v>0</v>
      </c>
      <c r="L168" s="292" t="str">
        <f>'Unit Savings Calculations'!U164</f>
        <v>Custom</v>
      </c>
      <c r="M168" s="383" t="str">
        <f>'Unit Savings Calculations'!R164</f>
        <v>Custom</v>
      </c>
      <c r="N168" s="295">
        <v>2.3084999999999987</v>
      </c>
      <c r="O168" s="295">
        <v>2.3084999999999987</v>
      </c>
      <c r="P168" s="295">
        <v>2.3084999999999987</v>
      </c>
      <c r="Q168" s="295">
        <v>2.3084999999999987</v>
      </c>
      <c r="R168" s="296">
        <f>'Unit Savings Calculations'!$G164</f>
        <v>0.92</v>
      </c>
      <c r="S168" s="296">
        <f>'Unit Savings Calculations'!$G164</f>
        <v>0.92</v>
      </c>
      <c r="T168" s="296">
        <f>'Unit Savings Calculations'!$G164</f>
        <v>0.92</v>
      </c>
      <c r="U168" s="296">
        <f>'Unit Savings Calculations'!$G164</f>
        <v>0.92</v>
      </c>
      <c r="V168" s="297">
        <f t="shared" si="123"/>
        <v>0</v>
      </c>
      <c r="W168" s="297">
        <f t="shared" si="124"/>
        <v>0</v>
      </c>
      <c r="X168" s="297">
        <f t="shared" si="125"/>
        <v>0</v>
      </c>
      <c r="Y168" s="297">
        <f t="shared" si="126"/>
        <v>0</v>
      </c>
      <c r="Z168" s="297">
        <f t="shared" si="127"/>
        <v>0</v>
      </c>
      <c r="AA168" s="384"/>
      <c r="AB168" s="384"/>
      <c r="AC168" s="387">
        <v>2.3084999999999987</v>
      </c>
      <c r="AD168" s="384"/>
      <c r="AE168" s="385">
        <f t="shared" si="87"/>
        <v>0</v>
      </c>
      <c r="AF168" s="386">
        <f t="shared" si="88"/>
        <v>0</v>
      </c>
      <c r="AG168" s="384"/>
      <c r="AH168" s="384">
        <f t="shared" si="89"/>
        <v>0</v>
      </c>
      <c r="AI168" s="387">
        <v>2.3084999999999987</v>
      </c>
      <c r="AJ168" s="435" t="s">
        <v>878</v>
      </c>
      <c r="AK168" s="385">
        <f t="shared" si="90"/>
        <v>0</v>
      </c>
      <c r="AL168" s="386">
        <f t="shared" si="91"/>
        <v>0</v>
      </c>
      <c r="AM168" s="384"/>
      <c r="AN168" s="384"/>
      <c r="AO168" s="387">
        <f>'Unit Savings Calculations'!P164</f>
        <v>2.5169999999999986</v>
      </c>
      <c r="AP168" s="435" t="s">
        <v>1441</v>
      </c>
      <c r="AQ168" s="385">
        <f t="shared" si="92"/>
        <v>0</v>
      </c>
      <c r="AR168" s="386">
        <f t="shared" si="93"/>
        <v>0</v>
      </c>
      <c r="AS168" s="384"/>
      <c r="AT168" s="384"/>
      <c r="AU168" s="387">
        <f>'Unit Savings Calculations'!Q164</f>
        <v>2.5169999999999986</v>
      </c>
      <c r="AV168" s="435" t="str">
        <f t="shared" si="94"/>
        <v>Updated heating EFLH</v>
      </c>
      <c r="AW168" s="385">
        <f t="shared" si="95"/>
        <v>0</v>
      </c>
      <c r="AX168" s="386">
        <f t="shared" si="96"/>
        <v>0</v>
      </c>
      <c r="AY168" s="297">
        <f t="shared" si="97"/>
        <v>0</v>
      </c>
      <c r="AZ168" s="297">
        <f t="shared" si="98"/>
        <v>0</v>
      </c>
      <c r="BA168" s="297">
        <f t="shared" si="99"/>
        <v>0</v>
      </c>
      <c r="BB168" s="297">
        <f t="shared" si="100"/>
        <v>0</v>
      </c>
      <c r="BC168" s="298">
        <f t="shared" si="101"/>
        <v>0</v>
      </c>
      <c r="BD168" s="292" t="s">
        <v>763</v>
      </c>
      <c r="BE168" s="299" t="str">
        <f t="shared" si="102"/>
        <v>Custom</v>
      </c>
      <c r="BF168" s="298">
        <f t="shared" si="103"/>
        <v>0</v>
      </c>
      <c r="BG168" s="298">
        <f t="shared" si="103"/>
        <v>0</v>
      </c>
      <c r="BH168" s="298">
        <f t="shared" si="103"/>
        <v>0</v>
      </c>
      <c r="BI168" s="298">
        <f t="shared" si="84"/>
        <v>0</v>
      </c>
      <c r="BJ168" s="298">
        <f t="shared" si="104"/>
        <v>0</v>
      </c>
      <c r="BK168" s="482">
        <v>20</v>
      </c>
      <c r="BL168" s="482">
        <v>20</v>
      </c>
      <c r="BM168" s="482">
        <f>INDEX('Unit Savings Calculations'!$I$4:$I$421,MATCH('Measure-Level Adjustments Tab'!$A168&amp;"_"&amp;'Measure-Level Adjustments Tab'!$B168,'Unit Savings Calculations'!$A$4:$A$421,0))</f>
        <v>20</v>
      </c>
      <c r="BN168" s="482">
        <f t="shared" si="105"/>
        <v>20</v>
      </c>
      <c r="BO168" s="483">
        <f t="shared" si="106"/>
        <v>0</v>
      </c>
      <c r="BP168" s="483">
        <f t="shared" si="106"/>
        <v>0</v>
      </c>
      <c r="BQ168" s="483">
        <f t="shared" si="106"/>
        <v>0</v>
      </c>
      <c r="BR168" s="483">
        <f t="shared" si="85"/>
        <v>0</v>
      </c>
      <c r="BS168" s="483">
        <f t="shared" si="86"/>
        <v>0</v>
      </c>
    </row>
    <row r="169" spans="1:71" ht="15.75" customHeight="1">
      <c r="A169" s="292" t="str">
        <f>'Unit Savings Calculations'!C165</f>
        <v>Bus - SB Rebates</v>
      </c>
      <c r="B169" s="292" t="str">
        <f>'Unit Savings Calculations'!D165</f>
        <v>Double Rack Oven</v>
      </c>
      <c r="C169" s="293">
        <f t="shared" si="107"/>
        <v>1</v>
      </c>
      <c r="D169" s="292" t="str">
        <f>'Unit Savings Calculations'!T165</f>
        <v>4.2.18</v>
      </c>
      <c r="E169" s="438">
        <v>12</v>
      </c>
      <c r="F169" s="438">
        <v>12</v>
      </c>
      <c r="G169" s="292" t="str">
        <f>'Unit Savings Calculations'!E165</f>
        <v>each</v>
      </c>
      <c r="H169" s="294">
        <f>'Unit Savings Calculations'!$F165*'Unit Savings Calculations'!J165</f>
        <v>0</v>
      </c>
      <c r="I169" s="294">
        <f>'Unit Savings Calculations'!$F165*'Unit Savings Calculations'!K165</f>
        <v>0</v>
      </c>
      <c r="J169" s="294">
        <f>'Unit Savings Calculations'!$F165*'Unit Savings Calculations'!L165</f>
        <v>0</v>
      </c>
      <c r="K169" s="294">
        <f>'Unit Savings Calculations'!$F165*'Unit Savings Calculations'!M165</f>
        <v>0</v>
      </c>
      <c r="L169" s="292" t="str">
        <f>'Unit Savings Calculations'!U165</f>
        <v>CI-FSE-RKOV-VO2-180101</v>
      </c>
      <c r="M169" s="383" t="str">
        <f>'Unit Savings Calculations'!R165</f>
        <v>Exhibit 1.5A_R North Shore EEPS_Adjustable_Savings_Goal_Template.xlsx, Unit Savings Calculations Tab</v>
      </c>
      <c r="N169" s="295">
        <v>1930</v>
      </c>
      <c r="O169" s="295">
        <v>1930</v>
      </c>
      <c r="P169" s="295">
        <v>1930</v>
      </c>
      <c r="Q169" s="295">
        <v>1930</v>
      </c>
      <c r="R169" s="296">
        <f>'Unit Savings Calculations'!$G165</f>
        <v>0.92</v>
      </c>
      <c r="S169" s="296">
        <f>'Unit Savings Calculations'!$G165</f>
        <v>0.92</v>
      </c>
      <c r="T169" s="296">
        <f>'Unit Savings Calculations'!$G165</f>
        <v>0.92</v>
      </c>
      <c r="U169" s="296">
        <f>'Unit Savings Calculations'!$G165</f>
        <v>0.92</v>
      </c>
      <c r="V169" s="297">
        <f t="shared" si="123"/>
        <v>0</v>
      </c>
      <c r="W169" s="297">
        <f t="shared" si="124"/>
        <v>0</v>
      </c>
      <c r="X169" s="297">
        <f t="shared" si="125"/>
        <v>0</v>
      </c>
      <c r="Y169" s="297">
        <f t="shared" si="126"/>
        <v>0</v>
      </c>
      <c r="Z169" s="297">
        <f t="shared" si="127"/>
        <v>0</v>
      </c>
      <c r="AA169" s="292"/>
      <c r="AB169" s="292"/>
      <c r="AC169" s="295">
        <v>1930</v>
      </c>
      <c r="AD169" s="292"/>
      <c r="AE169" s="297">
        <f t="shared" si="87"/>
        <v>0</v>
      </c>
      <c r="AF169" s="294">
        <f t="shared" si="88"/>
        <v>0</v>
      </c>
      <c r="AG169" s="292"/>
      <c r="AH169" s="292">
        <f t="shared" si="89"/>
        <v>0</v>
      </c>
      <c r="AI169" s="295">
        <v>1930</v>
      </c>
      <c r="AJ169" s="383" t="s">
        <v>878</v>
      </c>
      <c r="AK169" s="297">
        <f t="shared" si="90"/>
        <v>0</v>
      </c>
      <c r="AL169" s="294">
        <f t="shared" si="91"/>
        <v>0</v>
      </c>
      <c r="AM169" s="292"/>
      <c r="AN169" s="292"/>
      <c r="AO169" s="295">
        <f>'Unit Savings Calculations'!P165</f>
        <v>1930</v>
      </c>
      <c r="AP169" s="383" t="s">
        <v>763</v>
      </c>
      <c r="AQ169" s="297">
        <f t="shared" si="92"/>
        <v>0</v>
      </c>
      <c r="AR169" s="294">
        <f t="shared" si="93"/>
        <v>0</v>
      </c>
      <c r="AS169" s="292"/>
      <c r="AT169" s="292"/>
      <c r="AU169" s="295">
        <f>'Unit Savings Calculations'!Q165</f>
        <v>1930</v>
      </c>
      <c r="AV169" s="383" t="str">
        <f t="shared" si="94"/>
        <v>n/a</v>
      </c>
      <c r="AW169" s="297">
        <f t="shared" si="95"/>
        <v>0</v>
      </c>
      <c r="AX169" s="294">
        <f t="shared" si="96"/>
        <v>0</v>
      </c>
      <c r="AY169" s="297">
        <f t="shared" si="97"/>
        <v>0</v>
      </c>
      <c r="AZ169" s="297">
        <f t="shared" si="98"/>
        <v>0</v>
      </c>
      <c r="BA169" s="297">
        <f t="shared" si="99"/>
        <v>0</v>
      </c>
      <c r="BB169" s="297">
        <f t="shared" si="100"/>
        <v>0</v>
      </c>
      <c r="BC169" s="298">
        <f t="shared" si="101"/>
        <v>0</v>
      </c>
      <c r="BD169" s="292" t="s">
        <v>763</v>
      </c>
      <c r="BE169" s="299" t="str">
        <f t="shared" si="102"/>
        <v>Exhibit 1.5A_R North Shore EEPS_Adjustable_Savings_Goal_Template.xlsx, Unit Savings Calculations Tab</v>
      </c>
      <c r="BF169" s="298">
        <f t="shared" si="103"/>
        <v>0</v>
      </c>
      <c r="BG169" s="298">
        <f t="shared" si="103"/>
        <v>0</v>
      </c>
      <c r="BH169" s="298">
        <f t="shared" si="103"/>
        <v>0</v>
      </c>
      <c r="BI169" s="298">
        <f t="shared" si="84"/>
        <v>0</v>
      </c>
      <c r="BJ169" s="298">
        <f t="shared" si="104"/>
        <v>0</v>
      </c>
      <c r="BK169" s="482">
        <v>12</v>
      </c>
      <c r="BL169" s="482">
        <v>12</v>
      </c>
      <c r="BM169" s="482">
        <f>INDEX('Unit Savings Calculations'!$I$4:$I$421,MATCH('Measure-Level Adjustments Tab'!$A169&amp;"_"&amp;'Measure-Level Adjustments Tab'!$B169,'Unit Savings Calculations'!$A$4:$A$421,0))</f>
        <v>12</v>
      </c>
      <c r="BN169" s="482">
        <f t="shared" si="105"/>
        <v>12</v>
      </c>
      <c r="BO169" s="483">
        <f t="shared" si="106"/>
        <v>0</v>
      </c>
      <c r="BP169" s="483">
        <f t="shared" si="106"/>
        <v>0</v>
      </c>
      <c r="BQ169" s="483">
        <f t="shared" si="106"/>
        <v>0</v>
      </c>
      <c r="BR169" s="483">
        <f t="shared" si="85"/>
        <v>0</v>
      </c>
      <c r="BS169" s="483">
        <f t="shared" si="86"/>
        <v>0</v>
      </c>
    </row>
    <row r="170" spans="1:71" ht="15.75" customHeight="1">
      <c r="A170" s="292" t="str">
        <f>'Unit Savings Calculations'!C166</f>
        <v>Bus - SB Rebates</v>
      </c>
      <c r="B170" s="292" t="str">
        <f>'Unit Savings Calculations'!D166</f>
        <v>Energy Star Convection Oven</v>
      </c>
      <c r="C170" s="293">
        <f t="shared" si="107"/>
        <v>1</v>
      </c>
      <c r="D170" s="292" t="str">
        <f>'Unit Savings Calculations'!T166</f>
        <v>4.2.5</v>
      </c>
      <c r="E170" s="438">
        <v>12</v>
      </c>
      <c r="F170" s="438">
        <v>12</v>
      </c>
      <c r="G170" s="292" t="str">
        <f>'Unit Savings Calculations'!E166</f>
        <v>each</v>
      </c>
      <c r="H170" s="294">
        <f>'Unit Savings Calculations'!$F166*'Unit Savings Calculations'!J166</f>
        <v>0</v>
      </c>
      <c r="I170" s="294">
        <f>'Unit Savings Calculations'!$F166*'Unit Savings Calculations'!K166</f>
        <v>0</v>
      </c>
      <c r="J170" s="294">
        <f>'Unit Savings Calculations'!$F166*'Unit Savings Calculations'!L166</f>
        <v>0</v>
      </c>
      <c r="K170" s="294">
        <f>'Unit Savings Calculations'!$F166*'Unit Savings Calculations'!M166</f>
        <v>0</v>
      </c>
      <c r="L170" s="292" t="str">
        <f>'Unit Savings Calculations'!U166</f>
        <v>CI-FSE-ESCV-V02-180101</v>
      </c>
      <c r="M170" s="383" t="str">
        <f>'Unit Savings Calculations'!R166</f>
        <v>Exhibit 1.5A_R North Shore EEPS_Adjustable_Savings_Goal_Template.xlsx, Unit Savings Calculations Tab</v>
      </c>
      <c r="N170" s="295">
        <v>352.14445072463781</v>
      </c>
      <c r="O170" s="295">
        <v>352.14445072463781</v>
      </c>
      <c r="P170" s="295">
        <v>352.14445072463781</v>
      </c>
      <c r="Q170" s="295">
        <v>352.14445072463781</v>
      </c>
      <c r="R170" s="296">
        <f>'Unit Savings Calculations'!$G166</f>
        <v>0.92</v>
      </c>
      <c r="S170" s="296">
        <f>'Unit Savings Calculations'!$G166</f>
        <v>0.92</v>
      </c>
      <c r="T170" s="296">
        <f>'Unit Savings Calculations'!$G166</f>
        <v>0.92</v>
      </c>
      <c r="U170" s="296">
        <f>'Unit Savings Calculations'!$G166</f>
        <v>0.92</v>
      </c>
      <c r="V170" s="297">
        <f t="shared" si="123"/>
        <v>0</v>
      </c>
      <c r="W170" s="297">
        <f t="shared" si="124"/>
        <v>0</v>
      </c>
      <c r="X170" s="297">
        <f t="shared" si="125"/>
        <v>0</v>
      </c>
      <c r="Y170" s="297">
        <f t="shared" si="126"/>
        <v>0</v>
      </c>
      <c r="Z170" s="297">
        <f t="shared" si="127"/>
        <v>0</v>
      </c>
      <c r="AA170" s="292"/>
      <c r="AB170" s="292"/>
      <c r="AC170" s="295">
        <v>352.14445072463781</v>
      </c>
      <c r="AD170" s="292"/>
      <c r="AE170" s="297">
        <f t="shared" si="87"/>
        <v>0</v>
      </c>
      <c r="AF170" s="294">
        <f t="shared" si="88"/>
        <v>0</v>
      </c>
      <c r="AG170" s="292"/>
      <c r="AH170" s="292">
        <f t="shared" si="89"/>
        <v>0</v>
      </c>
      <c r="AI170" s="295">
        <v>352.14445072463781</v>
      </c>
      <c r="AJ170" s="383" t="s">
        <v>878</v>
      </c>
      <c r="AK170" s="297">
        <f t="shared" si="90"/>
        <v>0</v>
      </c>
      <c r="AL170" s="294">
        <f t="shared" si="91"/>
        <v>0</v>
      </c>
      <c r="AM170" s="292"/>
      <c r="AN170" s="292"/>
      <c r="AO170" s="295">
        <f>'Unit Savings Calculations'!P166</f>
        <v>352.14445072463781</v>
      </c>
      <c r="AP170" s="383" t="s">
        <v>763</v>
      </c>
      <c r="AQ170" s="297">
        <f t="shared" si="92"/>
        <v>0</v>
      </c>
      <c r="AR170" s="294">
        <f t="shared" si="93"/>
        <v>0</v>
      </c>
      <c r="AS170" s="292"/>
      <c r="AT170" s="292"/>
      <c r="AU170" s="295">
        <f>'Unit Savings Calculations'!Q166</f>
        <v>352.14445072463781</v>
      </c>
      <c r="AV170" s="383" t="str">
        <f t="shared" si="94"/>
        <v>n/a</v>
      </c>
      <c r="AW170" s="297">
        <f t="shared" si="95"/>
        <v>0</v>
      </c>
      <c r="AX170" s="294">
        <f t="shared" si="96"/>
        <v>0</v>
      </c>
      <c r="AY170" s="297">
        <f t="shared" si="97"/>
        <v>0</v>
      </c>
      <c r="AZ170" s="297">
        <f t="shared" si="98"/>
        <v>0</v>
      </c>
      <c r="BA170" s="297">
        <f t="shared" si="99"/>
        <v>0</v>
      </c>
      <c r="BB170" s="297">
        <f t="shared" si="100"/>
        <v>0</v>
      </c>
      <c r="BC170" s="298">
        <f t="shared" si="101"/>
        <v>0</v>
      </c>
      <c r="BD170" s="292" t="s">
        <v>763</v>
      </c>
      <c r="BE170" s="299" t="str">
        <f t="shared" si="102"/>
        <v>Exhibit 1.5A_R North Shore EEPS_Adjustable_Savings_Goal_Template.xlsx, Unit Savings Calculations Tab</v>
      </c>
      <c r="BF170" s="298">
        <f t="shared" si="103"/>
        <v>0</v>
      </c>
      <c r="BG170" s="298">
        <f t="shared" si="103"/>
        <v>0</v>
      </c>
      <c r="BH170" s="298">
        <f t="shared" si="103"/>
        <v>0</v>
      </c>
      <c r="BI170" s="298">
        <f t="shared" si="84"/>
        <v>0</v>
      </c>
      <c r="BJ170" s="298">
        <f t="shared" si="104"/>
        <v>0</v>
      </c>
      <c r="BK170" s="482">
        <v>12</v>
      </c>
      <c r="BL170" s="482">
        <v>12</v>
      </c>
      <c r="BM170" s="482">
        <f>INDEX('Unit Savings Calculations'!$I$4:$I$421,MATCH('Measure-Level Adjustments Tab'!$A170&amp;"_"&amp;'Measure-Level Adjustments Tab'!$B170,'Unit Savings Calculations'!$A$4:$A$421,0))</f>
        <v>12</v>
      </c>
      <c r="BN170" s="482">
        <f t="shared" si="105"/>
        <v>12</v>
      </c>
      <c r="BO170" s="483">
        <f t="shared" si="106"/>
        <v>0</v>
      </c>
      <c r="BP170" s="483">
        <f t="shared" si="106"/>
        <v>0</v>
      </c>
      <c r="BQ170" s="483">
        <f t="shared" si="106"/>
        <v>0</v>
      </c>
      <c r="BR170" s="483">
        <f t="shared" si="85"/>
        <v>0</v>
      </c>
      <c r="BS170" s="483">
        <f t="shared" si="86"/>
        <v>0</v>
      </c>
    </row>
    <row r="171" spans="1:71" ht="15.75" customHeight="1">
      <c r="A171" s="292" t="str">
        <f>'Unit Savings Calculations'!C167</f>
        <v>Bus - SB Rebates</v>
      </c>
      <c r="B171" s="292" t="str">
        <f>'Unit Savings Calculations'!D167</f>
        <v>Energy Star Conveyer Oven</v>
      </c>
      <c r="C171" s="293">
        <f t="shared" si="107"/>
        <v>1</v>
      </c>
      <c r="D171" s="292" t="str">
        <f>'Unit Savings Calculations'!T167</f>
        <v>4.2.4</v>
      </c>
      <c r="E171" s="438">
        <v>17</v>
      </c>
      <c r="F171" s="438">
        <v>17</v>
      </c>
      <c r="G171" s="292" t="str">
        <f>'Unit Savings Calculations'!E167</f>
        <v>each</v>
      </c>
      <c r="H171" s="294">
        <f>'Unit Savings Calculations'!$F167*'Unit Savings Calculations'!J167</f>
        <v>0</v>
      </c>
      <c r="I171" s="294">
        <f>'Unit Savings Calculations'!$F167*'Unit Savings Calculations'!K167</f>
        <v>0</v>
      </c>
      <c r="J171" s="294">
        <f>'Unit Savings Calculations'!$F167*'Unit Savings Calculations'!L167</f>
        <v>0</v>
      </c>
      <c r="K171" s="294">
        <f>'Unit Savings Calculations'!$F167*'Unit Savings Calculations'!M167</f>
        <v>0</v>
      </c>
      <c r="L171" s="292" t="str">
        <f>'Unit Savings Calculations'!U167</f>
        <v>CI-FSE-CVOV-V02-180101</v>
      </c>
      <c r="M171" s="383" t="str">
        <f>'Unit Savings Calculations'!R167</f>
        <v>Exhibit 1.5A_R North Shore EEPS_Adjustable_Savings_Goal_Template.xlsx, Unit Savings Calculations Tab</v>
      </c>
      <c r="N171" s="295">
        <v>884</v>
      </c>
      <c r="O171" s="295">
        <v>884</v>
      </c>
      <c r="P171" s="295">
        <v>884</v>
      </c>
      <c r="Q171" s="295">
        <v>884</v>
      </c>
      <c r="R171" s="296">
        <f>'Unit Savings Calculations'!$G167</f>
        <v>0.92</v>
      </c>
      <c r="S171" s="296">
        <f>'Unit Savings Calculations'!$G167</f>
        <v>0.92</v>
      </c>
      <c r="T171" s="296">
        <f>'Unit Savings Calculations'!$G167</f>
        <v>0.92</v>
      </c>
      <c r="U171" s="296">
        <f>'Unit Savings Calculations'!$G167</f>
        <v>0.92</v>
      </c>
      <c r="V171" s="297">
        <f t="shared" si="123"/>
        <v>0</v>
      </c>
      <c r="W171" s="297">
        <f t="shared" si="124"/>
        <v>0</v>
      </c>
      <c r="X171" s="297">
        <f t="shared" si="125"/>
        <v>0</v>
      </c>
      <c r="Y171" s="297">
        <f t="shared" si="126"/>
        <v>0</v>
      </c>
      <c r="Z171" s="297">
        <f t="shared" si="127"/>
        <v>0</v>
      </c>
      <c r="AA171" s="292"/>
      <c r="AB171" s="292"/>
      <c r="AC171" s="295">
        <v>884</v>
      </c>
      <c r="AD171" s="292"/>
      <c r="AE171" s="297">
        <f t="shared" si="87"/>
        <v>0</v>
      </c>
      <c r="AF171" s="294">
        <f t="shared" si="88"/>
        <v>0</v>
      </c>
      <c r="AG171" s="292"/>
      <c r="AH171" s="292">
        <f t="shared" si="89"/>
        <v>0</v>
      </c>
      <c r="AI171" s="295">
        <v>884</v>
      </c>
      <c r="AJ171" s="383" t="s">
        <v>878</v>
      </c>
      <c r="AK171" s="297">
        <f t="shared" si="90"/>
        <v>0</v>
      </c>
      <c r="AL171" s="294">
        <f t="shared" si="91"/>
        <v>0</v>
      </c>
      <c r="AM171" s="292"/>
      <c r="AN171" s="292"/>
      <c r="AO171" s="295">
        <f>'Unit Savings Calculations'!P167</f>
        <v>884</v>
      </c>
      <c r="AP171" s="383" t="s">
        <v>763</v>
      </c>
      <c r="AQ171" s="297">
        <f t="shared" si="92"/>
        <v>0</v>
      </c>
      <c r="AR171" s="294">
        <f t="shared" si="93"/>
        <v>0</v>
      </c>
      <c r="AS171" s="292"/>
      <c r="AT171" s="292"/>
      <c r="AU171" s="295">
        <f>'Unit Savings Calculations'!Q167</f>
        <v>884</v>
      </c>
      <c r="AV171" s="383" t="str">
        <f t="shared" si="94"/>
        <v>n/a</v>
      </c>
      <c r="AW171" s="297">
        <f t="shared" si="95"/>
        <v>0</v>
      </c>
      <c r="AX171" s="294">
        <f t="shared" si="96"/>
        <v>0</v>
      </c>
      <c r="AY171" s="297">
        <f t="shared" si="97"/>
        <v>0</v>
      </c>
      <c r="AZ171" s="297">
        <f t="shared" si="98"/>
        <v>0</v>
      </c>
      <c r="BA171" s="297">
        <f t="shared" si="99"/>
        <v>0</v>
      </c>
      <c r="BB171" s="297">
        <f t="shared" si="100"/>
        <v>0</v>
      </c>
      <c r="BC171" s="298">
        <f t="shared" si="101"/>
        <v>0</v>
      </c>
      <c r="BD171" s="292" t="s">
        <v>763</v>
      </c>
      <c r="BE171" s="299" t="str">
        <f t="shared" si="102"/>
        <v>Exhibit 1.5A_R North Shore EEPS_Adjustable_Savings_Goal_Template.xlsx, Unit Savings Calculations Tab</v>
      </c>
      <c r="BF171" s="298">
        <f t="shared" si="103"/>
        <v>0</v>
      </c>
      <c r="BG171" s="298">
        <f t="shared" si="103"/>
        <v>0</v>
      </c>
      <c r="BH171" s="298">
        <f t="shared" si="103"/>
        <v>0</v>
      </c>
      <c r="BI171" s="298">
        <f t="shared" si="84"/>
        <v>0</v>
      </c>
      <c r="BJ171" s="298">
        <f t="shared" si="104"/>
        <v>0</v>
      </c>
      <c r="BK171" s="482">
        <v>17</v>
      </c>
      <c r="BL171" s="482">
        <v>17</v>
      </c>
      <c r="BM171" s="482">
        <f>INDEX('Unit Savings Calculations'!$I$4:$I$421,MATCH('Measure-Level Adjustments Tab'!$A171&amp;"_"&amp;'Measure-Level Adjustments Tab'!$B171,'Unit Savings Calculations'!$A$4:$A$421,0))</f>
        <v>17</v>
      </c>
      <c r="BN171" s="482">
        <f t="shared" si="105"/>
        <v>17</v>
      </c>
      <c r="BO171" s="483">
        <f t="shared" si="106"/>
        <v>0</v>
      </c>
      <c r="BP171" s="483">
        <f t="shared" si="106"/>
        <v>0</v>
      </c>
      <c r="BQ171" s="483">
        <f t="shared" si="106"/>
        <v>0</v>
      </c>
      <c r="BR171" s="483">
        <f t="shared" si="85"/>
        <v>0</v>
      </c>
      <c r="BS171" s="483">
        <f t="shared" si="86"/>
        <v>0</v>
      </c>
    </row>
    <row r="172" spans="1:71" ht="15.75" customHeight="1">
      <c r="A172" s="292" t="str">
        <f>'Unit Savings Calculations'!C168</f>
        <v>Bus - SB Rebates</v>
      </c>
      <c r="B172" s="292" t="str">
        <f>'Unit Savings Calculations'!D168</f>
        <v>Energy Star Fryer</v>
      </c>
      <c r="C172" s="293">
        <f t="shared" si="107"/>
        <v>1</v>
      </c>
      <c r="D172" s="292" t="str">
        <f>'Unit Savings Calculations'!T168</f>
        <v>4.2.7</v>
      </c>
      <c r="E172" s="438">
        <v>15</v>
      </c>
      <c r="F172" s="438">
        <v>12</v>
      </c>
      <c r="G172" s="292" t="str">
        <f>'Unit Savings Calculations'!E168</f>
        <v>each</v>
      </c>
      <c r="H172" s="294">
        <f>'Unit Savings Calculations'!$F168*'Unit Savings Calculations'!J168</f>
        <v>0</v>
      </c>
      <c r="I172" s="294">
        <f>'Unit Savings Calculations'!$F168*'Unit Savings Calculations'!K168</f>
        <v>0</v>
      </c>
      <c r="J172" s="294">
        <f>'Unit Savings Calculations'!$F168*'Unit Savings Calculations'!L168</f>
        <v>0</v>
      </c>
      <c r="K172" s="294">
        <f>'Unit Savings Calculations'!$F168*'Unit Savings Calculations'!M168</f>
        <v>0</v>
      </c>
      <c r="L172" s="292" t="str">
        <f>'Unit Savings Calculations'!U168</f>
        <v>CI-FSE-ESFR-V01-120601</v>
      </c>
      <c r="M172" s="383" t="str">
        <f>'Unit Savings Calculations'!R168</f>
        <v>Exhibit 1.5A_R North Shore EEPS_Adjustable_Savings_Goal_Template.xlsx, Unit Savings Calculations Tab</v>
      </c>
      <c r="N172" s="295">
        <v>505.37299714285717</v>
      </c>
      <c r="O172" s="295">
        <v>505.37299714285717</v>
      </c>
      <c r="P172" s="295">
        <v>505.37299714285717</v>
      </c>
      <c r="Q172" s="295">
        <v>505.37299714285717</v>
      </c>
      <c r="R172" s="296">
        <f>'Unit Savings Calculations'!$G168</f>
        <v>0.92</v>
      </c>
      <c r="S172" s="296">
        <f>'Unit Savings Calculations'!$G168</f>
        <v>0.92</v>
      </c>
      <c r="T172" s="296">
        <f>'Unit Savings Calculations'!$G168</f>
        <v>0.92</v>
      </c>
      <c r="U172" s="296">
        <f>'Unit Savings Calculations'!$G168</f>
        <v>0.92</v>
      </c>
      <c r="V172" s="297">
        <f t="shared" si="123"/>
        <v>0</v>
      </c>
      <c r="W172" s="297">
        <f t="shared" si="124"/>
        <v>0</v>
      </c>
      <c r="X172" s="297">
        <f t="shared" si="125"/>
        <v>0</v>
      </c>
      <c r="Y172" s="297">
        <f t="shared" si="126"/>
        <v>0</v>
      </c>
      <c r="Z172" s="297">
        <f t="shared" si="127"/>
        <v>0</v>
      </c>
      <c r="AA172" s="292"/>
      <c r="AB172" s="292"/>
      <c r="AC172" s="295">
        <v>505.37299714285717</v>
      </c>
      <c r="AD172" s="292"/>
      <c r="AE172" s="297">
        <f t="shared" si="87"/>
        <v>0</v>
      </c>
      <c r="AF172" s="294">
        <f t="shared" si="88"/>
        <v>0</v>
      </c>
      <c r="AG172" s="292"/>
      <c r="AH172" s="292">
        <f t="shared" si="89"/>
        <v>0</v>
      </c>
      <c r="AI172" s="295">
        <v>505.37299714285717</v>
      </c>
      <c r="AJ172" s="383" t="s">
        <v>878</v>
      </c>
      <c r="AK172" s="297">
        <f t="shared" si="90"/>
        <v>0</v>
      </c>
      <c r="AL172" s="294">
        <f t="shared" si="91"/>
        <v>0</v>
      </c>
      <c r="AM172" s="292"/>
      <c r="AN172" s="292"/>
      <c r="AO172" s="295">
        <f>'Unit Savings Calculations'!P168</f>
        <v>505.37299714285717</v>
      </c>
      <c r="AP172" s="383" t="s">
        <v>763</v>
      </c>
      <c r="AQ172" s="297">
        <f t="shared" si="92"/>
        <v>0</v>
      </c>
      <c r="AR172" s="294">
        <f t="shared" si="93"/>
        <v>0</v>
      </c>
      <c r="AS172" s="292"/>
      <c r="AT172" s="292"/>
      <c r="AU172" s="295">
        <f>'Unit Savings Calculations'!Q168</f>
        <v>505.37299714285717</v>
      </c>
      <c r="AV172" s="383" t="str">
        <f t="shared" si="94"/>
        <v>n/a</v>
      </c>
      <c r="AW172" s="297">
        <f t="shared" si="95"/>
        <v>0</v>
      </c>
      <c r="AX172" s="294">
        <f t="shared" si="96"/>
        <v>0</v>
      </c>
      <c r="AY172" s="297">
        <f t="shared" si="97"/>
        <v>0</v>
      </c>
      <c r="AZ172" s="297">
        <f t="shared" si="98"/>
        <v>0</v>
      </c>
      <c r="BA172" s="297">
        <f t="shared" si="99"/>
        <v>0</v>
      </c>
      <c r="BB172" s="297">
        <f t="shared" si="100"/>
        <v>0</v>
      </c>
      <c r="BC172" s="298">
        <f t="shared" si="101"/>
        <v>0</v>
      </c>
      <c r="BD172" s="292" t="s">
        <v>763</v>
      </c>
      <c r="BE172" s="299" t="str">
        <f t="shared" si="102"/>
        <v>Exhibit 1.5A_R North Shore EEPS_Adjustable_Savings_Goal_Template.xlsx, Unit Savings Calculations Tab</v>
      </c>
      <c r="BF172" s="298">
        <f t="shared" si="103"/>
        <v>0</v>
      </c>
      <c r="BG172" s="298">
        <f t="shared" si="103"/>
        <v>0</v>
      </c>
      <c r="BH172" s="298">
        <f t="shared" si="103"/>
        <v>0</v>
      </c>
      <c r="BI172" s="298">
        <f t="shared" si="84"/>
        <v>0</v>
      </c>
      <c r="BJ172" s="298">
        <f t="shared" si="104"/>
        <v>0</v>
      </c>
      <c r="BK172" s="482">
        <v>12</v>
      </c>
      <c r="BL172" s="482">
        <v>12</v>
      </c>
      <c r="BM172" s="482">
        <f>INDEX('Unit Savings Calculations'!$I$4:$I$421,MATCH('Measure-Level Adjustments Tab'!$A172&amp;"_"&amp;'Measure-Level Adjustments Tab'!$B172,'Unit Savings Calculations'!$A$4:$A$421,0))</f>
        <v>12</v>
      </c>
      <c r="BN172" s="482">
        <f t="shared" si="105"/>
        <v>12</v>
      </c>
      <c r="BO172" s="483">
        <f t="shared" si="106"/>
        <v>0</v>
      </c>
      <c r="BP172" s="483">
        <f t="shared" si="106"/>
        <v>0</v>
      </c>
      <c r="BQ172" s="483">
        <f t="shared" si="106"/>
        <v>0</v>
      </c>
      <c r="BR172" s="483">
        <f t="shared" si="85"/>
        <v>0</v>
      </c>
      <c r="BS172" s="483">
        <f t="shared" si="86"/>
        <v>0</v>
      </c>
    </row>
    <row r="173" spans="1:71" ht="15.75" customHeight="1">
      <c r="A173" s="292" t="str">
        <f>'Unit Savings Calculations'!C169</f>
        <v>Bus - SB Rebates</v>
      </c>
      <c r="B173" s="292" t="str">
        <f>'Unit Savings Calculations'!D169</f>
        <v>Energy Star Steamer - 3 Pans</v>
      </c>
      <c r="C173" s="293">
        <f t="shared" si="107"/>
        <v>1</v>
      </c>
      <c r="D173" s="292" t="str">
        <f>'Unit Savings Calculations'!T169</f>
        <v>4.2.3</v>
      </c>
      <c r="E173" s="438">
        <v>12</v>
      </c>
      <c r="F173" s="438">
        <v>12</v>
      </c>
      <c r="G173" s="292" t="str">
        <f>'Unit Savings Calculations'!E169</f>
        <v>each</v>
      </c>
      <c r="H173" s="294">
        <f>'Unit Savings Calculations'!$F169*'Unit Savings Calculations'!J169</f>
        <v>0</v>
      </c>
      <c r="I173" s="294">
        <f>'Unit Savings Calculations'!$F169*'Unit Savings Calculations'!K169</f>
        <v>0</v>
      </c>
      <c r="J173" s="294">
        <f>'Unit Savings Calculations'!$F169*'Unit Savings Calculations'!L169</f>
        <v>0</v>
      </c>
      <c r="K173" s="294">
        <f>'Unit Savings Calculations'!$F169*'Unit Savings Calculations'!M169</f>
        <v>0</v>
      </c>
      <c r="L173" s="292" t="str">
        <f>'Unit Savings Calculations'!U169</f>
        <v>CI-FSE-STMC-V04-160601</v>
      </c>
      <c r="M173" s="383" t="str">
        <f>'Unit Savings Calculations'!R169</f>
        <v>Exhibit 1.5A_R North Shore EEPS_Adjustable_Savings_Goal_Template.xlsx, Food Equipment Tab</v>
      </c>
      <c r="N173" s="295">
        <v>752.01231086676478</v>
      </c>
      <c r="O173" s="295">
        <v>752.01231086676478</v>
      </c>
      <c r="P173" s="295">
        <v>752.01231086676478</v>
      </c>
      <c r="Q173" s="295">
        <v>752.01231086676478</v>
      </c>
      <c r="R173" s="296">
        <f>'Unit Savings Calculations'!$G169</f>
        <v>0.92</v>
      </c>
      <c r="S173" s="296">
        <f>'Unit Savings Calculations'!$G169</f>
        <v>0.92</v>
      </c>
      <c r="T173" s="296">
        <f>'Unit Savings Calculations'!$G169</f>
        <v>0.92</v>
      </c>
      <c r="U173" s="296">
        <f>'Unit Savings Calculations'!$G169</f>
        <v>0.92</v>
      </c>
      <c r="V173" s="297">
        <f t="shared" si="123"/>
        <v>0</v>
      </c>
      <c r="W173" s="297">
        <f t="shared" si="124"/>
        <v>0</v>
      </c>
      <c r="X173" s="297">
        <f t="shared" si="125"/>
        <v>0</v>
      </c>
      <c r="Y173" s="297">
        <f t="shared" si="126"/>
        <v>0</v>
      </c>
      <c r="Z173" s="297">
        <f t="shared" si="127"/>
        <v>0</v>
      </c>
      <c r="AA173" s="292"/>
      <c r="AB173" s="292"/>
      <c r="AC173" s="295">
        <v>752.01231086676478</v>
      </c>
      <c r="AD173" s="292"/>
      <c r="AE173" s="297">
        <f t="shared" si="87"/>
        <v>0</v>
      </c>
      <c r="AF173" s="294">
        <f t="shared" si="88"/>
        <v>0</v>
      </c>
      <c r="AG173" s="292"/>
      <c r="AH173" s="292">
        <f t="shared" si="89"/>
        <v>0</v>
      </c>
      <c r="AI173" s="295">
        <v>752.01231086676478</v>
      </c>
      <c r="AJ173" s="383" t="s">
        <v>878</v>
      </c>
      <c r="AK173" s="297">
        <f t="shared" si="90"/>
        <v>0</v>
      </c>
      <c r="AL173" s="294">
        <f t="shared" si="91"/>
        <v>0</v>
      </c>
      <c r="AM173" s="292"/>
      <c r="AN173" s="292"/>
      <c r="AO173" s="295">
        <f>'Unit Savings Calculations'!P169</f>
        <v>752.01231086676478</v>
      </c>
      <c r="AP173" s="383" t="s">
        <v>763</v>
      </c>
      <c r="AQ173" s="297">
        <f t="shared" si="92"/>
        <v>0</v>
      </c>
      <c r="AR173" s="294">
        <f t="shared" si="93"/>
        <v>0</v>
      </c>
      <c r="AS173" s="292"/>
      <c r="AT173" s="292"/>
      <c r="AU173" s="295">
        <f>'Unit Savings Calculations'!Q169</f>
        <v>752.01231086676478</v>
      </c>
      <c r="AV173" s="383" t="str">
        <f t="shared" si="94"/>
        <v>n/a</v>
      </c>
      <c r="AW173" s="297">
        <f t="shared" si="95"/>
        <v>0</v>
      </c>
      <c r="AX173" s="294">
        <f t="shared" si="96"/>
        <v>0</v>
      </c>
      <c r="AY173" s="297">
        <f t="shared" si="97"/>
        <v>0</v>
      </c>
      <c r="AZ173" s="297">
        <f t="shared" si="98"/>
        <v>0</v>
      </c>
      <c r="BA173" s="297">
        <f t="shared" si="99"/>
        <v>0</v>
      </c>
      <c r="BB173" s="297">
        <f t="shared" si="100"/>
        <v>0</v>
      </c>
      <c r="BC173" s="298">
        <f t="shared" si="101"/>
        <v>0</v>
      </c>
      <c r="BD173" s="292" t="s">
        <v>763</v>
      </c>
      <c r="BE173" s="299" t="str">
        <f t="shared" si="102"/>
        <v>Exhibit 1.5A_R North Shore EEPS_Adjustable_Savings_Goal_Template.xlsx, Food Equipment Tab</v>
      </c>
      <c r="BF173" s="298">
        <f t="shared" si="103"/>
        <v>0</v>
      </c>
      <c r="BG173" s="298">
        <f t="shared" si="103"/>
        <v>0</v>
      </c>
      <c r="BH173" s="298">
        <f t="shared" si="103"/>
        <v>0</v>
      </c>
      <c r="BI173" s="298">
        <f t="shared" si="84"/>
        <v>0</v>
      </c>
      <c r="BJ173" s="298">
        <f t="shared" si="104"/>
        <v>0</v>
      </c>
      <c r="BK173" s="482">
        <v>12</v>
      </c>
      <c r="BL173" s="482">
        <v>12</v>
      </c>
      <c r="BM173" s="482">
        <f>INDEX('Unit Savings Calculations'!$I$4:$I$421,MATCH('Measure-Level Adjustments Tab'!$A173&amp;"_"&amp;'Measure-Level Adjustments Tab'!$B173,'Unit Savings Calculations'!$A$4:$A$421,0))</f>
        <v>12</v>
      </c>
      <c r="BN173" s="482">
        <f t="shared" si="105"/>
        <v>12</v>
      </c>
      <c r="BO173" s="483">
        <f t="shared" si="106"/>
        <v>0</v>
      </c>
      <c r="BP173" s="483">
        <f t="shared" si="106"/>
        <v>0</v>
      </c>
      <c r="BQ173" s="483">
        <f t="shared" si="106"/>
        <v>0</v>
      </c>
      <c r="BR173" s="483">
        <f t="shared" si="85"/>
        <v>0</v>
      </c>
      <c r="BS173" s="483">
        <f t="shared" si="86"/>
        <v>0</v>
      </c>
    </row>
    <row r="174" spans="1:71" ht="15.75" customHeight="1">
      <c r="A174" s="292" t="str">
        <f>'Unit Savings Calculations'!C170</f>
        <v>Bus - SB Rebates</v>
      </c>
      <c r="B174" s="292" t="str">
        <f>'Unit Savings Calculations'!D170</f>
        <v>Energy Star Steamer - 4 Pans</v>
      </c>
      <c r="C174" s="293">
        <f t="shared" si="107"/>
        <v>1</v>
      </c>
      <c r="D174" s="292" t="str">
        <f>'Unit Savings Calculations'!T170</f>
        <v>4.2.3</v>
      </c>
      <c r="E174" s="438">
        <v>12</v>
      </c>
      <c r="F174" s="438">
        <v>12</v>
      </c>
      <c r="G174" s="292" t="str">
        <f>'Unit Savings Calculations'!E170</f>
        <v>each</v>
      </c>
      <c r="H174" s="294">
        <f>'Unit Savings Calculations'!$F170*'Unit Savings Calculations'!J170</f>
        <v>0</v>
      </c>
      <c r="I174" s="294">
        <f>'Unit Savings Calculations'!$F170*'Unit Savings Calculations'!K170</f>
        <v>0</v>
      </c>
      <c r="J174" s="294">
        <f>'Unit Savings Calculations'!$F170*'Unit Savings Calculations'!L170</f>
        <v>0</v>
      </c>
      <c r="K174" s="294">
        <f>'Unit Savings Calculations'!$F170*'Unit Savings Calculations'!M170</f>
        <v>0</v>
      </c>
      <c r="L174" s="292" t="str">
        <f>'Unit Savings Calculations'!U170</f>
        <v>CI-FSE-STMC-V04-160601</v>
      </c>
      <c r="M174" s="383" t="str">
        <f>'Unit Savings Calculations'!R170</f>
        <v>Exhibit 1.5A_R North Shore EEPS_Adjustable_Savings_Goal_Template.xlsx, Food Equipment Tab</v>
      </c>
      <c r="N174" s="295">
        <v>1007.2641787965732</v>
      </c>
      <c r="O174" s="295">
        <v>1007.2641787965732</v>
      </c>
      <c r="P174" s="295">
        <v>1007.2641787965732</v>
      </c>
      <c r="Q174" s="295">
        <v>1007.2641787965732</v>
      </c>
      <c r="R174" s="296">
        <f>'Unit Savings Calculations'!$G170</f>
        <v>0.92</v>
      </c>
      <c r="S174" s="296">
        <f>'Unit Savings Calculations'!$G170</f>
        <v>0.92</v>
      </c>
      <c r="T174" s="296">
        <f>'Unit Savings Calculations'!$G170</f>
        <v>0.92</v>
      </c>
      <c r="U174" s="296">
        <f>'Unit Savings Calculations'!$G170</f>
        <v>0.92</v>
      </c>
      <c r="V174" s="297">
        <f t="shared" si="123"/>
        <v>0</v>
      </c>
      <c r="W174" s="297">
        <f t="shared" si="124"/>
        <v>0</v>
      </c>
      <c r="X174" s="297">
        <f t="shared" si="125"/>
        <v>0</v>
      </c>
      <c r="Y174" s="297">
        <f t="shared" si="126"/>
        <v>0</v>
      </c>
      <c r="Z174" s="297">
        <f t="shared" si="127"/>
        <v>0</v>
      </c>
      <c r="AA174" s="292"/>
      <c r="AB174" s="292"/>
      <c r="AC174" s="295">
        <v>1007.2641787965732</v>
      </c>
      <c r="AD174" s="292"/>
      <c r="AE174" s="297">
        <f t="shared" si="87"/>
        <v>0</v>
      </c>
      <c r="AF174" s="294">
        <f t="shared" si="88"/>
        <v>0</v>
      </c>
      <c r="AG174" s="292"/>
      <c r="AH174" s="292">
        <f t="shared" si="89"/>
        <v>0</v>
      </c>
      <c r="AI174" s="295">
        <v>1007.2641787965732</v>
      </c>
      <c r="AJ174" s="383" t="s">
        <v>878</v>
      </c>
      <c r="AK174" s="297">
        <f t="shared" si="90"/>
        <v>0</v>
      </c>
      <c r="AL174" s="294">
        <f t="shared" si="91"/>
        <v>0</v>
      </c>
      <c r="AM174" s="292"/>
      <c r="AN174" s="292"/>
      <c r="AO174" s="295">
        <f>'Unit Savings Calculations'!P170</f>
        <v>1007.2641787965732</v>
      </c>
      <c r="AP174" s="383" t="s">
        <v>763</v>
      </c>
      <c r="AQ174" s="297">
        <f t="shared" si="92"/>
        <v>0</v>
      </c>
      <c r="AR174" s="294">
        <f t="shared" si="93"/>
        <v>0</v>
      </c>
      <c r="AS174" s="292"/>
      <c r="AT174" s="292"/>
      <c r="AU174" s="295">
        <f>'Unit Savings Calculations'!Q170</f>
        <v>1007.2641787965732</v>
      </c>
      <c r="AV174" s="383" t="str">
        <f t="shared" si="94"/>
        <v>n/a</v>
      </c>
      <c r="AW174" s="297">
        <f t="shared" si="95"/>
        <v>0</v>
      </c>
      <c r="AX174" s="294">
        <f t="shared" si="96"/>
        <v>0</v>
      </c>
      <c r="AY174" s="297">
        <f t="shared" si="97"/>
        <v>0</v>
      </c>
      <c r="AZ174" s="297">
        <f t="shared" si="98"/>
        <v>0</v>
      </c>
      <c r="BA174" s="297">
        <f t="shared" si="99"/>
        <v>0</v>
      </c>
      <c r="BB174" s="297">
        <f t="shared" si="100"/>
        <v>0</v>
      </c>
      <c r="BC174" s="298">
        <f t="shared" si="101"/>
        <v>0</v>
      </c>
      <c r="BD174" s="292" t="s">
        <v>763</v>
      </c>
      <c r="BE174" s="299" t="str">
        <f t="shared" si="102"/>
        <v>Exhibit 1.5A_R North Shore EEPS_Adjustable_Savings_Goal_Template.xlsx, Food Equipment Tab</v>
      </c>
      <c r="BF174" s="298">
        <f t="shared" si="103"/>
        <v>0</v>
      </c>
      <c r="BG174" s="298">
        <f t="shared" si="103"/>
        <v>0</v>
      </c>
      <c r="BH174" s="298">
        <f t="shared" si="103"/>
        <v>0</v>
      </c>
      <c r="BI174" s="298">
        <f t="shared" si="84"/>
        <v>0</v>
      </c>
      <c r="BJ174" s="298">
        <f t="shared" si="104"/>
        <v>0</v>
      </c>
      <c r="BK174" s="482">
        <v>12</v>
      </c>
      <c r="BL174" s="482">
        <v>12</v>
      </c>
      <c r="BM174" s="482">
        <f>INDEX('Unit Savings Calculations'!$I$4:$I$421,MATCH('Measure-Level Adjustments Tab'!$A174&amp;"_"&amp;'Measure-Level Adjustments Tab'!$B174,'Unit Savings Calculations'!$A$4:$A$421,0))</f>
        <v>12</v>
      </c>
      <c r="BN174" s="482">
        <f t="shared" si="105"/>
        <v>12</v>
      </c>
      <c r="BO174" s="483">
        <f t="shared" si="106"/>
        <v>0</v>
      </c>
      <c r="BP174" s="483">
        <f t="shared" si="106"/>
        <v>0</v>
      </c>
      <c r="BQ174" s="483">
        <f t="shared" si="106"/>
        <v>0</v>
      </c>
      <c r="BR174" s="483">
        <f t="shared" si="85"/>
        <v>0</v>
      </c>
      <c r="BS174" s="483">
        <f t="shared" si="86"/>
        <v>0</v>
      </c>
    </row>
    <row r="175" spans="1:71" ht="15.75" customHeight="1">
      <c r="A175" s="292" t="str">
        <f>'Unit Savings Calculations'!C171</f>
        <v>Bus - SB Rebates</v>
      </c>
      <c r="B175" s="292" t="str">
        <f>'Unit Savings Calculations'!D171</f>
        <v>Energy Star Steamer - 5 Pans</v>
      </c>
      <c r="C175" s="293">
        <f t="shared" si="107"/>
        <v>1</v>
      </c>
      <c r="D175" s="292" t="str">
        <f>'Unit Savings Calculations'!T171</f>
        <v>4.2.3</v>
      </c>
      <c r="E175" s="438">
        <v>12</v>
      </c>
      <c r="F175" s="438">
        <v>12</v>
      </c>
      <c r="G175" s="292" t="str">
        <f>'Unit Savings Calculations'!E171</f>
        <v>each</v>
      </c>
      <c r="H175" s="294">
        <f>'Unit Savings Calculations'!$F171*'Unit Savings Calculations'!J171</f>
        <v>0</v>
      </c>
      <c r="I175" s="294">
        <f>'Unit Savings Calculations'!$F171*'Unit Savings Calculations'!K171</f>
        <v>0</v>
      </c>
      <c r="J175" s="294">
        <f>'Unit Savings Calculations'!$F171*'Unit Savings Calculations'!L171</f>
        <v>0</v>
      </c>
      <c r="K175" s="294">
        <f>'Unit Savings Calculations'!$F171*'Unit Savings Calculations'!M171</f>
        <v>0</v>
      </c>
      <c r="L175" s="292" t="str">
        <f>'Unit Savings Calculations'!U171</f>
        <v>CI-FSE-STMC-V04-160601</v>
      </c>
      <c r="M175" s="383" t="str">
        <f>'Unit Savings Calculations'!R171</f>
        <v>Exhibit 1.5A_R North Shore EEPS_Adjustable_Savings_Goal_Template.xlsx, Food Equipment Tab</v>
      </c>
      <c r="N175" s="295">
        <v>1248.6709419898457</v>
      </c>
      <c r="O175" s="295">
        <v>1248.6709419898457</v>
      </c>
      <c r="P175" s="295">
        <v>1248.6709419898457</v>
      </c>
      <c r="Q175" s="295">
        <v>1248.6709419898457</v>
      </c>
      <c r="R175" s="296">
        <f>'Unit Savings Calculations'!$G171</f>
        <v>0.92</v>
      </c>
      <c r="S175" s="296">
        <f>'Unit Savings Calculations'!$G171</f>
        <v>0.92</v>
      </c>
      <c r="T175" s="296">
        <f>'Unit Savings Calculations'!$G171</f>
        <v>0.92</v>
      </c>
      <c r="U175" s="296">
        <f>'Unit Savings Calculations'!$G171</f>
        <v>0.92</v>
      </c>
      <c r="V175" s="297">
        <f t="shared" si="123"/>
        <v>0</v>
      </c>
      <c r="W175" s="297">
        <f t="shared" si="124"/>
        <v>0</v>
      </c>
      <c r="X175" s="297">
        <f t="shared" si="125"/>
        <v>0</v>
      </c>
      <c r="Y175" s="297">
        <f t="shared" si="126"/>
        <v>0</v>
      </c>
      <c r="Z175" s="297">
        <f t="shared" si="127"/>
        <v>0</v>
      </c>
      <c r="AA175" s="292"/>
      <c r="AB175" s="292"/>
      <c r="AC175" s="295">
        <v>1248.6709419898457</v>
      </c>
      <c r="AD175" s="292"/>
      <c r="AE175" s="297">
        <f t="shared" si="87"/>
        <v>0</v>
      </c>
      <c r="AF175" s="294">
        <f t="shared" si="88"/>
        <v>0</v>
      </c>
      <c r="AG175" s="292"/>
      <c r="AH175" s="292">
        <f t="shared" si="89"/>
        <v>0</v>
      </c>
      <c r="AI175" s="295">
        <v>1248.6709419898457</v>
      </c>
      <c r="AJ175" s="383" t="s">
        <v>878</v>
      </c>
      <c r="AK175" s="297">
        <f t="shared" si="90"/>
        <v>0</v>
      </c>
      <c r="AL175" s="294">
        <f t="shared" si="91"/>
        <v>0</v>
      </c>
      <c r="AM175" s="292"/>
      <c r="AN175" s="292"/>
      <c r="AO175" s="295">
        <f>'Unit Savings Calculations'!P171</f>
        <v>1248.6709419898457</v>
      </c>
      <c r="AP175" s="383" t="s">
        <v>763</v>
      </c>
      <c r="AQ175" s="297">
        <f t="shared" si="92"/>
        <v>0</v>
      </c>
      <c r="AR175" s="294">
        <f t="shared" si="93"/>
        <v>0</v>
      </c>
      <c r="AS175" s="292"/>
      <c r="AT175" s="292"/>
      <c r="AU175" s="295">
        <f>'Unit Savings Calculations'!Q171</f>
        <v>1248.6709419898457</v>
      </c>
      <c r="AV175" s="383" t="str">
        <f t="shared" si="94"/>
        <v>n/a</v>
      </c>
      <c r="AW175" s="297">
        <f t="shared" si="95"/>
        <v>0</v>
      </c>
      <c r="AX175" s="294">
        <f t="shared" si="96"/>
        <v>0</v>
      </c>
      <c r="AY175" s="297">
        <f t="shared" si="97"/>
        <v>0</v>
      </c>
      <c r="AZ175" s="297">
        <f t="shared" si="98"/>
        <v>0</v>
      </c>
      <c r="BA175" s="297">
        <f t="shared" si="99"/>
        <v>0</v>
      </c>
      <c r="BB175" s="297">
        <f t="shared" si="100"/>
        <v>0</v>
      </c>
      <c r="BC175" s="298">
        <f t="shared" si="101"/>
        <v>0</v>
      </c>
      <c r="BD175" s="292" t="s">
        <v>763</v>
      </c>
      <c r="BE175" s="299" t="str">
        <f t="shared" si="102"/>
        <v>Exhibit 1.5A_R North Shore EEPS_Adjustable_Savings_Goal_Template.xlsx, Food Equipment Tab</v>
      </c>
      <c r="BF175" s="298">
        <f t="shared" si="103"/>
        <v>0</v>
      </c>
      <c r="BG175" s="298">
        <f t="shared" si="103"/>
        <v>0</v>
      </c>
      <c r="BH175" s="298">
        <f t="shared" si="103"/>
        <v>0</v>
      </c>
      <c r="BI175" s="298">
        <f t="shared" si="84"/>
        <v>0</v>
      </c>
      <c r="BJ175" s="298">
        <f t="shared" si="104"/>
        <v>0</v>
      </c>
      <c r="BK175" s="482">
        <v>12</v>
      </c>
      <c r="BL175" s="482">
        <v>12</v>
      </c>
      <c r="BM175" s="482">
        <f>INDEX('Unit Savings Calculations'!$I$4:$I$421,MATCH('Measure-Level Adjustments Tab'!$A175&amp;"_"&amp;'Measure-Level Adjustments Tab'!$B175,'Unit Savings Calculations'!$A$4:$A$421,0))</f>
        <v>12</v>
      </c>
      <c r="BN175" s="482">
        <f t="shared" si="105"/>
        <v>12</v>
      </c>
      <c r="BO175" s="483">
        <f t="shared" si="106"/>
        <v>0</v>
      </c>
      <c r="BP175" s="483">
        <f t="shared" si="106"/>
        <v>0</v>
      </c>
      <c r="BQ175" s="483">
        <f t="shared" si="106"/>
        <v>0</v>
      </c>
      <c r="BR175" s="483">
        <f t="shared" si="85"/>
        <v>0</v>
      </c>
      <c r="BS175" s="483">
        <f t="shared" si="86"/>
        <v>0</v>
      </c>
    </row>
    <row r="176" spans="1:71" ht="15.75" customHeight="1">
      <c r="A176" s="292" t="str">
        <f>'Unit Savings Calculations'!C172</f>
        <v>Bus - SB Rebates</v>
      </c>
      <c r="B176" s="292" t="str">
        <f>'Unit Savings Calculations'!D172</f>
        <v>Energy Star Steamer - 6 Pans</v>
      </c>
      <c r="C176" s="293">
        <f t="shared" si="107"/>
        <v>1</v>
      </c>
      <c r="D176" s="292" t="str">
        <f>'Unit Savings Calculations'!T172</f>
        <v>4.2.3</v>
      </c>
      <c r="E176" s="438">
        <v>12</v>
      </c>
      <c r="F176" s="438">
        <v>12</v>
      </c>
      <c r="G176" s="292" t="str">
        <f>'Unit Savings Calculations'!E172</f>
        <v>each</v>
      </c>
      <c r="H176" s="294">
        <f>'Unit Savings Calculations'!$F172*'Unit Savings Calculations'!J172</f>
        <v>0</v>
      </c>
      <c r="I176" s="294">
        <f>'Unit Savings Calculations'!$F172*'Unit Savings Calculations'!K172</f>
        <v>0</v>
      </c>
      <c r="J176" s="294">
        <f>'Unit Savings Calculations'!$F172*'Unit Savings Calculations'!L172</f>
        <v>0</v>
      </c>
      <c r="K176" s="294">
        <f>'Unit Savings Calculations'!$F172*'Unit Savings Calculations'!M172</f>
        <v>0</v>
      </c>
      <c r="L176" s="292" t="str">
        <f>'Unit Savings Calculations'!U172</f>
        <v>CI-FSE-STMC-V04-160601</v>
      </c>
      <c r="M176" s="383" t="str">
        <f>'Unit Savings Calculations'!R172</f>
        <v>Exhibit 1.5A_R North Shore EEPS_Adjustable_Savings_Goal_Template.xlsx, Food Equipment Tab</v>
      </c>
      <c r="N176" s="295">
        <v>1503.8794358667649</v>
      </c>
      <c r="O176" s="295">
        <v>1503.8794358667649</v>
      </c>
      <c r="P176" s="295">
        <v>1503.8794358667649</v>
      </c>
      <c r="Q176" s="295">
        <v>1503.8794358667649</v>
      </c>
      <c r="R176" s="296">
        <f>'Unit Savings Calculations'!$G172</f>
        <v>0.92</v>
      </c>
      <c r="S176" s="296">
        <f>'Unit Savings Calculations'!$G172</f>
        <v>0.92</v>
      </c>
      <c r="T176" s="296">
        <f>'Unit Savings Calculations'!$G172</f>
        <v>0.92</v>
      </c>
      <c r="U176" s="296">
        <f>'Unit Savings Calculations'!$G172</f>
        <v>0.92</v>
      </c>
      <c r="V176" s="297">
        <f t="shared" si="123"/>
        <v>0</v>
      </c>
      <c r="W176" s="297">
        <f t="shared" si="124"/>
        <v>0</v>
      </c>
      <c r="X176" s="297">
        <f t="shared" si="125"/>
        <v>0</v>
      </c>
      <c r="Y176" s="297">
        <f t="shared" si="126"/>
        <v>0</v>
      </c>
      <c r="Z176" s="297">
        <f t="shared" si="127"/>
        <v>0</v>
      </c>
      <c r="AA176" s="292"/>
      <c r="AB176" s="292"/>
      <c r="AC176" s="295">
        <v>1503.8794358667649</v>
      </c>
      <c r="AD176" s="292"/>
      <c r="AE176" s="297">
        <f t="shared" si="87"/>
        <v>0</v>
      </c>
      <c r="AF176" s="294">
        <f t="shared" si="88"/>
        <v>0</v>
      </c>
      <c r="AG176" s="292"/>
      <c r="AH176" s="292">
        <f t="shared" si="89"/>
        <v>0</v>
      </c>
      <c r="AI176" s="295">
        <v>1503.8794358667649</v>
      </c>
      <c r="AJ176" s="383" t="s">
        <v>878</v>
      </c>
      <c r="AK176" s="297">
        <f t="shared" si="90"/>
        <v>0</v>
      </c>
      <c r="AL176" s="294">
        <f t="shared" si="91"/>
        <v>0</v>
      </c>
      <c r="AM176" s="292"/>
      <c r="AN176" s="292"/>
      <c r="AO176" s="295">
        <f>'Unit Savings Calculations'!P172</f>
        <v>1503.8794358667649</v>
      </c>
      <c r="AP176" s="383" t="s">
        <v>763</v>
      </c>
      <c r="AQ176" s="297">
        <f t="shared" si="92"/>
        <v>0</v>
      </c>
      <c r="AR176" s="294">
        <f t="shared" si="93"/>
        <v>0</v>
      </c>
      <c r="AS176" s="292"/>
      <c r="AT176" s="292"/>
      <c r="AU176" s="295">
        <f>'Unit Savings Calculations'!Q172</f>
        <v>1503.8794358667649</v>
      </c>
      <c r="AV176" s="383" t="str">
        <f t="shared" si="94"/>
        <v>n/a</v>
      </c>
      <c r="AW176" s="297">
        <f t="shared" si="95"/>
        <v>0</v>
      </c>
      <c r="AX176" s="294">
        <f t="shared" si="96"/>
        <v>0</v>
      </c>
      <c r="AY176" s="297">
        <f t="shared" si="97"/>
        <v>0</v>
      </c>
      <c r="AZ176" s="297">
        <f t="shared" si="98"/>
        <v>0</v>
      </c>
      <c r="BA176" s="297">
        <f t="shared" si="99"/>
        <v>0</v>
      </c>
      <c r="BB176" s="297">
        <f t="shared" si="100"/>
        <v>0</v>
      </c>
      <c r="BC176" s="298">
        <f t="shared" si="101"/>
        <v>0</v>
      </c>
      <c r="BD176" s="292" t="s">
        <v>763</v>
      </c>
      <c r="BE176" s="299" t="str">
        <f t="shared" si="102"/>
        <v>Exhibit 1.5A_R North Shore EEPS_Adjustable_Savings_Goal_Template.xlsx, Food Equipment Tab</v>
      </c>
      <c r="BF176" s="298">
        <f t="shared" si="103"/>
        <v>0</v>
      </c>
      <c r="BG176" s="298">
        <f t="shared" si="103"/>
        <v>0</v>
      </c>
      <c r="BH176" s="298">
        <f t="shared" si="103"/>
        <v>0</v>
      </c>
      <c r="BI176" s="298">
        <f t="shared" si="84"/>
        <v>0</v>
      </c>
      <c r="BJ176" s="298">
        <f t="shared" si="104"/>
        <v>0</v>
      </c>
      <c r="BK176" s="482">
        <v>12</v>
      </c>
      <c r="BL176" s="482">
        <v>12</v>
      </c>
      <c r="BM176" s="482">
        <f>INDEX('Unit Savings Calculations'!$I$4:$I$421,MATCH('Measure-Level Adjustments Tab'!$A176&amp;"_"&amp;'Measure-Level Adjustments Tab'!$B176,'Unit Savings Calculations'!$A$4:$A$421,0))</f>
        <v>12</v>
      </c>
      <c r="BN176" s="482">
        <f t="shared" si="105"/>
        <v>12</v>
      </c>
      <c r="BO176" s="483">
        <f t="shared" si="106"/>
        <v>0</v>
      </c>
      <c r="BP176" s="483">
        <f t="shared" si="106"/>
        <v>0</v>
      </c>
      <c r="BQ176" s="483">
        <f t="shared" si="106"/>
        <v>0</v>
      </c>
      <c r="BR176" s="483">
        <f t="shared" si="85"/>
        <v>0</v>
      </c>
      <c r="BS176" s="483">
        <f t="shared" si="86"/>
        <v>0</v>
      </c>
    </row>
    <row r="177" spans="1:71" ht="15.75" customHeight="1">
      <c r="A177" s="292" t="str">
        <f>'Unit Savings Calculations'!C173</f>
        <v>Bus - SB Rebates</v>
      </c>
      <c r="B177" s="292" t="str">
        <f>'Unit Savings Calculations'!D173</f>
        <v>Heat Recovery Grease Trap Filter</v>
      </c>
      <c r="C177" s="293">
        <f t="shared" si="107"/>
        <v>1</v>
      </c>
      <c r="D177" s="292" t="str">
        <f>'Unit Savings Calculations'!T173</f>
        <v>4.3.9</v>
      </c>
      <c r="E177" s="438">
        <v>15</v>
      </c>
      <c r="F177" s="438">
        <v>15</v>
      </c>
      <c r="G177" s="292" t="str">
        <f>'Unit Savings Calculations'!E173</f>
        <v>each</v>
      </c>
      <c r="H177" s="294">
        <f>'Unit Savings Calculations'!$F173*'Unit Savings Calculations'!J173</f>
        <v>0</v>
      </c>
      <c r="I177" s="294">
        <f>'Unit Savings Calculations'!$F173*'Unit Savings Calculations'!K173</f>
        <v>0</v>
      </c>
      <c r="J177" s="294">
        <f>'Unit Savings Calculations'!$F173*'Unit Savings Calculations'!L173</f>
        <v>0</v>
      </c>
      <c r="K177" s="294">
        <f>'Unit Savings Calculations'!$F173*'Unit Savings Calculations'!M173</f>
        <v>0</v>
      </c>
      <c r="L177" s="292" t="str">
        <f>'Unit Savings Calculations'!U173</f>
        <v>CI-HW-GRTF-V01-160601</v>
      </c>
      <c r="M177" s="383" t="str">
        <f>'Unit Savings Calculations'!R173</f>
        <v>Exhibit 1.5A_R North Shore EEPS_Adjustable_Savings_Goal_Template.xlsx, Unit Savings Calculations Tab</v>
      </c>
      <c r="N177" s="295">
        <v>1757.3025600000001</v>
      </c>
      <c r="O177" s="295">
        <v>1757.3025600000001</v>
      </c>
      <c r="P177" s="295">
        <v>1757.3025600000001</v>
      </c>
      <c r="Q177" s="295">
        <v>1757.3025600000001</v>
      </c>
      <c r="R177" s="296">
        <f>'Unit Savings Calculations'!$G173</f>
        <v>0.92</v>
      </c>
      <c r="S177" s="296">
        <f>'Unit Savings Calculations'!$G173</f>
        <v>0.92</v>
      </c>
      <c r="T177" s="296">
        <f>'Unit Savings Calculations'!$G173</f>
        <v>0.92</v>
      </c>
      <c r="U177" s="296">
        <f>'Unit Savings Calculations'!$G173</f>
        <v>0.92</v>
      </c>
      <c r="V177" s="297">
        <f t="shared" si="123"/>
        <v>0</v>
      </c>
      <c r="W177" s="297">
        <f t="shared" si="124"/>
        <v>0</v>
      </c>
      <c r="X177" s="297">
        <f t="shared" si="125"/>
        <v>0</v>
      </c>
      <c r="Y177" s="297">
        <f t="shared" si="126"/>
        <v>0</v>
      </c>
      <c r="Z177" s="297">
        <f t="shared" si="127"/>
        <v>0</v>
      </c>
      <c r="AA177" s="292"/>
      <c r="AB177" s="292"/>
      <c r="AC177" s="295">
        <v>1757.3025600000001</v>
      </c>
      <c r="AD177" s="292"/>
      <c r="AE177" s="297">
        <f t="shared" si="87"/>
        <v>0</v>
      </c>
      <c r="AF177" s="294">
        <f t="shared" si="88"/>
        <v>0</v>
      </c>
      <c r="AG177" s="292"/>
      <c r="AH177" s="292">
        <f t="shared" si="89"/>
        <v>0</v>
      </c>
      <c r="AI177" s="295">
        <v>1757.3025600000001</v>
      </c>
      <c r="AJ177" s="383" t="s">
        <v>878</v>
      </c>
      <c r="AK177" s="297">
        <f t="shared" si="90"/>
        <v>0</v>
      </c>
      <c r="AL177" s="294">
        <f t="shared" si="91"/>
        <v>0</v>
      </c>
      <c r="AM177" s="292"/>
      <c r="AN177" s="292"/>
      <c r="AO177" s="295">
        <f>'Unit Savings Calculations'!P173</f>
        <v>1757.3025600000001</v>
      </c>
      <c r="AP177" s="383" t="s">
        <v>763</v>
      </c>
      <c r="AQ177" s="297">
        <f t="shared" si="92"/>
        <v>0</v>
      </c>
      <c r="AR177" s="294">
        <f t="shared" si="93"/>
        <v>0</v>
      </c>
      <c r="AS177" s="292"/>
      <c r="AT177" s="292"/>
      <c r="AU177" s="295">
        <f>'Unit Savings Calculations'!Q173</f>
        <v>1757.3025600000001</v>
      </c>
      <c r="AV177" s="383" t="str">
        <f t="shared" si="94"/>
        <v>n/a</v>
      </c>
      <c r="AW177" s="297">
        <f t="shared" si="95"/>
        <v>0</v>
      </c>
      <c r="AX177" s="294">
        <f t="shared" si="96"/>
        <v>0</v>
      </c>
      <c r="AY177" s="297">
        <f t="shared" si="97"/>
        <v>0</v>
      </c>
      <c r="AZ177" s="297">
        <f t="shared" si="98"/>
        <v>0</v>
      </c>
      <c r="BA177" s="297">
        <f t="shared" si="99"/>
        <v>0</v>
      </c>
      <c r="BB177" s="297">
        <f t="shared" si="100"/>
        <v>0</v>
      </c>
      <c r="BC177" s="298">
        <f t="shared" si="101"/>
        <v>0</v>
      </c>
      <c r="BD177" s="292" t="s">
        <v>763</v>
      </c>
      <c r="BE177" s="299" t="str">
        <f t="shared" si="102"/>
        <v>Exhibit 1.5A_R North Shore EEPS_Adjustable_Savings_Goal_Template.xlsx, Unit Savings Calculations Tab</v>
      </c>
      <c r="BF177" s="298">
        <f t="shared" si="103"/>
        <v>0</v>
      </c>
      <c r="BG177" s="298">
        <f t="shared" si="103"/>
        <v>0</v>
      </c>
      <c r="BH177" s="298">
        <f t="shared" si="103"/>
        <v>0</v>
      </c>
      <c r="BI177" s="298">
        <f t="shared" si="84"/>
        <v>0</v>
      </c>
      <c r="BJ177" s="298">
        <f t="shared" si="104"/>
        <v>0</v>
      </c>
      <c r="BK177" s="482">
        <v>15</v>
      </c>
      <c r="BL177" s="482">
        <v>15</v>
      </c>
      <c r="BM177" s="482">
        <f>INDEX('Unit Savings Calculations'!$I$4:$I$421,MATCH('Measure-Level Adjustments Tab'!$A177&amp;"_"&amp;'Measure-Level Adjustments Tab'!$B177,'Unit Savings Calculations'!$A$4:$A$421,0))</f>
        <v>15</v>
      </c>
      <c r="BN177" s="482">
        <f t="shared" si="105"/>
        <v>15</v>
      </c>
      <c r="BO177" s="483">
        <f t="shared" si="106"/>
        <v>0</v>
      </c>
      <c r="BP177" s="483">
        <f t="shared" si="106"/>
        <v>0</v>
      </c>
      <c r="BQ177" s="483">
        <f t="shared" si="106"/>
        <v>0</v>
      </c>
      <c r="BR177" s="483">
        <f t="shared" si="85"/>
        <v>0</v>
      </c>
      <c r="BS177" s="483">
        <f t="shared" si="86"/>
        <v>0</v>
      </c>
    </row>
    <row r="178" spans="1:71" ht="15.75" customHeight="1">
      <c r="A178" s="292" t="str">
        <f>'Unit Savings Calculations'!C174</f>
        <v>Bus - SB Rebates</v>
      </c>
      <c r="B178" s="292" t="str">
        <f>'Unit Savings Calculations'!D174</f>
        <v>Infrared Charbroiler</v>
      </c>
      <c r="C178" s="293">
        <f t="shared" si="107"/>
        <v>1</v>
      </c>
      <c r="D178" s="292" t="str">
        <f>'Unit Savings Calculations'!T174</f>
        <v>4.2.12</v>
      </c>
      <c r="E178" s="438">
        <v>12</v>
      </c>
      <c r="F178" s="438">
        <v>12</v>
      </c>
      <c r="G178" s="292" t="str">
        <f>'Unit Savings Calculations'!E174</f>
        <v>each</v>
      </c>
      <c r="H178" s="294">
        <f>'Unit Savings Calculations'!$F174*'Unit Savings Calculations'!J174</f>
        <v>0</v>
      </c>
      <c r="I178" s="294">
        <f>'Unit Savings Calculations'!$F174*'Unit Savings Calculations'!K174</f>
        <v>0</v>
      </c>
      <c r="J178" s="294">
        <f>'Unit Savings Calculations'!$F174*'Unit Savings Calculations'!L174</f>
        <v>0</v>
      </c>
      <c r="K178" s="294">
        <f>'Unit Savings Calculations'!$F174*'Unit Savings Calculations'!M174</f>
        <v>0</v>
      </c>
      <c r="L178" s="292" t="str">
        <f>'Unit Savings Calculations'!U174</f>
        <v>CI-FSE-IRCB-V02-180101</v>
      </c>
      <c r="M178" s="383" t="str">
        <f>'Unit Savings Calculations'!R174</f>
        <v>Exhibit 1.5A_R North Shore EEPS_Adjustable_Savings_Goal_Template.xlsx, Unit Savings Calculations Tab</v>
      </c>
      <c r="N178" s="295">
        <v>706.68</v>
      </c>
      <c r="O178" s="295">
        <v>706.68</v>
      </c>
      <c r="P178" s="295">
        <v>706.68</v>
      </c>
      <c r="Q178" s="295">
        <v>706.68</v>
      </c>
      <c r="R178" s="296">
        <f>'Unit Savings Calculations'!$G174</f>
        <v>0.92</v>
      </c>
      <c r="S178" s="296">
        <f>'Unit Savings Calculations'!$G174</f>
        <v>0.92</v>
      </c>
      <c r="T178" s="296">
        <f>'Unit Savings Calculations'!$G174</f>
        <v>0.92</v>
      </c>
      <c r="U178" s="296">
        <f>'Unit Savings Calculations'!$G174</f>
        <v>0.92</v>
      </c>
      <c r="V178" s="297">
        <f t="shared" si="123"/>
        <v>0</v>
      </c>
      <c r="W178" s="297">
        <f t="shared" si="124"/>
        <v>0</v>
      </c>
      <c r="X178" s="297">
        <f t="shared" si="125"/>
        <v>0</v>
      </c>
      <c r="Y178" s="297">
        <f t="shared" si="126"/>
        <v>0</v>
      </c>
      <c r="Z178" s="297">
        <f t="shared" si="127"/>
        <v>0</v>
      </c>
      <c r="AA178" s="292"/>
      <c r="AB178" s="292"/>
      <c r="AC178" s="295">
        <v>706.68</v>
      </c>
      <c r="AD178" s="292"/>
      <c r="AE178" s="297">
        <f t="shared" si="87"/>
        <v>0</v>
      </c>
      <c r="AF178" s="294">
        <f t="shared" si="88"/>
        <v>0</v>
      </c>
      <c r="AG178" s="292"/>
      <c r="AH178" s="292">
        <f t="shared" si="89"/>
        <v>0</v>
      </c>
      <c r="AI178" s="295">
        <v>706.68</v>
      </c>
      <c r="AJ178" s="383" t="s">
        <v>878</v>
      </c>
      <c r="AK178" s="297">
        <f t="shared" si="90"/>
        <v>0</v>
      </c>
      <c r="AL178" s="294">
        <f t="shared" si="91"/>
        <v>0</v>
      </c>
      <c r="AM178" s="292"/>
      <c r="AN178" s="292"/>
      <c r="AO178" s="295">
        <f>'Unit Savings Calculations'!P174</f>
        <v>706.68</v>
      </c>
      <c r="AP178" s="383" t="s">
        <v>763</v>
      </c>
      <c r="AQ178" s="297">
        <f t="shared" si="92"/>
        <v>0</v>
      </c>
      <c r="AR178" s="294">
        <f t="shared" si="93"/>
        <v>0</v>
      </c>
      <c r="AS178" s="292"/>
      <c r="AT178" s="292"/>
      <c r="AU178" s="295">
        <f>'Unit Savings Calculations'!Q174</f>
        <v>706.68</v>
      </c>
      <c r="AV178" s="383" t="str">
        <f t="shared" si="94"/>
        <v>n/a</v>
      </c>
      <c r="AW178" s="297">
        <f t="shared" si="95"/>
        <v>0</v>
      </c>
      <c r="AX178" s="294">
        <f t="shared" si="96"/>
        <v>0</v>
      </c>
      <c r="AY178" s="297">
        <f t="shared" si="97"/>
        <v>0</v>
      </c>
      <c r="AZ178" s="297">
        <f t="shared" si="98"/>
        <v>0</v>
      </c>
      <c r="BA178" s="297">
        <f t="shared" si="99"/>
        <v>0</v>
      </c>
      <c r="BB178" s="297">
        <f t="shared" si="100"/>
        <v>0</v>
      </c>
      <c r="BC178" s="298">
        <f t="shared" si="101"/>
        <v>0</v>
      </c>
      <c r="BD178" s="292" t="s">
        <v>763</v>
      </c>
      <c r="BE178" s="299" t="str">
        <f t="shared" si="102"/>
        <v>Exhibit 1.5A_R North Shore EEPS_Adjustable_Savings_Goal_Template.xlsx, Unit Savings Calculations Tab</v>
      </c>
      <c r="BF178" s="298">
        <f t="shared" si="103"/>
        <v>0</v>
      </c>
      <c r="BG178" s="298">
        <f t="shared" si="103"/>
        <v>0</v>
      </c>
      <c r="BH178" s="298">
        <f t="shared" si="103"/>
        <v>0</v>
      </c>
      <c r="BI178" s="298">
        <f t="shared" si="84"/>
        <v>0</v>
      </c>
      <c r="BJ178" s="298">
        <f t="shared" si="104"/>
        <v>0</v>
      </c>
      <c r="BK178" s="482">
        <v>12</v>
      </c>
      <c r="BL178" s="482">
        <v>12</v>
      </c>
      <c r="BM178" s="482">
        <f>INDEX('Unit Savings Calculations'!$I$4:$I$421,MATCH('Measure-Level Adjustments Tab'!$A178&amp;"_"&amp;'Measure-Level Adjustments Tab'!$B178,'Unit Savings Calculations'!$A$4:$A$421,0))</f>
        <v>12</v>
      </c>
      <c r="BN178" s="482">
        <f t="shared" si="105"/>
        <v>12</v>
      </c>
      <c r="BO178" s="483">
        <f t="shared" si="106"/>
        <v>0</v>
      </c>
      <c r="BP178" s="483">
        <f t="shared" si="106"/>
        <v>0</v>
      </c>
      <c r="BQ178" s="483">
        <f t="shared" si="106"/>
        <v>0</v>
      </c>
      <c r="BR178" s="483">
        <f t="shared" si="85"/>
        <v>0</v>
      </c>
      <c r="BS178" s="483">
        <f t="shared" si="86"/>
        <v>0</v>
      </c>
    </row>
    <row r="179" spans="1:71" ht="15.75" customHeight="1">
      <c r="A179" s="292" t="str">
        <f>'Unit Savings Calculations'!C175</f>
        <v>Bus - SB Rebates</v>
      </c>
      <c r="B179" s="292" t="str">
        <f>'Unit Savings Calculations'!D175</f>
        <v>Infrared Rotisserie Oven</v>
      </c>
      <c r="C179" s="293">
        <f t="shared" si="107"/>
        <v>1</v>
      </c>
      <c r="D179" s="292" t="str">
        <f>'Unit Savings Calculations'!T175</f>
        <v>4.2.13</v>
      </c>
      <c r="E179" s="438">
        <v>12</v>
      </c>
      <c r="F179" s="438">
        <v>12</v>
      </c>
      <c r="G179" s="292" t="str">
        <f>'Unit Savings Calculations'!E175</f>
        <v>each</v>
      </c>
      <c r="H179" s="294">
        <f>'Unit Savings Calculations'!$F175*'Unit Savings Calculations'!J175</f>
        <v>0</v>
      </c>
      <c r="I179" s="294">
        <f>'Unit Savings Calculations'!$F175*'Unit Savings Calculations'!K175</f>
        <v>0</v>
      </c>
      <c r="J179" s="294">
        <f>'Unit Savings Calculations'!$F175*'Unit Savings Calculations'!L175</f>
        <v>0</v>
      </c>
      <c r="K179" s="294">
        <f>'Unit Savings Calculations'!$F175*'Unit Savings Calculations'!M175</f>
        <v>0</v>
      </c>
      <c r="L179" s="292" t="str">
        <f>'Unit Savings Calculations'!U175</f>
        <v>CI-FSE-IROV-V02-180101</v>
      </c>
      <c r="M179" s="383" t="str">
        <f>'Unit Savings Calculations'!R175</f>
        <v>Exhibit 1.5A_R North Shore EEPS_Adjustable_Savings_Goal_Template.xlsx, Unit Savings Calculations Tab</v>
      </c>
      <c r="N179" s="295">
        <v>599.04</v>
      </c>
      <c r="O179" s="295">
        <v>599.04</v>
      </c>
      <c r="P179" s="295">
        <v>599.04</v>
      </c>
      <c r="Q179" s="295">
        <v>599.04</v>
      </c>
      <c r="R179" s="296">
        <f>'Unit Savings Calculations'!$G175</f>
        <v>0.92</v>
      </c>
      <c r="S179" s="296">
        <f>'Unit Savings Calculations'!$G175</f>
        <v>0.92</v>
      </c>
      <c r="T179" s="296">
        <f>'Unit Savings Calculations'!$G175</f>
        <v>0.92</v>
      </c>
      <c r="U179" s="296">
        <f>'Unit Savings Calculations'!$G175</f>
        <v>0.92</v>
      </c>
      <c r="V179" s="297">
        <f t="shared" si="123"/>
        <v>0</v>
      </c>
      <c r="W179" s="297">
        <f t="shared" si="124"/>
        <v>0</v>
      </c>
      <c r="X179" s="297">
        <f t="shared" si="125"/>
        <v>0</v>
      </c>
      <c r="Y179" s="297">
        <f t="shared" si="126"/>
        <v>0</v>
      </c>
      <c r="Z179" s="297">
        <f t="shared" si="127"/>
        <v>0</v>
      </c>
      <c r="AA179" s="292"/>
      <c r="AB179" s="292"/>
      <c r="AC179" s="295">
        <v>599.04</v>
      </c>
      <c r="AD179" s="292"/>
      <c r="AE179" s="297">
        <f t="shared" si="87"/>
        <v>0</v>
      </c>
      <c r="AF179" s="294">
        <f t="shared" si="88"/>
        <v>0</v>
      </c>
      <c r="AG179" s="292"/>
      <c r="AH179" s="292">
        <f t="shared" si="89"/>
        <v>0</v>
      </c>
      <c r="AI179" s="295">
        <v>599.04</v>
      </c>
      <c r="AJ179" s="383" t="s">
        <v>878</v>
      </c>
      <c r="AK179" s="297">
        <f t="shared" si="90"/>
        <v>0</v>
      </c>
      <c r="AL179" s="294">
        <f t="shared" si="91"/>
        <v>0</v>
      </c>
      <c r="AM179" s="292"/>
      <c r="AN179" s="292"/>
      <c r="AO179" s="295">
        <f>'Unit Savings Calculations'!P175</f>
        <v>599.04</v>
      </c>
      <c r="AP179" s="383" t="s">
        <v>763</v>
      </c>
      <c r="AQ179" s="297">
        <f t="shared" si="92"/>
        <v>0</v>
      </c>
      <c r="AR179" s="294">
        <f t="shared" si="93"/>
        <v>0</v>
      </c>
      <c r="AS179" s="292"/>
      <c r="AT179" s="292"/>
      <c r="AU179" s="295">
        <f>'Unit Savings Calculations'!Q175</f>
        <v>599.04</v>
      </c>
      <c r="AV179" s="383" t="str">
        <f t="shared" si="94"/>
        <v>n/a</v>
      </c>
      <c r="AW179" s="297">
        <f t="shared" si="95"/>
        <v>0</v>
      </c>
      <c r="AX179" s="294">
        <f t="shared" si="96"/>
        <v>0</v>
      </c>
      <c r="AY179" s="297">
        <f t="shared" si="97"/>
        <v>0</v>
      </c>
      <c r="AZ179" s="297">
        <f t="shared" si="98"/>
        <v>0</v>
      </c>
      <c r="BA179" s="297">
        <f t="shared" si="99"/>
        <v>0</v>
      </c>
      <c r="BB179" s="297">
        <f t="shared" si="100"/>
        <v>0</v>
      </c>
      <c r="BC179" s="298">
        <f t="shared" si="101"/>
        <v>0</v>
      </c>
      <c r="BD179" s="292" t="s">
        <v>763</v>
      </c>
      <c r="BE179" s="299" t="str">
        <f t="shared" si="102"/>
        <v>Exhibit 1.5A_R North Shore EEPS_Adjustable_Savings_Goal_Template.xlsx, Unit Savings Calculations Tab</v>
      </c>
      <c r="BF179" s="298">
        <f t="shared" si="103"/>
        <v>0</v>
      </c>
      <c r="BG179" s="298">
        <f t="shared" si="103"/>
        <v>0</v>
      </c>
      <c r="BH179" s="298">
        <f t="shared" si="103"/>
        <v>0</v>
      </c>
      <c r="BI179" s="298">
        <f t="shared" si="84"/>
        <v>0</v>
      </c>
      <c r="BJ179" s="298">
        <f t="shared" si="104"/>
        <v>0</v>
      </c>
      <c r="BK179" s="482">
        <v>12</v>
      </c>
      <c r="BL179" s="482">
        <v>12</v>
      </c>
      <c r="BM179" s="482">
        <f>INDEX('Unit Savings Calculations'!$I$4:$I$421,MATCH('Measure-Level Adjustments Tab'!$A179&amp;"_"&amp;'Measure-Level Adjustments Tab'!$B179,'Unit Savings Calculations'!$A$4:$A$421,0))</f>
        <v>12</v>
      </c>
      <c r="BN179" s="482">
        <f t="shared" si="105"/>
        <v>12</v>
      </c>
      <c r="BO179" s="483">
        <f t="shared" si="106"/>
        <v>0</v>
      </c>
      <c r="BP179" s="483">
        <f t="shared" si="106"/>
        <v>0</v>
      </c>
      <c r="BQ179" s="483">
        <f t="shared" si="106"/>
        <v>0</v>
      </c>
      <c r="BR179" s="483">
        <f t="shared" si="85"/>
        <v>0</v>
      </c>
      <c r="BS179" s="483">
        <f t="shared" si="86"/>
        <v>0</v>
      </c>
    </row>
    <row r="180" spans="1:71" ht="15.75" customHeight="1">
      <c r="A180" s="292" t="str">
        <f>'Unit Savings Calculations'!C176</f>
        <v>Bus - SB Rebates</v>
      </c>
      <c r="B180" s="292" t="str">
        <f>'Unit Savings Calculations'!D176</f>
        <v>Infrared Salamander Broiler</v>
      </c>
      <c r="C180" s="293">
        <f t="shared" si="107"/>
        <v>1</v>
      </c>
      <c r="D180" s="292" t="str">
        <f>'Unit Savings Calculations'!T176</f>
        <v>4.2.14</v>
      </c>
      <c r="E180" s="438">
        <v>12</v>
      </c>
      <c r="F180" s="438">
        <v>12</v>
      </c>
      <c r="G180" s="292" t="str">
        <f>'Unit Savings Calculations'!E176</f>
        <v>each</v>
      </c>
      <c r="H180" s="294">
        <f>'Unit Savings Calculations'!$F176*'Unit Savings Calculations'!J176</f>
        <v>0</v>
      </c>
      <c r="I180" s="294">
        <f>'Unit Savings Calculations'!$F176*'Unit Savings Calculations'!K176</f>
        <v>0</v>
      </c>
      <c r="J180" s="294">
        <f>'Unit Savings Calculations'!$F176*'Unit Savings Calculations'!L176</f>
        <v>0</v>
      </c>
      <c r="K180" s="294">
        <f>'Unit Savings Calculations'!$F176*'Unit Savings Calculations'!M176</f>
        <v>0</v>
      </c>
      <c r="L180" s="292" t="str">
        <f>'Unit Savings Calculations'!U176</f>
        <v>CI-FSE-IRBL-V02-180101</v>
      </c>
      <c r="M180" s="383" t="str">
        <f>'Unit Savings Calculations'!R176</f>
        <v>Exhibit 1.5A_R North Shore EEPS_Adjustable_Savings_Goal_Template.xlsx, Unit Savings Calculations Tab</v>
      </c>
      <c r="N180" s="295">
        <v>240.24</v>
      </c>
      <c r="O180" s="295">
        <v>240.24</v>
      </c>
      <c r="P180" s="295">
        <v>240.24</v>
      </c>
      <c r="Q180" s="295">
        <v>240.24</v>
      </c>
      <c r="R180" s="296">
        <f>'Unit Savings Calculations'!$G176</f>
        <v>0.92</v>
      </c>
      <c r="S180" s="296">
        <f>'Unit Savings Calculations'!$G176</f>
        <v>0.92</v>
      </c>
      <c r="T180" s="296">
        <f>'Unit Savings Calculations'!$G176</f>
        <v>0.92</v>
      </c>
      <c r="U180" s="296">
        <f>'Unit Savings Calculations'!$G176</f>
        <v>0.92</v>
      </c>
      <c r="V180" s="297">
        <f t="shared" si="123"/>
        <v>0</v>
      </c>
      <c r="W180" s="297">
        <f t="shared" si="124"/>
        <v>0</v>
      </c>
      <c r="X180" s="297">
        <f t="shared" si="125"/>
        <v>0</v>
      </c>
      <c r="Y180" s="297">
        <f t="shared" si="126"/>
        <v>0</v>
      </c>
      <c r="Z180" s="297">
        <f t="shared" si="127"/>
        <v>0</v>
      </c>
      <c r="AA180" s="292"/>
      <c r="AB180" s="292"/>
      <c r="AC180" s="295">
        <v>240.24</v>
      </c>
      <c r="AD180" s="292"/>
      <c r="AE180" s="297">
        <f t="shared" si="87"/>
        <v>0</v>
      </c>
      <c r="AF180" s="294">
        <f t="shared" si="88"/>
        <v>0</v>
      </c>
      <c r="AG180" s="292"/>
      <c r="AH180" s="292">
        <f t="shared" si="89"/>
        <v>0</v>
      </c>
      <c r="AI180" s="295">
        <v>240.24</v>
      </c>
      <c r="AJ180" s="383" t="s">
        <v>878</v>
      </c>
      <c r="AK180" s="297">
        <f t="shared" si="90"/>
        <v>0</v>
      </c>
      <c r="AL180" s="294">
        <f t="shared" si="91"/>
        <v>0</v>
      </c>
      <c r="AM180" s="292"/>
      <c r="AN180" s="292"/>
      <c r="AO180" s="295">
        <f>'Unit Savings Calculations'!P176</f>
        <v>240.24</v>
      </c>
      <c r="AP180" s="383" t="s">
        <v>763</v>
      </c>
      <c r="AQ180" s="297">
        <f t="shared" si="92"/>
        <v>0</v>
      </c>
      <c r="AR180" s="294">
        <f t="shared" si="93"/>
        <v>0</v>
      </c>
      <c r="AS180" s="292"/>
      <c r="AT180" s="292"/>
      <c r="AU180" s="295">
        <f>'Unit Savings Calculations'!Q176</f>
        <v>240.24</v>
      </c>
      <c r="AV180" s="383" t="str">
        <f t="shared" si="94"/>
        <v>n/a</v>
      </c>
      <c r="AW180" s="297">
        <f t="shared" si="95"/>
        <v>0</v>
      </c>
      <c r="AX180" s="294">
        <f t="shared" si="96"/>
        <v>0</v>
      </c>
      <c r="AY180" s="297">
        <f t="shared" si="97"/>
        <v>0</v>
      </c>
      <c r="AZ180" s="297">
        <f t="shared" si="98"/>
        <v>0</v>
      </c>
      <c r="BA180" s="297">
        <f t="shared" si="99"/>
        <v>0</v>
      </c>
      <c r="BB180" s="297">
        <f t="shared" si="100"/>
        <v>0</v>
      </c>
      <c r="BC180" s="298">
        <f t="shared" si="101"/>
        <v>0</v>
      </c>
      <c r="BD180" s="292" t="s">
        <v>763</v>
      </c>
      <c r="BE180" s="299" t="str">
        <f t="shared" si="102"/>
        <v>Exhibit 1.5A_R North Shore EEPS_Adjustable_Savings_Goal_Template.xlsx, Unit Savings Calculations Tab</v>
      </c>
      <c r="BF180" s="298">
        <f t="shared" si="103"/>
        <v>0</v>
      </c>
      <c r="BG180" s="298">
        <f t="shared" si="103"/>
        <v>0</v>
      </c>
      <c r="BH180" s="298">
        <f t="shared" si="103"/>
        <v>0</v>
      </c>
      <c r="BI180" s="298">
        <f t="shared" si="84"/>
        <v>0</v>
      </c>
      <c r="BJ180" s="298">
        <f t="shared" si="104"/>
        <v>0</v>
      </c>
      <c r="BK180" s="482">
        <v>12</v>
      </c>
      <c r="BL180" s="482">
        <v>12</v>
      </c>
      <c r="BM180" s="482">
        <f>INDEX('Unit Savings Calculations'!$I$4:$I$421,MATCH('Measure-Level Adjustments Tab'!$A180&amp;"_"&amp;'Measure-Level Adjustments Tab'!$B180,'Unit Savings Calculations'!$A$4:$A$421,0))</f>
        <v>12</v>
      </c>
      <c r="BN180" s="482">
        <f t="shared" si="105"/>
        <v>12</v>
      </c>
      <c r="BO180" s="483">
        <f t="shared" si="106"/>
        <v>0</v>
      </c>
      <c r="BP180" s="483">
        <f t="shared" si="106"/>
        <v>0</v>
      </c>
      <c r="BQ180" s="483">
        <f t="shared" si="106"/>
        <v>0</v>
      </c>
      <c r="BR180" s="483">
        <f t="shared" si="85"/>
        <v>0</v>
      </c>
      <c r="BS180" s="483">
        <f t="shared" si="86"/>
        <v>0</v>
      </c>
    </row>
    <row r="181" spans="1:71" ht="15.75" customHeight="1">
      <c r="A181" s="292" t="str">
        <f>'Unit Savings Calculations'!C177</f>
        <v>Bus - SB Rebates</v>
      </c>
      <c r="B181" s="292" t="str">
        <f>'Unit Savings Calculations'!D177</f>
        <v>Infrared Upright Broiler</v>
      </c>
      <c r="C181" s="293">
        <f t="shared" si="107"/>
        <v>1</v>
      </c>
      <c r="D181" s="292" t="str">
        <f>'Unit Savings Calculations'!T177</f>
        <v>4.2.15</v>
      </c>
      <c r="E181" s="438">
        <v>12</v>
      </c>
      <c r="F181" s="438">
        <v>12</v>
      </c>
      <c r="G181" s="292" t="str">
        <f>'Unit Savings Calculations'!E177</f>
        <v>each</v>
      </c>
      <c r="H181" s="294">
        <f>'Unit Savings Calculations'!$F177*'Unit Savings Calculations'!J177</f>
        <v>0</v>
      </c>
      <c r="I181" s="294">
        <f>'Unit Savings Calculations'!$F177*'Unit Savings Calculations'!K177</f>
        <v>0</v>
      </c>
      <c r="J181" s="294">
        <f>'Unit Savings Calculations'!$F177*'Unit Savings Calculations'!L177</f>
        <v>0</v>
      </c>
      <c r="K181" s="294">
        <f>'Unit Savings Calculations'!$F177*'Unit Savings Calculations'!M177</f>
        <v>0</v>
      </c>
      <c r="L181" s="292" t="str">
        <f>'Unit Savings Calculations'!U177</f>
        <v>CI-FSE-IRUB-V02-180101</v>
      </c>
      <c r="M181" s="383" t="str">
        <f>'Unit Savings Calculations'!R177</f>
        <v>Exhibit 1.5A_R North Shore EEPS_Adjustable_Savings_Goal_Template.xlsx, Unit Savings Calculations Tab</v>
      </c>
      <c r="N181" s="295">
        <v>943.48800000000006</v>
      </c>
      <c r="O181" s="295">
        <v>943.48800000000006</v>
      </c>
      <c r="P181" s="295">
        <v>943.48800000000006</v>
      </c>
      <c r="Q181" s="295">
        <v>943.48800000000006</v>
      </c>
      <c r="R181" s="296">
        <f>'Unit Savings Calculations'!$G177</f>
        <v>0.92</v>
      </c>
      <c r="S181" s="296">
        <f>'Unit Savings Calculations'!$G177</f>
        <v>0.92</v>
      </c>
      <c r="T181" s="296">
        <f>'Unit Savings Calculations'!$G177</f>
        <v>0.92</v>
      </c>
      <c r="U181" s="296">
        <f>'Unit Savings Calculations'!$G177</f>
        <v>0.92</v>
      </c>
      <c r="V181" s="297">
        <f t="shared" si="123"/>
        <v>0</v>
      </c>
      <c r="W181" s="297">
        <f t="shared" si="124"/>
        <v>0</v>
      </c>
      <c r="X181" s="297">
        <f t="shared" si="125"/>
        <v>0</v>
      </c>
      <c r="Y181" s="297">
        <f t="shared" si="126"/>
        <v>0</v>
      </c>
      <c r="Z181" s="297">
        <f t="shared" si="127"/>
        <v>0</v>
      </c>
      <c r="AA181" s="292"/>
      <c r="AB181" s="292"/>
      <c r="AC181" s="295">
        <v>943.48800000000006</v>
      </c>
      <c r="AD181" s="292"/>
      <c r="AE181" s="297">
        <f t="shared" si="87"/>
        <v>0</v>
      </c>
      <c r="AF181" s="294">
        <f t="shared" si="88"/>
        <v>0</v>
      </c>
      <c r="AG181" s="292"/>
      <c r="AH181" s="292">
        <f t="shared" si="89"/>
        <v>0</v>
      </c>
      <c r="AI181" s="295">
        <v>943.48800000000006</v>
      </c>
      <c r="AJ181" s="383" t="s">
        <v>878</v>
      </c>
      <c r="AK181" s="297">
        <f t="shared" si="90"/>
        <v>0</v>
      </c>
      <c r="AL181" s="294">
        <f t="shared" si="91"/>
        <v>0</v>
      </c>
      <c r="AM181" s="292"/>
      <c r="AN181" s="292"/>
      <c r="AO181" s="295">
        <f>'Unit Savings Calculations'!P177</f>
        <v>943.48800000000006</v>
      </c>
      <c r="AP181" s="383" t="s">
        <v>763</v>
      </c>
      <c r="AQ181" s="297">
        <f t="shared" si="92"/>
        <v>0</v>
      </c>
      <c r="AR181" s="294">
        <f t="shared" si="93"/>
        <v>0</v>
      </c>
      <c r="AS181" s="292"/>
      <c r="AT181" s="292"/>
      <c r="AU181" s="295">
        <f>'Unit Savings Calculations'!Q177</f>
        <v>943.48800000000006</v>
      </c>
      <c r="AV181" s="383" t="str">
        <f t="shared" si="94"/>
        <v>n/a</v>
      </c>
      <c r="AW181" s="297">
        <f t="shared" si="95"/>
        <v>0</v>
      </c>
      <c r="AX181" s="294">
        <f t="shared" si="96"/>
        <v>0</v>
      </c>
      <c r="AY181" s="297">
        <f t="shared" si="97"/>
        <v>0</v>
      </c>
      <c r="AZ181" s="297">
        <f t="shared" si="98"/>
        <v>0</v>
      </c>
      <c r="BA181" s="297">
        <f t="shared" si="99"/>
        <v>0</v>
      </c>
      <c r="BB181" s="297">
        <f t="shared" si="100"/>
        <v>0</v>
      </c>
      <c r="BC181" s="298">
        <f t="shared" si="101"/>
        <v>0</v>
      </c>
      <c r="BD181" s="292" t="s">
        <v>763</v>
      </c>
      <c r="BE181" s="299" t="str">
        <f t="shared" si="102"/>
        <v>Exhibit 1.5A_R North Shore EEPS_Adjustable_Savings_Goal_Template.xlsx, Unit Savings Calculations Tab</v>
      </c>
      <c r="BF181" s="298">
        <f t="shared" si="103"/>
        <v>0</v>
      </c>
      <c r="BG181" s="298">
        <f t="shared" si="103"/>
        <v>0</v>
      </c>
      <c r="BH181" s="298">
        <f t="shared" si="103"/>
        <v>0</v>
      </c>
      <c r="BI181" s="298">
        <f t="shared" si="84"/>
        <v>0</v>
      </c>
      <c r="BJ181" s="298">
        <f t="shared" si="104"/>
        <v>0</v>
      </c>
      <c r="BK181" s="482">
        <v>12</v>
      </c>
      <c r="BL181" s="482">
        <v>12</v>
      </c>
      <c r="BM181" s="482">
        <f>INDEX('Unit Savings Calculations'!$I$4:$I$421,MATCH('Measure-Level Adjustments Tab'!$A181&amp;"_"&amp;'Measure-Level Adjustments Tab'!$B181,'Unit Savings Calculations'!$A$4:$A$421,0))</f>
        <v>12</v>
      </c>
      <c r="BN181" s="482">
        <f t="shared" si="105"/>
        <v>12</v>
      </c>
      <c r="BO181" s="483">
        <f t="shared" si="106"/>
        <v>0</v>
      </c>
      <c r="BP181" s="483">
        <f t="shared" si="106"/>
        <v>0</v>
      </c>
      <c r="BQ181" s="483">
        <f t="shared" si="106"/>
        <v>0</v>
      </c>
      <c r="BR181" s="483">
        <f t="shared" si="85"/>
        <v>0</v>
      </c>
      <c r="BS181" s="483">
        <f t="shared" si="86"/>
        <v>0</v>
      </c>
    </row>
    <row r="182" spans="1:71" ht="15.75" customHeight="1">
      <c r="A182" s="292" t="str">
        <f>'Unit Savings Calculations'!C178</f>
        <v>Bus - SB Rebates</v>
      </c>
      <c r="B182" s="292" t="str">
        <f>'Unit Savings Calculations'!D178</f>
        <v>High Speed Washer - Hotel/Motel/Hospital</v>
      </c>
      <c r="C182" s="293">
        <f t="shared" si="107"/>
        <v>1</v>
      </c>
      <c r="D182" s="292" t="str">
        <f>'Unit Savings Calculations'!T178</f>
        <v>4.8.5</v>
      </c>
      <c r="E182" s="438">
        <v>7</v>
      </c>
      <c r="F182" s="438">
        <v>7</v>
      </c>
      <c r="G182" s="292" t="str">
        <f>'Unit Savings Calculations'!E178</f>
        <v>lb-capacity</v>
      </c>
      <c r="H182" s="294">
        <f>'Unit Savings Calculations'!$F178*'Unit Savings Calculations'!J178</f>
        <v>500</v>
      </c>
      <c r="I182" s="294">
        <f>'Unit Savings Calculations'!$F178*'Unit Savings Calculations'!K178</f>
        <v>500</v>
      </c>
      <c r="J182" s="294">
        <f>'Unit Savings Calculations'!$F178*'Unit Savings Calculations'!L178</f>
        <v>500</v>
      </c>
      <c r="K182" s="294">
        <f>'Unit Savings Calculations'!$F178*'Unit Savings Calculations'!M178</f>
        <v>500</v>
      </c>
      <c r="L182" s="292" t="str">
        <f>'Unit Savings Calculations'!U178</f>
        <v>CI-MSC-HSCW-V01-180101</v>
      </c>
      <c r="M182" s="383" t="str">
        <f>'Unit Savings Calculations'!R178</f>
        <v>Exhibit 1.5A_R North Shore EEPS_Adjustable_Savings_Goal_Template.xlsx, Unit Savings Calculations Tab</v>
      </c>
      <c r="N182" s="295">
        <v>11.243232000000003</v>
      </c>
      <c r="O182" s="295">
        <v>11.243232000000003</v>
      </c>
      <c r="P182" s="295">
        <v>11.243232000000003</v>
      </c>
      <c r="Q182" s="295">
        <v>11.243232000000003</v>
      </c>
      <c r="R182" s="296">
        <f>'Unit Savings Calculations'!$G178</f>
        <v>0.92</v>
      </c>
      <c r="S182" s="296">
        <f>'Unit Savings Calculations'!$G178</f>
        <v>0.92</v>
      </c>
      <c r="T182" s="296">
        <f>'Unit Savings Calculations'!$G178</f>
        <v>0.92</v>
      </c>
      <c r="U182" s="296">
        <f>'Unit Savings Calculations'!$G178</f>
        <v>0.92</v>
      </c>
      <c r="V182" s="297">
        <f t="shared" si="123"/>
        <v>5171.8867200000013</v>
      </c>
      <c r="W182" s="297">
        <f t="shared" si="124"/>
        <v>5171.8867200000013</v>
      </c>
      <c r="X182" s="297">
        <f t="shared" si="125"/>
        <v>5171.8867200000013</v>
      </c>
      <c r="Y182" s="297">
        <f t="shared" si="126"/>
        <v>5171.8867200000013</v>
      </c>
      <c r="Z182" s="297">
        <f t="shared" si="127"/>
        <v>20687.546880000005</v>
      </c>
      <c r="AA182" s="292"/>
      <c r="AB182" s="292"/>
      <c r="AC182" s="295">
        <v>11.243232000000003</v>
      </c>
      <c r="AD182" s="292"/>
      <c r="AE182" s="297">
        <f t="shared" si="87"/>
        <v>5171.8867200000013</v>
      </c>
      <c r="AF182" s="294">
        <f t="shared" si="88"/>
        <v>0</v>
      </c>
      <c r="AG182" s="292"/>
      <c r="AH182" s="292">
        <f t="shared" si="89"/>
        <v>0</v>
      </c>
      <c r="AI182" s="295">
        <v>11.243232000000003</v>
      </c>
      <c r="AJ182" s="383" t="s">
        <v>878</v>
      </c>
      <c r="AK182" s="297">
        <f t="shared" si="90"/>
        <v>5171.8867200000013</v>
      </c>
      <c r="AL182" s="294">
        <f t="shared" si="91"/>
        <v>0</v>
      </c>
      <c r="AM182" s="292"/>
      <c r="AN182" s="292"/>
      <c r="AO182" s="295">
        <f>'Unit Savings Calculations'!P178</f>
        <v>11.243232000000003</v>
      </c>
      <c r="AP182" s="383" t="s">
        <v>763</v>
      </c>
      <c r="AQ182" s="297">
        <f t="shared" si="92"/>
        <v>5171.8867200000013</v>
      </c>
      <c r="AR182" s="294">
        <f t="shared" si="93"/>
        <v>0</v>
      </c>
      <c r="AS182" s="292"/>
      <c r="AT182" s="292"/>
      <c r="AU182" s="295">
        <f>'Unit Savings Calculations'!Q178</f>
        <v>11.243232000000003</v>
      </c>
      <c r="AV182" s="383" t="str">
        <f t="shared" si="94"/>
        <v>n/a</v>
      </c>
      <c r="AW182" s="297">
        <f t="shared" si="95"/>
        <v>5171.8867200000013</v>
      </c>
      <c r="AX182" s="294">
        <f t="shared" si="96"/>
        <v>0</v>
      </c>
      <c r="AY182" s="297">
        <f t="shared" si="97"/>
        <v>5171.8867200000013</v>
      </c>
      <c r="AZ182" s="297">
        <f t="shared" si="98"/>
        <v>5171.8867200000013</v>
      </c>
      <c r="BA182" s="297">
        <f t="shared" si="99"/>
        <v>5171.8867200000013</v>
      </c>
      <c r="BB182" s="297">
        <f t="shared" si="100"/>
        <v>5171.8867200000013</v>
      </c>
      <c r="BC182" s="298">
        <f t="shared" si="101"/>
        <v>20687.546880000005</v>
      </c>
      <c r="BD182" s="292" t="s">
        <v>763</v>
      </c>
      <c r="BE182" s="299" t="str">
        <f t="shared" si="102"/>
        <v>Exhibit 1.5A_R North Shore EEPS_Adjustable_Savings_Goal_Template.xlsx, Unit Savings Calculations Tab</v>
      </c>
      <c r="BF182" s="298">
        <f t="shared" si="103"/>
        <v>36203.207040000008</v>
      </c>
      <c r="BG182" s="298">
        <f t="shared" si="103"/>
        <v>36203.207040000008</v>
      </c>
      <c r="BH182" s="298">
        <f t="shared" si="103"/>
        <v>36203.207040000008</v>
      </c>
      <c r="BI182" s="298">
        <f t="shared" si="84"/>
        <v>36203.207040000008</v>
      </c>
      <c r="BJ182" s="298">
        <f t="shared" si="104"/>
        <v>144812.82816000003</v>
      </c>
      <c r="BK182" s="482">
        <v>7</v>
      </c>
      <c r="BL182" s="482">
        <v>7</v>
      </c>
      <c r="BM182" s="482">
        <f>INDEX('Unit Savings Calculations'!$I$4:$I$421,MATCH('Measure-Level Adjustments Tab'!$A182&amp;"_"&amp;'Measure-Level Adjustments Tab'!$B182,'Unit Savings Calculations'!$A$4:$A$421,0))</f>
        <v>7</v>
      </c>
      <c r="BN182" s="482">
        <f t="shared" si="105"/>
        <v>7</v>
      </c>
      <c r="BO182" s="483">
        <f t="shared" si="106"/>
        <v>36203.207040000008</v>
      </c>
      <c r="BP182" s="483">
        <f t="shared" si="106"/>
        <v>36203.207040000008</v>
      </c>
      <c r="BQ182" s="483">
        <f t="shared" si="106"/>
        <v>36203.207040000008</v>
      </c>
      <c r="BR182" s="483">
        <f t="shared" si="85"/>
        <v>36203.207040000008</v>
      </c>
      <c r="BS182" s="483">
        <f t="shared" si="86"/>
        <v>144812.82816000003</v>
      </c>
    </row>
    <row r="183" spans="1:71" ht="15.75" customHeight="1">
      <c r="A183" s="292" t="str">
        <f>'Unit Savings Calculations'!C179</f>
        <v>Bus - SB Rebates</v>
      </c>
      <c r="B183" s="292" t="str">
        <f>'Unit Savings Calculations'!D179</f>
        <v>High Speed Washer - Laundromat</v>
      </c>
      <c r="C183" s="293">
        <f t="shared" si="107"/>
        <v>1</v>
      </c>
      <c r="D183" s="292" t="str">
        <f>'Unit Savings Calculations'!T179</f>
        <v>4.8.5</v>
      </c>
      <c r="E183" s="438">
        <v>7</v>
      </c>
      <c r="F183" s="438">
        <v>7</v>
      </c>
      <c r="G183" s="292" t="str">
        <f>'Unit Savings Calculations'!E179</f>
        <v>lb-capacity</v>
      </c>
      <c r="H183" s="294">
        <f>'Unit Savings Calculations'!$F179*'Unit Savings Calculations'!J179</f>
        <v>500</v>
      </c>
      <c r="I183" s="294">
        <f>'Unit Savings Calculations'!$F179*'Unit Savings Calculations'!K179</f>
        <v>500</v>
      </c>
      <c r="J183" s="294">
        <f>'Unit Savings Calculations'!$F179*'Unit Savings Calculations'!L179</f>
        <v>500</v>
      </c>
      <c r="K183" s="294">
        <f>'Unit Savings Calculations'!$F179*'Unit Savings Calculations'!M179</f>
        <v>500</v>
      </c>
      <c r="L183" s="292" t="str">
        <f>'Unit Savings Calculations'!U179</f>
        <v>CI-MSC-HSCW-V01-180101</v>
      </c>
      <c r="M183" s="383" t="str">
        <f>'Unit Savings Calculations'!R179</f>
        <v>Exhibit 1.5A_R North Shore EEPS_Adjustable_Savings_Goal_Template.xlsx, Unit Savings Calculations Tab</v>
      </c>
      <c r="N183" s="295">
        <v>4.648644</v>
      </c>
      <c r="O183" s="295">
        <v>4.648644</v>
      </c>
      <c r="P183" s="295">
        <v>4.648644</v>
      </c>
      <c r="Q183" s="295">
        <v>4.648644</v>
      </c>
      <c r="R183" s="296">
        <f>'Unit Savings Calculations'!$G179</f>
        <v>0.92</v>
      </c>
      <c r="S183" s="296">
        <f>'Unit Savings Calculations'!$G179</f>
        <v>0.92</v>
      </c>
      <c r="T183" s="296">
        <f>'Unit Savings Calculations'!$G179</f>
        <v>0.92</v>
      </c>
      <c r="U183" s="296">
        <f>'Unit Savings Calculations'!$G179</f>
        <v>0.92</v>
      </c>
      <c r="V183" s="297">
        <f t="shared" si="123"/>
        <v>2138.3762400000001</v>
      </c>
      <c r="W183" s="297">
        <f t="shared" si="124"/>
        <v>2138.3762400000001</v>
      </c>
      <c r="X183" s="297">
        <f t="shared" si="125"/>
        <v>2138.3762400000001</v>
      </c>
      <c r="Y183" s="297">
        <f t="shared" si="126"/>
        <v>2138.3762400000001</v>
      </c>
      <c r="Z183" s="297">
        <f t="shared" si="127"/>
        <v>8553.5049600000002</v>
      </c>
      <c r="AA183" s="292"/>
      <c r="AB183" s="292"/>
      <c r="AC183" s="295">
        <v>4.648644</v>
      </c>
      <c r="AD183" s="292"/>
      <c r="AE183" s="297">
        <f t="shared" si="87"/>
        <v>2138.3762400000001</v>
      </c>
      <c r="AF183" s="294">
        <f t="shared" si="88"/>
        <v>0</v>
      </c>
      <c r="AG183" s="292"/>
      <c r="AH183" s="292">
        <f t="shared" si="89"/>
        <v>0</v>
      </c>
      <c r="AI183" s="295">
        <v>4.648644</v>
      </c>
      <c r="AJ183" s="383" t="s">
        <v>878</v>
      </c>
      <c r="AK183" s="297">
        <f t="shared" si="90"/>
        <v>2138.3762400000001</v>
      </c>
      <c r="AL183" s="294">
        <f t="shared" si="91"/>
        <v>0</v>
      </c>
      <c r="AM183" s="292"/>
      <c r="AN183" s="292"/>
      <c r="AO183" s="295">
        <f>'Unit Savings Calculations'!P179</f>
        <v>4.648644</v>
      </c>
      <c r="AP183" s="383" t="s">
        <v>763</v>
      </c>
      <c r="AQ183" s="297">
        <f t="shared" si="92"/>
        <v>2138.3762400000001</v>
      </c>
      <c r="AR183" s="294">
        <f t="shared" si="93"/>
        <v>0</v>
      </c>
      <c r="AS183" s="292"/>
      <c r="AT183" s="292"/>
      <c r="AU183" s="295">
        <f>'Unit Savings Calculations'!Q179</f>
        <v>4.648644</v>
      </c>
      <c r="AV183" s="383" t="str">
        <f t="shared" si="94"/>
        <v>n/a</v>
      </c>
      <c r="AW183" s="297">
        <f t="shared" si="95"/>
        <v>2138.3762400000001</v>
      </c>
      <c r="AX183" s="294">
        <f t="shared" si="96"/>
        <v>0</v>
      </c>
      <c r="AY183" s="297">
        <f t="shared" si="97"/>
        <v>2138.3762400000001</v>
      </c>
      <c r="AZ183" s="297">
        <f t="shared" si="98"/>
        <v>2138.3762400000001</v>
      </c>
      <c r="BA183" s="297">
        <f t="shared" si="99"/>
        <v>2138.3762400000001</v>
      </c>
      <c r="BB183" s="297">
        <f t="shared" si="100"/>
        <v>2138.3762400000001</v>
      </c>
      <c r="BC183" s="298">
        <f t="shared" si="101"/>
        <v>8553.5049600000002</v>
      </c>
      <c r="BD183" s="292" t="s">
        <v>763</v>
      </c>
      <c r="BE183" s="299" t="str">
        <f t="shared" si="102"/>
        <v>Exhibit 1.5A_R North Shore EEPS_Adjustable_Savings_Goal_Template.xlsx, Unit Savings Calculations Tab</v>
      </c>
      <c r="BF183" s="298">
        <f t="shared" si="103"/>
        <v>14968.633680000001</v>
      </c>
      <c r="BG183" s="298">
        <f t="shared" si="103"/>
        <v>14968.633680000001</v>
      </c>
      <c r="BH183" s="298">
        <f t="shared" si="103"/>
        <v>14968.633680000001</v>
      </c>
      <c r="BI183" s="298">
        <f t="shared" si="84"/>
        <v>14968.633680000001</v>
      </c>
      <c r="BJ183" s="298">
        <f t="shared" si="104"/>
        <v>59874.534720000003</v>
      </c>
      <c r="BK183" s="482">
        <v>7</v>
      </c>
      <c r="BL183" s="482">
        <v>7</v>
      </c>
      <c r="BM183" s="482">
        <f>INDEX('Unit Savings Calculations'!$I$4:$I$421,MATCH('Measure-Level Adjustments Tab'!$A183&amp;"_"&amp;'Measure-Level Adjustments Tab'!$B183,'Unit Savings Calculations'!$A$4:$A$421,0))</f>
        <v>7</v>
      </c>
      <c r="BN183" s="482">
        <f t="shared" si="105"/>
        <v>7</v>
      </c>
      <c r="BO183" s="483">
        <f t="shared" si="106"/>
        <v>14968.633680000001</v>
      </c>
      <c r="BP183" s="483">
        <f t="shared" si="106"/>
        <v>14968.633680000001</v>
      </c>
      <c r="BQ183" s="483">
        <f t="shared" si="106"/>
        <v>14968.633680000001</v>
      </c>
      <c r="BR183" s="483">
        <f t="shared" si="85"/>
        <v>14968.633680000001</v>
      </c>
      <c r="BS183" s="483">
        <f t="shared" si="86"/>
        <v>59874.534720000003</v>
      </c>
    </row>
    <row r="184" spans="1:71" ht="15.75" customHeight="1">
      <c r="A184" s="292" t="str">
        <f>'Unit Savings Calculations'!C180</f>
        <v>Bus - SB Rebates</v>
      </c>
      <c r="B184" s="292" t="str">
        <f>'Unit Savings Calculations'!D180</f>
        <v>Infrared Heater</v>
      </c>
      <c r="C184" s="293">
        <f t="shared" si="107"/>
        <v>1</v>
      </c>
      <c r="D184" s="292" t="str">
        <f>'Unit Savings Calculations'!T180</f>
        <v>4.4.12</v>
      </c>
      <c r="E184" s="438">
        <v>12</v>
      </c>
      <c r="F184" s="438">
        <v>12</v>
      </c>
      <c r="G184" s="292" t="str">
        <f>'Unit Savings Calculations'!E180</f>
        <v>MBH</v>
      </c>
      <c r="H184" s="294">
        <f>'Unit Savings Calculations'!$F180*'Unit Savings Calculations'!J180</f>
        <v>0</v>
      </c>
      <c r="I184" s="294">
        <f>'Unit Savings Calculations'!$F180*'Unit Savings Calculations'!K180</f>
        <v>0</v>
      </c>
      <c r="J184" s="294">
        <f>'Unit Savings Calculations'!$F180*'Unit Savings Calculations'!L180</f>
        <v>0</v>
      </c>
      <c r="K184" s="294">
        <f>'Unit Savings Calculations'!$F180*'Unit Savings Calculations'!M180</f>
        <v>0</v>
      </c>
      <c r="L184" s="292" t="str">
        <f>'Unit Savings Calculations'!U180</f>
        <v>CI-HVC-IRHT-V01-120601</v>
      </c>
      <c r="M184" s="383" t="str">
        <f>'Unit Savings Calculations'!R180</f>
        <v>Exhibit 1.5A_R North Shore EEPS_Adjustable_Savings_Goal_Template.xlsx, Unit Savings Calculations Tab</v>
      </c>
      <c r="N184" s="295">
        <v>3.0066666666666668</v>
      </c>
      <c r="O184" s="295">
        <v>3.0066666666666668</v>
      </c>
      <c r="P184" s="295">
        <v>3.0066666666666668</v>
      </c>
      <c r="Q184" s="295">
        <v>3.0066666666666668</v>
      </c>
      <c r="R184" s="296">
        <f>'Unit Savings Calculations'!$G180</f>
        <v>0.92</v>
      </c>
      <c r="S184" s="296">
        <f>'Unit Savings Calculations'!$G180</f>
        <v>0.92</v>
      </c>
      <c r="T184" s="296">
        <f>'Unit Savings Calculations'!$G180</f>
        <v>0.92</v>
      </c>
      <c r="U184" s="296">
        <f>'Unit Savings Calculations'!$G180</f>
        <v>0.92</v>
      </c>
      <c r="V184" s="297">
        <f t="shared" si="123"/>
        <v>0</v>
      </c>
      <c r="W184" s="297">
        <f t="shared" si="124"/>
        <v>0</v>
      </c>
      <c r="X184" s="297">
        <f t="shared" si="125"/>
        <v>0</v>
      </c>
      <c r="Y184" s="297">
        <f t="shared" si="126"/>
        <v>0</v>
      </c>
      <c r="Z184" s="297">
        <f t="shared" si="127"/>
        <v>0</v>
      </c>
      <c r="AA184" s="292"/>
      <c r="AB184" s="292"/>
      <c r="AC184" s="295">
        <v>3.0066666666666668</v>
      </c>
      <c r="AD184" s="292"/>
      <c r="AE184" s="297">
        <f t="shared" si="87"/>
        <v>0</v>
      </c>
      <c r="AF184" s="294">
        <f t="shared" si="88"/>
        <v>0</v>
      </c>
      <c r="AG184" s="292"/>
      <c r="AH184" s="292">
        <f t="shared" si="89"/>
        <v>0</v>
      </c>
      <c r="AI184" s="295">
        <v>3.0066666666666668</v>
      </c>
      <c r="AJ184" s="383" t="s">
        <v>878</v>
      </c>
      <c r="AK184" s="297">
        <f t="shared" si="90"/>
        <v>0</v>
      </c>
      <c r="AL184" s="294">
        <f t="shared" si="91"/>
        <v>0</v>
      </c>
      <c r="AM184" s="292"/>
      <c r="AN184" s="292"/>
      <c r="AO184" s="295">
        <f>'Unit Savings Calculations'!P180</f>
        <v>3.0066666666666668</v>
      </c>
      <c r="AP184" s="383" t="s">
        <v>763</v>
      </c>
      <c r="AQ184" s="297">
        <f t="shared" si="92"/>
        <v>0</v>
      </c>
      <c r="AR184" s="294">
        <f t="shared" si="93"/>
        <v>0</v>
      </c>
      <c r="AS184" s="292"/>
      <c r="AT184" s="292"/>
      <c r="AU184" s="295">
        <f>'Unit Savings Calculations'!Q180</f>
        <v>3.0066666666666668</v>
      </c>
      <c r="AV184" s="383" t="str">
        <f t="shared" si="94"/>
        <v>n/a</v>
      </c>
      <c r="AW184" s="297">
        <f t="shared" si="95"/>
        <v>0</v>
      </c>
      <c r="AX184" s="294">
        <f t="shared" si="96"/>
        <v>0</v>
      </c>
      <c r="AY184" s="297">
        <f t="shared" si="97"/>
        <v>0</v>
      </c>
      <c r="AZ184" s="297">
        <f t="shared" si="98"/>
        <v>0</v>
      </c>
      <c r="BA184" s="297">
        <f t="shared" si="99"/>
        <v>0</v>
      </c>
      <c r="BB184" s="297">
        <f t="shared" si="100"/>
        <v>0</v>
      </c>
      <c r="BC184" s="298">
        <f t="shared" si="101"/>
        <v>0</v>
      </c>
      <c r="BD184" s="292" t="s">
        <v>763</v>
      </c>
      <c r="BE184" s="299" t="str">
        <f t="shared" si="102"/>
        <v>Exhibit 1.5A_R North Shore EEPS_Adjustable_Savings_Goal_Template.xlsx, Unit Savings Calculations Tab</v>
      </c>
      <c r="BF184" s="298">
        <f t="shared" si="103"/>
        <v>0</v>
      </c>
      <c r="BG184" s="298">
        <f t="shared" si="103"/>
        <v>0</v>
      </c>
      <c r="BH184" s="298">
        <f t="shared" si="103"/>
        <v>0</v>
      </c>
      <c r="BI184" s="298">
        <f t="shared" si="84"/>
        <v>0</v>
      </c>
      <c r="BJ184" s="298">
        <f t="shared" si="104"/>
        <v>0</v>
      </c>
      <c r="BK184" s="482">
        <v>12</v>
      </c>
      <c r="BL184" s="482">
        <v>12</v>
      </c>
      <c r="BM184" s="482">
        <f>INDEX('Unit Savings Calculations'!$I$4:$I$421,MATCH('Measure-Level Adjustments Tab'!$A184&amp;"_"&amp;'Measure-Level Adjustments Tab'!$B184,'Unit Savings Calculations'!$A$4:$A$421,0))</f>
        <v>12</v>
      </c>
      <c r="BN184" s="482">
        <f t="shared" si="105"/>
        <v>12</v>
      </c>
      <c r="BO184" s="483">
        <f t="shared" si="106"/>
        <v>0</v>
      </c>
      <c r="BP184" s="483">
        <f t="shared" si="106"/>
        <v>0</v>
      </c>
      <c r="BQ184" s="483">
        <f t="shared" si="106"/>
        <v>0</v>
      </c>
      <c r="BR184" s="483">
        <f t="shared" si="85"/>
        <v>0</v>
      </c>
      <c r="BS184" s="483">
        <f t="shared" si="86"/>
        <v>0</v>
      </c>
    </row>
    <row r="185" spans="1:71" ht="15.75" customHeight="1">
      <c r="A185" s="292" t="str">
        <f>'Unit Savings Calculations'!C181</f>
        <v>Bus - SB Rebates</v>
      </c>
      <c r="B185" s="292" t="str">
        <f>'Unit Savings Calculations'!D181</f>
        <v>Modulating Commercial Gas Clothes Dryer</v>
      </c>
      <c r="C185" s="293">
        <f t="shared" si="107"/>
        <v>1</v>
      </c>
      <c r="D185" s="292" t="str">
        <f>'Unit Savings Calculations'!T181</f>
        <v>4.8.4</v>
      </c>
      <c r="E185" s="438">
        <v>14</v>
      </c>
      <c r="F185" s="438">
        <v>14</v>
      </c>
      <c r="G185" s="292" t="str">
        <f>'Unit Savings Calculations'!E181</f>
        <v>each</v>
      </c>
      <c r="H185" s="294">
        <f>'Unit Savings Calculations'!$F181*'Unit Savings Calculations'!J181</f>
        <v>0</v>
      </c>
      <c r="I185" s="294">
        <f>'Unit Savings Calculations'!$F181*'Unit Savings Calculations'!K181</f>
        <v>0</v>
      </c>
      <c r="J185" s="294">
        <f>'Unit Savings Calculations'!$F181*'Unit Savings Calculations'!L181</f>
        <v>0</v>
      </c>
      <c r="K185" s="294">
        <f>'Unit Savings Calculations'!$F181*'Unit Savings Calculations'!M181</f>
        <v>0</v>
      </c>
      <c r="L185" s="292" t="str">
        <f>'Unit Savings Calculations'!U181</f>
        <v>CI-MSC-MODD-V01-160601</v>
      </c>
      <c r="M185" s="383" t="str">
        <f>'Unit Savings Calculations'!R181</f>
        <v>Exhibit 1.5A_R North Shore EEPS_Adjustable_Savings_Goal_Template.xlsx, Unit Savings Calculations Tab</v>
      </c>
      <c r="N185" s="295">
        <v>266.94</v>
      </c>
      <c r="O185" s="295">
        <v>266.94</v>
      </c>
      <c r="P185" s="295">
        <v>266.94</v>
      </c>
      <c r="Q185" s="295">
        <v>266.94</v>
      </c>
      <c r="R185" s="296">
        <f>'Unit Savings Calculations'!$G181</f>
        <v>0.92</v>
      </c>
      <c r="S185" s="296">
        <f>'Unit Savings Calculations'!$G181</f>
        <v>0.92</v>
      </c>
      <c r="T185" s="296">
        <f>'Unit Savings Calculations'!$G181</f>
        <v>0.92</v>
      </c>
      <c r="U185" s="296">
        <f>'Unit Savings Calculations'!$G181</f>
        <v>0.92</v>
      </c>
      <c r="V185" s="297">
        <f t="shared" si="123"/>
        <v>0</v>
      </c>
      <c r="W185" s="297">
        <f t="shared" si="124"/>
        <v>0</v>
      </c>
      <c r="X185" s="297">
        <f t="shared" si="125"/>
        <v>0</v>
      </c>
      <c r="Y185" s="297">
        <f t="shared" si="126"/>
        <v>0</v>
      </c>
      <c r="Z185" s="297">
        <f t="shared" si="127"/>
        <v>0</v>
      </c>
      <c r="AA185" s="292"/>
      <c r="AB185" s="292"/>
      <c r="AC185" s="295">
        <v>266.94</v>
      </c>
      <c r="AD185" s="292"/>
      <c r="AE185" s="297">
        <f t="shared" si="87"/>
        <v>0</v>
      </c>
      <c r="AF185" s="294">
        <f t="shared" si="88"/>
        <v>0</v>
      </c>
      <c r="AG185" s="292"/>
      <c r="AH185" s="292">
        <f t="shared" si="89"/>
        <v>0</v>
      </c>
      <c r="AI185" s="295">
        <v>266.94</v>
      </c>
      <c r="AJ185" s="383" t="s">
        <v>878</v>
      </c>
      <c r="AK185" s="297">
        <f t="shared" si="90"/>
        <v>0</v>
      </c>
      <c r="AL185" s="294">
        <f t="shared" si="91"/>
        <v>0</v>
      </c>
      <c r="AM185" s="292"/>
      <c r="AN185" s="292"/>
      <c r="AO185" s="295">
        <f>'Unit Savings Calculations'!P181</f>
        <v>266.94</v>
      </c>
      <c r="AP185" s="383" t="s">
        <v>763</v>
      </c>
      <c r="AQ185" s="297">
        <f t="shared" si="92"/>
        <v>0</v>
      </c>
      <c r="AR185" s="294">
        <f t="shared" si="93"/>
        <v>0</v>
      </c>
      <c r="AS185" s="292"/>
      <c r="AT185" s="292"/>
      <c r="AU185" s="295">
        <f>'Unit Savings Calculations'!Q181</f>
        <v>266.94</v>
      </c>
      <c r="AV185" s="383" t="str">
        <f t="shared" si="94"/>
        <v>n/a</v>
      </c>
      <c r="AW185" s="297">
        <f t="shared" si="95"/>
        <v>0</v>
      </c>
      <c r="AX185" s="294">
        <f t="shared" si="96"/>
        <v>0</v>
      </c>
      <c r="AY185" s="297">
        <f t="shared" si="97"/>
        <v>0</v>
      </c>
      <c r="AZ185" s="297">
        <f t="shared" si="98"/>
        <v>0</v>
      </c>
      <c r="BA185" s="297">
        <f t="shared" si="99"/>
        <v>0</v>
      </c>
      <c r="BB185" s="297">
        <f t="shared" si="100"/>
        <v>0</v>
      </c>
      <c r="BC185" s="298">
        <f t="shared" si="101"/>
        <v>0</v>
      </c>
      <c r="BD185" s="292" t="s">
        <v>763</v>
      </c>
      <c r="BE185" s="299" t="str">
        <f t="shared" si="102"/>
        <v>Exhibit 1.5A_R North Shore EEPS_Adjustable_Savings_Goal_Template.xlsx, Unit Savings Calculations Tab</v>
      </c>
      <c r="BF185" s="298">
        <f t="shared" si="103"/>
        <v>0</v>
      </c>
      <c r="BG185" s="298">
        <f t="shared" si="103"/>
        <v>0</v>
      </c>
      <c r="BH185" s="298">
        <f t="shared" si="103"/>
        <v>0</v>
      </c>
      <c r="BI185" s="298">
        <f t="shared" si="84"/>
        <v>0</v>
      </c>
      <c r="BJ185" s="298">
        <f t="shared" si="104"/>
        <v>0</v>
      </c>
      <c r="BK185" s="482">
        <v>14</v>
      </c>
      <c r="BL185" s="482">
        <v>14</v>
      </c>
      <c r="BM185" s="482">
        <f>INDEX('Unit Savings Calculations'!$I$4:$I$421,MATCH('Measure-Level Adjustments Tab'!$A185&amp;"_"&amp;'Measure-Level Adjustments Tab'!$B185,'Unit Savings Calculations'!$A$4:$A$421,0))</f>
        <v>14</v>
      </c>
      <c r="BN185" s="482">
        <f t="shared" si="105"/>
        <v>14</v>
      </c>
      <c r="BO185" s="483">
        <f t="shared" si="106"/>
        <v>0</v>
      </c>
      <c r="BP185" s="483">
        <f t="shared" si="106"/>
        <v>0</v>
      </c>
      <c r="BQ185" s="483">
        <f t="shared" si="106"/>
        <v>0</v>
      </c>
      <c r="BR185" s="483">
        <f t="shared" si="85"/>
        <v>0</v>
      </c>
      <c r="BS185" s="483">
        <f t="shared" si="86"/>
        <v>0</v>
      </c>
    </row>
    <row r="186" spans="1:71" ht="15.75" customHeight="1">
      <c r="A186" s="292" t="str">
        <f>'Unit Savings Calculations'!C182</f>
        <v>Bus - SB Rebates</v>
      </c>
      <c r="B186" s="292" t="str">
        <f>'Unit Savings Calculations'!D182</f>
        <v>Ozone Laundry</v>
      </c>
      <c r="C186" s="293">
        <f t="shared" si="107"/>
        <v>1</v>
      </c>
      <c r="D186" s="292" t="str">
        <f>'Unit Savings Calculations'!T182</f>
        <v>4.3.6</v>
      </c>
      <c r="E186" s="438">
        <v>10</v>
      </c>
      <c r="F186" s="438">
        <v>10</v>
      </c>
      <c r="G186" s="292" t="str">
        <f>'Unit Savings Calculations'!E182</f>
        <v>lb-capacity</v>
      </c>
      <c r="H186" s="294">
        <f>'Unit Savings Calculations'!$F182*'Unit Savings Calculations'!J182</f>
        <v>0</v>
      </c>
      <c r="I186" s="294">
        <f>'Unit Savings Calculations'!$F182*'Unit Savings Calculations'!K182</f>
        <v>0</v>
      </c>
      <c r="J186" s="294">
        <f>'Unit Savings Calculations'!$F182*'Unit Savings Calculations'!L182</f>
        <v>0</v>
      </c>
      <c r="K186" s="294">
        <f>'Unit Savings Calculations'!$F182*'Unit Savings Calculations'!M182</f>
        <v>0</v>
      </c>
      <c r="L186" s="292" t="str">
        <f>'Unit Savings Calculations'!U182</f>
        <v>CI-HW-OZLD-VO1-140601</v>
      </c>
      <c r="M186" s="383" t="str">
        <f>'Unit Savings Calculations'!R182</f>
        <v>Exhibit 1.5A_R North Shore EEPS_Adjustable_Savings_Goal_Template.xlsx, Unit Savings Calculations Tab</v>
      </c>
      <c r="N186" s="295">
        <v>30.722664192350027</v>
      </c>
      <c r="O186" s="295">
        <v>30.722664192350027</v>
      </c>
      <c r="P186" s="295">
        <v>30.722664192350027</v>
      </c>
      <c r="Q186" s="295">
        <v>30.722664192350027</v>
      </c>
      <c r="R186" s="296">
        <f>'Unit Savings Calculations'!$G182</f>
        <v>0.92</v>
      </c>
      <c r="S186" s="296">
        <f>'Unit Savings Calculations'!$G182</f>
        <v>0.92</v>
      </c>
      <c r="T186" s="296">
        <f>'Unit Savings Calculations'!$G182</f>
        <v>0.92</v>
      </c>
      <c r="U186" s="296">
        <f>'Unit Savings Calculations'!$G182</f>
        <v>0.92</v>
      </c>
      <c r="V186" s="297">
        <f t="shared" si="123"/>
        <v>0</v>
      </c>
      <c r="W186" s="297">
        <f t="shared" si="124"/>
        <v>0</v>
      </c>
      <c r="X186" s="297">
        <f t="shared" si="125"/>
        <v>0</v>
      </c>
      <c r="Y186" s="297">
        <f t="shared" si="126"/>
        <v>0</v>
      </c>
      <c r="Z186" s="297">
        <f t="shared" si="127"/>
        <v>0</v>
      </c>
      <c r="AA186" s="292"/>
      <c r="AB186" s="292"/>
      <c r="AC186" s="295">
        <v>30.722664192350027</v>
      </c>
      <c r="AD186" s="292"/>
      <c r="AE186" s="297">
        <f t="shared" si="87"/>
        <v>0</v>
      </c>
      <c r="AF186" s="294">
        <f t="shared" si="88"/>
        <v>0</v>
      </c>
      <c r="AG186" s="292"/>
      <c r="AH186" s="292">
        <f t="shared" si="89"/>
        <v>0</v>
      </c>
      <c r="AI186" s="295">
        <v>30.722664192350027</v>
      </c>
      <c r="AJ186" s="383" t="s">
        <v>878</v>
      </c>
      <c r="AK186" s="297">
        <f t="shared" si="90"/>
        <v>0</v>
      </c>
      <c r="AL186" s="294">
        <f t="shared" si="91"/>
        <v>0</v>
      </c>
      <c r="AM186" s="292"/>
      <c r="AN186" s="292"/>
      <c r="AO186" s="295">
        <f>'Unit Savings Calculations'!P182</f>
        <v>30.722664192350027</v>
      </c>
      <c r="AP186" s="383" t="s">
        <v>763</v>
      </c>
      <c r="AQ186" s="297">
        <f t="shared" si="92"/>
        <v>0</v>
      </c>
      <c r="AR186" s="294">
        <f t="shared" si="93"/>
        <v>0</v>
      </c>
      <c r="AS186" s="292"/>
      <c r="AT186" s="292"/>
      <c r="AU186" s="295">
        <f>'Unit Savings Calculations'!Q182</f>
        <v>30.722664192350027</v>
      </c>
      <c r="AV186" s="383" t="str">
        <f t="shared" si="94"/>
        <v>n/a</v>
      </c>
      <c r="AW186" s="297">
        <f t="shared" si="95"/>
        <v>0</v>
      </c>
      <c r="AX186" s="294">
        <f t="shared" si="96"/>
        <v>0</v>
      </c>
      <c r="AY186" s="297">
        <f t="shared" si="97"/>
        <v>0</v>
      </c>
      <c r="AZ186" s="297">
        <f t="shared" si="98"/>
        <v>0</v>
      </c>
      <c r="BA186" s="297">
        <f t="shared" si="99"/>
        <v>0</v>
      </c>
      <c r="BB186" s="297">
        <f t="shared" si="100"/>
        <v>0</v>
      </c>
      <c r="BC186" s="298">
        <f t="shared" si="101"/>
        <v>0</v>
      </c>
      <c r="BD186" s="292" t="s">
        <v>763</v>
      </c>
      <c r="BE186" s="299" t="str">
        <f t="shared" si="102"/>
        <v>Exhibit 1.5A_R North Shore EEPS_Adjustable_Savings_Goal_Template.xlsx, Unit Savings Calculations Tab</v>
      </c>
      <c r="BF186" s="298">
        <f t="shared" si="103"/>
        <v>0</v>
      </c>
      <c r="BG186" s="298">
        <f t="shared" si="103"/>
        <v>0</v>
      </c>
      <c r="BH186" s="298">
        <f t="shared" si="103"/>
        <v>0</v>
      </c>
      <c r="BI186" s="298">
        <f t="shared" si="84"/>
        <v>0</v>
      </c>
      <c r="BJ186" s="298">
        <f t="shared" si="104"/>
        <v>0</v>
      </c>
      <c r="BK186" s="482">
        <v>10</v>
      </c>
      <c r="BL186" s="482">
        <v>10</v>
      </c>
      <c r="BM186" s="482">
        <f>INDEX('Unit Savings Calculations'!$I$4:$I$421,MATCH('Measure-Level Adjustments Tab'!$A186&amp;"_"&amp;'Measure-Level Adjustments Tab'!$B186,'Unit Savings Calculations'!$A$4:$A$421,0))</f>
        <v>10</v>
      </c>
      <c r="BN186" s="482">
        <f t="shared" si="105"/>
        <v>10</v>
      </c>
      <c r="BO186" s="483">
        <f t="shared" si="106"/>
        <v>0</v>
      </c>
      <c r="BP186" s="483">
        <f t="shared" si="106"/>
        <v>0</v>
      </c>
      <c r="BQ186" s="483">
        <f t="shared" si="106"/>
        <v>0</v>
      </c>
      <c r="BR186" s="483">
        <f t="shared" si="85"/>
        <v>0</v>
      </c>
      <c r="BS186" s="483">
        <f t="shared" si="86"/>
        <v>0</v>
      </c>
    </row>
    <row r="187" spans="1:71" ht="15.75" customHeight="1">
      <c r="A187" s="292" t="str">
        <f>'Unit Savings Calculations'!C183</f>
        <v>Bus - SB Rebates</v>
      </c>
      <c r="B187" s="292" t="str">
        <f>'Unit Savings Calculations'!D183</f>
        <v>Pipe Insulation - Dry Cleaners</v>
      </c>
      <c r="C187" s="293">
        <f t="shared" si="107"/>
        <v>1</v>
      </c>
      <c r="D187" s="292" t="str">
        <f>'Unit Savings Calculations'!T183</f>
        <v>4.4.14</v>
      </c>
      <c r="E187" s="438">
        <v>15</v>
      </c>
      <c r="F187" s="438">
        <v>15</v>
      </c>
      <c r="G187" s="292" t="str">
        <f>'Unit Savings Calculations'!E183</f>
        <v>ft</v>
      </c>
      <c r="H187" s="294">
        <f>'Unit Savings Calculations'!$F183*'Unit Savings Calculations'!J183</f>
        <v>0</v>
      </c>
      <c r="I187" s="294">
        <f>'Unit Savings Calculations'!$F183*'Unit Savings Calculations'!K183</f>
        <v>0</v>
      </c>
      <c r="J187" s="294">
        <f>'Unit Savings Calculations'!$F183*'Unit Savings Calculations'!L183</f>
        <v>0</v>
      </c>
      <c r="K187" s="294">
        <f>'Unit Savings Calculations'!$F183*'Unit Savings Calculations'!M183</f>
        <v>0</v>
      </c>
      <c r="L187" s="292" t="str">
        <f>'Unit Savings Calculations'!U183</f>
        <v>CI-HVC-PINS-V04-160601</v>
      </c>
      <c r="M187" s="383" t="str">
        <f>'Unit Savings Calculations'!R183</f>
        <v>Exhibit 1.5A_R North Shore EEPS_Adjustable_Savings_Goal_Template.xlsx, Pipe Insulation Detail Tab</v>
      </c>
      <c r="N187" s="295">
        <v>4.1509563815028345</v>
      </c>
      <c r="O187" s="295">
        <v>4.1509563815028345</v>
      </c>
      <c r="P187" s="295">
        <v>4.1509563815028345</v>
      </c>
      <c r="Q187" s="295">
        <v>4.1509563815028345</v>
      </c>
      <c r="R187" s="296">
        <f>'Unit Savings Calculations'!$G183</f>
        <v>0.92</v>
      </c>
      <c r="S187" s="296">
        <f>'Unit Savings Calculations'!$G183</f>
        <v>0.92</v>
      </c>
      <c r="T187" s="296">
        <f>'Unit Savings Calculations'!$G183</f>
        <v>0.92</v>
      </c>
      <c r="U187" s="296">
        <f>'Unit Savings Calculations'!$G183</f>
        <v>0.92</v>
      </c>
      <c r="V187" s="297">
        <f t="shared" si="123"/>
        <v>0</v>
      </c>
      <c r="W187" s="297">
        <f t="shared" si="124"/>
        <v>0</v>
      </c>
      <c r="X187" s="297">
        <f t="shared" si="125"/>
        <v>0</v>
      </c>
      <c r="Y187" s="297">
        <f t="shared" si="126"/>
        <v>0</v>
      </c>
      <c r="Z187" s="297">
        <f t="shared" si="127"/>
        <v>0</v>
      </c>
      <c r="AA187" s="292"/>
      <c r="AB187" s="292"/>
      <c r="AC187" s="295">
        <v>4.1509563815028345</v>
      </c>
      <c r="AD187" s="292"/>
      <c r="AE187" s="297">
        <f t="shared" si="87"/>
        <v>0</v>
      </c>
      <c r="AF187" s="294">
        <f t="shared" si="88"/>
        <v>0</v>
      </c>
      <c r="AG187" s="292"/>
      <c r="AH187" s="292">
        <f t="shared" si="89"/>
        <v>0</v>
      </c>
      <c r="AI187" s="295">
        <v>4.1509563815028345</v>
      </c>
      <c r="AJ187" s="383" t="s">
        <v>878</v>
      </c>
      <c r="AK187" s="297">
        <f t="shared" si="90"/>
        <v>0</v>
      </c>
      <c r="AL187" s="294">
        <f t="shared" si="91"/>
        <v>0</v>
      </c>
      <c r="AM187" s="292"/>
      <c r="AN187" s="292"/>
      <c r="AO187" s="295">
        <f>'Unit Savings Calculations'!P183</f>
        <v>4.1509563815028345</v>
      </c>
      <c r="AP187" s="383" t="s">
        <v>763</v>
      </c>
      <c r="AQ187" s="297">
        <f t="shared" si="92"/>
        <v>0</v>
      </c>
      <c r="AR187" s="294">
        <f t="shared" si="93"/>
        <v>0</v>
      </c>
      <c r="AS187" s="292"/>
      <c r="AT187" s="292"/>
      <c r="AU187" s="295">
        <f>'Unit Savings Calculations'!Q183</f>
        <v>4.1509563815028345</v>
      </c>
      <c r="AV187" s="383" t="str">
        <f t="shared" si="94"/>
        <v>n/a</v>
      </c>
      <c r="AW187" s="297">
        <f t="shared" si="95"/>
        <v>0</v>
      </c>
      <c r="AX187" s="294">
        <f t="shared" si="96"/>
        <v>0</v>
      </c>
      <c r="AY187" s="297">
        <f t="shared" si="97"/>
        <v>0</v>
      </c>
      <c r="AZ187" s="297">
        <f t="shared" si="98"/>
        <v>0</v>
      </c>
      <c r="BA187" s="297">
        <f t="shared" si="99"/>
        <v>0</v>
      </c>
      <c r="BB187" s="297">
        <f t="shared" si="100"/>
        <v>0</v>
      </c>
      <c r="BC187" s="298">
        <f t="shared" si="101"/>
        <v>0</v>
      </c>
      <c r="BD187" s="292" t="s">
        <v>763</v>
      </c>
      <c r="BE187" s="299" t="str">
        <f t="shared" si="102"/>
        <v>Exhibit 1.5A_R North Shore EEPS_Adjustable_Savings_Goal_Template.xlsx, Pipe Insulation Detail Tab</v>
      </c>
      <c r="BF187" s="298">
        <f t="shared" si="103"/>
        <v>0</v>
      </c>
      <c r="BG187" s="298">
        <f t="shared" si="103"/>
        <v>0</v>
      </c>
      <c r="BH187" s="298">
        <f t="shared" si="103"/>
        <v>0</v>
      </c>
      <c r="BI187" s="298">
        <f t="shared" si="84"/>
        <v>0</v>
      </c>
      <c r="BJ187" s="298">
        <f t="shared" si="104"/>
        <v>0</v>
      </c>
      <c r="BK187" s="482">
        <v>15</v>
      </c>
      <c r="BL187" s="482">
        <v>15</v>
      </c>
      <c r="BM187" s="482">
        <f>INDEX('Unit Savings Calculations'!$I$4:$I$421,MATCH('Measure-Level Adjustments Tab'!$A187&amp;"_"&amp;'Measure-Level Adjustments Tab'!$B187,'Unit Savings Calculations'!$A$4:$A$421,0))</f>
        <v>15</v>
      </c>
      <c r="BN187" s="482">
        <f t="shared" si="105"/>
        <v>15</v>
      </c>
      <c r="BO187" s="483">
        <f t="shared" si="106"/>
        <v>0</v>
      </c>
      <c r="BP187" s="483">
        <f t="shared" si="106"/>
        <v>0</v>
      </c>
      <c r="BQ187" s="483">
        <f t="shared" si="106"/>
        <v>0</v>
      </c>
      <c r="BR187" s="483">
        <f t="shared" si="85"/>
        <v>0</v>
      </c>
      <c r="BS187" s="483">
        <f t="shared" si="86"/>
        <v>0</v>
      </c>
    </row>
    <row r="188" spans="1:71" ht="15.75" customHeight="1">
      <c r="A188" s="292" t="str">
        <f>'Unit Savings Calculations'!C184</f>
        <v>Bus - SB Rebates</v>
      </c>
      <c r="B188" s="292" t="str">
        <f>'Unit Savings Calculations'!D184</f>
        <v>Pipe Insulation - Dry Cleaners -Elbows</v>
      </c>
      <c r="C188" s="293">
        <f t="shared" si="107"/>
        <v>1</v>
      </c>
      <c r="D188" s="292" t="str">
        <f>'Unit Savings Calculations'!T184</f>
        <v>4.4.14</v>
      </c>
      <c r="E188" s="438">
        <v>15</v>
      </c>
      <c r="F188" s="438">
        <v>15</v>
      </c>
      <c r="G188" s="292" t="str">
        <f>'Unit Savings Calculations'!E184</f>
        <v>ft</v>
      </c>
      <c r="H188" s="294">
        <f>'Unit Savings Calculations'!$F184*'Unit Savings Calculations'!J184</f>
        <v>0</v>
      </c>
      <c r="I188" s="294">
        <f>'Unit Savings Calculations'!$F184*'Unit Savings Calculations'!K184</f>
        <v>0</v>
      </c>
      <c r="J188" s="294">
        <f>'Unit Savings Calculations'!$F184*'Unit Savings Calculations'!L184</f>
        <v>0</v>
      </c>
      <c r="K188" s="294">
        <f>'Unit Savings Calculations'!$F184*'Unit Savings Calculations'!M184</f>
        <v>0</v>
      </c>
      <c r="L188" s="292" t="str">
        <f>'Unit Savings Calculations'!U184</f>
        <v>CI-HVC-PINS-V04-160601</v>
      </c>
      <c r="M188" s="383" t="str">
        <f>'Unit Savings Calculations'!R184</f>
        <v>Exhibit 1.5A_R North Shore EEPS_Adjustable_Savings_Goal_Template.xlsx, Pipe Insulation Detail Tab</v>
      </c>
      <c r="N188" s="295">
        <v>1.9924590631213606</v>
      </c>
      <c r="O188" s="295">
        <v>1.9924590631213606</v>
      </c>
      <c r="P188" s="295">
        <v>1.9924590631213606</v>
      </c>
      <c r="Q188" s="295">
        <v>1.9924590631213606</v>
      </c>
      <c r="R188" s="296">
        <f>'Unit Savings Calculations'!$G184</f>
        <v>0.92</v>
      </c>
      <c r="S188" s="296">
        <f>'Unit Savings Calculations'!$G184</f>
        <v>0.92</v>
      </c>
      <c r="T188" s="296">
        <f>'Unit Savings Calculations'!$G184</f>
        <v>0.92</v>
      </c>
      <c r="U188" s="296">
        <f>'Unit Savings Calculations'!$G184</f>
        <v>0.92</v>
      </c>
      <c r="V188" s="297">
        <f t="shared" si="123"/>
        <v>0</v>
      </c>
      <c r="W188" s="297">
        <f t="shared" si="124"/>
        <v>0</v>
      </c>
      <c r="X188" s="297">
        <f t="shared" si="125"/>
        <v>0</v>
      </c>
      <c r="Y188" s="297">
        <f t="shared" si="126"/>
        <v>0</v>
      </c>
      <c r="Z188" s="297">
        <f t="shared" si="127"/>
        <v>0</v>
      </c>
      <c r="AA188" s="292"/>
      <c r="AB188" s="292"/>
      <c r="AC188" s="295">
        <v>1.9924590631213606</v>
      </c>
      <c r="AD188" s="292"/>
      <c r="AE188" s="297">
        <f t="shared" si="87"/>
        <v>0</v>
      </c>
      <c r="AF188" s="294">
        <f t="shared" si="88"/>
        <v>0</v>
      </c>
      <c r="AG188" s="292"/>
      <c r="AH188" s="292">
        <f t="shared" si="89"/>
        <v>0</v>
      </c>
      <c r="AI188" s="295">
        <v>1.9924590631213606</v>
      </c>
      <c r="AJ188" s="383" t="s">
        <v>878</v>
      </c>
      <c r="AK188" s="297">
        <f t="shared" si="90"/>
        <v>0</v>
      </c>
      <c r="AL188" s="294">
        <f t="shared" si="91"/>
        <v>0</v>
      </c>
      <c r="AM188" s="292"/>
      <c r="AN188" s="292"/>
      <c r="AO188" s="295">
        <f>'Unit Savings Calculations'!P184</f>
        <v>1.9924590631213606</v>
      </c>
      <c r="AP188" s="383" t="s">
        <v>763</v>
      </c>
      <c r="AQ188" s="297">
        <f t="shared" si="92"/>
        <v>0</v>
      </c>
      <c r="AR188" s="294">
        <f t="shared" si="93"/>
        <v>0</v>
      </c>
      <c r="AS188" s="292"/>
      <c r="AT188" s="292"/>
      <c r="AU188" s="295">
        <f>'Unit Savings Calculations'!Q184</f>
        <v>1.9924590631213606</v>
      </c>
      <c r="AV188" s="383" t="str">
        <f t="shared" si="94"/>
        <v>n/a</v>
      </c>
      <c r="AW188" s="297">
        <f t="shared" si="95"/>
        <v>0</v>
      </c>
      <c r="AX188" s="294">
        <f t="shared" si="96"/>
        <v>0</v>
      </c>
      <c r="AY188" s="297">
        <f t="shared" si="97"/>
        <v>0</v>
      </c>
      <c r="AZ188" s="297">
        <f t="shared" si="98"/>
        <v>0</v>
      </c>
      <c r="BA188" s="297">
        <f t="shared" si="99"/>
        <v>0</v>
      </c>
      <c r="BB188" s="297">
        <f t="shared" si="100"/>
        <v>0</v>
      </c>
      <c r="BC188" s="298">
        <f t="shared" si="101"/>
        <v>0</v>
      </c>
      <c r="BD188" s="292" t="s">
        <v>763</v>
      </c>
      <c r="BE188" s="299" t="str">
        <f t="shared" si="102"/>
        <v>Exhibit 1.5A_R North Shore EEPS_Adjustable_Savings_Goal_Template.xlsx, Pipe Insulation Detail Tab</v>
      </c>
      <c r="BF188" s="298">
        <f t="shared" si="103"/>
        <v>0</v>
      </c>
      <c r="BG188" s="298">
        <f t="shared" si="103"/>
        <v>0</v>
      </c>
      <c r="BH188" s="298">
        <f t="shared" si="103"/>
        <v>0</v>
      </c>
      <c r="BI188" s="298">
        <f t="shared" si="84"/>
        <v>0</v>
      </c>
      <c r="BJ188" s="298">
        <f t="shared" si="104"/>
        <v>0</v>
      </c>
      <c r="BK188" s="482">
        <v>15</v>
      </c>
      <c r="BL188" s="482">
        <v>15</v>
      </c>
      <c r="BM188" s="482">
        <f>INDEX('Unit Savings Calculations'!$I$4:$I$421,MATCH('Measure-Level Adjustments Tab'!$A188&amp;"_"&amp;'Measure-Level Adjustments Tab'!$B188,'Unit Savings Calculations'!$A$4:$A$421,0))</f>
        <v>15</v>
      </c>
      <c r="BN188" s="482">
        <f t="shared" si="105"/>
        <v>15</v>
      </c>
      <c r="BO188" s="483">
        <f t="shared" si="106"/>
        <v>0</v>
      </c>
      <c r="BP188" s="483">
        <f t="shared" si="106"/>
        <v>0</v>
      </c>
      <c r="BQ188" s="483">
        <f t="shared" si="106"/>
        <v>0</v>
      </c>
      <c r="BR188" s="483">
        <f t="shared" si="85"/>
        <v>0</v>
      </c>
      <c r="BS188" s="483">
        <f t="shared" si="86"/>
        <v>0</v>
      </c>
    </row>
    <row r="189" spans="1:71" ht="15.75" customHeight="1">
      <c r="A189" s="292" t="str">
        <f>'Unit Savings Calculations'!C185</f>
        <v>Bus - SB Rebates</v>
      </c>
      <c r="B189" s="292" t="str">
        <f>'Unit Savings Calculations'!D185</f>
        <v>Pipe Insulation - HW Small 1" to 2"</v>
      </c>
      <c r="C189" s="293">
        <f t="shared" si="107"/>
        <v>1</v>
      </c>
      <c r="D189" s="292" t="str">
        <f>'Unit Savings Calculations'!T185</f>
        <v>4.4.14</v>
      </c>
      <c r="E189" s="438">
        <v>15</v>
      </c>
      <c r="F189" s="438">
        <v>15</v>
      </c>
      <c r="G189" s="292" t="str">
        <f>'Unit Savings Calculations'!E185</f>
        <v>ft</v>
      </c>
      <c r="H189" s="294">
        <f>'Unit Savings Calculations'!$F185*'Unit Savings Calculations'!J185</f>
        <v>0</v>
      </c>
      <c r="I189" s="294">
        <f>'Unit Savings Calculations'!$F185*'Unit Savings Calculations'!K185</f>
        <v>0</v>
      </c>
      <c r="J189" s="294">
        <f>'Unit Savings Calculations'!$F185*'Unit Savings Calculations'!L185</f>
        <v>0</v>
      </c>
      <c r="K189" s="294">
        <f>'Unit Savings Calculations'!$F185*'Unit Savings Calculations'!M185</f>
        <v>0</v>
      </c>
      <c r="L189" s="292" t="str">
        <f>'Unit Savings Calculations'!U185</f>
        <v>CI-HVC-PINS-V04-160601</v>
      </c>
      <c r="M189" s="383" t="str">
        <f>'Unit Savings Calculations'!R185</f>
        <v>Exhibit 1.5A_R North Shore EEPS_Adjustable_Savings_Goal_Template.xlsx, Pipe Insulation Detail Tab</v>
      </c>
      <c r="N189" s="295">
        <v>2.6588140926267867</v>
      </c>
      <c r="O189" s="295">
        <v>2.6588140926267867</v>
      </c>
      <c r="P189" s="295">
        <v>2.6588140926267867</v>
      </c>
      <c r="Q189" s="295">
        <v>2.6588140926267867</v>
      </c>
      <c r="R189" s="296">
        <f>'Unit Savings Calculations'!$G185</f>
        <v>0.92</v>
      </c>
      <c r="S189" s="296">
        <f>'Unit Savings Calculations'!$G185</f>
        <v>0.92</v>
      </c>
      <c r="T189" s="296">
        <f>'Unit Savings Calculations'!$G185</f>
        <v>0.92</v>
      </c>
      <c r="U189" s="296">
        <f>'Unit Savings Calculations'!$G185</f>
        <v>0.92</v>
      </c>
      <c r="V189" s="297">
        <f t="shared" si="123"/>
        <v>0</v>
      </c>
      <c r="W189" s="297">
        <f t="shared" si="124"/>
        <v>0</v>
      </c>
      <c r="X189" s="297">
        <f t="shared" si="125"/>
        <v>0</v>
      </c>
      <c r="Y189" s="297">
        <f t="shared" si="126"/>
        <v>0</v>
      </c>
      <c r="Z189" s="297">
        <f t="shared" si="127"/>
        <v>0</v>
      </c>
      <c r="AA189" s="292"/>
      <c r="AB189" s="292"/>
      <c r="AC189" s="295">
        <v>2.6588140926267867</v>
      </c>
      <c r="AD189" s="292"/>
      <c r="AE189" s="297">
        <f t="shared" si="87"/>
        <v>0</v>
      </c>
      <c r="AF189" s="294">
        <f t="shared" si="88"/>
        <v>0</v>
      </c>
      <c r="AG189" s="292"/>
      <c r="AH189" s="292">
        <f t="shared" si="89"/>
        <v>0</v>
      </c>
      <c r="AI189" s="295">
        <v>2.6588140926267867</v>
      </c>
      <c r="AJ189" s="383" t="s">
        <v>878</v>
      </c>
      <c r="AK189" s="297">
        <f t="shared" si="90"/>
        <v>0</v>
      </c>
      <c r="AL189" s="294">
        <f t="shared" si="91"/>
        <v>0</v>
      </c>
      <c r="AM189" s="292"/>
      <c r="AN189" s="292"/>
      <c r="AO189" s="295">
        <f>'Unit Savings Calculations'!P185</f>
        <v>2.6588140926267867</v>
      </c>
      <c r="AP189" s="383" t="s">
        <v>763</v>
      </c>
      <c r="AQ189" s="297">
        <f t="shared" si="92"/>
        <v>0</v>
      </c>
      <c r="AR189" s="294">
        <f t="shared" si="93"/>
        <v>0</v>
      </c>
      <c r="AS189" s="292"/>
      <c r="AT189" s="292"/>
      <c r="AU189" s="295">
        <f>'Unit Savings Calculations'!Q185</f>
        <v>2.6588140926267867</v>
      </c>
      <c r="AV189" s="383" t="str">
        <f t="shared" si="94"/>
        <v>n/a</v>
      </c>
      <c r="AW189" s="297">
        <f t="shared" si="95"/>
        <v>0</v>
      </c>
      <c r="AX189" s="294">
        <f t="shared" si="96"/>
        <v>0</v>
      </c>
      <c r="AY189" s="297">
        <f t="shared" si="97"/>
        <v>0</v>
      </c>
      <c r="AZ189" s="297">
        <f t="shared" si="98"/>
        <v>0</v>
      </c>
      <c r="BA189" s="297">
        <f t="shared" si="99"/>
        <v>0</v>
      </c>
      <c r="BB189" s="297">
        <f t="shared" si="100"/>
        <v>0</v>
      </c>
      <c r="BC189" s="298">
        <f t="shared" si="101"/>
        <v>0</v>
      </c>
      <c r="BD189" s="292" t="s">
        <v>763</v>
      </c>
      <c r="BE189" s="299" t="str">
        <f t="shared" si="102"/>
        <v>Exhibit 1.5A_R North Shore EEPS_Adjustable_Savings_Goal_Template.xlsx, Pipe Insulation Detail Tab</v>
      </c>
      <c r="BF189" s="298">
        <f t="shared" si="103"/>
        <v>0</v>
      </c>
      <c r="BG189" s="298">
        <f t="shared" si="103"/>
        <v>0</v>
      </c>
      <c r="BH189" s="298">
        <f t="shared" si="103"/>
        <v>0</v>
      </c>
      <c r="BI189" s="298">
        <f t="shared" si="84"/>
        <v>0</v>
      </c>
      <c r="BJ189" s="298">
        <f t="shared" si="104"/>
        <v>0</v>
      </c>
      <c r="BK189" s="482">
        <v>15</v>
      </c>
      <c r="BL189" s="482">
        <v>15</v>
      </c>
      <c r="BM189" s="482">
        <f>INDEX('Unit Savings Calculations'!$I$4:$I$421,MATCH('Measure-Level Adjustments Tab'!$A189&amp;"_"&amp;'Measure-Level Adjustments Tab'!$B189,'Unit Savings Calculations'!$A$4:$A$421,0))</f>
        <v>15</v>
      </c>
      <c r="BN189" s="482">
        <f t="shared" si="105"/>
        <v>15</v>
      </c>
      <c r="BO189" s="483">
        <f t="shared" si="106"/>
        <v>0</v>
      </c>
      <c r="BP189" s="483">
        <f t="shared" si="106"/>
        <v>0</v>
      </c>
      <c r="BQ189" s="483">
        <f t="shared" si="106"/>
        <v>0</v>
      </c>
      <c r="BR189" s="483">
        <f t="shared" si="85"/>
        <v>0</v>
      </c>
      <c r="BS189" s="483">
        <f t="shared" si="86"/>
        <v>0</v>
      </c>
    </row>
    <row r="190" spans="1:71" ht="15.75" customHeight="1">
      <c r="A190" s="292" t="str">
        <f>'Unit Savings Calculations'!C186</f>
        <v>Bus - SB Rebates</v>
      </c>
      <c r="B190" s="292" t="str">
        <f>'Unit Savings Calculations'!D186</f>
        <v>Pipe Insulation - HW Medium 2.1" to 4"</v>
      </c>
      <c r="C190" s="293">
        <f t="shared" si="107"/>
        <v>1</v>
      </c>
      <c r="D190" s="292" t="str">
        <f>'Unit Savings Calculations'!T186</f>
        <v>4.4.14</v>
      </c>
      <c r="E190" s="438">
        <v>15</v>
      </c>
      <c r="F190" s="438">
        <v>15</v>
      </c>
      <c r="G190" s="292" t="str">
        <f>'Unit Savings Calculations'!E186</f>
        <v>ft</v>
      </c>
      <c r="H190" s="294">
        <f>'Unit Savings Calculations'!$F186*'Unit Savings Calculations'!J186</f>
        <v>0</v>
      </c>
      <c r="I190" s="294">
        <f>'Unit Savings Calculations'!$F186*'Unit Savings Calculations'!K186</f>
        <v>0</v>
      </c>
      <c r="J190" s="294">
        <f>'Unit Savings Calculations'!$F186*'Unit Savings Calculations'!L186</f>
        <v>0</v>
      </c>
      <c r="K190" s="294">
        <f>'Unit Savings Calculations'!$F186*'Unit Savings Calculations'!M186</f>
        <v>0</v>
      </c>
      <c r="L190" s="292" t="str">
        <f>'Unit Savings Calculations'!U186</f>
        <v>CI-HVC-PINS-V04-160601</v>
      </c>
      <c r="M190" s="383" t="str">
        <f>'Unit Savings Calculations'!R186</f>
        <v>Exhibit 1.5A_R North Shore EEPS_Adjustable_Savings_Goal_Template.xlsx, Pipe Insulation Detail Tab</v>
      </c>
      <c r="N190" s="295">
        <v>5.2492031493764015</v>
      </c>
      <c r="O190" s="295">
        <v>5.2492031493764015</v>
      </c>
      <c r="P190" s="295">
        <v>5.2492031493764015</v>
      </c>
      <c r="Q190" s="295">
        <v>5.2492031493764015</v>
      </c>
      <c r="R190" s="296">
        <f>'Unit Savings Calculations'!$G186</f>
        <v>0.92</v>
      </c>
      <c r="S190" s="296">
        <f>'Unit Savings Calculations'!$G186</f>
        <v>0.92</v>
      </c>
      <c r="T190" s="296">
        <f>'Unit Savings Calculations'!$G186</f>
        <v>0.92</v>
      </c>
      <c r="U190" s="296">
        <f>'Unit Savings Calculations'!$G186</f>
        <v>0.92</v>
      </c>
      <c r="V190" s="297">
        <f t="shared" si="123"/>
        <v>0</v>
      </c>
      <c r="W190" s="297">
        <f t="shared" si="124"/>
        <v>0</v>
      </c>
      <c r="X190" s="297">
        <f t="shared" si="125"/>
        <v>0</v>
      </c>
      <c r="Y190" s="297">
        <f t="shared" si="126"/>
        <v>0</v>
      </c>
      <c r="Z190" s="297">
        <f t="shared" si="127"/>
        <v>0</v>
      </c>
      <c r="AA190" s="292"/>
      <c r="AB190" s="292"/>
      <c r="AC190" s="295">
        <v>5.2492031493764015</v>
      </c>
      <c r="AD190" s="292"/>
      <c r="AE190" s="297">
        <f t="shared" si="87"/>
        <v>0</v>
      </c>
      <c r="AF190" s="294">
        <f t="shared" si="88"/>
        <v>0</v>
      </c>
      <c r="AG190" s="292"/>
      <c r="AH190" s="292">
        <f t="shared" si="89"/>
        <v>0</v>
      </c>
      <c r="AI190" s="295">
        <v>5.2492031493764015</v>
      </c>
      <c r="AJ190" s="383" t="s">
        <v>878</v>
      </c>
      <c r="AK190" s="297">
        <f t="shared" si="90"/>
        <v>0</v>
      </c>
      <c r="AL190" s="294">
        <f t="shared" si="91"/>
        <v>0</v>
      </c>
      <c r="AM190" s="292"/>
      <c r="AN190" s="292"/>
      <c r="AO190" s="295">
        <f>'Unit Savings Calculations'!P186</f>
        <v>5.2492031493764015</v>
      </c>
      <c r="AP190" s="383" t="s">
        <v>763</v>
      </c>
      <c r="AQ190" s="297">
        <f t="shared" si="92"/>
        <v>0</v>
      </c>
      <c r="AR190" s="294">
        <f t="shared" si="93"/>
        <v>0</v>
      </c>
      <c r="AS190" s="292"/>
      <c r="AT190" s="292"/>
      <c r="AU190" s="295">
        <f>'Unit Savings Calculations'!Q186</f>
        <v>5.2492031493764015</v>
      </c>
      <c r="AV190" s="383" t="str">
        <f t="shared" si="94"/>
        <v>n/a</v>
      </c>
      <c r="AW190" s="297">
        <f t="shared" si="95"/>
        <v>0</v>
      </c>
      <c r="AX190" s="294">
        <f t="shared" si="96"/>
        <v>0</v>
      </c>
      <c r="AY190" s="297">
        <f t="shared" si="97"/>
        <v>0</v>
      </c>
      <c r="AZ190" s="297">
        <f t="shared" si="98"/>
        <v>0</v>
      </c>
      <c r="BA190" s="297">
        <f t="shared" si="99"/>
        <v>0</v>
      </c>
      <c r="BB190" s="297">
        <f t="shared" si="100"/>
        <v>0</v>
      </c>
      <c r="BC190" s="298">
        <f t="shared" si="101"/>
        <v>0</v>
      </c>
      <c r="BD190" s="292" t="s">
        <v>763</v>
      </c>
      <c r="BE190" s="299" t="str">
        <f t="shared" si="102"/>
        <v>Exhibit 1.5A_R North Shore EEPS_Adjustable_Savings_Goal_Template.xlsx, Pipe Insulation Detail Tab</v>
      </c>
      <c r="BF190" s="298">
        <f t="shared" si="103"/>
        <v>0</v>
      </c>
      <c r="BG190" s="298">
        <f t="shared" si="103"/>
        <v>0</v>
      </c>
      <c r="BH190" s="298">
        <f t="shared" si="103"/>
        <v>0</v>
      </c>
      <c r="BI190" s="298">
        <f t="shared" si="84"/>
        <v>0</v>
      </c>
      <c r="BJ190" s="298">
        <f t="shared" si="104"/>
        <v>0</v>
      </c>
      <c r="BK190" s="482">
        <v>15</v>
      </c>
      <c r="BL190" s="482">
        <v>15</v>
      </c>
      <c r="BM190" s="482">
        <f>INDEX('Unit Savings Calculations'!$I$4:$I$421,MATCH('Measure-Level Adjustments Tab'!$A190&amp;"_"&amp;'Measure-Level Adjustments Tab'!$B190,'Unit Savings Calculations'!$A$4:$A$421,0))</f>
        <v>15</v>
      </c>
      <c r="BN190" s="482">
        <f t="shared" si="105"/>
        <v>15</v>
      </c>
      <c r="BO190" s="483">
        <f t="shared" si="106"/>
        <v>0</v>
      </c>
      <c r="BP190" s="483">
        <f t="shared" si="106"/>
        <v>0</v>
      </c>
      <c r="BQ190" s="483">
        <f t="shared" si="106"/>
        <v>0</v>
      </c>
      <c r="BR190" s="483">
        <f t="shared" si="85"/>
        <v>0</v>
      </c>
      <c r="BS190" s="483">
        <f t="shared" si="86"/>
        <v>0</v>
      </c>
    </row>
    <row r="191" spans="1:71" ht="15.75" customHeight="1">
      <c r="A191" s="292" t="str">
        <f>'Unit Savings Calculations'!C187</f>
        <v>Bus - SB Rebates</v>
      </c>
      <c r="B191" s="292" t="str">
        <f>'Unit Savings Calculations'!D187</f>
        <v>Pipe Insulation - HW Large &gt;4"</v>
      </c>
      <c r="C191" s="293">
        <f t="shared" si="107"/>
        <v>1</v>
      </c>
      <c r="D191" s="292" t="str">
        <f>'Unit Savings Calculations'!T187</f>
        <v>4.4.14</v>
      </c>
      <c r="E191" s="438">
        <v>15</v>
      </c>
      <c r="F191" s="438">
        <v>15</v>
      </c>
      <c r="G191" s="292" t="str">
        <f>'Unit Savings Calculations'!E187</f>
        <v>ft</v>
      </c>
      <c r="H191" s="294">
        <f>'Unit Savings Calculations'!$F187*'Unit Savings Calculations'!J187</f>
        <v>0</v>
      </c>
      <c r="I191" s="294">
        <f>'Unit Savings Calculations'!$F187*'Unit Savings Calculations'!K187</f>
        <v>0</v>
      </c>
      <c r="J191" s="294">
        <f>'Unit Savings Calculations'!$F187*'Unit Savings Calculations'!L187</f>
        <v>0</v>
      </c>
      <c r="K191" s="294">
        <f>'Unit Savings Calculations'!$F187*'Unit Savings Calculations'!M187</f>
        <v>0</v>
      </c>
      <c r="L191" s="292" t="str">
        <f>'Unit Savings Calculations'!U187</f>
        <v>CI-HVC-PINS-V04-160601</v>
      </c>
      <c r="M191" s="383" t="str">
        <f>'Unit Savings Calculations'!R187</f>
        <v>Exhibit 1.5A_R North Shore EEPS_Adjustable_Savings_Goal_Template.xlsx, Pipe Insulation Detail Tab</v>
      </c>
      <c r="N191" s="295">
        <v>9.0407613085908682</v>
      </c>
      <c r="O191" s="295">
        <v>9.0407613085908682</v>
      </c>
      <c r="P191" s="295">
        <v>9.0407613085908682</v>
      </c>
      <c r="Q191" s="295">
        <v>9.0407613085908682</v>
      </c>
      <c r="R191" s="296">
        <f>'Unit Savings Calculations'!$G187</f>
        <v>0.92</v>
      </c>
      <c r="S191" s="296">
        <f>'Unit Savings Calculations'!$G187</f>
        <v>0.92</v>
      </c>
      <c r="T191" s="296">
        <f>'Unit Savings Calculations'!$G187</f>
        <v>0.92</v>
      </c>
      <c r="U191" s="296">
        <f>'Unit Savings Calculations'!$G187</f>
        <v>0.92</v>
      </c>
      <c r="V191" s="297">
        <f t="shared" si="123"/>
        <v>0</v>
      </c>
      <c r="W191" s="297">
        <f t="shared" si="124"/>
        <v>0</v>
      </c>
      <c r="X191" s="297">
        <f t="shared" si="125"/>
        <v>0</v>
      </c>
      <c r="Y191" s="297">
        <f t="shared" si="126"/>
        <v>0</v>
      </c>
      <c r="Z191" s="297">
        <f t="shared" si="127"/>
        <v>0</v>
      </c>
      <c r="AA191" s="292"/>
      <c r="AB191" s="292"/>
      <c r="AC191" s="295">
        <v>9.0407613085908682</v>
      </c>
      <c r="AD191" s="292"/>
      <c r="AE191" s="297">
        <f t="shared" si="87"/>
        <v>0</v>
      </c>
      <c r="AF191" s="294">
        <f t="shared" si="88"/>
        <v>0</v>
      </c>
      <c r="AG191" s="292"/>
      <c r="AH191" s="292">
        <f t="shared" si="89"/>
        <v>0</v>
      </c>
      <c r="AI191" s="295">
        <v>9.0407613085908682</v>
      </c>
      <c r="AJ191" s="383" t="s">
        <v>878</v>
      </c>
      <c r="AK191" s="297">
        <f t="shared" si="90"/>
        <v>0</v>
      </c>
      <c r="AL191" s="294">
        <f t="shared" si="91"/>
        <v>0</v>
      </c>
      <c r="AM191" s="292"/>
      <c r="AN191" s="292"/>
      <c r="AO191" s="295">
        <f>'Unit Savings Calculations'!P187</f>
        <v>9.0407613085908682</v>
      </c>
      <c r="AP191" s="383" t="s">
        <v>763</v>
      </c>
      <c r="AQ191" s="297">
        <f t="shared" si="92"/>
        <v>0</v>
      </c>
      <c r="AR191" s="294">
        <f t="shared" si="93"/>
        <v>0</v>
      </c>
      <c r="AS191" s="292"/>
      <c r="AT191" s="292"/>
      <c r="AU191" s="295">
        <f>'Unit Savings Calculations'!Q187</f>
        <v>9.0407613085908682</v>
      </c>
      <c r="AV191" s="383" t="str">
        <f t="shared" si="94"/>
        <v>n/a</v>
      </c>
      <c r="AW191" s="297">
        <f t="shared" si="95"/>
        <v>0</v>
      </c>
      <c r="AX191" s="294">
        <f t="shared" si="96"/>
        <v>0</v>
      </c>
      <c r="AY191" s="297">
        <f t="shared" si="97"/>
        <v>0</v>
      </c>
      <c r="AZ191" s="297">
        <f t="shared" si="98"/>
        <v>0</v>
      </c>
      <c r="BA191" s="297">
        <f t="shared" si="99"/>
        <v>0</v>
      </c>
      <c r="BB191" s="297">
        <f t="shared" si="100"/>
        <v>0</v>
      </c>
      <c r="BC191" s="298">
        <f t="shared" si="101"/>
        <v>0</v>
      </c>
      <c r="BD191" s="292" t="s">
        <v>763</v>
      </c>
      <c r="BE191" s="299" t="str">
        <f t="shared" si="102"/>
        <v>Exhibit 1.5A_R North Shore EEPS_Adjustable_Savings_Goal_Template.xlsx, Pipe Insulation Detail Tab</v>
      </c>
      <c r="BF191" s="298">
        <f t="shared" si="103"/>
        <v>0</v>
      </c>
      <c r="BG191" s="298">
        <f t="shared" si="103"/>
        <v>0</v>
      </c>
      <c r="BH191" s="298">
        <f t="shared" si="103"/>
        <v>0</v>
      </c>
      <c r="BI191" s="298">
        <f t="shared" si="84"/>
        <v>0</v>
      </c>
      <c r="BJ191" s="298">
        <f t="shared" si="104"/>
        <v>0</v>
      </c>
      <c r="BK191" s="482">
        <v>15</v>
      </c>
      <c r="BL191" s="482">
        <v>15</v>
      </c>
      <c r="BM191" s="482">
        <f>INDEX('Unit Savings Calculations'!$I$4:$I$421,MATCH('Measure-Level Adjustments Tab'!$A191&amp;"_"&amp;'Measure-Level Adjustments Tab'!$B191,'Unit Savings Calculations'!$A$4:$A$421,0))</f>
        <v>15</v>
      </c>
      <c r="BN191" s="482">
        <f t="shared" si="105"/>
        <v>15</v>
      </c>
      <c r="BO191" s="483">
        <f t="shared" si="106"/>
        <v>0</v>
      </c>
      <c r="BP191" s="483">
        <f t="shared" si="106"/>
        <v>0</v>
      </c>
      <c r="BQ191" s="483">
        <f t="shared" si="106"/>
        <v>0</v>
      </c>
      <c r="BR191" s="483">
        <f t="shared" si="85"/>
        <v>0</v>
      </c>
      <c r="BS191" s="483">
        <f t="shared" si="86"/>
        <v>0</v>
      </c>
    </row>
    <row r="192" spans="1:71" ht="15.75" customHeight="1">
      <c r="A192" s="292" t="str">
        <f>'Unit Savings Calculations'!C188</f>
        <v>Bus - SB Rebates</v>
      </c>
      <c r="B192" s="292" t="str">
        <f>'Unit Savings Calculations'!D188</f>
        <v>Pipe Insulation - Steam - Small 1" to 2"</v>
      </c>
      <c r="C192" s="293">
        <f t="shared" si="107"/>
        <v>1</v>
      </c>
      <c r="D192" s="292" t="str">
        <f>'Unit Savings Calculations'!T188</f>
        <v>4.4.14</v>
      </c>
      <c r="E192" s="438">
        <v>15</v>
      </c>
      <c r="F192" s="438">
        <v>15</v>
      </c>
      <c r="G192" s="292" t="str">
        <f>'Unit Savings Calculations'!E188</f>
        <v>ft</v>
      </c>
      <c r="H192" s="294">
        <f>'Unit Savings Calculations'!$F188*'Unit Savings Calculations'!J188</f>
        <v>450</v>
      </c>
      <c r="I192" s="294">
        <f>'Unit Savings Calculations'!$F188*'Unit Savings Calculations'!K188</f>
        <v>450</v>
      </c>
      <c r="J192" s="294">
        <f>'Unit Savings Calculations'!$F188*'Unit Savings Calculations'!L188</f>
        <v>450</v>
      </c>
      <c r="K192" s="294">
        <f>'Unit Savings Calculations'!$F188*'Unit Savings Calculations'!M188</f>
        <v>450</v>
      </c>
      <c r="L192" s="292" t="str">
        <f>'Unit Savings Calculations'!U188</f>
        <v>CI-HVC-PINS-V04-160601</v>
      </c>
      <c r="M192" s="383" t="str">
        <f>'Unit Savings Calculations'!R188</f>
        <v>Exhibit 1.5A_R North Shore EEPS_Adjustable_Savings_Goal_Template.xlsx, Pipe Insulation Detail Tab</v>
      </c>
      <c r="N192" s="295">
        <v>3.1854757047967208</v>
      </c>
      <c r="O192" s="295">
        <v>3.1854757047967208</v>
      </c>
      <c r="P192" s="295">
        <v>3.1854757047967208</v>
      </c>
      <c r="Q192" s="295">
        <v>3.1854757047967208</v>
      </c>
      <c r="R192" s="296">
        <f>'Unit Savings Calculations'!$G188</f>
        <v>0.92</v>
      </c>
      <c r="S192" s="296">
        <f>'Unit Savings Calculations'!$G188</f>
        <v>0.92</v>
      </c>
      <c r="T192" s="296">
        <f>'Unit Savings Calculations'!$G188</f>
        <v>0.92</v>
      </c>
      <c r="U192" s="296">
        <f>'Unit Savings Calculations'!$G188</f>
        <v>0.92</v>
      </c>
      <c r="V192" s="297">
        <f t="shared" si="123"/>
        <v>1318.7869417858424</v>
      </c>
      <c r="W192" s="297">
        <f t="shared" si="124"/>
        <v>1318.7869417858424</v>
      </c>
      <c r="X192" s="297">
        <f t="shared" si="125"/>
        <v>1318.7869417858424</v>
      </c>
      <c r="Y192" s="297">
        <f t="shared" si="126"/>
        <v>1318.7869417858424</v>
      </c>
      <c r="Z192" s="297">
        <f t="shared" si="127"/>
        <v>5275.1477671433695</v>
      </c>
      <c r="AA192" s="292"/>
      <c r="AB192" s="292"/>
      <c r="AC192" s="295">
        <v>3.1854757047967208</v>
      </c>
      <c r="AD192" s="292"/>
      <c r="AE192" s="297">
        <f t="shared" si="87"/>
        <v>1318.7869417858424</v>
      </c>
      <c r="AF192" s="294">
        <f t="shared" si="88"/>
        <v>0</v>
      </c>
      <c r="AG192" s="292"/>
      <c r="AH192" s="292">
        <f t="shared" si="89"/>
        <v>0</v>
      </c>
      <c r="AI192" s="295">
        <v>3.1854757047967208</v>
      </c>
      <c r="AJ192" s="383" t="s">
        <v>878</v>
      </c>
      <c r="AK192" s="297">
        <f t="shared" si="90"/>
        <v>1318.7869417858424</v>
      </c>
      <c r="AL192" s="294">
        <f t="shared" si="91"/>
        <v>0</v>
      </c>
      <c r="AM192" s="292"/>
      <c r="AN192" s="292"/>
      <c r="AO192" s="295">
        <f>'Unit Savings Calculations'!P188</f>
        <v>3.1854757047967208</v>
      </c>
      <c r="AP192" s="383" t="s">
        <v>763</v>
      </c>
      <c r="AQ192" s="297">
        <f t="shared" si="92"/>
        <v>1318.7869417858424</v>
      </c>
      <c r="AR192" s="294">
        <f t="shared" si="93"/>
        <v>0</v>
      </c>
      <c r="AS192" s="292"/>
      <c r="AT192" s="292"/>
      <c r="AU192" s="295">
        <f>'Unit Savings Calculations'!Q188</f>
        <v>3.1854757047967208</v>
      </c>
      <c r="AV192" s="383" t="str">
        <f t="shared" si="94"/>
        <v>n/a</v>
      </c>
      <c r="AW192" s="297">
        <f t="shared" si="95"/>
        <v>1318.7869417858424</v>
      </c>
      <c r="AX192" s="294">
        <f t="shared" si="96"/>
        <v>0</v>
      </c>
      <c r="AY192" s="297">
        <f t="shared" si="97"/>
        <v>1318.7869417858424</v>
      </c>
      <c r="AZ192" s="297">
        <f t="shared" si="98"/>
        <v>1318.7869417858424</v>
      </c>
      <c r="BA192" s="297">
        <f t="shared" si="99"/>
        <v>1318.7869417858424</v>
      </c>
      <c r="BB192" s="297">
        <f t="shared" si="100"/>
        <v>1318.7869417858424</v>
      </c>
      <c r="BC192" s="298">
        <f t="shared" si="101"/>
        <v>5275.1477671433695</v>
      </c>
      <c r="BD192" s="292" t="s">
        <v>763</v>
      </c>
      <c r="BE192" s="299" t="str">
        <f t="shared" si="102"/>
        <v>Exhibit 1.5A_R North Shore EEPS_Adjustable_Savings_Goal_Template.xlsx, Pipe Insulation Detail Tab</v>
      </c>
      <c r="BF192" s="298">
        <f t="shared" si="103"/>
        <v>19781.804126787636</v>
      </c>
      <c r="BG192" s="298">
        <f t="shared" si="103"/>
        <v>19781.804126787636</v>
      </c>
      <c r="BH192" s="298">
        <f t="shared" si="103"/>
        <v>19781.804126787636</v>
      </c>
      <c r="BI192" s="298">
        <f t="shared" si="84"/>
        <v>19781.804126787636</v>
      </c>
      <c r="BJ192" s="298">
        <f t="shared" si="104"/>
        <v>79127.216507150544</v>
      </c>
      <c r="BK192" s="482">
        <v>15</v>
      </c>
      <c r="BL192" s="482">
        <v>15</v>
      </c>
      <c r="BM192" s="482">
        <f>INDEX('Unit Savings Calculations'!$I$4:$I$421,MATCH('Measure-Level Adjustments Tab'!$A192&amp;"_"&amp;'Measure-Level Adjustments Tab'!$B192,'Unit Savings Calculations'!$A$4:$A$421,0))</f>
        <v>15</v>
      </c>
      <c r="BN192" s="482">
        <f t="shared" si="105"/>
        <v>15</v>
      </c>
      <c r="BO192" s="483">
        <f t="shared" si="106"/>
        <v>19781.804126787636</v>
      </c>
      <c r="BP192" s="483">
        <f t="shared" si="106"/>
        <v>19781.804126787636</v>
      </c>
      <c r="BQ192" s="483">
        <f t="shared" si="106"/>
        <v>19781.804126787636</v>
      </c>
      <c r="BR192" s="483">
        <f t="shared" si="85"/>
        <v>19781.804126787636</v>
      </c>
      <c r="BS192" s="483">
        <f t="shared" si="86"/>
        <v>79127.216507150544</v>
      </c>
    </row>
    <row r="193" spans="1:71" ht="15.75" customHeight="1">
      <c r="A193" s="292" t="str">
        <f>'Unit Savings Calculations'!C189</f>
        <v>Bus - SB Rebates</v>
      </c>
      <c r="B193" s="292" t="str">
        <f>'Unit Savings Calculations'!D189</f>
        <v>Pipe Insulation - Steam - Med 2.1" to 5"</v>
      </c>
      <c r="C193" s="293">
        <f t="shared" si="107"/>
        <v>1</v>
      </c>
      <c r="D193" s="292" t="str">
        <f>'Unit Savings Calculations'!T189</f>
        <v>4.4.14</v>
      </c>
      <c r="E193" s="438">
        <v>15</v>
      </c>
      <c r="F193" s="438">
        <v>15</v>
      </c>
      <c r="G193" s="292" t="str">
        <f>'Unit Savings Calculations'!E189</f>
        <v>ft</v>
      </c>
      <c r="H193" s="294">
        <f>'Unit Savings Calculations'!$F189*'Unit Savings Calculations'!J189</f>
        <v>375</v>
      </c>
      <c r="I193" s="294">
        <f>'Unit Savings Calculations'!$F189*'Unit Savings Calculations'!K189</f>
        <v>375</v>
      </c>
      <c r="J193" s="294">
        <f>'Unit Savings Calculations'!$F189*'Unit Savings Calculations'!L189</f>
        <v>375</v>
      </c>
      <c r="K193" s="294">
        <f>'Unit Savings Calculations'!$F189*'Unit Savings Calculations'!M189</f>
        <v>375</v>
      </c>
      <c r="L193" s="292" t="str">
        <f>'Unit Savings Calculations'!U189</f>
        <v>CI-HVC-PINS-V04-160601</v>
      </c>
      <c r="M193" s="383" t="str">
        <f>'Unit Savings Calculations'!R189</f>
        <v>Exhibit 1.5A_R North Shore EEPS_Adjustable_Savings_Goal_Template.xlsx, Pipe Insulation Detail Tab</v>
      </c>
      <c r="N193" s="295">
        <v>13.148126788517139</v>
      </c>
      <c r="O193" s="295">
        <v>13.148126788517139</v>
      </c>
      <c r="P193" s="295">
        <v>13.148126788517139</v>
      </c>
      <c r="Q193" s="295">
        <v>13.148126788517139</v>
      </c>
      <c r="R193" s="296">
        <f>'Unit Savings Calculations'!$G189</f>
        <v>0.92</v>
      </c>
      <c r="S193" s="296">
        <f>'Unit Savings Calculations'!$G189</f>
        <v>0.92</v>
      </c>
      <c r="T193" s="296">
        <f>'Unit Savings Calculations'!$G189</f>
        <v>0.92</v>
      </c>
      <c r="U193" s="296">
        <f>'Unit Savings Calculations'!$G189</f>
        <v>0.92</v>
      </c>
      <c r="V193" s="297">
        <f t="shared" si="123"/>
        <v>4536.1037420384137</v>
      </c>
      <c r="W193" s="297">
        <f t="shared" si="124"/>
        <v>4536.1037420384137</v>
      </c>
      <c r="X193" s="297">
        <f t="shared" si="125"/>
        <v>4536.1037420384137</v>
      </c>
      <c r="Y193" s="297">
        <f t="shared" si="126"/>
        <v>4536.1037420384137</v>
      </c>
      <c r="Z193" s="297">
        <f t="shared" si="127"/>
        <v>18144.414968153655</v>
      </c>
      <c r="AA193" s="292"/>
      <c r="AB193" s="292"/>
      <c r="AC193" s="295">
        <v>13.148126788517139</v>
      </c>
      <c r="AD193" s="292"/>
      <c r="AE193" s="297">
        <f t="shared" si="87"/>
        <v>4536.1037420384137</v>
      </c>
      <c r="AF193" s="294">
        <f t="shared" si="88"/>
        <v>0</v>
      </c>
      <c r="AG193" s="292"/>
      <c r="AH193" s="292">
        <f t="shared" si="89"/>
        <v>0</v>
      </c>
      <c r="AI193" s="295">
        <v>13.148126788517139</v>
      </c>
      <c r="AJ193" s="383" t="s">
        <v>878</v>
      </c>
      <c r="AK193" s="297">
        <f t="shared" si="90"/>
        <v>4536.1037420384137</v>
      </c>
      <c r="AL193" s="294">
        <f t="shared" si="91"/>
        <v>0</v>
      </c>
      <c r="AM193" s="292"/>
      <c r="AN193" s="292"/>
      <c r="AO193" s="295">
        <f>'Unit Savings Calculations'!P189</f>
        <v>13.148126788517139</v>
      </c>
      <c r="AP193" s="383" t="s">
        <v>763</v>
      </c>
      <c r="AQ193" s="297">
        <f t="shared" si="92"/>
        <v>4536.1037420384137</v>
      </c>
      <c r="AR193" s="294">
        <f t="shared" si="93"/>
        <v>0</v>
      </c>
      <c r="AS193" s="292"/>
      <c r="AT193" s="292"/>
      <c r="AU193" s="295">
        <f>'Unit Savings Calculations'!Q189</f>
        <v>13.148126788517139</v>
      </c>
      <c r="AV193" s="383" t="str">
        <f t="shared" si="94"/>
        <v>n/a</v>
      </c>
      <c r="AW193" s="297">
        <f t="shared" si="95"/>
        <v>4536.1037420384137</v>
      </c>
      <c r="AX193" s="294">
        <f t="shared" si="96"/>
        <v>0</v>
      </c>
      <c r="AY193" s="297">
        <f t="shared" si="97"/>
        <v>4536.1037420384137</v>
      </c>
      <c r="AZ193" s="297">
        <f t="shared" si="98"/>
        <v>4536.1037420384137</v>
      </c>
      <c r="BA193" s="297">
        <f t="shared" si="99"/>
        <v>4536.1037420384137</v>
      </c>
      <c r="BB193" s="297">
        <f t="shared" si="100"/>
        <v>4536.1037420384137</v>
      </c>
      <c r="BC193" s="298">
        <f t="shared" si="101"/>
        <v>18144.414968153655</v>
      </c>
      <c r="BD193" s="292" t="s">
        <v>763</v>
      </c>
      <c r="BE193" s="299" t="str">
        <f t="shared" si="102"/>
        <v>Exhibit 1.5A_R North Shore EEPS_Adjustable_Savings_Goal_Template.xlsx, Pipe Insulation Detail Tab</v>
      </c>
      <c r="BF193" s="298">
        <f t="shared" si="103"/>
        <v>68041.556130576209</v>
      </c>
      <c r="BG193" s="298">
        <f t="shared" si="103"/>
        <v>68041.556130576209</v>
      </c>
      <c r="BH193" s="298">
        <f t="shared" si="103"/>
        <v>68041.556130576209</v>
      </c>
      <c r="BI193" s="298">
        <f t="shared" si="84"/>
        <v>68041.556130576209</v>
      </c>
      <c r="BJ193" s="298">
        <f t="shared" si="104"/>
        <v>272166.22452230484</v>
      </c>
      <c r="BK193" s="482">
        <v>15</v>
      </c>
      <c r="BL193" s="482">
        <v>15</v>
      </c>
      <c r="BM193" s="482">
        <f>INDEX('Unit Savings Calculations'!$I$4:$I$421,MATCH('Measure-Level Adjustments Tab'!$A193&amp;"_"&amp;'Measure-Level Adjustments Tab'!$B193,'Unit Savings Calculations'!$A$4:$A$421,0))</f>
        <v>15</v>
      </c>
      <c r="BN193" s="482">
        <f t="shared" si="105"/>
        <v>15</v>
      </c>
      <c r="BO193" s="483">
        <f t="shared" si="106"/>
        <v>68041.556130576209</v>
      </c>
      <c r="BP193" s="483">
        <f t="shared" si="106"/>
        <v>68041.556130576209</v>
      </c>
      <c r="BQ193" s="483">
        <f t="shared" si="106"/>
        <v>68041.556130576209</v>
      </c>
      <c r="BR193" s="483">
        <f t="shared" si="85"/>
        <v>68041.556130576209</v>
      </c>
      <c r="BS193" s="483">
        <f t="shared" si="86"/>
        <v>272166.22452230484</v>
      </c>
    </row>
    <row r="194" spans="1:71" ht="15.75" customHeight="1">
      <c r="A194" s="292" t="str">
        <f>'Unit Savings Calculations'!C190</f>
        <v>Bus - SB Rebates</v>
      </c>
      <c r="B194" s="292" t="str">
        <f>'Unit Savings Calculations'!D190</f>
        <v>Pipe Insulation - Steam - Large 5.1" to 8"</v>
      </c>
      <c r="C194" s="293">
        <f t="shared" si="107"/>
        <v>1</v>
      </c>
      <c r="D194" s="292" t="str">
        <f>'Unit Savings Calculations'!T190</f>
        <v>4.4.14</v>
      </c>
      <c r="E194" s="438">
        <v>15</v>
      </c>
      <c r="F194" s="438">
        <v>15</v>
      </c>
      <c r="G194" s="292" t="str">
        <f>'Unit Savings Calculations'!E190</f>
        <v>ft</v>
      </c>
      <c r="H194" s="294">
        <f>'Unit Savings Calculations'!$F190*'Unit Savings Calculations'!J190</f>
        <v>0</v>
      </c>
      <c r="I194" s="294">
        <f>'Unit Savings Calculations'!$F190*'Unit Savings Calculations'!K190</f>
        <v>0</v>
      </c>
      <c r="J194" s="294">
        <f>'Unit Savings Calculations'!$F190*'Unit Savings Calculations'!L190</f>
        <v>0</v>
      </c>
      <c r="K194" s="294">
        <f>'Unit Savings Calculations'!$F190*'Unit Savings Calculations'!M190</f>
        <v>0</v>
      </c>
      <c r="L194" s="292" t="str">
        <f>'Unit Savings Calculations'!U190</f>
        <v>CI-HVC-PINS-V04-160601</v>
      </c>
      <c r="M194" s="383" t="str">
        <f>'Unit Savings Calculations'!R190</f>
        <v>Exhibit 1.5A_R North Shore EEPS_Adjustable_Savings_Goal_Template.xlsx, Pipe Insulation Detail Tab</v>
      </c>
      <c r="N194" s="295">
        <v>24.25563238537794</v>
      </c>
      <c r="O194" s="295">
        <v>24.25563238537794</v>
      </c>
      <c r="P194" s="295">
        <v>24.25563238537794</v>
      </c>
      <c r="Q194" s="295">
        <v>24.25563238537794</v>
      </c>
      <c r="R194" s="296">
        <f>'Unit Savings Calculations'!$G190</f>
        <v>0.92</v>
      </c>
      <c r="S194" s="296">
        <f>'Unit Savings Calculations'!$G190</f>
        <v>0.92</v>
      </c>
      <c r="T194" s="296">
        <f>'Unit Savings Calculations'!$G190</f>
        <v>0.92</v>
      </c>
      <c r="U194" s="296">
        <f>'Unit Savings Calculations'!$G190</f>
        <v>0.92</v>
      </c>
      <c r="V194" s="297">
        <f t="shared" si="123"/>
        <v>0</v>
      </c>
      <c r="W194" s="297">
        <f t="shared" si="124"/>
        <v>0</v>
      </c>
      <c r="X194" s="297">
        <f t="shared" si="125"/>
        <v>0</v>
      </c>
      <c r="Y194" s="297">
        <f t="shared" si="126"/>
        <v>0</v>
      </c>
      <c r="Z194" s="297">
        <f t="shared" si="127"/>
        <v>0</v>
      </c>
      <c r="AA194" s="292"/>
      <c r="AB194" s="292"/>
      <c r="AC194" s="295">
        <v>24.25563238537794</v>
      </c>
      <c r="AD194" s="292"/>
      <c r="AE194" s="297">
        <f t="shared" si="87"/>
        <v>0</v>
      </c>
      <c r="AF194" s="294">
        <f t="shared" si="88"/>
        <v>0</v>
      </c>
      <c r="AG194" s="292"/>
      <c r="AH194" s="292">
        <f t="shared" si="89"/>
        <v>0</v>
      </c>
      <c r="AI194" s="295">
        <v>24.25563238537794</v>
      </c>
      <c r="AJ194" s="383" t="s">
        <v>878</v>
      </c>
      <c r="AK194" s="297">
        <f t="shared" si="90"/>
        <v>0</v>
      </c>
      <c r="AL194" s="294">
        <f t="shared" si="91"/>
        <v>0</v>
      </c>
      <c r="AM194" s="292"/>
      <c r="AN194" s="292"/>
      <c r="AO194" s="295">
        <f>'Unit Savings Calculations'!P190</f>
        <v>24.25563238537794</v>
      </c>
      <c r="AP194" s="383" t="s">
        <v>763</v>
      </c>
      <c r="AQ194" s="297">
        <f t="shared" si="92"/>
        <v>0</v>
      </c>
      <c r="AR194" s="294">
        <f t="shared" si="93"/>
        <v>0</v>
      </c>
      <c r="AS194" s="292"/>
      <c r="AT194" s="292"/>
      <c r="AU194" s="295">
        <f>'Unit Savings Calculations'!Q190</f>
        <v>24.25563238537794</v>
      </c>
      <c r="AV194" s="383" t="str">
        <f t="shared" si="94"/>
        <v>n/a</v>
      </c>
      <c r="AW194" s="297">
        <f t="shared" si="95"/>
        <v>0</v>
      </c>
      <c r="AX194" s="294">
        <f t="shared" si="96"/>
        <v>0</v>
      </c>
      <c r="AY194" s="297">
        <f t="shared" si="97"/>
        <v>0</v>
      </c>
      <c r="AZ194" s="297">
        <f t="shared" si="98"/>
        <v>0</v>
      </c>
      <c r="BA194" s="297">
        <f t="shared" si="99"/>
        <v>0</v>
      </c>
      <c r="BB194" s="297">
        <f t="shared" si="100"/>
        <v>0</v>
      </c>
      <c r="BC194" s="298">
        <f t="shared" si="101"/>
        <v>0</v>
      </c>
      <c r="BD194" s="292" t="s">
        <v>763</v>
      </c>
      <c r="BE194" s="299" t="str">
        <f t="shared" si="102"/>
        <v>Exhibit 1.5A_R North Shore EEPS_Adjustable_Savings_Goal_Template.xlsx, Pipe Insulation Detail Tab</v>
      </c>
      <c r="BF194" s="298">
        <f t="shared" si="103"/>
        <v>0</v>
      </c>
      <c r="BG194" s="298">
        <f t="shared" si="103"/>
        <v>0</v>
      </c>
      <c r="BH194" s="298">
        <f t="shared" si="103"/>
        <v>0</v>
      </c>
      <c r="BI194" s="298">
        <f t="shared" si="84"/>
        <v>0</v>
      </c>
      <c r="BJ194" s="298">
        <f t="shared" si="104"/>
        <v>0</v>
      </c>
      <c r="BK194" s="482">
        <v>15</v>
      </c>
      <c r="BL194" s="482">
        <v>15</v>
      </c>
      <c r="BM194" s="482">
        <f>INDEX('Unit Savings Calculations'!$I$4:$I$421,MATCH('Measure-Level Adjustments Tab'!$A194&amp;"_"&amp;'Measure-Level Adjustments Tab'!$B194,'Unit Savings Calculations'!$A$4:$A$421,0))</f>
        <v>15</v>
      </c>
      <c r="BN194" s="482">
        <f t="shared" si="105"/>
        <v>15</v>
      </c>
      <c r="BO194" s="483">
        <f t="shared" si="106"/>
        <v>0</v>
      </c>
      <c r="BP194" s="483">
        <f t="shared" si="106"/>
        <v>0</v>
      </c>
      <c r="BQ194" s="483">
        <f t="shared" si="106"/>
        <v>0</v>
      </c>
      <c r="BR194" s="483">
        <f t="shared" si="85"/>
        <v>0</v>
      </c>
      <c r="BS194" s="483">
        <f t="shared" si="86"/>
        <v>0</v>
      </c>
    </row>
    <row r="195" spans="1:71" ht="15.75" customHeight="1">
      <c r="A195" s="292" t="str">
        <f>'Unit Savings Calculations'!C191</f>
        <v>Bus - SB Rebates</v>
      </c>
      <c r="B195" s="292" t="str">
        <f>'Unit Savings Calculations'!D191</f>
        <v>Pipe Insulation - Steam - X-Large &gt;8"</v>
      </c>
      <c r="C195" s="293">
        <f t="shared" si="107"/>
        <v>1</v>
      </c>
      <c r="D195" s="292" t="str">
        <f>'Unit Savings Calculations'!T191</f>
        <v>4.4.14</v>
      </c>
      <c r="E195" s="438">
        <v>15</v>
      </c>
      <c r="F195" s="438">
        <v>15</v>
      </c>
      <c r="G195" s="292" t="str">
        <f>'Unit Savings Calculations'!E191</f>
        <v>ft</v>
      </c>
      <c r="H195" s="294">
        <f>'Unit Savings Calculations'!$F191*'Unit Savings Calculations'!J191</f>
        <v>0</v>
      </c>
      <c r="I195" s="294">
        <f>'Unit Savings Calculations'!$F191*'Unit Savings Calculations'!K191</f>
        <v>0</v>
      </c>
      <c r="J195" s="294">
        <f>'Unit Savings Calculations'!$F191*'Unit Savings Calculations'!L191</f>
        <v>0</v>
      </c>
      <c r="K195" s="294">
        <f>'Unit Savings Calculations'!$F191*'Unit Savings Calculations'!M191</f>
        <v>0</v>
      </c>
      <c r="L195" s="292" t="str">
        <f>'Unit Savings Calculations'!U191</f>
        <v>CI-HVC-PINS-V04-160601</v>
      </c>
      <c r="M195" s="383" t="str">
        <f>'Unit Savings Calculations'!R191</f>
        <v>Exhibit 1.5A_R North Shore EEPS_Adjustable_Savings_Goal_Template.xlsx, Pipe Insulation Detail Tab</v>
      </c>
      <c r="N195" s="295">
        <v>35.984797966765058</v>
      </c>
      <c r="O195" s="295">
        <v>35.984797966765058</v>
      </c>
      <c r="P195" s="295">
        <v>35.984797966765058</v>
      </c>
      <c r="Q195" s="295">
        <v>35.984797966765058</v>
      </c>
      <c r="R195" s="296">
        <f>'Unit Savings Calculations'!$G191</f>
        <v>0.92</v>
      </c>
      <c r="S195" s="296">
        <f>'Unit Savings Calculations'!$G191</f>
        <v>0.92</v>
      </c>
      <c r="T195" s="296">
        <f>'Unit Savings Calculations'!$G191</f>
        <v>0.92</v>
      </c>
      <c r="U195" s="296">
        <f>'Unit Savings Calculations'!$G191</f>
        <v>0.92</v>
      </c>
      <c r="V195" s="297">
        <f t="shared" si="123"/>
        <v>0</v>
      </c>
      <c r="W195" s="297">
        <f t="shared" si="124"/>
        <v>0</v>
      </c>
      <c r="X195" s="297">
        <f t="shared" si="125"/>
        <v>0</v>
      </c>
      <c r="Y195" s="297">
        <f t="shared" si="126"/>
        <v>0</v>
      </c>
      <c r="Z195" s="297">
        <f t="shared" si="127"/>
        <v>0</v>
      </c>
      <c r="AA195" s="292"/>
      <c r="AB195" s="292"/>
      <c r="AC195" s="295">
        <v>35.984797966765058</v>
      </c>
      <c r="AD195" s="292"/>
      <c r="AE195" s="297">
        <f t="shared" si="87"/>
        <v>0</v>
      </c>
      <c r="AF195" s="294">
        <f t="shared" si="88"/>
        <v>0</v>
      </c>
      <c r="AG195" s="292"/>
      <c r="AH195" s="292">
        <f t="shared" si="89"/>
        <v>0</v>
      </c>
      <c r="AI195" s="295">
        <v>35.984797966765058</v>
      </c>
      <c r="AJ195" s="383" t="s">
        <v>878</v>
      </c>
      <c r="AK195" s="297">
        <f t="shared" si="90"/>
        <v>0</v>
      </c>
      <c r="AL195" s="294">
        <f t="shared" si="91"/>
        <v>0</v>
      </c>
      <c r="AM195" s="292"/>
      <c r="AN195" s="292"/>
      <c r="AO195" s="295">
        <f>'Unit Savings Calculations'!P191</f>
        <v>35.984797966765058</v>
      </c>
      <c r="AP195" s="383" t="s">
        <v>763</v>
      </c>
      <c r="AQ195" s="297">
        <f t="shared" si="92"/>
        <v>0</v>
      </c>
      <c r="AR195" s="294">
        <f t="shared" si="93"/>
        <v>0</v>
      </c>
      <c r="AS195" s="292"/>
      <c r="AT195" s="292"/>
      <c r="AU195" s="295">
        <f>'Unit Savings Calculations'!Q191</f>
        <v>35.984797966765058</v>
      </c>
      <c r="AV195" s="383" t="str">
        <f t="shared" si="94"/>
        <v>n/a</v>
      </c>
      <c r="AW195" s="297">
        <f t="shared" si="95"/>
        <v>0</v>
      </c>
      <c r="AX195" s="294">
        <f t="shared" si="96"/>
        <v>0</v>
      </c>
      <c r="AY195" s="297">
        <f t="shared" si="97"/>
        <v>0</v>
      </c>
      <c r="AZ195" s="297">
        <f t="shared" si="98"/>
        <v>0</v>
      </c>
      <c r="BA195" s="297">
        <f t="shared" si="99"/>
        <v>0</v>
      </c>
      <c r="BB195" s="297">
        <f t="shared" si="100"/>
        <v>0</v>
      </c>
      <c r="BC195" s="298">
        <f t="shared" si="101"/>
        <v>0</v>
      </c>
      <c r="BD195" s="292" t="s">
        <v>763</v>
      </c>
      <c r="BE195" s="299" t="str">
        <f t="shared" si="102"/>
        <v>Exhibit 1.5A_R North Shore EEPS_Adjustable_Savings_Goal_Template.xlsx, Pipe Insulation Detail Tab</v>
      </c>
      <c r="BF195" s="298">
        <f t="shared" si="103"/>
        <v>0</v>
      </c>
      <c r="BG195" s="298">
        <f t="shared" si="103"/>
        <v>0</v>
      </c>
      <c r="BH195" s="298">
        <f t="shared" si="103"/>
        <v>0</v>
      </c>
      <c r="BI195" s="298">
        <f t="shared" si="84"/>
        <v>0</v>
      </c>
      <c r="BJ195" s="298">
        <f t="shared" si="104"/>
        <v>0</v>
      </c>
      <c r="BK195" s="482">
        <v>15</v>
      </c>
      <c r="BL195" s="482">
        <v>15</v>
      </c>
      <c r="BM195" s="482">
        <f>INDEX('Unit Savings Calculations'!$I$4:$I$421,MATCH('Measure-Level Adjustments Tab'!$A195&amp;"_"&amp;'Measure-Level Adjustments Tab'!$B195,'Unit Savings Calculations'!$A$4:$A$421,0))</f>
        <v>15</v>
      </c>
      <c r="BN195" s="482">
        <f t="shared" si="105"/>
        <v>15</v>
      </c>
      <c r="BO195" s="483">
        <f t="shared" si="106"/>
        <v>0</v>
      </c>
      <c r="BP195" s="483">
        <f t="shared" si="106"/>
        <v>0</v>
      </c>
      <c r="BQ195" s="483">
        <f t="shared" si="106"/>
        <v>0</v>
      </c>
      <c r="BR195" s="483">
        <f t="shared" si="85"/>
        <v>0</v>
      </c>
      <c r="BS195" s="483">
        <f t="shared" si="86"/>
        <v>0</v>
      </c>
    </row>
    <row r="196" spans="1:71" ht="15.75" customHeight="1">
      <c r="A196" s="292" t="str">
        <f>'Unit Savings Calculations'!C192</f>
        <v>Bus - SB Rebates</v>
      </c>
      <c r="B196" s="292" t="str">
        <f>'Unit Savings Calculations'!D192</f>
        <v>Pipe Insulation - Steam Med Fitting</v>
      </c>
      <c r="C196" s="293">
        <f t="shared" si="107"/>
        <v>1</v>
      </c>
      <c r="D196" s="292" t="str">
        <f>'Unit Savings Calculations'!T192</f>
        <v>4.4.14</v>
      </c>
      <c r="E196" s="438">
        <v>15</v>
      </c>
      <c r="F196" s="438">
        <v>15</v>
      </c>
      <c r="G196" s="292" t="str">
        <f>'Unit Savings Calculations'!E192</f>
        <v>each</v>
      </c>
      <c r="H196" s="294">
        <f>'Unit Savings Calculations'!$F192*'Unit Savings Calculations'!J192</f>
        <v>5</v>
      </c>
      <c r="I196" s="294">
        <f>'Unit Savings Calculations'!$F192*'Unit Savings Calculations'!K192</f>
        <v>5</v>
      </c>
      <c r="J196" s="294">
        <f>'Unit Savings Calculations'!$F192*'Unit Savings Calculations'!L192</f>
        <v>5</v>
      </c>
      <c r="K196" s="294">
        <f>'Unit Savings Calculations'!$F192*'Unit Savings Calculations'!M192</f>
        <v>5</v>
      </c>
      <c r="L196" s="292" t="str">
        <f>'Unit Savings Calculations'!U192</f>
        <v>CI-HVC-PINS-V04-160601</v>
      </c>
      <c r="M196" s="383" t="str">
        <f>'Unit Savings Calculations'!R192</f>
        <v>Exhibit 1.5A_R North Shore EEPS_Adjustable_Savings_Goal_Template.xlsx, Pipe Insulation Detail Tab</v>
      </c>
      <c r="N196" s="295">
        <v>12.515179237984789</v>
      </c>
      <c r="O196" s="295">
        <v>12.515179237984789</v>
      </c>
      <c r="P196" s="295">
        <v>12.515179237984789</v>
      </c>
      <c r="Q196" s="295">
        <v>12.515179237984789</v>
      </c>
      <c r="R196" s="296">
        <f>'Unit Savings Calculations'!$G192</f>
        <v>0.92</v>
      </c>
      <c r="S196" s="296">
        <f>'Unit Savings Calculations'!$G192</f>
        <v>0.92</v>
      </c>
      <c r="T196" s="296">
        <f>'Unit Savings Calculations'!$G192</f>
        <v>0.92</v>
      </c>
      <c r="U196" s="296">
        <f>'Unit Savings Calculations'!$G192</f>
        <v>0.92</v>
      </c>
      <c r="V196" s="297">
        <f t="shared" si="123"/>
        <v>57.569824494730035</v>
      </c>
      <c r="W196" s="297">
        <f t="shared" si="124"/>
        <v>57.569824494730035</v>
      </c>
      <c r="X196" s="297">
        <f t="shared" si="125"/>
        <v>57.569824494730035</v>
      </c>
      <c r="Y196" s="297">
        <f t="shared" si="126"/>
        <v>57.569824494730035</v>
      </c>
      <c r="Z196" s="297">
        <f t="shared" si="127"/>
        <v>230.27929797892014</v>
      </c>
      <c r="AA196" s="292"/>
      <c r="AB196" s="292"/>
      <c r="AC196" s="295">
        <v>12.515179237984789</v>
      </c>
      <c r="AD196" s="292"/>
      <c r="AE196" s="297">
        <f t="shared" si="87"/>
        <v>57.569824494730035</v>
      </c>
      <c r="AF196" s="294">
        <f t="shared" si="88"/>
        <v>0</v>
      </c>
      <c r="AG196" s="292"/>
      <c r="AH196" s="292">
        <f t="shared" si="89"/>
        <v>0</v>
      </c>
      <c r="AI196" s="295">
        <v>12.515179237984789</v>
      </c>
      <c r="AJ196" s="383" t="s">
        <v>878</v>
      </c>
      <c r="AK196" s="297">
        <f t="shared" si="90"/>
        <v>57.569824494730035</v>
      </c>
      <c r="AL196" s="294">
        <f t="shared" si="91"/>
        <v>0</v>
      </c>
      <c r="AM196" s="292"/>
      <c r="AN196" s="292"/>
      <c r="AO196" s="295">
        <f>'Unit Savings Calculations'!P192</f>
        <v>12.515179237984789</v>
      </c>
      <c r="AP196" s="383" t="s">
        <v>763</v>
      </c>
      <c r="AQ196" s="297">
        <f t="shared" si="92"/>
        <v>57.569824494730035</v>
      </c>
      <c r="AR196" s="294">
        <f t="shared" si="93"/>
        <v>0</v>
      </c>
      <c r="AS196" s="292"/>
      <c r="AT196" s="292"/>
      <c r="AU196" s="295">
        <f>'Unit Savings Calculations'!Q192</f>
        <v>12.515179237984789</v>
      </c>
      <c r="AV196" s="383" t="str">
        <f t="shared" si="94"/>
        <v>n/a</v>
      </c>
      <c r="AW196" s="297">
        <f t="shared" si="95"/>
        <v>57.569824494730035</v>
      </c>
      <c r="AX196" s="294">
        <f t="shared" si="96"/>
        <v>0</v>
      </c>
      <c r="AY196" s="297">
        <f t="shared" si="97"/>
        <v>57.569824494730035</v>
      </c>
      <c r="AZ196" s="297">
        <f t="shared" si="98"/>
        <v>57.569824494730035</v>
      </c>
      <c r="BA196" s="297">
        <f t="shared" si="99"/>
        <v>57.569824494730035</v>
      </c>
      <c r="BB196" s="297">
        <f t="shared" si="100"/>
        <v>57.569824494730035</v>
      </c>
      <c r="BC196" s="298">
        <f t="shared" si="101"/>
        <v>230.27929797892014</v>
      </c>
      <c r="BD196" s="292" t="s">
        <v>763</v>
      </c>
      <c r="BE196" s="299" t="str">
        <f t="shared" si="102"/>
        <v>Exhibit 1.5A_R North Shore EEPS_Adjustable_Savings_Goal_Template.xlsx, Pipe Insulation Detail Tab</v>
      </c>
      <c r="BF196" s="298">
        <f t="shared" si="103"/>
        <v>863.54736742095054</v>
      </c>
      <c r="BG196" s="298">
        <f t="shared" si="103"/>
        <v>863.54736742095054</v>
      </c>
      <c r="BH196" s="298">
        <f t="shared" si="103"/>
        <v>863.54736742095054</v>
      </c>
      <c r="BI196" s="298">
        <f t="shared" si="84"/>
        <v>863.54736742095054</v>
      </c>
      <c r="BJ196" s="298">
        <f t="shared" si="104"/>
        <v>3454.1894696838021</v>
      </c>
      <c r="BK196" s="482">
        <v>15</v>
      </c>
      <c r="BL196" s="482">
        <v>15</v>
      </c>
      <c r="BM196" s="482">
        <f>INDEX('Unit Savings Calculations'!$I$4:$I$421,MATCH('Measure-Level Adjustments Tab'!$A196&amp;"_"&amp;'Measure-Level Adjustments Tab'!$B196,'Unit Savings Calculations'!$A$4:$A$421,0))</f>
        <v>15</v>
      </c>
      <c r="BN196" s="482">
        <f t="shared" si="105"/>
        <v>15</v>
      </c>
      <c r="BO196" s="483">
        <f t="shared" si="106"/>
        <v>863.54736742095054</v>
      </c>
      <c r="BP196" s="483">
        <f t="shared" si="106"/>
        <v>863.54736742095054</v>
      </c>
      <c r="BQ196" s="483">
        <f t="shared" si="106"/>
        <v>863.54736742095054</v>
      </c>
      <c r="BR196" s="483">
        <f t="shared" si="85"/>
        <v>863.54736742095054</v>
      </c>
      <c r="BS196" s="483">
        <f t="shared" si="86"/>
        <v>3454.1894696838021</v>
      </c>
    </row>
    <row r="197" spans="1:71" ht="15.75" customHeight="1">
      <c r="A197" s="292" t="str">
        <f>'Unit Savings Calculations'!C193</f>
        <v>Bus - SB Rebates</v>
      </c>
      <c r="B197" s="292" t="str">
        <f>'Unit Savings Calculations'!D193</f>
        <v>Pipe Insulation - Steam Large Fitting</v>
      </c>
      <c r="C197" s="293">
        <f t="shared" si="107"/>
        <v>1</v>
      </c>
      <c r="D197" s="292" t="str">
        <f>'Unit Savings Calculations'!T193</f>
        <v>4.4.14</v>
      </c>
      <c r="E197" s="438">
        <v>15</v>
      </c>
      <c r="F197" s="438">
        <v>15</v>
      </c>
      <c r="G197" s="292" t="str">
        <f>'Unit Savings Calculations'!E193</f>
        <v>each</v>
      </c>
      <c r="H197" s="294">
        <f>'Unit Savings Calculations'!$F193*'Unit Savings Calculations'!J193</f>
        <v>0</v>
      </c>
      <c r="I197" s="294">
        <f>'Unit Savings Calculations'!$F193*'Unit Savings Calculations'!K193</f>
        <v>0</v>
      </c>
      <c r="J197" s="294">
        <f>'Unit Savings Calculations'!$F193*'Unit Savings Calculations'!L193</f>
        <v>0</v>
      </c>
      <c r="K197" s="294">
        <f>'Unit Savings Calculations'!$F193*'Unit Savings Calculations'!M193</f>
        <v>0</v>
      </c>
      <c r="L197" s="292" t="str">
        <f>'Unit Savings Calculations'!U193</f>
        <v>CI-HVC-PINS-V04-160601</v>
      </c>
      <c r="M197" s="383" t="str">
        <f>'Unit Savings Calculations'!R193</f>
        <v>Exhibit 1.5A_R North Shore EEPS_Adjustable_Savings_Goal_Template.xlsx, Pipe Insulation Detail Tab</v>
      </c>
      <c r="N197" s="295">
        <v>51.249515380658096</v>
      </c>
      <c r="O197" s="295">
        <v>51.249515380658096</v>
      </c>
      <c r="P197" s="295">
        <v>51.249515380658096</v>
      </c>
      <c r="Q197" s="295">
        <v>51.249515380658096</v>
      </c>
      <c r="R197" s="296">
        <f>'Unit Savings Calculations'!$G193</f>
        <v>0.92</v>
      </c>
      <c r="S197" s="296">
        <f>'Unit Savings Calculations'!$G193</f>
        <v>0.92</v>
      </c>
      <c r="T197" s="296">
        <f>'Unit Savings Calculations'!$G193</f>
        <v>0.92</v>
      </c>
      <c r="U197" s="296">
        <f>'Unit Savings Calculations'!$G193</f>
        <v>0.92</v>
      </c>
      <c r="V197" s="297">
        <f t="shared" si="123"/>
        <v>0</v>
      </c>
      <c r="W197" s="297">
        <f t="shared" si="124"/>
        <v>0</v>
      </c>
      <c r="X197" s="297">
        <f t="shared" si="125"/>
        <v>0</v>
      </c>
      <c r="Y197" s="297">
        <f t="shared" si="126"/>
        <v>0</v>
      </c>
      <c r="Z197" s="297">
        <f t="shared" si="127"/>
        <v>0</v>
      </c>
      <c r="AA197" s="292"/>
      <c r="AB197" s="292"/>
      <c r="AC197" s="295">
        <v>51.249515380658096</v>
      </c>
      <c r="AD197" s="292"/>
      <c r="AE197" s="297">
        <f t="shared" si="87"/>
        <v>0</v>
      </c>
      <c r="AF197" s="294">
        <f t="shared" si="88"/>
        <v>0</v>
      </c>
      <c r="AG197" s="292"/>
      <c r="AH197" s="292">
        <f t="shared" si="89"/>
        <v>0</v>
      </c>
      <c r="AI197" s="295">
        <v>51.249515380658096</v>
      </c>
      <c r="AJ197" s="383" t="s">
        <v>878</v>
      </c>
      <c r="AK197" s="297">
        <f t="shared" si="90"/>
        <v>0</v>
      </c>
      <c r="AL197" s="294">
        <f t="shared" si="91"/>
        <v>0</v>
      </c>
      <c r="AM197" s="292"/>
      <c r="AN197" s="292"/>
      <c r="AO197" s="295">
        <f>'Unit Savings Calculations'!P193</f>
        <v>51.249515380658096</v>
      </c>
      <c r="AP197" s="383" t="s">
        <v>763</v>
      </c>
      <c r="AQ197" s="297">
        <f t="shared" si="92"/>
        <v>0</v>
      </c>
      <c r="AR197" s="294">
        <f t="shared" si="93"/>
        <v>0</v>
      </c>
      <c r="AS197" s="292"/>
      <c r="AT197" s="292"/>
      <c r="AU197" s="295">
        <f>'Unit Savings Calculations'!Q193</f>
        <v>51.249515380658096</v>
      </c>
      <c r="AV197" s="383" t="str">
        <f t="shared" si="94"/>
        <v>n/a</v>
      </c>
      <c r="AW197" s="297">
        <f t="shared" si="95"/>
        <v>0</v>
      </c>
      <c r="AX197" s="294">
        <f t="shared" si="96"/>
        <v>0</v>
      </c>
      <c r="AY197" s="297">
        <f t="shared" si="97"/>
        <v>0</v>
      </c>
      <c r="AZ197" s="297">
        <f t="shared" si="98"/>
        <v>0</v>
      </c>
      <c r="BA197" s="297">
        <f t="shared" si="99"/>
        <v>0</v>
      </c>
      <c r="BB197" s="297">
        <f t="shared" si="100"/>
        <v>0</v>
      </c>
      <c r="BC197" s="298">
        <f t="shared" si="101"/>
        <v>0</v>
      </c>
      <c r="BD197" s="292" t="s">
        <v>763</v>
      </c>
      <c r="BE197" s="299" t="str">
        <f t="shared" si="102"/>
        <v>Exhibit 1.5A_R North Shore EEPS_Adjustable_Savings_Goal_Template.xlsx, Pipe Insulation Detail Tab</v>
      </c>
      <c r="BF197" s="298">
        <f t="shared" si="103"/>
        <v>0</v>
      </c>
      <c r="BG197" s="298">
        <f t="shared" si="103"/>
        <v>0</v>
      </c>
      <c r="BH197" s="298">
        <f t="shared" si="103"/>
        <v>0</v>
      </c>
      <c r="BI197" s="298">
        <f t="shared" si="84"/>
        <v>0</v>
      </c>
      <c r="BJ197" s="298">
        <f t="shared" si="104"/>
        <v>0</v>
      </c>
      <c r="BK197" s="482">
        <v>15</v>
      </c>
      <c r="BL197" s="482">
        <v>15</v>
      </c>
      <c r="BM197" s="482">
        <f>INDEX('Unit Savings Calculations'!$I$4:$I$421,MATCH('Measure-Level Adjustments Tab'!$A197&amp;"_"&amp;'Measure-Level Adjustments Tab'!$B197,'Unit Savings Calculations'!$A$4:$A$421,0))</f>
        <v>15</v>
      </c>
      <c r="BN197" s="482">
        <f t="shared" si="105"/>
        <v>15</v>
      </c>
      <c r="BO197" s="483">
        <f t="shared" si="106"/>
        <v>0</v>
      </c>
      <c r="BP197" s="483">
        <f t="shared" si="106"/>
        <v>0</v>
      </c>
      <c r="BQ197" s="483">
        <f t="shared" si="106"/>
        <v>0</v>
      </c>
      <c r="BR197" s="483">
        <f t="shared" si="85"/>
        <v>0</v>
      </c>
      <c r="BS197" s="483">
        <f t="shared" si="86"/>
        <v>0</v>
      </c>
    </row>
    <row r="198" spans="1:71" ht="15.75" customHeight="1">
      <c r="A198" s="292" t="str">
        <f>'Unit Savings Calculations'!C194</f>
        <v>Bus - SB Rebates</v>
      </c>
      <c r="B198" s="292" t="str">
        <f>'Unit Savings Calculations'!D194</f>
        <v>Pipe Insulation - Steam X-Large Fitting</v>
      </c>
      <c r="C198" s="293">
        <f t="shared" si="107"/>
        <v>1</v>
      </c>
      <c r="D198" s="292" t="str">
        <f>'Unit Savings Calculations'!T194</f>
        <v>4.4.14</v>
      </c>
      <c r="E198" s="438">
        <v>15</v>
      </c>
      <c r="F198" s="438">
        <v>15</v>
      </c>
      <c r="G198" s="292" t="str">
        <f>'Unit Savings Calculations'!E194</f>
        <v>each</v>
      </c>
      <c r="H198" s="294">
        <f>'Unit Savings Calculations'!$F194*'Unit Savings Calculations'!J194</f>
        <v>0</v>
      </c>
      <c r="I198" s="294">
        <f>'Unit Savings Calculations'!$F194*'Unit Savings Calculations'!K194</f>
        <v>0</v>
      </c>
      <c r="J198" s="294">
        <f>'Unit Savings Calculations'!$F194*'Unit Savings Calculations'!L194</f>
        <v>0</v>
      </c>
      <c r="K198" s="294">
        <f>'Unit Savings Calculations'!$F194*'Unit Savings Calculations'!M194</f>
        <v>0</v>
      </c>
      <c r="L198" s="292" t="str">
        <f>'Unit Savings Calculations'!U194</f>
        <v>CI-HVC-PINS-V04-160601</v>
      </c>
      <c r="M198" s="383" t="str">
        <f>'Unit Savings Calculations'!R194</f>
        <v>Exhibit 1.5A_R North Shore EEPS_Adjustable_Savings_Goal_Template.xlsx, Pipe Insulation Detail Tab</v>
      </c>
      <c r="N198" s="295">
        <v>99.138118398437726</v>
      </c>
      <c r="O198" s="295">
        <v>99.138118398437726</v>
      </c>
      <c r="P198" s="295">
        <v>99.138118398437726</v>
      </c>
      <c r="Q198" s="295">
        <v>99.138118398437726</v>
      </c>
      <c r="R198" s="296">
        <f>'Unit Savings Calculations'!$G194</f>
        <v>0.92</v>
      </c>
      <c r="S198" s="296">
        <f>'Unit Savings Calculations'!$G194</f>
        <v>0.92</v>
      </c>
      <c r="T198" s="296">
        <f>'Unit Savings Calculations'!$G194</f>
        <v>0.92</v>
      </c>
      <c r="U198" s="296">
        <f>'Unit Savings Calculations'!$G194</f>
        <v>0.92</v>
      </c>
      <c r="V198" s="297">
        <f t="shared" si="123"/>
        <v>0</v>
      </c>
      <c r="W198" s="297">
        <f t="shared" si="124"/>
        <v>0</v>
      </c>
      <c r="X198" s="297">
        <f t="shared" si="125"/>
        <v>0</v>
      </c>
      <c r="Y198" s="297">
        <f t="shared" si="126"/>
        <v>0</v>
      </c>
      <c r="Z198" s="297">
        <f t="shared" si="127"/>
        <v>0</v>
      </c>
      <c r="AA198" s="292"/>
      <c r="AB198" s="292"/>
      <c r="AC198" s="295">
        <v>99.138118398437726</v>
      </c>
      <c r="AD198" s="292"/>
      <c r="AE198" s="297">
        <f t="shared" si="87"/>
        <v>0</v>
      </c>
      <c r="AF198" s="294">
        <f t="shared" si="88"/>
        <v>0</v>
      </c>
      <c r="AG198" s="292"/>
      <c r="AH198" s="292">
        <f t="shared" si="89"/>
        <v>0</v>
      </c>
      <c r="AI198" s="295">
        <v>99.138118398437726</v>
      </c>
      <c r="AJ198" s="383" t="s">
        <v>878</v>
      </c>
      <c r="AK198" s="297">
        <f t="shared" si="90"/>
        <v>0</v>
      </c>
      <c r="AL198" s="294">
        <f t="shared" si="91"/>
        <v>0</v>
      </c>
      <c r="AM198" s="292"/>
      <c r="AN198" s="292"/>
      <c r="AO198" s="295">
        <f>'Unit Savings Calculations'!P194</f>
        <v>99.138118398437726</v>
      </c>
      <c r="AP198" s="383" t="s">
        <v>763</v>
      </c>
      <c r="AQ198" s="297">
        <f t="shared" si="92"/>
        <v>0</v>
      </c>
      <c r="AR198" s="294">
        <f t="shared" si="93"/>
        <v>0</v>
      </c>
      <c r="AS198" s="292"/>
      <c r="AT198" s="292"/>
      <c r="AU198" s="295">
        <f>'Unit Savings Calculations'!Q194</f>
        <v>99.138118398437726</v>
      </c>
      <c r="AV198" s="383" t="str">
        <f t="shared" si="94"/>
        <v>n/a</v>
      </c>
      <c r="AW198" s="297">
        <f t="shared" si="95"/>
        <v>0</v>
      </c>
      <c r="AX198" s="294">
        <f t="shared" si="96"/>
        <v>0</v>
      </c>
      <c r="AY198" s="297">
        <f t="shared" si="97"/>
        <v>0</v>
      </c>
      <c r="AZ198" s="297">
        <f t="shared" si="98"/>
        <v>0</v>
      </c>
      <c r="BA198" s="297">
        <f t="shared" si="99"/>
        <v>0</v>
      </c>
      <c r="BB198" s="297">
        <f t="shared" si="100"/>
        <v>0</v>
      </c>
      <c r="BC198" s="298">
        <f t="shared" si="101"/>
        <v>0</v>
      </c>
      <c r="BD198" s="292" t="s">
        <v>763</v>
      </c>
      <c r="BE198" s="299" t="str">
        <f t="shared" si="102"/>
        <v>Exhibit 1.5A_R North Shore EEPS_Adjustable_Savings_Goal_Template.xlsx, Pipe Insulation Detail Tab</v>
      </c>
      <c r="BF198" s="298">
        <f t="shared" si="103"/>
        <v>0</v>
      </c>
      <c r="BG198" s="298">
        <f t="shared" si="103"/>
        <v>0</v>
      </c>
      <c r="BH198" s="298">
        <f t="shared" si="103"/>
        <v>0</v>
      </c>
      <c r="BI198" s="298">
        <f t="shared" si="84"/>
        <v>0</v>
      </c>
      <c r="BJ198" s="298">
        <f t="shared" si="104"/>
        <v>0</v>
      </c>
      <c r="BK198" s="482">
        <v>15</v>
      </c>
      <c r="BL198" s="482">
        <v>15</v>
      </c>
      <c r="BM198" s="482">
        <f>INDEX('Unit Savings Calculations'!$I$4:$I$421,MATCH('Measure-Level Adjustments Tab'!$A198&amp;"_"&amp;'Measure-Level Adjustments Tab'!$B198,'Unit Savings Calculations'!$A$4:$A$421,0))</f>
        <v>15</v>
      </c>
      <c r="BN198" s="482">
        <f t="shared" si="105"/>
        <v>15</v>
      </c>
      <c r="BO198" s="483">
        <f t="shared" si="106"/>
        <v>0</v>
      </c>
      <c r="BP198" s="483">
        <f t="shared" si="106"/>
        <v>0</v>
      </c>
      <c r="BQ198" s="483">
        <f t="shared" si="106"/>
        <v>0</v>
      </c>
      <c r="BR198" s="483">
        <f t="shared" si="85"/>
        <v>0</v>
      </c>
      <c r="BS198" s="483">
        <f t="shared" si="86"/>
        <v>0</v>
      </c>
    </row>
    <row r="199" spans="1:71" ht="15.75" customHeight="1">
      <c r="A199" s="292" t="str">
        <f>'Unit Savings Calculations'!C195</f>
        <v>Bus - SB Rebates</v>
      </c>
      <c r="B199" s="292" t="str">
        <f>'Unit Savings Calculations'!D195</f>
        <v>Pipe Insulation - Steam Med Valve</v>
      </c>
      <c r="C199" s="293">
        <f t="shared" si="107"/>
        <v>1</v>
      </c>
      <c r="D199" s="292" t="str">
        <f>'Unit Savings Calculations'!T195</f>
        <v>4.4.14</v>
      </c>
      <c r="E199" s="438">
        <v>15</v>
      </c>
      <c r="F199" s="438">
        <v>15</v>
      </c>
      <c r="G199" s="292" t="str">
        <f>'Unit Savings Calculations'!E195</f>
        <v>each</v>
      </c>
      <c r="H199" s="294">
        <f>'Unit Savings Calculations'!$F195*'Unit Savings Calculations'!J195</f>
        <v>0</v>
      </c>
      <c r="I199" s="294">
        <f>'Unit Savings Calculations'!$F195*'Unit Savings Calculations'!K195</f>
        <v>0</v>
      </c>
      <c r="J199" s="294">
        <f>'Unit Savings Calculations'!$F195*'Unit Savings Calculations'!L195</f>
        <v>0</v>
      </c>
      <c r="K199" s="294">
        <f>'Unit Savings Calculations'!$F195*'Unit Savings Calculations'!M195</f>
        <v>0</v>
      </c>
      <c r="L199" s="292" t="str">
        <f>'Unit Savings Calculations'!U195</f>
        <v>CI-HVC-PINS-V04-160601</v>
      </c>
      <c r="M199" s="383" t="str">
        <f>'Unit Savings Calculations'!R195</f>
        <v>Exhibit 1.5A_R North Shore EEPS_Adjustable_Savings_Goal_Template.xlsx, Pipe Insulation Detail Tab</v>
      </c>
      <c r="N199" s="295">
        <v>37.423389683572815</v>
      </c>
      <c r="O199" s="295">
        <v>37.423389683572815</v>
      </c>
      <c r="P199" s="295">
        <v>37.423389683572815</v>
      </c>
      <c r="Q199" s="295">
        <v>37.423389683572815</v>
      </c>
      <c r="R199" s="296">
        <f>'Unit Savings Calculations'!$G195</f>
        <v>0.92</v>
      </c>
      <c r="S199" s="296">
        <f>'Unit Savings Calculations'!$G195</f>
        <v>0.92</v>
      </c>
      <c r="T199" s="296">
        <f>'Unit Savings Calculations'!$G195</f>
        <v>0.92</v>
      </c>
      <c r="U199" s="296">
        <f>'Unit Savings Calculations'!$G195</f>
        <v>0.92</v>
      </c>
      <c r="V199" s="297">
        <f t="shared" si="123"/>
        <v>0</v>
      </c>
      <c r="W199" s="297">
        <f t="shared" si="124"/>
        <v>0</v>
      </c>
      <c r="X199" s="297">
        <f t="shared" si="125"/>
        <v>0</v>
      </c>
      <c r="Y199" s="297">
        <f t="shared" si="126"/>
        <v>0</v>
      </c>
      <c r="Z199" s="297">
        <f t="shared" si="127"/>
        <v>0</v>
      </c>
      <c r="AA199" s="292"/>
      <c r="AB199" s="292"/>
      <c r="AC199" s="295">
        <v>37.423389683572815</v>
      </c>
      <c r="AD199" s="292"/>
      <c r="AE199" s="297">
        <f t="shared" si="87"/>
        <v>0</v>
      </c>
      <c r="AF199" s="294">
        <f t="shared" si="88"/>
        <v>0</v>
      </c>
      <c r="AG199" s="292"/>
      <c r="AH199" s="292">
        <f t="shared" si="89"/>
        <v>0</v>
      </c>
      <c r="AI199" s="295">
        <v>37.423389683572815</v>
      </c>
      <c r="AJ199" s="383" t="s">
        <v>878</v>
      </c>
      <c r="AK199" s="297">
        <f t="shared" si="90"/>
        <v>0</v>
      </c>
      <c r="AL199" s="294">
        <f t="shared" si="91"/>
        <v>0</v>
      </c>
      <c r="AM199" s="292"/>
      <c r="AN199" s="292"/>
      <c r="AO199" s="295">
        <f>'Unit Savings Calculations'!P195</f>
        <v>37.423389683572815</v>
      </c>
      <c r="AP199" s="383" t="s">
        <v>763</v>
      </c>
      <c r="AQ199" s="297">
        <f t="shared" si="92"/>
        <v>0</v>
      </c>
      <c r="AR199" s="294">
        <f t="shared" si="93"/>
        <v>0</v>
      </c>
      <c r="AS199" s="292"/>
      <c r="AT199" s="292"/>
      <c r="AU199" s="295">
        <f>'Unit Savings Calculations'!Q195</f>
        <v>37.423389683572815</v>
      </c>
      <c r="AV199" s="383" t="str">
        <f t="shared" si="94"/>
        <v>n/a</v>
      </c>
      <c r="AW199" s="297">
        <f t="shared" si="95"/>
        <v>0</v>
      </c>
      <c r="AX199" s="294">
        <f t="shared" si="96"/>
        <v>0</v>
      </c>
      <c r="AY199" s="297">
        <f t="shared" si="97"/>
        <v>0</v>
      </c>
      <c r="AZ199" s="297">
        <f t="shared" si="98"/>
        <v>0</v>
      </c>
      <c r="BA199" s="297">
        <f t="shared" si="99"/>
        <v>0</v>
      </c>
      <c r="BB199" s="297">
        <f t="shared" si="100"/>
        <v>0</v>
      </c>
      <c r="BC199" s="298">
        <f t="shared" si="101"/>
        <v>0</v>
      </c>
      <c r="BD199" s="292" t="s">
        <v>763</v>
      </c>
      <c r="BE199" s="299" t="str">
        <f t="shared" si="102"/>
        <v>Exhibit 1.5A_R North Shore EEPS_Adjustable_Savings_Goal_Template.xlsx, Pipe Insulation Detail Tab</v>
      </c>
      <c r="BF199" s="298">
        <f t="shared" si="103"/>
        <v>0</v>
      </c>
      <c r="BG199" s="298">
        <f t="shared" si="103"/>
        <v>0</v>
      </c>
      <c r="BH199" s="298">
        <f t="shared" si="103"/>
        <v>0</v>
      </c>
      <c r="BI199" s="298">
        <f t="shared" si="84"/>
        <v>0</v>
      </c>
      <c r="BJ199" s="298">
        <f t="shared" si="104"/>
        <v>0</v>
      </c>
      <c r="BK199" s="482">
        <v>15</v>
      </c>
      <c r="BL199" s="482">
        <v>15</v>
      </c>
      <c r="BM199" s="482">
        <f>INDEX('Unit Savings Calculations'!$I$4:$I$421,MATCH('Measure-Level Adjustments Tab'!$A199&amp;"_"&amp;'Measure-Level Adjustments Tab'!$B199,'Unit Savings Calculations'!$A$4:$A$421,0))</f>
        <v>15</v>
      </c>
      <c r="BN199" s="482">
        <f t="shared" si="105"/>
        <v>15</v>
      </c>
      <c r="BO199" s="483">
        <f t="shared" si="106"/>
        <v>0</v>
      </c>
      <c r="BP199" s="483">
        <f t="shared" si="106"/>
        <v>0</v>
      </c>
      <c r="BQ199" s="483">
        <f t="shared" si="106"/>
        <v>0</v>
      </c>
      <c r="BR199" s="483">
        <f t="shared" si="85"/>
        <v>0</v>
      </c>
      <c r="BS199" s="483">
        <f t="shared" si="86"/>
        <v>0</v>
      </c>
    </row>
    <row r="200" spans="1:71" ht="15.75" customHeight="1">
      <c r="A200" s="292" t="str">
        <f>'Unit Savings Calculations'!C196</f>
        <v>Bus - SB Rebates</v>
      </c>
      <c r="B200" s="292" t="str">
        <f>'Unit Savings Calculations'!D196</f>
        <v>Pipe Insulation - Steam Large Valve</v>
      </c>
      <c r="C200" s="293">
        <f t="shared" si="107"/>
        <v>1</v>
      </c>
      <c r="D200" s="292" t="str">
        <f>'Unit Savings Calculations'!T196</f>
        <v>4.4.14</v>
      </c>
      <c r="E200" s="438">
        <v>15</v>
      </c>
      <c r="F200" s="438">
        <v>15</v>
      </c>
      <c r="G200" s="292" t="str">
        <f>'Unit Savings Calculations'!E196</f>
        <v>each</v>
      </c>
      <c r="H200" s="294">
        <f>'Unit Savings Calculations'!$F196*'Unit Savings Calculations'!J196</f>
        <v>0</v>
      </c>
      <c r="I200" s="294">
        <f>'Unit Savings Calculations'!$F196*'Unit Savings Calculations'!K196</f>
        <v>0</v>
      </c>
      <c r="J200" s="294">
        <f>'Unit Savings Calculations'!$F196*'Unit Savings Calculations'!L196</f>
        <v>0</v>
      </c>
      <c r="K200" s="294">
        <f>'Unit Savings Calculations'!$F196*'Unit Savings Calculations'!M196</f>
        <v>0</v>
      </c>
      <c r="L200" s="292" t="str">
        <f>'Unit Savings Calculations'!U196</f>
        <v>CI-HVC-PINS-V04-160601</v>
      </c>
      <c r="M200" s="383" t="str">
        <f>'Unit Savings Calculations'!R196</f>
        <v>Exhibit 1.5A_R North Shore EEPS_Adjustable_Savings_Goal_Template.xlsx, Pipe Insulation Detail Tab</v>
      </c>
      <c r="N200" s="295">
        <v>107.52607289087437</v>
      </c>
      <c r="O200" s="295">
        <v>107.52607289087437</v>
      </c>
      <c r="P200" s="295">
        <v>107.52607289087437</v>
      </c>
      <c r="Q200" s="295">
        <v>107.52607289087437</v>
      </c>
      <c r="R200" s="296">
        <f>'Unit Savings Calculations'!$G196</f>
        <v>0.92</v>
      </c>
      <c r="S200" s="296">
        <f>'Unit Savings Calculations'!$G196</f>
        <v>0.92</v>
      </c>
      <c r="T200" s="296">
        <f>'Unit Savings Calculations'!$G196</f>
        <v>0.92</v>
      </c>
      <c r="U200" s="296">
        <f>'Unit Savings Calculations'!$G196</f>
        <v>0.92</v>
      </c>
      <c r="V200" s="297">
        <f t="shared" si="123"/>
        <v>0</v>
      </c>
      <c r="W200" s="297">
        <f t="shared" si="124"/>
        <v>0</v>
      </c>
      <c r="X200" s="297">
        <f t="shared" si="125"/>
        <v>0</v>
      </c>
      <c r="Y200" s="297">
        <f t="shared" si="126"/>
        <v>0</v>
      </c>
      <c r="Z200" s="297">
        <f t="shared" si="127"/>
        <v>0</v>
      </c>
      <c r="AA200" s="292"/>
      <c r="AB200" s="292"/>
      <c r="AC200" s="295">
        <v>107.52607289087437</v>
      </c>
      <c r="AD200" s="292"/>
      <c r="AE200" s="297">
        <f t="shared" si="87"/>
        <v>0</v>
      </c>
      <c r="AF200" s="294">
        <f t="shared" si="88"/>
        <v>0</v>
      </c>
      <c r="AG200" s="292"/>
      <c r="AH200" s="292">
        <f t="shared" si="89"/>
        <v>0</v>
      </c>
      <c r="AI200" s="295">
        <v>107.52607289087437</v>
      </c>
      <c r="AJ200" s="383" t="s">
        <v>878</v>
      </c>
      <c r="AK200" s="297">
        <f t="shared" si="90"/>
        <v>0</v>
      </c>
      <c r="AL200" s="294">
        <f t="shared" si="91"/>
        <v>0</v>
      </c>
      <c r="AM200" s="292"/>
      <c r="AN200" s="292"/>
      <c r="AO200" s="295">
        <f>'Unit Savings Calculations'!P196</f>
        <v>107.52607289087437</v>
      </c>
      <c r="AP200" s="383" t="s">
        <v>763</v>
      </c>
      <c r="AQ200" s="297">
        <f t="shared" si="92"/>
        <v>0</v>
      </c>
      <c r="AR200" s="294">
        <f t="shared" si="93"/>
        <v>0</v>
      </c>
      <c r="AS200" s="292"/>
      <c r="AT200" s="292"/>
      <c r="AU200" s="295">
        <f>'Unit Savings Calculations'!Q196</f>
        <v>107.52607289087437</v>
      </c>
      <c r="AV200" s="383" t="str">
        <f t="shared" si="94"/>
        <v>n/a</v>
      </c>
      <c r="AW200" s="297">
        <f t="shared" si="95"/>
        <v>0</v>
      </c>
      <c r="AX200" s="294">
        <f t="shared" si="96"/>
        <v>0</v>
      </c>
      <c r="AY200" s="297">
        <f t="shared" si="97"/>
        <v>0</v>
      </c>
      <c r="AZ200" s="297">
        <f t="shared" si="98"/>
        <v>0</v>
      </c>
      <c r="BA200" s="297">
        <f t="shared" si="99"/>
        <v>0</v>
      </c>
      <c r="BB200" s="297">
        <f t="shared" si="100"/>
        <v>0</v>
      </c>
      <c r="BC200" s="298">
        <f t="shared" si="101"/>
        <v>0</v>
      </c>
      <c r="BD200" s="292" t="s">
        <v>763</v>
      </c>
      <c r="BE200" s="299" t="str">
        <f t="shared" si="102"/>
        <v>Exhibit 1.5A_R North Shore EEPS_Adjustable_Savings_Goal_Template.xlsx, Pipe Insulation Detail Tab</v>
      </c>
      <c r="BF200" s="298">
        <f t="shared" si="103"/>
        <v>0</v>
      </c>
      <c r="BG200" s="298">
        <f t="shared" si="103"/>
        <v>0</v>
      </c>
      <c r="BH200" s="298">
        <f t="shared" si="103"/>
        <v>0</v>
      </c>
      <c r="BI200" s="298">
        <f t="shared" si="103"/>
        <v>0</v>
      </c>
      <c r="BJ200" s="298">
        <f t="shared" si="104"/>
        <v>0</v>
      </c>
      <c r="BK200" s="482">
        <v>15</v>
      </c>
      <c r="BL200" s="482">
        <v>15</v>
      </c>
      <c r="BM200" s="482">
        <f>INDEX('Unit Savings Calculations'!$I$4:$I$421,MATCH('Measure-Level Adjustments Tab'!$A200&amp;"_"&amp;'Measure-Level Adjustments Tab'!$B200,'Unit Savings Calculations'!$A$4:$A$421,0))</f>
        <v>15</v>
      </c>
      <c r="BN200" s="482">
        <f t="shared" si="105"/>
        <v>15</v>
      </c>
      <c r="BO200" s="483">
        <f t="shared" si="106"/>
        <v>0</v>
      </c>
      <c r="BP200" s="483">
        <f t="shared" si="106"/>
        <v>0</v>
      </c>
      <c r="BQ200" s="483">
        <f t="shared" si="106"/>
        <v>0</v>
      </c>
      <c r="BR200" s="483">
        <f t="shared" si="106"/>
        <v>0</v>
      </c>
      <c r="BS200" s="483">
        <f t="shared" ref="BS200:BS263" si="128">SUM(BO200:BR200)</f>
        <v>0</v>
      </c>
    </row>
    <row r="201" spans="1:71" ht="15.75" customHeight="1">
      <c r="A201" s="292" t="str">
        <f>'Unit Savings Calculations'!C197</f>
        <v>Bus - SB Rebates</v>
      </c>
      <c r="B201" s="292" t="str">
        <f>'Unit Savings Calculations'!D197</f>
        <v>Pipe Insulation - Steam X-Large Valve</v>
      </c>
      <c r="C201" s="293">
        <f t="shared" si="107"/>
        <v>1</v>
      </c>
      <c r="D201" s="292" t="str">
        <f>'Unit Savings Calculations'!T197</f>
        <v>4.4.14</v>
      </c>
      <c r="E201" s="438">
        <v>15</v>
      </c>
      <c r="F201" s="438">
        <v>15</v>
      </c>
      <c r="G201" s="292" t="str">
        <f>'Unit Savings Calculations'!E197</f>
        <v>each</v>
      </c>
      <c r="H201" s="294">
        <f>'Unit Savings Calculations'!$F197*'Unit Savings Calculations'!J197</f>
        <v>0</v>
      </c>
      <c r="I201" s="294">
        <f>'Unit Savings Calculations'!$F197*'Unit Savings Calculations'!K197</f>
        <v>0</v>
      </c>
      <c r="J201" s="294">
        <f>'Unit Savings Calculations'!$F197*'Unit Savings Calculations'!L197</f>
        <v>0</v>
      </c>
      <c r="K201" s="294">
        <f>'Unit Savings Calculations'!$F197*'Unit Savings Calculations'!M197</f>
        <v>0</v>
      </c>
      <c r="L201" s="292" t="str">
        <f>'Unit Savings Calculations'!U197</f>
        <v>CI-HVC-PINS-V04-160601</v>
      </c>
      <c r="M201" s="383" t="str">
        <f>'Unit Savings Calculations'!R197</f>
        <v>Exhibit 1.5A_R North Shore EEPS_Adjustable_Savings_Goal_Template.xlsx, Pipe Insulation Detail Tab</v>
      </c>
      <c r="N201" s="295">
        <v>175.06254164158375</v>
      </c>
      <c r="O201" s="295">
        <v>175.06254164158375</v>
      </c>
      <c r="P201" s="295">
        <v>175.06254164158375</v>
      </c>
      <c r="Q201" s="295">
        <v>175.06254164158375</v>
      </c>
      <c r="R201" s="296">
        <f>'Unit Savings Calculations'!$G197</f>
        <v>0.92</v>
      </c>
      <c r="S201" s="296">
        <f>'Unit Savings Calculations'!$G197</f>
        <v>0.92</v>
      </c>
      <c r="T201" s="296">
        <f>'Unit Savings Calculations'!$G197</f>
        <v>0.92</v>
      </c>
      <c r="U201" s="296">
        <f>'Unit Savings Calculations'!$G197</f>
        <v>0.92</v>
      </c>
      <c r="V201" s="297">
        <f t="shared" si="123"/>
        <v>0</v>
      </c>
      <c r="W201" s="297">
        <f t="shared" si="124"/>
        <v>0</v>
      </c>
      <c r="X201" s="297">
        <f t="shared" si="125"/>
        <v>0</v>
      </c>
      <c r="Y201" s="297">
        <f t="shared" si="126"/>
        <v>0</v>
      </c>
      <c r="Z201" s="297">
        <f t="shared" si="127"/>
        <v>0</v>
      </c>
      <c r="AA201" s="292"/>
      <c r="AB201" s="292"/>
      <c r="AC201" s="295">
        <v>175.06254164158375</v>
      </c>
      <c r="AD201" s="292"/>
      <c r="AE201" s="297">
        <f t="shared" si="87"/>
        <v>0</v>
      </c>
      <c r="AF201" s="294">
        <f t="shared" si="88"/>
        <v>0</v>
      </c>
      <c r="AG201" s="292"/>
      <c r="AH201" s="292">
        <f t="shared" si="89"/>
        <v>0</v>
      </c>
      <c r="AI201" s="295">
        <v>175.06254164158375</v>
      </c>
      <c r="AJ201" s="383" t="s">
        <v>878</v>
      </c>
      <c r="AK201" s="297">
        <f t="shared" si="90"/>
        <v>0</v>
      </c>
      <c r="AL201" s="294">
        <f t="shared" si="91"/>
        <v>0</v>
      </c>
      <c r="AM201" s="292"/>
      <c r="AN201" s="292"/>
      <c r="AO201" s="295">
        <f>'Unit Savings Calculations'!P197</f>
        <v>175.06254164158375</v>
      </c>
      <c r="AP201" s="383" t="s">
        <v>763</v>
      </c>
      <c r="AQ201" s="297">
        <f t="shared" si="92"/>
        <v>0</v>
      </c>
      <c r="AR201" s="294">
        <f t="shared" si="93"/>
        <v>0</v>
      </c>
      <c r="AS201" s="292"/>
      <c r="AT201" s="292"/>
      <c r="AU201" s="295">
        <f>'Unit Savings Calculations'!Q197</f>
        <v>175.06254164158375</v>
      </c>
      <c r="AV201" s="383" t="str">
        <f t="shared" ref="AV201:AV264" si="129">AP201</f>
        <v>n/a</v>
      </c>
      <c r="AW201" s="297">
        <f t="shared" si="95"/>
        <v>0</v>
      </c>
      <c r="AX201" s="294">
        <f t="shared" si="96"/>
        <v>0</v>
      </c>
      <c r="AY201" s="297">
        <f t="shared" ref="AY201:AY264" si="130">IF(C201=1,AE201,V201)</f>
        <v>0</v>
      </c>
      <c r="AZ201" s="297">
        <f t="shared" ref="AZ201:AZ264" si="131">IF(C201=1,AK201,W201)</f>
        <v>0</v>
      </c>
      <c r="BA201" s="297">
        <f t="shared" ref="BA201:BA264" si="132">IF(C201=1,AQ201,X201)</f>
        <v>0</v>
      </c>
      <c r="BB201" s="297">
        <f t="shared" ref="BB201:BB264" si="133">IF(C201=1,AW201,Y201)</f>
        <v>0</v>
      </c>
      <c r="BC201" s="298">
        <f t="shared" ref="BC201:BC264" si="134">AY201+AZ201+BA201+BB201</f>
        <v>0</v>
      </c>
      <c r="BD201" s="292" t="s">
        <v>763</v>
      </c>
      <c r="BE201" s="299" t="str">
        <f t="shared" ref="BE201:BE264" si="135">M201</f>
        <v>Exhibit 1.5A_R North Shore EEPS_Adjustable_Savings_Goal_Template.xlsx, Pipe Insulation Detail Tab</v>
      </c>
      <c r="BF201" s="298">
        <f t="shared" ref="BF201:BI264" si="136">$F201*V201</f>
        <v>0</v>
      </c>
      <c r="BG201" s="298">
        <f t="shared" si="136"/>
        <v>0</v>
      </c>
      <c r="BH201" s="298">
        <f t="shared" si="136"/>
        <v>0</v>
      </c>
      <c r="BI201" s="298">
        <f t="shared" si="136"/>
        <v>0</v>
      </c>
      <c r="BJ201" s="298">
        <f t="shared" ref="BJ201:BJ264" si="137">SUM(BF201:BI201)</f>
        <v>0</v>
      </c>
      <c r="BK201" s="482">
        <v>15</v>
      </c>
      <c r="BL201" s="482">
        <v>15</v>
      </c>
      <c r="BM201" s="482">
        <f>INDEX('Unit Savings Calculations'!$I$4:$I$421,MATCH('Measure-Level Adjustments Tab'!$A201&amp;"_"&amp;'Measure-Level Adjustments Tab'!$B201,'Unit Savings Calculations'!$A$4:$A$421,0))</f>
        <v>15</v>
      </c>
      <c r="BN201" s="482">
        <f t="shared" ref="BN201:BN264" si="138">BM201</f>
        <v>15</v>
      </c>
      <c r="BO201" s="483">
        <f t="shared" ref="BO201:BR264" si="139">AY201*BK201</f>
        <v>0</v>
      </c>
      <c r="BP201" s="483">
        <f t="shared" si="139"/>
        <v>0</v>
      </c>
      <c r="BQ201" s="483">
        <f t="shared" si="139"/>
        <v>0</v>
      </c>
      <c r="BR201" s="483">
        <f t="shared" si="139"/>
        <v>0</v>
      </c>
      <c r="BS201" s="483">
        <f t="shared" si="128"/>
        <v>0</v>
      </c>
    </row>
    <row r="202" spans="1:71" ht="15.75" customHeight="1">
      <c r="A202" s="292" t="str">
        <f>'Unit Savings Calculations'!C198</f>
        <v>Bus - SB Rebates</v>
      </c>
      <c r="B202" s="292" t="str">
        <f>'Unit Savings Calculations'!D198</f>
        <v>Pre Rinse Sprayer</v>
      </c>
      <c r="C202" s="293">
        <f t="shared" si="107"/>
        <v>1</v>
      </c>
      <c r="D202" s="292" t="str">
        <f>'Unit Savings Calculations'!T198</f>
        <v>4.2.11</v>
      </c>
      <c r="E202" s="438">
        <v>5</v>
      </c>
      <c r="F202" s="438">
        <v>5</v>
      </c>
      <c r="G202" s="292" t="str">
        <f>'Unit Savings Calculations'!E198</f>
        <v>each</v>
      </c>
      <c r="H202" s="294">
        <f>'Unit Savings Calculations'!$F198*'Unit Savings Calculations'!J198</f>
        <v>5</v>
      </c>
      <c r="I202" s="294">
        <f>'Unit Savings Calculations'!$F198*'Unit Savings Calculations'!K198</f>
        <v>5</v>
      </c>
      <c r="J202" s="294">
        <f>'Unit Savings Calculations'!$F198*'Unit Savings Calculations'!L198</f>
        <v>5</v>
      </c>
      <c r="K202" s="294">
        <f>'Unit Savings Calculations'!$F198*'Unit Savings Calculations'!M198</f>
        <v>5</v>
      </c>
      <c r="L202" s="292" t="str">
        <f>'Unit Savings Calculations'!U198</f>
        <v>CI-FSE-SPRY-V04-180101</v>
      </c>
      <c r="M202" s="383" t="str">
        <f>'Unit Savings Calculations'!R198</f>
        <v>Exhibit 1.5A_R North Shore EEPS_Adjustable_Savings_Goal_Template.xlsx, Pipe Insulation Detail Tab</v>
      </c>
      <c r="N202" s="295">
        <v>110.52077400000002</v>
      </c>
      <c r="O202" s="295">
        <v>110.52077400000002</v>
      </c>
      <c r="P202" s="295">
        <v>110.52077400000002</v>
      </c>
      <c r="Q202" s="295">
        <v>110.52077400000002</v>
      </c>
      <c r="R202" s="296">
        <f>'Unit Savings Calculations'!$G198</f>
        <v>0.92</v>
      </c>
      <c r="S202" s="296">
        <f>'Unit Savings Calculations'!$G198</f>
        <v>0.92</v>
      </c>
      <c r="T202" s="296">
        <f>'Unit Savings Calculations'!$G198</f>
        <v>0.92</v>
      </c>
      <c r="U202" s="296">
        <f>'Unit Savings Calculations'!$G198</f>
        <v>0.92</v>
      </c>
      <c r="V202" s="297">
        <f t="shared" si="123"/>
        <v>508.39556040000014</v>
      </c>
      <c r="W202" s="297">
        <f t="shared" si="124"/>
        <v>508.39556040000014</v>
      </c>
      <c r="X202" s="297">
        <f t="shared" si="125"/>
        <v>508.39556040000014</v>
      </c>
      <c r="Y202" s="297">
        <f t="shared" si="126"/>
        <v>508.39556040000014</v>
      </c>
      <c r="Z202" s="297">
        <f t="shared" si="127"/>
        <v>2033.5822416000005</v>
      </c>
      <c r="AA202" s="292"/>
      <c r="AB202" s="292"/>
      <c r="AC202" s="295">
        <v>110.52077400000002</v>
      </c>
      <c r="AD202" s="292"/>
      <c r="AE202" s="297">
        <f t="shared" ref="AE202:AE265" si="140">H202*AC202*R202</f>
        <v>508.39556040000014</v>
      </c>
      <c r="AF202" s="294">
        <f t="shared" ref="AF202:AF265" si="141">AE202-V202</f>
        <v>0</v>
      </c>
      <c r="AG202" s="292"/>
      <c r="AH202" s="292">
        <f t="shared" ref="AH202:AH265" si="142">AB202</f>
        <v>0</v>
      </c>
      <c r="AI202" s="295">
        <v>110.52077400000002</v>
      </c>
      <c r="AJ202" s="383" t="s">
        <v>878</v>
      </c>
      <c r="AK202" s="297">
        <f t="shared" ref="AK202:AK265" si="143">I202*AI202*S202</f>
        <v>508.39556040000014</v>
      </c>
      <c r="AL202" s="294">
        <f t="shared" ref="AL202:AL265" si="144">AK202-W202</f>
        <v>0</v>
      </c>
      <c r="AM202" s="292"/>
      <c r="AN202" s="292"/>
      <c r="AO202" s="295">
        <f>'Unit Savings Calculations'!P198</f>
        <v>51.167025000000002</v>
      </c>
      <c r="AP202" s="383" t="s">
        <v>1427</v>
      </c>
      <c r="AQ202" s="297">
        <f t="shared" ref="AQ202:AQ265" si="145">J202*AO202*T202</f>
        <v>235.36831500000002</v>
      </c>
      <c r="AR202" s="294">
        <f t="shared" ref="AR202:AR265" si="146">AQ202-X202</f>
        <v>-273.02724540000008</v>
      </c>
      <c r="AS202" s="292"/>
      <c r="AT202" s="292"/>
      <c r="AU202" s="295">
        <f>'Unit Savings Calculations'!Q198</f>
        <v>51.167025000000002</v>
      </c>
      <c r="AV202" s="383" t="str">
        <f t="shared" si="129"/>
        <v>Updated base and EE flow rates</v>
      </c>
      <c r="AW202" s="297">
        <f t="shared" ref="AW202:AW265" si="147">K202*AU202*U202</f>
        <v>235.36831500000002</v>
      </c>
      <c r="AX202" s="294">
        <f t="shared" ref="AX202:AX265" si="148">AW202-Y202</f>
        <v>-273.02724540000008</v>
      </c>
      <c r="AY202" s="297">
        <f t="shared" si="130"/>
        <v>508.39556040000014</v>
      </c>
      <c r="AZ202" s="297">
        <f t="shared" si="131"/>
        <v>508.39556040000014</v>
      </c>
      <c r="BA202" s="297">
        <f t="shared" si="132"/>
        <v>235.36831500000002</v>
      </c>
      <c r="BB202" s="297">
        <f t="shared" si="133"/>
        <v>235.36831500000002</v>
      </c>
      <c r="BC202" s="298">
        <f t="shared" si="134"/>
        <v>1487.5277508000001</v>
      </c>
      <c r="BD202" s="292" t="s">
        <v>763</v>
      </c>
      <c r="BE202" s="299" t="str">
        <f t="shared" si="135"/>
        <v>Exhibit 1.5A_R North Shore EEPS_Adjustable_Savings_Goal_Template.xlsx, Pipe Insulation Detail Tab</v>
      </c>
      <c r="BF202" s="298">
        <f t="shared" si="136"/>
        <v>2541.9778020000008</v>
      </c>
      <c r="BG202" s="298">
        <f t="shared" si="136"/>
        <v>2541.9778020000008</v>
      </c>
      <c r="BH202" s="298">
        <f t="shared" si="136"/>
        <v>2541.9778020000008</v>
      </c>
      <c r="BI202" s="298">
        <f t="shared" si="136"/>
        <v>2541.9778020000008</v>
      </c>
      <c r="BJ202" s="298">
        <f t="shared" si="137"/>
        <v>10167.911208000003</v>
      </c>
      <c r="BK202" s="482">
        <v>5</v>
      </c>
      <c r="BL202" s="482">
        <v>5</v>
      </c>
      <c r="BM202" s="482">
        <f>INDEX('Unit Savings Calculations'!$I$4:$I$421,MATCH('Measure-Level Adjustments Tab'!$A202&amp;"_"&amp;'Measure-Level Adjustments Tab'!$B202,'Unit Savings Calculations'!$A$4:$A$421,0))</f>
        <v>5</v>
      </c>
      <c r="BN202" s="482">
        <f t="shared" si="138"/>
        <v>5</v>
      </c>
      <c r="BO202" s="483">
        <f t="shared" si="139"/>
        <v>2541.9778020000008</v>
      </c>
      <c r="BP202" s="483">
        <f t="shared" si="139"/>
        <v>2541.9778020000008</v>
      </c>
      <c r="BQ202" s="483">
        <f t="shared" si="139"/>
        <v>1176.8415750000001</v>
      </c>
      <c r="BR202" s="483">
        <f t="shared" si="139"/>
        <v>1176.8415750000001</v>
      </c>
      <c r="BS202" s="483">
        <f t="shared" si="128"/>
        <v>7437.6387540000023</v>
      </c>
    </row>
    <row r="203" spans="1:71" ht="15.75" customHeight="1">
      <c r="A203" s="292" t="str">
        <f>'Unit Savings Calculations'!C199</f>
        <v>Bus - SB Rebates</v>
      </c>
      <c r="B203" s="292" t="str">
        <f>'Unit Savings Calculations'!D199</f>
        <v>Steam Boiler ≥82% AFUE, &gt;300MBh TE</v>
      </c>
      <c r="C203" s="293">
        <f t="shared" si="107"/>
        <v>1</v>
      </c>
      <c r="D203" s="292" t="str">
        <f>'Unit Savings Calculations'!T199</f>
        <v>4.4.10</v>
      </c>
      <c r="E203" s="438">
        <v>20</v>
      </c>
      <c r="F203" s="438">
        <v>20</v>
      </c>
      <c r="G203" s="292" t="str">
        <f>'Unit Savings Calculations'!E199</f>
        <v>MBH</v>
      </c>
      <c r="H203" s="294">
        <f>'Unit Savings Calculations'!$F199*'Unit Savings Calculations'!J199</f>
        <v>0</v>
      </c>
      <c r="I203" s="294">
        <f>'Unit Savings Calculations'!$F199*'Unit Savings Calculations'!K199</f>
        <v>0</v>
      </c>
      <c r="J203" s="294">
        <f>'Unit Savings Calculations'!$F199*'Unit Savings Calculations'!L199</f>
        <v>0</v>
      </c>
      <c r="K203" s="294">
        <f>'Unit Savings Calculations'!$F199*'Unit Savings Calculations'!M199</f>
        <v>0</v>
      </c>
      <c r="L203" s="292" t="str">
        <f>'Unit Savings Calculations'!U199</f>
        <v>CI-HVC-BOIL-V05-150601</v>
      </c>
      <c r="M203" s="383" t="str">
        <f>'Unit Savings Calculations'!R199</f>
        <v>Exhibit 1.5A_R North Shore EEPS_Adjustable_Savings_Goal_Template.xlsx, Unit Savings Calculations Tab</v>
      </c>
      <c r="N203" s="295">
        <v>0.60265822784809941</v>
      </c>
      <c r="O203" s="295">
        <v>0.60265822784809941</v>
      </c>
      <c r="P203" s="295">
        <v>0.60265822784809941</v>
      </c>
      <c r="Q203" s="295">
        <v>0.60265822784809941</v>
      </c>
      <c r="R203" s="296">
        <f>'Unit Savings Calculations'!$G199</f>
        <v>0.92</v>
      </c>
      <c r="S203" s="296">
        <f>'Unit Savings Calculations'!$G199</f>
        <v>0.92</v>
      </c>
      <c r="T203" s="296">
        <f>'Unit Savings Calculations'!$G199</f>
        <v>0.92</v>
      </c>
      <c r="U203" s="296">
        <f>'Unit Savings Calculations'!$G199</f>
        <v>0.92</v>
      </c>
      <c r="V203" s="297">
        <f t="shared" si="123"/>
        <v>0</v>
      </c>
      <c r="W203" s="297">
        <f t="shared" si="124"/>
        <v>0</v>
      </c>
      <c r="X203" s="297">
        <f t="shared" si="125"/>
        <v>0</v>
      </c>
      <c r="Y203" s="297">
        <f t="shared" si="126"/>
        <v>0</v>
      </c>
      <c r="Z203" s="297">
        <f t="shared" si="127"/>
        <v>0</v>
      </c>
      <c r="AA203" s="292"/>
      <c r="AB203" s="292"/>
      <c r="AC203" s="295">
        <v>0.60265822784809941</v>
      </c>
      <c r="AD203" s="292"/>
      <c r="AE203" s="297">
        <f t="shared" si="140"/>
        <v>0</v>
      </c>
      <c r="AF203" s="294">
        <f t="shared" si="141"/>
        <v>0</v>
      </c>
      <c r="AG203" s="292"/>
      <c r="AH203" s="292">
        <f t="shared" si="142"/>
        <v>0</v>
      </c>
      <c r="AI203" s="295">
        <v>0.5840506329113907</v>
      </c>
      <c r="AJ203" s="383" t="s">
        <v>878</v>
      </c>
      <c r="AK203" s="297">
        <f t="shared" si="143"/>
        <v>0</v>
      </c>
      <c r="AL203" s="294">
        <f t="shared" si="144"/>
        <v>0</v>
      </c>
      <c r="AM203" s="292"/>
      <c r="AN203" s="292"/>
      <c r="AO203" s="295">
        <f>'Unit Savings Calculations'!P199</f>
        <v>0.61860759493670714</v>
      </c>
      <c r="AP203" s="383" t="s">
        <v>1441</v>
      </c>
      <c r="AQ203" s="297">
        <f t="shared" si="145"/>
        <v>0</v>
      </c>
      <c r="AR203" s="294">
        <f t="shared" si="146"/>
        <v>0</v>
      </c>
      <c r="AS203" s="292"/>
      <c r="AT203" s="292"/>
      <c r="AU203" s="295">
        <f>'Unit Savings Calculations'!Q199</f>
        <v>0.61860759493670714</v>
      </c>
      <c r="AV203" s="383" t="str">
        <f t="shared" si="129"/>
        <v>Updated heating EFLH</v>
      </c>
      <c r="AW203" s="297">
        <f t="shared" si="147"/>
        <v>0</v>
      </c>
      <c r="AX203" s="294">
        <f t="shared" si="148"/>
        <v>0</v>
      </c>
      <c r="AY203" s="297">
        <f t="shared" si="130"/>
        <v>0</v>
      </c>
      <c r="AZ203" s="297">
        <f t="shared" si="131"/>
        <v>0</v>
      </c>
      <c r="BA203" s="297">
        <f t="shared" si="132"/>
        <v>0</v>
      </c>
      <c r="BB203" s="297">
        <f t="shared" si="133"/>
        <v>0</v>
      </c>
      <c r="BC203" s="298">
        <f t="shared" si="134"/>
        <v>0</v>
      </c>
      <c r="BD203" s="292" t="s">
        <v>763</v>
      </c>
      <c r="BE203" s="299" t="str">
        <f t="shared" si="135"/>
        <v>Exhibit 1.5A_R North Shore EEPS_Adjustable_Savings_Goal_Template.xlsx, Unit Savings Calculations Tab</v>
      </c>
      <c r="BF203" s="298">
        <f t="shared" si="136"/>
        <v>0</v>
      </c>
      <c r="BG203" s="298">
        <f t="shared" si="136"/>
        <v>0</v>
      </c>
      <c r="BH203" s="298">
        <f t="shared" si="136"/>
        <v>0</v>
      </c>
      <c r="BI203" s="298">
        <f t="shared" si="136"/>
        <v>0</v>
      </c>
      <c r="BJ203" s="298">
        <f t="shared" si="137"/>
        <v>0</v>
      </c>
      <c r="BK203" s="482">
        <v>20</v>
      </c>
      <c r="BL203" s="482">
        <v>20</v>
      </c>
      <c r="BM203" s="482">
        <f>INDEX('Unit Savings Calculations'!$I$4:$I$421,MATCH('Measure-Level Adjustments Tab'!$A203&amp;"_"&amp;'Measure-Level Adjustments Tab'!$B203,'Unit Savings Calculations'!$A$4:$A$421,0))</f>
        <v>25</v>
      </c>
      <c r="BN203" s="482">
        <f t="shared" si="138"/>
        <v>25</v>
      </c>
      <c r="BO203" s="483">
        <f t="shared" si="139"/>
        <v>0</v>
      </c>
      <c r="BP203" s="483">
        <f t="shared" si="139"/>
        <v>0</v>
      </c>
      <c r="BQ203" s="483">
        <f t="shared" si="139"/>
        <v>0</v>
      </c>
      <c r="BR203" s="483">
        <f t="shared" si="139"/>
        <v>0</v>
      </c>
      <c r="BS203" s="483">
        <f t="shared" si="128"/>
        <v>0</v>
      </c>
    </row>
    <row r="204" spans="1:71" ht="15.75" customHeight="1">
      <c r="A204" s="292" t="str">
        <f>'Unit Savings Calculations'!C200</f>
        <v>Bus - SB Rebates</v>
      </c>
      <c r="B204" s="292" t="str">
        <f>'Unit Savings Calculations'!D200</f>
        <v>Steam Traps - Dry Cleaner/Industrial</v>
      </c>
      <c r="C204" s="293">
        <f t="shared" si="107"/>
        <v>1</v>
      </c>
      <c r="D204" s="292" t="str">
        <f>'Unit Savings Calculations'!T200</f>
        <v>4.4.16</v>
      </c>
      <c r="E204" s="438">
        <v>6</v>
      </c>
      <c r="F204" s="438">
        <v>6</v>
      </c>
      <c r="G204" s="292" t="str">
        <f>'Unit Savings Calculations'!E200</f>
        <v>each</v>
      </c>
      <c r="H204" s="294">
        <f>'Unit Savings Calculations'!$F200*'Unit Savings Calculations'!J200</f>
        <v>0</v>
      </c>
      <c r="I204" s="294">
        <f>'Unit Savings Calculations'!$F200*'Unit Savings Calculations'!K200</f>
        <v>0</v>
      </c>
      <c r="J204" s="294">
        <f>'Unit Savings Calculations'!$F200*'Unit Savings Calculations'!L200</f>
        <v>0</v>
      </c>
      <c r="K204" s="294">
        <f>'Unit Savings Calculations'!$F200*'Unit Savings Calculations'!M200</f>
        <v>0</v>
      </c>
      <c r="L204" s="292" t="str">
        <f>'Unit Savings Calculations'!U200</f>
        <v>CI-HVC-STRE-V05-180101</v>
      </c>
      <c r="M204" s="383" t="str">
        <f>'Unit Savings Calculations'!R200</f>
        <v>Exhibit 1.5A_R North Shore EEPS_Adjustable_Savings_Goal_Template.xlsx, Unit Savings Calculations Tab</v>
      </c>
      <c r="N204" s="295">
        <v>137.91939591078068</v>
      </c>
      <c r="O204" s="295">
        <v>137.91939591078068</v>
      </c>
      <c r="P204" s="295">
        <v>137.91939591078068</v>
      </c>
      <c r="Q204" s="295">
        <v>137.91939591078068</v>
      </c>
      <c r="R204" s="296">
        <f>'Unit Savings Calculations'!$G200</f>
        <v>0.92</v>
      </c>
      <c r="S204" s="296">
        <f>'Unit Savings Calculations'!$G200</f>
        <v>0.92</v>
      </c>
      <c r="T204" s="296">
        <f>'Unit Savings Calculations'!$G200</f>
        <v>0.92</v>
      </c>
      <c r="U204" s="296">
        <f>'Unit Savings Calculations'!$G200</f>
        <v>0.92</v>
      </c>
      <c r="V204" s="297">
        <f t="shared" si="123"/>
        <v>0</v>
      </c>
      <c r="W204" s="297">
        <f t="shared" si="124"/>
        <v>0</v>
      </c>
      <c r="X204" s="297">
        <f t="shared" si="125"/>
        <v>0</v>
      </c>
      <c r="Y204" s="297">
        <f t="shared" si="126"/>
        <v>0</v>
      </c>
      <c r="Z204" s="297">
        <f t="shared" si="127"/>
        <v>0</v>
      </c>
      <c r="AA204" s="292"/>
      <c r="AB204" s="292"/>
      <c r="AC204" s="295">
        <v>137.91939591078068</v>
      </c>
      <c r="AD204" s="292"/>
      <c r="AE204" s="297">
        <f t="shared" si="140"/>
        <v>0</v>
      </c>
      <c r="AF204" s="294">
        <f t="shared" si="141"/>
        <v>0</v>
      </c>
      <c r="AG204" s="292"/>
      <c r="AH204" s="292">
        <f t="shared" si="142"/>
        <v>0</v>
      </c>
      <c r="AI204" s="295">
        <v>137.91939591078068</v>
      </c>
      <c r="AJ204" s="383" t="s">
        <v>878</v>
      </c>
      <c r="AK204" s="297">
        <f t="shared" si="143"/>
        <v>0</v>
      </c>
      <c r="AL204" s="294">
        <f t="shared" si="144"/>
        <v>0</v>
      </c>
      <c r="AM204" s="292"/>
      <c r="AN204" s="292"/>
      <c r="AO204" s="295">
        <f>'Unit Savings Calculations'!P200</f>
        <v>137.91939591078068</v>
      </c>
      <c r="AP204" s="383" t="s">
        <v>763</v>
      </c>
      <c r="AQ204" s="297">
        <f t="shared" si="145"/>
        <v>0</v>
      </c>
      <c r="AR204" s="294">
        <f t="shared" si="146"/>
        <v>0</v>
      </c>
      <c r="AS204" s="292"/>
      <c r="AT204" s="292"/>
      <c r="AU204" s="295">
        <f>'Unit Savings Calculations'!Q200</f>
        <v>137.91939591078068</v>
      </c>
      <c r="AV204" s="383" t="str">
        <f t="shared" si="129"/>
        <v>n/a</v>
      </c>
      <c r="AW204" s="297">
        <f t="shared" si="147"/>
        <v>0</v>
      </c>
      <c r="AX204" s="294">
        <f t="shared" si="148"/>
        <v>0</v>
      </c>
      <c r="AY204" s="297">
        <f t="shared" si="130"/>
        <v>0</v>
      </c>
      <c r="AZ204" s="297">
        <f t="shared" si="131"/>
        <v>0</v>
      </c>
      <c r="BA204" s="297">
        <f t="shared" si="132"/>
        <v>0</v>
      </c>
      <c r="BB204" s="297">
        <f t="shared" si="133"/>
        <v>0</v>
      </c>
      <c r="BC204" s="298">
        <f t="shared" si="134"/>
        <v>0</v>
      </c>
      <c r="BD204" s="292" t="s">
        <v>763</v>
      </c>
      <c r="BE204" s="299" t="str">
        <f t="shared" si="135"/>
        <v>Exhibit 1.5A_R North Shore EEPS_Adjustable_Savings_Goal_Template.xlsx, Unit Savings Calculations Tab</v>
      </c>
      <c r="BF204" s="298">
        <f t="shared" si="136"/>
        <v>0</v>
      </c>
      <c r="BG204" s="298">
        <f t="shared" si="136"/>
        <v>0</v>
      </c>
      <c r="BH204" s="298">
        <f t="shared" si="136"/>
        <v>0</v>
      </c>
      <c r="BI204" s="298">
        <f t="shared" si="136"/>
        <v>0</v>
      </c>
      <c r="BJ204" s="298">
        <f t="shared" si="137"/>
        <v>0</v>
      </c>
      <c r="BK204" s="482">
        <v>6</v>
      </c>
      <c r="BL204" s="482">
        <v>6</v>
      </c>
      <c r="BM204" s="482">
        <f>INDEX('Unit Savings Calculations'!$I$4:$I$421,MATCH('Measure-Level Adjustments Tab'!$A204&amp;"_"&amp;'Measure-Level Adjustments Tab'!$B204,'Unit Savings Calculations'!$A$4:$A$421,0))</f>
        <v>6</v>
      </c>
      <c r="BN204" s="482">
        <f t="shared" si="138"/>
        <v>6</v>
      </c>
      <c r="BO204" s="483">
        <f t="shared" si="139"/>
        <v>0</v>
      </c>
      <c r="BP204" s="483">
        <f t="shared" si="139"/>
        <v>0</v>
      </c>
      <c r="BQ204" s="483">
        <f t="shared" si="139"/>
        <v>0</v>
      </c>
      <c r="BR204" s="483">
        <f t="shared" si="139"/>
        <v>0</v>
      </c>
      <c r="BS204" s="483">
        <f t="shared" si="128"/>
        <v>0</v>
      </c>
    </row>
    <row r="205" spans="1:71" ht="15.75" customHeight="1">
      <c r="A205" s="292" t="str">
        <f>'Unit Savings Calculations'!C201</f>
        <v>Bus - SB Rebates</v>
      </c>
      <c r="B205" s="292" t="str">
        <f>'Unit Savings Calculations'!D201</f>
        <v>Steam Traps - HVAC Repair/Rep - Audit</v>
      </c>
      <c r="C205" s="293">
        <f t="shared" si="107"/>
        <v>1</v>
      </c>
      <c r="D205" s="292" t="str">
        <f>'Unit Savings Calculations'!T201</f>
        <v>4.4.16</v>
      </c>
      <c r="E205" s="438">
        <v>6</v>
      </c>
      <c r="F205" s="438">
        <v>6</v>
      </c>
      <c r="G205" s="292" t="str">
        <f>'Unit Savings Calculations'!E201</f>
        <v>each</v>
      </c>
      <c r="H205" s="294">
        <f>'Unit Savings Calculations'!$F201*'Unit Savings Calculations'!J201</f>
        <v>7</v>
      </c>
      <c r="I205" s="294">
        <f>'Unit Savings Calculations'!$F201*'Unit Savings Calculations'!K201</f>
        <v>7</v>
      </c>
      <c r="J205" s="294">
        <f>'Unit Savings Calculations'!$F201*'Unit Savings Calculations'!L201</f>
        <v>7</v>
      </c>
      <c r="K205" s="294">
        <f>'Unit Savings Calculations'!$F201*'Unit Savings Calculations'!M201</f>
        <v>7</v>
      </c>
      <c r="L205" s="292" t="str">
        <f>'Unit Savings Calculations'!U201</f>
        <v>CI-HVC-STRE-V05-180101</v>
      </c>
      <c r="M205" s="383" t="str">
        <f>'Unit Savings Calculations'!R201</f>
        <v>Exhibit 1.5A_R North Shore EEPS_Adjustable_Savings_Goal_Template.xlsx, Unit Savings Calculations Tab</v>
      </c>
      <c r="N205" s="295">
        <v>88.453924126394057</v>
      </c>
      <c r="O205" s="295">
        <v>88.453924126394057</v>
      </c>
      <c r="P205" s="295">
        <v>88.453924126394057</v>
      </c>
      <c r="Q205" s="295">
        <v>88.453924126394057</v>
      </c>
      <c r="R205" s="296">
        <f>'Unit Savings Calculations'!$G201</f>
        <v>0.92</v>
      </c>
      <c r="S205" s="296">
        <f>'Unit Savings Calculations'!$G201</f>
        <v>0.92</v>
      </c>
      <c r="T205" s="296">
        <f>'Unit Savings Calculations'!$G201</f>
        <v>0.92</v>
      </c>
      <c r="U205" s="296">
        <f>'Unit Savings Calculations'!$G201</f>
        <v>0.92</v>
      </c>
      <c r="V205" s="297">
        <f t="shared" si="123"/>
        <v>569.64327137397765</v>
      </c>
      <c r="W205" s="297">
        <f t="shared" si="124"/>
        <v>569.64327137397765</v>
      </c>
      <c r="X205" s="297">
        <f t="shared" si="125"/>
        <v>569.64327137397765</v>
      </c>
      <c r="Y205" s="297">
        <f t="shared" si="126"/>
        <v>569.64327137397765</v>
      </c>
      <c r="Z205" s="297">
        <f t="shared" si="127"/>
        <v>2278.5730854959106</v>
      </c>
      <c r="AA205" s="292"/>
      <c r="AB205" s="292"/>
      <c r="AC205" s="295">
        <v>88.453924126394057</v>
      </c>
      <c r="AD205" s="292"/>
      <c r="AE205" s="297">
        <f t="shared" si="140"/>
        <v>569.64327137397765</v>
      </c>
      <c r="AF205" s="294">
        <f t="shared" si="141"/>
        <v>0</v>
      </c>
      <c r="AG205" s="292"/>
      <c r="AH205" s="292">
        <f t="shared" si="142"/>
        <v>0</v>
      </c>
      <c r="AI205" s="295">
        <v>88.453924126394057</v>
      </c>
      <c r="AJ205" s="383" t="s">
        <v>878</v>
      </c>
      <c r="AK205" s="297">
        <f t="shared" si="143"/>
        <v>569.64327137397765</v>
      </c>
      <c r="AL205" s="294">
        <f t="shared" si="144"/>
        <v>0</v>
      </c>
      <c r="AM205" s="292"/>
      <c r="AN205" s="292"/>
      <c r="AO205" s="295">
        <f>'Unit Savings Calculations'!P201</f>
        <v>88.453924126394057</v>
      </c>
      <c r="AP205" s="383" t="s">
        <v>763</v>
      </c>
      <c r="AQ205" s="297">
        <f t="shared" si="145"/>
        <v>569.64327137397765</v>
      </c>
      <c r="AR205" s="294">
        <f t="shared" si="146"/>
        <v>0</v>
      </c>
      <c r="AS205" s="292"/>
      <c r="AT205" s="292"/>
      <c r="AU205" s="295">
        <f>'Unit Savings Calculations'!Q201</f>
        <v>88.453924126394057</v>
      </c>
      <c r="AV205" s="383" t="str">
        <f t="shared" si="129"/>
        <v>n/a</v>
      </c>
      <c r="AW205" s="297">
        <f t="shared" si="147"/>
        <v>569.64327137397765</v>
      </c>
      <c r="AX205" s="294">
        <f t="shared" si="148"/>
        <v>0</v>
      </c>
      <c r="AY205" s="297">
        <f t="shared" si="130"/>
        <v>569.64327137397765</v>
      </c>
      <c r="AZ205" s="297">
        <f t="shared" si="131"/>
        <v>569.64327137397765</v>
      </c>
      <c r="BA205" s="297">
        <f t="shared" si="132"/>
        <v>569.64327137397765</v>
      </c>
      <c r="BB205" s="297">
        <f t="shared" si="133"/>
        <v>569.64327137397765</v>
      </c>
      <c r="BC205" s="298">
        <f t="shared" si="134"/>
        <v>2278.5730854959106</v>
      </c>
      <c r="BD205" s="292" t="s">
        <v>763</v>
      </c>
      <c r="BE205" s="299" t="str">
        <f t="shared" si="135"/>
        <v>Exhibit 1.5A_R North Shore EEPS_Adjustable_Savings_Goal_Template.xlsx, Unit Savings Calculations Tab</v>
      </c>
      <c r="BF205" s="298">
        <f t="shared" si="136"/>
        <v>3417.8596282438657</v>
      </c>
      <c r="BG205" s="298">
        <f t="shared" si="136"/>
        <v>3417.8596282438657</v>
      </c>
      <c r="BH205" s="298">
        <f t="shared" si="136"/>
        <v>3417.8596282438657</v>
      </c>
      <c r="BI205" s="298">
        <f t="shared" si="136"/>
        <v>3417.8596282438657</v>
      </c>
      <c r="BJ205" s="298">
        <f t="shared" si="137"/>
        <v>13671.438512975463</v>
      </c>
      <c r="BK205" s="482">
        <v>6</v>
      </c>
      <c r="BL205" s="482">
        <v>6</v>
      </c>
      <c r="BM205" s="482">
        <f>INDEX('Unit Savings Calculations'!$I$4:$I$421,MATCH('Measure-Level Adjustments Tab'!$A205&amp;"_"&amp;'Measure-Level Adjustments Tab'!$B205,'Unit Savings Calculations'!$A$4:$A$421,0))</f>
        <v>6</v>
      </c>
      <c r="BN205" s="482">
        <f t="shared" si="138"/>
        <v>6</v>
      </c>
      <c r="BO205" s="483">
        <f t="shared" si="139"/>
        <v>3417.8596282438657</v>
      </c>
      <c r="BP205" s="483">
        <f t="shared" si="139"/>
        <v>3417.8596282438657</v>
      </c>
      <c r="BQ205" s="483">
        <f t="shared" si="139"/>
        <v>3417.8596282438657</v>
      </c>
      <c r="BR205" s="483">
        <f t="shared" si="139"/>
        <v>3417.8596282438657</v>
      </c>
      <c r="BS205" s="483">
        <f t="shared" si="128"/>
        <v>13671.438512975463</v>
      </c>
    </row>
    <row r="206" spans="1:71" ht="15.75" customHeight="1">
      <c r="A206" s="292" t="str">
        <f>'Unit Savings Calculations'!C202</f>
        <v>Bus - SB Rebates</v>
      </c>
      <c r="B206" s="292" t="str">
        <f>'Unit Savings Calculations'!D202</f>
        <v>Steam Traps - HVAC Repair/Rep - No Audit</v>
      </c>
      <c r="C206" s="293">
        <f t="shared" si="107"/>
        <v>1</v>
      </c>
      <c r="D206" s="292" t="str">
        <f>'Unit Savings Calculations'!T202</f>
        <v>4.4.16</v>
      </c>
      <c r="E206" s="438">
        <v>6</v>
      </c>
      <c r="F206" s="438">
        <v>6</v>
      </c>
      <c r="G206" s="292" t="str">
        <f>'Unit Savings Calculations'!E202</f>
        <v>each</v>
      </c>
      <c r="H206" s="294">
        <f>'Unit Savings Calculations'!$F202*'Unit Savings Calculations'!J202</f>
        <v>2</v>
      </c>
      <c r="I206" s="294">
        <f>'Unit Savings Calculations'!$F202*'Unit Savings Calculations'!K202</f>
        <v>2</v>
      </c>
      <c r="J206" s="294">
        <f>'Unit Savings Calculations'!$F202*'Unit Savings Calculations'!L202</f>
        <v>2</v>
      </c>
      <c r="K206" s="294">
        <f>'Unit Savings Calculations'!$F202*'Unit Savings Calculations'!M202</f>
        <v>2</v>
      </c>
      <c r="L206" s="292" t="str">
        <f>'Unit Savings Calculations'!U202</f>
        <v>CI-HVC-STRE-V05-180101</v>
      </c>
      <c r="M206" s="383" t="str">
        <f>'Unit Savings Calculations'!R202</f>
        <v>Exhibit 1.5A_R North Shore EEPS_Adjustable_Savings_Goal_Template.xlsx, Unit Savings Calculations Tab</v>
      </c>
      <c r="N206" s="295">
        <v>88.453924126394057</v>
      </c>
      <c r="O206" s="295">
        <v>88.453924126394057</v>
      </c>
      <c r="P206" s="295">
        <v>88.453924126394057</v>
      </c>
      <c r="Q206" s="295">
        <v>88.453924126394057</v>
      </c>
      <c r="R206" s="296">
        <f>'Unit Savings Calculations'!$G202</f>
        <v>0.92</v>
      </c>
      <c r="S206" s="296">
        <f>'Unit Savings Calculations'!$G202</f>
        <v>0.92</v>
      </c>
      <c r="T206" s="296">
        <f>'Unit Savings Calculations'!$G202</f>
        <v>0.92</v>
      </c>
      <c r="U206" s="296">
        <f>'Unit Savings Calculations'!$G202</f>
        <v>0.92</v>
      </c>
      <c r="V206" s="297">
        <f t="shared" si="123"/>
        <v>162.75522039256506</v>
      </c>
      <c r="W206" s="297">
        <f t="shared" si="124"/>
        <v>162.75522039256506</v>
      </c>
      <c r="X206" s="297">
        <f t="shared" si="125"/>
        <v>162.75522039256506</v>
      </c>
      <c r="Y206" s="297">
        <f t="shared" si="126"/>
        <v>162.75522039256506</v>
      </c>
      <c r="Z206" s="297">
        <f t="shared" si="127"/>
        <v>651.02088157026026</v>
      </c>
      <c r="AA206" s="292"/>
      <c r="AB206" s="292"/>
      <c r="AC206" s="295">
        <v>88.453924126394057</v>
      </c>
      <c r="AD206" s="292"/>
      <c r="AE206" s="297">
        <f t="shared" si="140"/>
        <v>162.75522039256506</v>
      </c>
      <c r="AF206" s="294">
        <f t="shared" si="141"/>
        <v>0</v>
      </c>
      <c r="AG206" s="292"/>
      <c r="AH206" s="292">
        <f t="shared" si="142"/>
        <v>0</v>
      </c>
      <c r="AI206" s="295">
        <v>88.453924126394057</v>
      </c>
      <c r="AJ206" s="383" t="s">
        <v>878</v>
      </c>
      <c r="AK206" s="297">
        <f t="shared" si="143"/>
        <v>162.75522039256506</v>
      </c>
      <c r="AL206" s="294">
        <f t="shared" si="144"/>
        <v>0</v>
      </c>
      <c r="AM206" s="292"/>
      <c r="AN206" s="292"/>
      <c r="AO206" s="295">
        <f>'Unit Savings Calculations'!P202</f>
        <v>88.453924126394057</v>
      </c>
      <c r="AP206" s="383" t="s">
        <v>763</v>
      </c>
      <c r="AQ206" s="297">
        <f t="shared" si="145"/>
        <v>162.75522039256506</v>
      </c>
      <c r="AR206" s="294">
        <f t="shared" si="146"/>
        <v>0</v>
      </c>
      <c r="AS206" s="292"/>
      <c r="AT206" s="292"/>
      <c r="AU206" s="295">
        <f>'Unit Savings Calculations'!Q202</f>
        <v>88.453924126394057</v>
      </c>
      <c r="AV206" s="383" t="str">
        <f t="shared" si="129"/>
        <v>n/a</v>
      </c>
      <c r="AW206" s="297">
        <f t="shared" si="147"/>
        <v>162.75522039256506</v>
      </c>
      <c r="AX206" s="294">
        <f t="shared" si="148"/>
        <v>0</v>
      </c>
      <c r="AY206" s="297">
        <f t="shared" si="130"/>
        <v>162.75522039256506</v>
      </c>
      <c r="AZ206" s="297">
        <f t="shared" si="131"/>
        <v>162.75522039256506</v>
      </c>
      <c r="BA206" s="297">
        <f t="shared" si="132"/>
        <v>162.75522039256506</v>
      </c>
      <c r="BB206" s="297">
        <f t="shared" si="133"/>
        <v>162.75522039256506</v>
      </c>
      <c r="BC206" s="298">
        <f t="shared" si="134"/>
        <v>651.02088157026026</v>
      </c>
      <c r="BD206" s="292" t="s">
        <v>763</v>
      </c>
      <c r="BE206" s="299" t="str">
        <f t="shared" si="135"/>
        <v>Exhibit 1.5A_R North Shore EEPS_Adjustable_Savings_Goal_Template.xlsx, Unit Savings Calculations Tab</v>
      </c>
      <c r="BF206" s="298">
        <f t="shared" si="136"/>
        <v>976.53132235539033</v>
      </c>
      <c r="BG206" s="298">
        <f t="shared" si="136"/>
        <v>976.53132235539033</v>
      </c>
      <c r="BH206" s="298">
        <f t="shared" si="136"/>
        <v>976.53132235539033</v>
      </c>
      <c r="BI206" s="298">
        <f t="shared" si="136"/>
        <v>976.53132235539033</v>
      </c>
      <c r="BJ206" s="298">
        <f t="shared" si="137"/>
        <v>3906.1252894215613</v>
      </c>
      <c r="BK206" s="482">
        <v>6</v>
      </c>
      <c r="BL206" s="482">
        <v>6</v>
      </c>
      <c r="BM206" s="482">
        <f>INDEX('Unit Savings Calculations'!$I$4:$I$421,MATCH('Measure-Level Adjustments Tab'!$A206&amp;"_"&amp;'Measure-Level Adjustments Tab'!$B206,'Unit Savings Calculations'!$A$4:$A$421,0))</f>
        <v>6</v>
      </c>
      <c r="BN206" s="482">
        <f t="shared" si="138"/>
        <v>6</v>
      </c>
      <c r="BO206" s="483">
        <f t="shared" si="139"/>
        <v>976.53132235539033</v>
      </c>
      <c r="BP206" s="483">
        <f t="shared" si="139"/>
        <v>976.53132235539033</v>
      </c>
      <c r="BQ206" s="483">
        <f t="shared" si="139"/>
        <v>976.53132235539033</v>
      </c>
      <c r="BR206" s="483">
        <f t="shared" si="139"/>
        <v>976.53132235539033</v>
      </c>
      <c r="BS206" s="483">
        <f t="shared" si="128"/>
        <v>3906.1252894215613</v>
      </c>
    </row>
    <row r="207" spans="1:71" ht="15.75" customHeight="1">
      <c r="A207" s="292" t="str">
        <f>'Unit Savings Calculations'!C203</f>
        <v>Bus - SB Rebates</v>
      </c>
      <c r="B207" s="292" t="str">
        <f>'Unit Savings Calculations'!D203</f>
        <v>Steam Traps - Test</v>
      </c>
      <c r="C207" s="293">
        <f t="shared" si="107"/>
        <v>0</v>
      </c>
      <c r="D207" s="292" t="str">
        <f>'Unit Savings Calculations'!T203</f>
        <v>Custom</v>
      </c>
      <c r="E207" s="438">
        <v>3</v>
      </c>
      <c r="F207" s="438">
        <v>3</v>
      </c>
      <c r="G207" s="292" t="str">
        <f>'Unit Savings Calculations'!E203</f>
        <v>each</v>
      </c>
      <c r="H207" s="294">
        <f>'Unit Savings Calculations'!$F203*'Unit Savings Calculations'!J203</f>
        <v>3</v>
      </c>
      <c r="I207" s="294">
        <f>'Unit Savings Calculations'!$F203*'Unit Savings Calculations'!K203</f>
        <v>3</v>
      </c>
      <c r="J207" s="294">
        <f>'Unit Savings Calculations'!$F203*'Unit Savings Calculations'!L203</f>
        <v>3</v>
      </c>
      <c r="K207" s="294">
        <f>'Unit Savings Calculations'!$F203*'Unit Savings Calculations'!M203</f>
        <v>3</v>
      </c>
      <c r="L207" s="292" t="str">
        <f>'Unit Savings Calculations'!U203</f>
        <v>Custom</v>
      </c>
      <c r="M207" s="383" t="str">
        <f>'Unit Savings Calculations'!R203</f>
        <v>Custom</v>
      </c>
      <c r="N207" s="295">
        <v>0</v>
      </c>
      <c r="O207" s="295">
        <v>0</v>
      </c>
      <c r="P207" s="295">
        <v>0</v>
      </c>
      <c r="Q207" s="295">
        <v>0</v>
      </c>
      <c r="R207" s="296">
        <f>'Unit Savings Calculations'!$G203</f>
        <v>0.92</v>
      </c>
      <c r="S207" s="296">
        <f>'Unit Savings Calculations'!$G203</f>
        <v>0.92</v>
      </c>
      <c r="T207" s="296">
        <f>'Unit Savings Calculations'!$G203</f>
        <v>0.92</v>
      </c>
      <c r="U207" s="296">
        <f>'Unit Savings Calculations'!$G203</f>
        <v>0.92</v>
      </c>
      <c r="V207" s="297">
        <f t="shared" si="123"/>
        <v>0</v>
      </c>
      <c r="W207" s="297">
        <f t="shared" si="124"/>
        <v>0</v>
      </c>
      <c r="X207" s="297">
        <f t="shared" si="125"/>
        <v>0</v>
      </c>
      <c r="Y207" s="297">
        <f t="shared" si="126"/>
        <v>0</v>
      </c>
      <c r="Z207" s="297">
        <f t="shared" si="127"/>
        <v>0</v>
      </c>
      <c r="AA207" s="384"/>
      <c r="AB207" s="384"/>
      <c r="AC207" s="387">
        <v>0</v>
      </c>
      <c r="AD207" s="384"/>
      <c r="AE207" s="385">
        <f t="shared" si="140"/>
        <v>0</v>
      </c>
      <c r="AF207" s="386">
        <f t="shared" si="141"/>
        <v>0</v>
      </c>
      <c r="AG207" s="384"/>
      <c r="AH207" s="384">
        <f t="shared" si="142"/>
        <v>0</v>
      </c>
      <c r="AI207" s="387">
        <v>0</v>
      </c>
      <c r="AJ207" s="435" t="s">
        <v>878</v>
      </c>
      <c r="AK207" s="385">
        <f t="shared" si="143"/>
        <v>0</v>
      </c>
      <c r="AL207" s="386">
        <f t="shared" si="144"/>
        <v>0</v>
      </c>
      <c r="AM207" s="384"/>
      <c r="AN207" s="384"/>
      <c r="AO207" s="387">
        <f>'Unit Savings Calculations'!P203</f>
        <v>0</v>
      </c>
      <c r="AP207" s="435" t="s">
        <v>763</v>
      </c>
      <c r="AQ207" s="385">
        <f t="shared" si="145"/>
        <v>0</v>
      </c>
      <c r="AR207" s="386">
        <f t="shared" si="146"/>
        <v>0</v>
      </c>
      <c r="AS207" s="384"/>
      <c r="AT207" s="384"/>
      <c r="AU207" s="387">
        <f>'Unit Savings Calculations'!Q203</f>
        <v>0</v>
      </c>
      <c r="AV207" s="435" t="str">
        <f t="shared" si="129"/>
        <v>n/a</v>
      </c>
      <c r="AW207" s="385">
        <f t="shared" si="147"/>
        <v>0</v>
      </c>
      <c r="AX207" s="386">
        <f t="shared" si="148"/>
        <v>0</v>
      </c>
      <c r="AY207" s="297">
        <f t="shared" si="130"/>
        <v>0</v>
      </c>
      <c r="AZ207" s="297">
        <f t="shared" si="131"/>
        <v>0</v>
      </c>
      <c r="BA207" s="297">
        <f t="shared" si="132"/>
        <v>0</v>
      </c>
      <c r="BB207" s="297">
        <f t="shared" si="133"/>
        <v>0</v>
      </c>
      <c r="BC207" s="298">
        <f t="shared" si="134"/>
        <v>0</v>
      </c>
      <c r="BD207" s="292" t="s">
        <v>763</v>
      </c>
      <c r="BE207" s="299" t="str">
        <f t="shared" si="135"/>
        <v>Custom</v>
      </c>
      <c r="BF207" s="298">
        <f t="shared" si="136"/>
        <v>0</v>
      </c>
      <c r="BG207" s="298">
        <f t="shared" si="136"/>
        <v>0</v>
      </c>
      <c r="BH207" s="298">
        <f t="shared" si="136"/>
        <v>0</v>
      </c>
      <c r="BI207" s="298">
        <f t="shared" si="136"/>
        <v>0</v>
      </c>
      <c r="BJ207" s="298">
        <f t="shared" si="137"/>
        <v>0</v>
      </c>
      <c r="BK207" s="482">
        <v>3</v>
      </c>
      <c r="BL207" s="482">
        <v>3</v>
      </c>
      <c r="BM207" s="482">
        <f>INDEX('Unit Savings Calculations'!$I$4:$I$421,MATCH('Measure-Level Adjustments Tab'!$A207&amp;"_"&amp;'Measure-Level Adjustments Tab'!$B207,'Unit Savings Calculations'!$A$4:$A$421,0))</f>
        <v>3</v>
      </c>
      <c r="BN207" s="482">
        <f t="shared" si="138"/>
        <v>3</v>
      </c>
      <c r="BO207" s="483">
        <f t="shared" si="139"/>
        <v>0</v>
      </c>
      <c r="BP207" s="483">
        <f t="shared" si="139"/>
        <v>0</v>
      </c>
      <c r="BQ207" s="483">
        <f t="shared" si="139"/>
        <v>0</v>
      </c>
      <c r="BR207" s="483">
        <f t="shared" si="139"/>
        <v>0</v>
      </c>
      <c r="BS207" s="483">
        <f t="shared" si="128"/>
        <v>0</v>
      </c>
    </row>
    <row r="208" spans="1:71" ht="15.75" customHeight="1">
      <c r="A208" s="292" t="str">
        <f>'Unit Savings Calculations'!C204</f>
        <v>Bus - SB Rebates</v>
      </c>
      <c r="B208" s="292" t="str">
        <f>'Unit Savings Calculations'!D204</f>
        <v>Thermostat - Programmable</v>
      </c>
      <c r="C208" s="293">
        <f t="shared" si="107"/>
        <v>1</v>
      </c>
      <c r="D208" s="292" t="str">
        <f>'Unit Savings Calculations'!T204</f>
        <v>4.4.18</v>
      </c>
      <c r="E208" s="438">
        <v>4</v>
      </c>
      <c r="F208" s="438">
        <v>4</v>
      </c>
      <c r="G208" s="292" t="str">
        <f>'Unit Savings Calculations'!E204</f>
        <v>each</v>
      </c>
      <c r="H208" s="294">
        <f>'Unit Savings Calculations'!$F204*'Unit Savings Calculations'!J204</f>
        <v>5</v>
      </c>
      <c r="I208" s="294">
        <f>'Unit Savings Calculations'!$F204*'Unit Savings Calculations'!K204</f>
        <v>5</v>
      </c>
      <c r="J208" s="294">
        <f>'Unit Savings Calculations'!$F204*'Unit Savings Calculations'!L204</f>
        <v>5</v>
      </c>
      <c r="K208" s="294">
        <f>'Unit Savings Calculations'!$F204*'Unit Savings Calculations'!M204</f>
        <v>5</v>
      </c>
      <c r="L208" s="292" t="str">
        <f>'Unit Savings Calculations'!U204</f>
        <v>CI-HVC-PROG-V02-150601</v>
      </c>
      <c r="M208" s="383" t="str">
        <f>'Unit Savings Calculations'!R204</f>
        <v>Exhibit 1.5A_R North Shore EEPS_Adjustable_Savings_Goal_Template.xlsx, Thermostat Detail Tab</v>
      </c>
      <c r="N208" s="295">
        <v>124.68584320000001</v>
      </c>
      <c r="O208" s="295">
        <v>124.68584320000001</v>
      </c>
      <c r="P208" s="295">
        <v>124.68584320000001</v>
      </c>
      <c r="Q208" s="295">
        <v>124.68584320000001</v>
      </c>
      <c r="R208" s="296">
        <f>'Unit Savings Calculations'!$G204</f>
        <v>0.92</v>
      </c>
      <c r="S208" s="296">
        <f>'Unit Savings Calculations'!$G204</f>
        <v>0.92</v>
      </c>
      <c r="T208" s="296">
        <f>'Unit Savings Calculations'!$G204</f>
        <v>0.92</v>
      </c>
      <c r="U208" s="296">
        <f>'Unit Savings Calculations'!$G204</f>
        <v>0.92</v>
      </c>
      <c r="V208" s="297">
        <f t="shared" si="123"/>
        <v>573.55487872000003</v>
      </c>
      <c r="W208" s="297">
        <f t="shared" si="124"/>
        <v>573.55487872000003</v>
      </c>
      <c r="X208" s="297">
        <f t="shared" si="125"/>
        <v>573.55487872000003</v>
      </c>
      <c r="Y208" s="297">
        <f t="shared" si="126"/>
        <v>573.55487872000003</v>
      </c>
      <c r="Z208" s="297">
        <f t="shared" si="127"/>
        <v>2294.2195148800001</v>
      </c>
      <c r="AA208" s="292"/>
      <c r="AB208" s="292"/>
      <c r="AC208" s="295">
        <v>124.68584320000001</v>
      </c>
      <c r="AD208" s="292"/>
      <c r="AE208" s="297">
        <f t="shared" si="140"/>
        <v>573.55487872000003</v>
      </c>
      <c r="AF208" s="294">
        <f t="shared" si="141"/>
        <v>0</v>
      </c>
      <c r="AG208" s="292"/>
      <c r="AH208" s="292">
        <f t="shared" si="142"/>
        <v>0</v>
      </c>
      <c r="AI208" s="295">
        <v>124.68584320000001</v>
      </c>
      <c r="AJ208" s="383" t="s">
        <v>878</v>
      </c>
      <c r="AK208" s="297">
        <f t="shared" si="143"/>
        <v>573.55487872000003</v>
      </c>
      <c r="AL208" s="294">
        <f t="shared" si="144"/>
        <v>0</v>
      </c>
      <c r="AM208" s="292"/>
      <c r="AN208" s="292"/>
      <c r="AO208" s="295">
        <f>'Unit Savings Calculations'!P204</f>
        <v>124.68584320000001</v>
      </c>
      <c r="AP208" s="383" t="s">
        <v>763</v>
      </c>
      <c r="AQ208" s="297">
        <f t="shared" si="145"/>
        <v>573.55487872000003</v>
      </c>
      <c r="AR208" s="294">
        <f t="shared" si="146"/>
        <v>0</v>
      </c>
      <c r="AS208" s="292"/>
      <c r="AT208" s="292"/>
      <c r="AU208" s="295">
        <f>'Unit Savings Calculations'!Q204</f>
        <v>124.68584320000001</v>
      </c>
      <c r="AV208" s="383" t="str">
        <f t="shared" si="129"/>
        <v>n/a</v>
      </c>
      <c r="AW208" s="297">
        <f t="shared" si="147"/>
        <v>573.55487872000003</v>
      </c>
      <c r="AX208" s="294">
        <f t="shared" si="148"/>
        <v>0</v>
      </c>
      <c r="AY208" s="297">
        <f t="shared" si="130"/>
        <v>573.55487872000003</v>
      </c>
      <c r="AZ208" s="297">
        <f t="shared" si="131"/>
        <v>573.55487872000003</v>
      </c>
      <c r="BA208" s="297">
        <f t="shared" si="132"/>
        <v>573.55487872000003</v>
      </c>
      <c r="BB208" s="297">
        <f t="shared" si="133"/>
        <v>573.55487872000003</v>
      </c>
      <c r="BC208" s="298">
        <f t="shared" si="134"/>
        <v>2294.2195148800001</v>
      </c>
      <c r="BD208" s="292" t="s">
        <v>763</v>
      </c>
      <c r="BE208" s="299" t="str">
        <f t="shared" si="135"/>
        <v>Exhibit 1.5A_R North Shore EEPS_Adjustable_Savings_Goal_Template.xlsx, Thermostat Detail Tab</v>
      </c>
      <c r="BF208" s="298">
        <f t="shared" si="136"/>
        <v>2294.2195148800001</v>
      </c>
      <c r="BG208" s="298">
        <f t="shared" si="136"/>
        <v>2294.2195148800001</v>
      </c>
      <c r="BH208" s="298">
        <f t="shared" si="136"/>
        <v>2294.2195148800001</v>
      </c>
      <c r="BI208" s="298">
        <f t="shared" si="136"/>
        <v>2294.2195148800001</v>
      </c>
      <c r="BJ208" s="298">
        <f t="shared" si="137"/>
        <v>9176.8780595200005</v>
      </c>
      <c r="BK208" s="482">
        <v>4</v>
      </c>
      <c r="BL208" s="482">
        <v>4</v>
      </c>
      <c r="BM208" s="482">
        <f>INDEX('Unit Savings Calculations'!$I$4:$I$421,MATCH('Measure-Level Adjustments Tab'!$A208&amp;"_"&amp;'Measure-Level Adjustments Tab'!$B208,'Unit Savings Calculations'!$A$4:$A$421,0))</f>
        <v>4</v>
      </c>
      <c r="BN208" s="482">
        <f t="shared" si="138"/>
        <v>4</v>
      </c>
      <c r="BO208" s="483">
        <f t="shared" si="139"/>
        <v>2294.2195148800001</v>
      </c>
      <c r="BP208" s="483">
        <f t="shared" si="139"/>
        <v>2294.2195148800001</v>
      </c>
      <c r="BQ208" s="483">
        <f t="shared" si="139"/>
        <v>2294.2195148800001</v>
      </c>
      <c r="BR208" s="483">
        <f t="shared" si="139"/>
        <v>2294.2195148800001</v>
      </c>
      <c r="BS208" s="483">
        <f t="shared" si="128"/>
        <v>9176.8780595200005</v>
      </c>
    </row>
    <row r="209" spans="1:71" ht="15.75" customHeight="1">
      <c r="A209" s="292" t="str">
        <f>'Unit Savings Calculations'!C205</f>
        <v>Bus - SB Rebates</v>
      </c>
      <c r="B209" s="292" t="str">
        <f>'Unit Savings Calculations'!D205</f>
        <v>Water Heater - Storage 88% TE ≥75MBh</v>
      </c>
      <c r="C209" s="293">
        <f t="shared" si="107"/>
        <v>1</v>
      </c>
      <c r="D209" s="292" t="str">
        <f>'Unit Savings Calculations'!T205</f>
        <v>4.3.1</v>
      </c>
      <c r="E209" s="438">
        <v>15</v>
      </c>
      <c r="F209" s="438">
        <v>15</v>
      </c>
      <c r="G209" s="292" t="str">
        <f>'Unit Savings Calculations'!E205</f>
        <v>each</v>
      </c>
      <c r="H209" s="294">
        <f>'Unit Savings Calculations'!$F205*'Unit Savings Calculations'!J205</f>
        <v>0</v>
      </c>
      <c r="I209" s="294">
        <f>'Unit Savings Calculations'!$F205*'Unit Savings Calculations'!K205</f>
        <v>0</v>
      </c>
      <c r="J209" s="294">
        <f>'Unit Savings Calculations'!$F205*'Unit Savings Calculations'!L205</f>
        <v>0</v>
      </c>
      <c r="K209" s="294">
        <f>'Unit Savings Calculations'!$F205*'Unit Savings Calculations'!M205</f>
        <v>0</v>
      </c>
      <c r="L209" s="292" t="str">
        <f>'Unit Savings Calculations'!U205</f>
        <v>CI-HW-STWH-V03-180101</v>
      </c>
      <c r="M209" s="383" t="str">
        <f>'Unit Savings Calculations'!R205</f>
        <v>Exhibit 1.5A_R North Shore EEPS_Adjustable_Savings_Goal_Template.xlsx, Unit Savings Calculations Tab</v>
      </c>
      <c r="N209" s="295">
        <v>135.66827090062347</v>
      </c>
      <c r="O209" s="295">
        <v>135.66827090062347</v>
      </c>
      <c r="P209" s="295">
        <v>135.66827090062347</v>
      </c>
      <c r="Q209" s="295">
        <v>135.66827090062347</v>
      </c>
      <c r="R209" s="296">
        <f>'Unit Savings Calculations'!$G205</f>
        <v>0.92</v>
      </c>
      <c r="S209" s="296">
        <f>'Unit Savings Calculations'!$G205</f>
        <v>0.92</v>
      </c>
      <c r="T209" s="296">
        <f>'Unit Savings Calculations'!$G205</f>
        <v>0.92</v>
      </c>
      <c r="U209" s="296">
        <f>'Unit Savings Calculations'!$G205</f>
        <v>0.92</v>
      </c>
      <c r="V209" s="297">
        <f t="shared" si="123"/>
        <v>0</v>
      </c>
      <c r="W209" s="297">
        <f t="shared" si="124"/>
        <v>0</v>
      </c>
      <c r="X209" s="297">
        <f t="shared" si="125"/>
        <v>0</v>
      </c>
      <c r="Y209" s="297">
        <f t="shared" si="126"/>
        <v>0</v>
      </c>
      <c r="Z209" s="297">
        <f t="shared" si="127"/>
        <v>0</v>
      </c>
      <c r="AA209" s="292"/>
      <c r="AB209" s="292"/>
      <c r="AC209" s="295">
        <v>135.66827090062347</v>
      </c>
      <c r="AD209" s="292"/>
      <c r="AE209" s="297">
        <f t="shared" si="140"/>
        <v>0</v>
      </c>
      <c r="AF209" s="294">
        <f t="shared" si="141"/>
        <v>0</v>
      </c>
      <c r="AG209" s="292"/>
      <c r="AH209" s="292">
        <f t="shared" si="142"/>
        <v>0</v>
      </c>
      <c r="AI209" s="295">
        <v>1514.573584976577</v>
      </c>
      <c r="AJ209" s="383" t="s">
        <v>894</v>
      </c>
      <c r="AK209" s="297">
        <f t="shared" si="143"/>
        <v>0</v>
      </c>
      <c r="AL209" s="294">
        <f t="shared" si="144"/>
        <v>0</v>
      </c>
      <c r="AM209" s="292"/>
      <c r="AN209" s="292"/>
      <c r="AO209" s="295">
        <f>'Unit Savings Calculations'!P205</f>
        <v>1514.573584976577</v>
      </c>
      <c r="AP209" s="383" t="s">
        <v>763</v>
      </c>
      <c r="AQ209" s="297">
        <f t="shared" si="145"/>
        <v>0</v>
      </c>
      <c r="AR209" s="294">
        <f t="shared" si="146"/>
        <v>0</v>
      </c>
      <c r="AS209" s="292"/>
      <c r="AT209" s="292"/>
      <c r="AU209" s="295">
        <f>'Unit Savings Calculations'!Q205</f>
        <v>1514.573584976577</v>
      </c>
      <c r="AV209" s="383" t="str">
        <f t="shared" si="129"/>
        <v>n/a</v>
      </c>
      <c r="AW209" s="297">
        <f t="shared" si="147"/>
        <v>0</v>
      </c>
      <c r="AX209" s="294">
        <f t="shared" si="148"/>
        <v>0</v>
      </c>
      <c r="AY209" s="297">
        <f t="shared" si="130"/>
        <v>0</v>
      </c>
      <c r="AZ209" s="297">
        <f t="shared" si="131"/>
        <v>0</v>
      </c>
      <c r="BA209" s="297">
        <f t="shared" si="132"/>
        <v>0</v>
      </c>
      <c r="BB209" s="297">
        <f t="shared" si="133"/>
        <v>0</v>
      </c>
      <c r="BC209" s="298">
        <f t="shared" si="134"/>
        <v>0</v>
      </c>
      <c r="BD209" s="292" t="s">
        <v>763</v>
      </c>
      <c r="BE209" s="299" t="str">
        <f t="shared" si="135"/>
        <v>Exhibit 1.5A_R North Shore EEPS_Adjustable_Savings_Goal_Template.xlsx, Unit Savings Calculations Tab</v>
      </c>
      <c r="BF209" s="298">
        <f t="shared" si="136"/>
        <v>0</v>
      </c>
      <c r="BG209" s="298">
        <f t="shared" si="136"/>
        <v>0</v>
      </c>
      <c r="BH209" s="298">
        <f t="shared" si="136"/>
        <v>0</v>
      </c>
      <c r="BI209" s="298">
        <f t="shared" si="136"/>
        <v>0</v>
      </c>
      <c r="BJ209" s="298">
        <f t="shared" si="137"/>
        <v>0</v>
      </c>
      <c r="BK209" s="482">
        <v>15</v>
      </c>
      <c r="BL209" s="482">
        <v>15</v>
      </c>
      <c r="BM209" s="482">
        <f>INDEX('Unit Savings Calculations'!$I$4:$I$421,MATCH('Measure-Level Adjustments Tab'!$A209&amp;"_"&amp;'Measure-Level Adjustments Tab'!$B209,'Unit Savings Calculations'!$A$4:$A$421,0))</f>
        <v>15</v>
      </c>
      <c r="BN209" s="482">
        <f t="shared" si="138"/>
        <v>15</v>
      </c>
      <c r="BO209" s="483">
        <f t="shared" si="139"/>
        <v>0</v>
      </c>
      <c r="BP209" s="483">
        <f t="shared" si="139"/>
        <v>0</v>
      </c>
      <c r="BQ209" s="483">
        <f t="shared" si="139"/>
        <v>0</v>
      </c>
      <c r="BR209" s="483">
        <f t="shared" si="139"/>
        <v>0</v>
      </c>
      <c r="BS209" s="483">
        <f t="shared" si="128"/>
        <v>0</v>
      </c>
    </row>
    <row r="210" spans="1:71" ht="15.75" customHeight="1">
      <c r="A210" s="292" t="str">
        <f>'Unit Savings Calculations'!C206</f>
        <v>Bus - SB Rebates</v>
      </c>
      <c r="B210" s="292" t="str">
        <f>'Unit Savings Calculations'!D206</f>
        <v>Water Heater 88% TE - Laundromat</v>
      </c>
      <c r="C210" s="293">
        <f t="shared" si="107"/>
        <v>0</v>
      </c>
      <c r="D210" s="292" t="str">
        <f>'Unit Savings Calculations'!T206</f>
        <v>Custom</v>
      </c>
      <c r="E210" s="438">
        <v>15</v>
      </c>
      <c r="F210" s="438">
        <v>15</v>
      </c>
      <c r="G210" s="292" t="str">
        <f>'Unit Savings Calculations'!E206</f>
        <v>MBH</v>
      </c>
      <c r="H210" s="294">
        <f>'Unit Savings Calculations'!$F206*'Unit Savings Calculations'!J206</f>
        <v>0</v>
      </c>
      <c r="I210" s="294">
        <f>'Unit Savings Calculations'!$F206*'Unit Savings Calculations'!K206</f>
        <v>0</v>
      </c>
      <c r="J210" s="294">
        <f>'Unit Savings Calculations'!$F206*'Unit Savings Calculations'!L206</f>
        <v>0</v>
      </c>
      <c r="K210" s="294">
        <f>'Unit Savings Calculations'!$F206*'Unit Savings Calculations'!M206</f>
        <v>0</v>
      </c>
      <c r="L210" s="292" t="str">
        <f>'Unit Savings Calculations'!U206</f>
        <v>Custom</v>
      </c>
      <c r="M210" s="383" t="str">
        <f>'Unit Savings Calculations'!R206</f>
        <v>Exhibit 1.5A_R North Shore EEPS_Adjustable_Savings_Goal_Template.xlsx, Laundromat Broiler Tab</v>
      </c>
      <c r="N210" s="295">
        <v>1.0567132867132856</v>
      </c>
      <c r="O210" s="295">
        <v>1.0567132867132856</v>
      </c>
      <c r="P210" s="295">
        <v>1.0567132867132856</v>
      </c>
      <c r="Q210" s="295">
        <v>1.0567132867132856</v>
      </c>
      <c r="R210" s="296">
        <f>'Unit Savings Calculations'!$G206</f>
        <v>0.92</v>
      </c>
      <c r="S210" s="296">
        <f>'Unit Savings Calculations'!$G206</f>
        <v>0.92</v>
      </c>
      <c r="T210" s="296">
        <f>'Unit Savings Calculations'!$G206</f>
        <v>0.92</v>
      </c>
      <c r="U210" s="296">
        <f>'Unit Savings Calculations'!$G206</f>
        <v>0.92</v>
      </c>
      <c r="V210" s="297">
        <f t="shared" si="123"/>
        <v>0</v>
      </c>
      <c r="W210" s="297">
        <f t="shared" si="124"/>
        <v>0</v>
      </c>
      <c r="X210" s="297">
        <f t="shared" si="125"/>
        <v>0</v>
      </c>
      <c r="Y210" s="297">
        <f t="shared" si="126"/>
        <v>0</v>
      </c>
      <c r="Z210" s="297">
        <f t="shared" si="127"/>
        <v>0</v>
      </c>
      <c r="AA210" s="384"/>
      <c r="AB210" s="384"/>
      <c r="AC210" s="387">
        <v>1.0567132867132856</v>
      </c>
      <c r="AD210" s="384"/>
      <c r="AE210" s="385">
        <f t="shared" si="140"/>
        <v>0</v>
      </c>
      <c r="AF210" s="386">
        <f t="shared" si="141"/>
        <v>0</v>
      </c>
      <c r="AG210" s="384"/>
      <c r="AH210" s="384">
        <f t="shared" si="142"/>
        <v>0</v>
      </c>
      <c r="AI210" s="387">
        <v>1.0567132867132856</v>
      </c>
      <c r="AJ210" s="435" t="s">
        <v>878</v>
      </c>
      <c r="AK210" s="385">
        <f t="shared" si="143"/>
        <v>0</v>
      </c>
      <c r="AL210" s="386">
        <f t="shared" si="144"/>
        <v>0</v>
      </c>
      <c r="AM210" s="384"/>
      <c r="AN210" s="384"/>
      <c r="AO210" s="387">
        <f>'Unit Savings Calculations'!P206</f>
        <v>1.0567132867132856</v>
      </c>
      <c r="AP210" s="435" t="s">
        <v>763</v>
      </c>
      <c r="AQ210" s="385">
        <f t="shared" si="145"/>
        <v>0</v>
      </c>
      <c r="AR210" s="386">
        <f t="shared" si="146"/>
        <v>0</v>
      </c>
      <c r="AS210" s="384"/>
      <c r="AT210" s="384"/>
      <c r="AU210" s="387">
        <f>'Unit Savings Calculations'!Q206</f>
        <v>1.0567132867132856</v>
      </c>
      <c r="AV210" s="435" t="str">
        <f t="shared" si="129"/>
        <v>n/a</v>
      </c>
      <c r="AW210" s="385">
        <f t="shared" si="147"/>
        <v>0</v>
      </c>
      <c r="AX210" s="386">
        <f t="shared" si="148"/>
        <v>0</v>
      </c>
      <c r="AY210" s="297">
        <f t="shared" si="130"/>
        <v>0</v>
      </c>
      <c r="AZ210" s="297">
        <f t="shared" si="131"/>
        <v>0</v>
      </c>
      <c r="BA210" s="297">
        <f t="shared" si="132"/>
        <v>0</v>
      </c>
      <c r="BB210" s="297">
        <f t="shared" si="133"/>
        <v>0</v>
      </c>
      <c r="BC210" s="298">
        <f t="shared" si="134"/>
        <v>0</v>
      </c>
      <c r="BD210" s="292" t="s">
        <v>763</v>
      </c>
      <c r="BE210" s="299" t="str">
        <f t="shared" si="135"/>
        <v>Exhibit 1.5A_R North Shore EEPS_Adjustable_Savings_Goal_Template.xlsx, Laundromat Broiler Tab</v>
      </c>
      <c r="BF210" s="298">
        <f t="shared" si="136"/>
        <v>0</v>
      </c>
      <c r="BG210" s="298">
        <f t="shared" si="136"/>
        <v>0</v>
      </c>
      <c r="BH210" s="298">
        <f t="shared" si="136"/>
        <v>0</v>
      </c>
      <c r="BI210" s="298">
        <f t="shared" si="136"/>
        <v>0</v>
      </c>
      <c r="BJ210" s="298">
        <f t="shared" si="137"/>
        <v>0</v>
      </c>
      <c r="BK210" s="482">
        <v>15</v>
      </c>
      <c r="BL210" s="482">
        <v>15</v>
      </c>
      <c r="BM210" s="482">
        <f>INDEX('Unit Savings Calculations'!$I$4:$I$421,MATCH('Measure-Level Adjustments Tab'!$A210&amp;"_"&amp;'Measure-Level Adjustments Tab'!$B210,'Unit Savings Calculations'!$A$4:$A$421,0))</f>
        <v>15</v>
      </c>
      <c r="BN210" s="482">
        <f t="shared" si="138"/>
        <v>15</v>
      </c>
      <c r="BO210" s="483">
        <f t="shared" si="139"/>
        <v>0</v>
      </c>
      <c r="BP210" s="483">
        <f t="shared" si="139"/>
        <v>0</v>
      </c>
      <c r="BQ210" s="483">
        <f t="shared" si="139"/>
        <v>0</v>
      </c>
      <c r="BR210" s="483">
        <f t="shared" si="139"/>
        <v>0</v>
      </c>
      <c r="BS210" s="483">
        <f t="shared" si="128"/>
        <v>0</v>
      </c>
    </row>
    <row r="211" spans="1:71" ht="15.75" customHeight="1">
      <c r="A211" s="292" t="str">
        <f>'Unit Savings Calculations'!C207</f>
        <v>Bus - SB Rebates</v>
      </c>
      <c r="B211" s="292" t="str">
        <f>'Unit Savings Calculations'!D207</f>
        <v>Water Heater 95% TE - Laundromat</v>
      </c>
      <c r="C211" s="293">
        <f t="shared" si="107"/>
        <v>0</v>
      </c>
      <c r="D211" s="292" t="str">
        <f>'Unit Savings Calculations'!T207</f>
        <v>Custom</v>
      </c>
      <c r="E211" s="438">
        <v>15</v>
      </c>
      <c r="F211" s="438">
        <v>15</v>
      </c>
      <c r="G211" s="292" t="str">
        <f>'Unit Savings Calculations'!E207</f>
        <v>MBH</v>
      </c>
      <c r="H211" s="294">
        <f>'Unit Savings Calculations'!$F207*'Unit Savings Calculations'!J207</f>
        <v>0</v>
      </c>
      <c r="I211" s="294">
        <f>'Unit Savings Calculations'!$F207*'Unit Savings Calculations'!K207</f>
        <v>0</v>
      </c>
      <c r="J211" s="294">
        <f>'Unit Savings Calculations'!$F207*'Unit Savings Calculations'!L207</f>
        <v>0</v>
      </c>
      <c r="K211" s="294">
        <f>'Unit Savings Calculations'!$F207*'Unit Savings Calculations'!M207</f>
        <v>0</v>
      </c>
      <c r="L211" s="292" t="str">
        <f>'Unit Savings Calculations'!U207</f>
        <v>Custom</v>
      </c>
      <c r="M211" s="383" t="str">
        <f>'Unit Savings Calculations'!R207</f>
        <v>Exhibit 1.5A_R North Shore EEPS_Adjustable_Savings_Goal_Template.xlsx, Laundromat Broiler Tab</v>
      </c>
      <c r="N211" s="295">
        <v>1.8353441295546562</v>
      </c>
      <c r="O211" s="295">
        <v>1.8353441295546562</v>
      </c>
      <c r="P211" s="295">
        <v>1.8353441295546562</v>
      </c>
      <c r="Q211" s="295">
        <v>1.8353441295546562</v>
      </c>
      <c r="R211" s="296">
        <f>'Unit Savings Calculations'!$G207</f>
        <v>0.92</v>
      </c>
      <c r="S211" s="296">
        <f>'Unit Savings Calculations'!$G207</f>
        <v>0.92</v>
      </c>
      <c r="T211" s="296">
        <f>'Unit Savings Calculations'!$G207</f>
        <v>0.92</v>
      </c>
      <c r="U211" s="296">
        <f>'Unit Savings Calculations'!$G207</f>
        <v>0.92</v>
      </c>
      <c r="V211" s="297">
        <f t="shared" si="123"/>
        <v>0</v>
      </c>
      <c r="W211" s="297">
        <f t="shared" si="124"/>
        <v>0</v>
      </c>
      <c r="X211" s="297">
        <f t="shared" si="125"/>
        <v>0</v>
      </c>
      <c r="Y211" s="297">
        <f t="shared" si="126"/>
        <v>0</v>
      </c>
      <c r="Z211" s="297">
        <f t="shared" si="127"/>
        <v>0</v>
      </c>
      <c r="AA211" s="384"/>
      <c r="AB211" s="384"/>
      <c r="AC211" s="387">
        <v>1.8353441295546562</v>
      </c>
      <c r="AD211" s="384"/>
      <c r="AE211" s="385">
        <f t="shared" si="140"/>
        <v>0</v>
      </c>
      <c r="AF211" s="386">
        <f t="shared" si="141"/>
        <v>0</v>
      </c>
      <c r="AG211" s="384"/>
      <c r="AH211" s="384">
        <f t="shared" si="142"/>
        <v>0</v>
      </c>
      <c r="AI211" s="387">
        <v>1.8353441295546562</v>
      </c>
      <c r="AJ211" s="435" t="s">
        <v>878</v>
      </c>
      <c r="AK211" s="385">
        <f t="shared" si="143"/>
        <v>0</v>
      </c>
      <c r="AL211" s="386">
        <f t="shared" si="144"/>
        <v>0</v>
      </c>
      <c r="AM211" s="384"/>
      <c r="AN211" s="384"/>
      <c r="AO211" s="387">
        <f>'Unit Savings Calculations'!P207</f>
        <v>1.8353441295546562</v>
      </c>
      <c r="AP211" s="435" t="s">
        <v>763</v>
      </c>
      <c r="AQ211" s="385">
        <f t="shared" si="145"/>
        <v>0</v>
      </c>
      <c r="AR211" s="386">
        <f t="shared" si="146"/>
        <v>0</v>
      </c>
      <c r="AS211" s="384"/>
      <c r="AT211" s="384"/>
      <c r="AU211" s="387">
        <f>'Unit Savings Calculations'!Q207</f>
        <v>1.8353441295546562</v>
      </c>
      <c r="AV211" s="435" t="str">
        <f t="shared" si="129"/>
        <v>n/a</v>
      </c>
      <c r="AW211" s="385">
        <f t="shared" si="147"/>
        <v>0</v>
      </c>
      <c r="AX211" s="386">
        <f t="shared" si="148"/>
        <v>0</v>
      </c>
      <c r="AY211" s="297">
        <f t="shared" si="130"/>
        <v>0</v>
      </c>
      <c r="AZ211" s="297">
        <f t="shared" si="131"/>
        <v>0</v>
      </c>
      <c r="BA211" s="297">
        <f t="shared" si="132"/>
        <v>0</v>
      </c>
      <c r="BB211" s="297">
        <f t="shared" si="133"/>
        <v>0</v>
      </c>
      <c r="BC211" s="298">
        <f t="shared" si="134"/>
        <v>0</v>
      </c>
      <c r="BD211" s="292" t="s">
        <v>763</v>
      </c>
      <c r="BE211" s="299" t="str">
        <f t="shared" si="135"/>
        <v>Exhibit 1.5A_R North Shore EEPS_Adjustable_Savings_Goal_Template.xlsx, Laundromat Broiler Tab</v>
      </c>
      <c r="BF211" s="298">
        <f t="shared" si="136"/>
        <v>0</v>
      </c>
      <c r="BG211" s="298">
        <f t="shared" si="136"/>
        <v>0</v>
      </c>
      <c r="BH211" s="298">
        <f t="shared" si="136"/>
        <v>0</v>
      </c>
      <c r="BI211" s="298">
        <f t="shared" si="136"/>
        <v>0</v>
      </c>
      <c r="BJ211" s="298">
        <f t="shared" si="137"/>
        <v>0</v>
      </c>
      <c r="BK211" s="482">
        <v>15</v>
      </c>
      <c r="BL211" s="482">
        <v>15</v>
      </c>
      <c r="BM211" s="482">
        <f>INDEX('Unit Savings Calculations'!$I$4:$I$421,MATCH('Measure-Level Adjustments Tab'!$A211&amp;"_"&amp;'Measure-Level Adjustments Tab'!$B211,'Unit Savings Calculations'!$A$4:$A$421,0))</f>
        <v>15</v>
      </c>
      <c r="BN211" s="482">
        <f t="shared" si="138"/>
        <v>15</v>
      </c>
      <c r="BO211" s="483">
        <f t="shared" si="139"/>
        <v>0</v>
      </c>
      <c r="BP211" s="483">
        <f t="shared" si="139"/>
        <v>0</v>
      </c>
      <c r="BQ211" s="483">
        <f t="shared" si="139"/>
        <v>0</v>
      </c>
      <c r="BR211" s="483">
        <f t="shared" si="139"/>
        <v>0</v>
      </c>
      <c r="BS211" s="483">
        <f t="shared" si="128"/>
        <v>0</v>
      </c>
    </row>
    <row r="212" spans="1:71" ht="15.75" customHeight="1">
      <c r="A212" s="292" t="str">
        <f>'Unit Savings Calculations'!C208</f>
        <v>Bus - SB Rebates -PTA</v>
      </c>
      <c r="B212" s="292" t="str">
        <f>'Unit Savings Calculations'!D208</f>
        <v>Boiler ≥88% AFUE, &lt;300MBh (SB)</v>
      </c>
      <c r="C212" s="293">
        <f t="shared" si="107"/>
        <v>1</v>
      </c>
      <c r="D212" s="292" t="str">
        <f>'Unit Savings Calculations'!T208</f>
        <v>4.4.10</v>
      </c>
      <c r="E212" s="438">
        <v>20</v>
      </c>
      <c r="F212" s="438">
        <v>20</v>
      </c>
      <c r="G212" s="292" t="str">
        <f>'Unit Savings Calculations'!E208</f>
        <v>MBH</v>
      </c>
      <c r="H212" s="294">
        <f>'Unit Savings Calculations'!$F208*'Unit Savings Calculations'!J208</f>
        <v>0</v>
      </c>
      <c r="I212" s="294">
        <f>'Unit Savings Calculations'!$F208*'Unit Savings Calculations'!K208</f>
        <v>0</v>
      </c>
      <c r="J212" s="294">
        <f>'Unit Savings Calculations'!$F208*'Unit Savings Calculations'!L208</f>
        <v>0</v>
      </c>
      <c r="K212" s="294">
        <f>'Unit Savings Calculations'!$F208*'Unit Savings Calculations'!M208</f>
        <v>0</v>
      </c>
      <c r="L212" s="292" t="str">
        <f>'Unit Savings Calculations'!U208</f>
        <v>CI-HVC-BOIL-V05-150601</v>
      </c>
      <c r="M212" s="383" t="str">
        <f>'Unit Savings Calculations'!R208</f>
        <v>Exhibit 1.5A_R North Shore EEPS_Adjustable_Savings_Goal_Template.xlsx, Unit Savings Calculations Tab</v>
      </c>
      <c r="N212" s="295">
        <v>1.161219512195123</v>
      </c>
      <c r="O212" s="295">
        <v>1.161219512195123</v>
      </c>
      <c r="P212" s="295">
        <v>1.161219512195123</v>
      </c>
      <c r="Q212" s="295">
        <v>1.161219512195123</v>
      </c>
      <c r="R212" s="296">
        <f>'Unit Savings Calculations'!$G208</f>
        <v>0.92</v>
      </c>
      <c r="S212" s="296">
        <f>'Unit Savings Calculations'!$G208</f>
        <v>0.92</v>
      </c>
      <c r="T212" s="296">
        <f>'Unit Savings Calculations'!$G208</f>
        <v>0.92</v>
      </c>
      <c r="U212" s="296">
        <f>'Unit Savings Calculations'!$G208</f>
        <v>0.92</v>
      </c>
      <c r="V212" s="297">
        <f t="shared" si="123"/>
        <v>0</v>
      </c>
      <c r="W212" s="297">
        <f t="shared" si="124"/>
        <v>0</v>
      </c>
      <c r="X212" s="297">
        <f t="shared" si="125"/>
        <v>0</v>
      </c>
      <c r="Y212" s="297">
        <f t="shared" si="126"/>
        <v>0</v>
      </c>
      <c r="Z212" s="297">
        <f t="shared" si="127"/>
        <v>0</v>
      </c>
      <c r="AA212" s="292"/>
      <c r="AB212" s="292"/>
      <c r="AC212" s="295">
        <v>1.161219512195123</v>
      </c>
      <c r="AD212" s="292"/>
      <c r="AE212" s="297">
        <f t="shared" si="140"/>
        <v>0</v>
      </c>
      <c r="AF212" s="294">
        <f t="shared" si="141"/>
        <v>0</v>
      </c>
      <c r="AG212" s="292"/>
      <c r="AH212" s="292">
        <f t="shared" si="142"/>
        <v>0</v>
      </c>
      <c r="AI212" s="295">
        <v>1.1253658536585376</v>
      </c>
      <c r="AJ212" s="383" t="s">
        <v>878</v>
      </c>
      <c r="AK212" s="297">
        <f t="shared" si="143"/>
        <v>0</v>
      </c>
      <c r="AL212" s="294">
        <f t="shared" si="144"/>
        <v>0</v>
      </c>
      <c r="AM212" s="292"/>
      <c r="AN212" s="292"/>
      <c r="AO212" s="295">
        <f>'Unit Savings Calculations'!P208</f>
        <v>1.1919512195121962</v>
      </c>
      <c r="AP212" s="383" t="s">
        <v>1441</v>
      </c>
      <c r="AQ212" s="297">
        <f t="shared" si="145"/>
        <v>0</v>
      </c>
      <c r="AR212" s="294">
        <f t="shared" si="146"/>
        <v>0</v>
      </c>
      <c r="AS212" s="292"/>
      <c r="AT212" s="292"/>
      <c r="AU212" s="295">
        <f>'Unit Savings Calculations'!Q208</f>
        <v>1.1919512195121962</v>
      </c>
      <c r="AV212" s="383" t="str">
        <f t="shared" si="129"/>
        <v>Updated heating EFLH</v>
      </c>
      <c r="AW212" s="297">
        <f t="shared" si="147"/>
        <v>0</v>
      </c>
      <c r="AX212" s="294">
        <f t="shared" si="148"/>
        <v>0</v>
      </c>
      <c r="AY212" s="297">
        <f t="shared" si="130"/>
        <v>0</v>
      </c>
      <c r="AZ212" s="297">
        <f t="shared" si="131"/>
        <v>0</v>
      </c>
      <c r="BA212" s="297">
        <f t="shared" si="132"/>
        <v>0</v>
      </c>
      <c r="BB212" s="297">
        <f t="shared" si="133"/>
        <v>0</v>
      </c>
      <c r="BC212" s="298">
        <f t="shared" si="134"/>
        <v>0</v>
      </c>
      <c r="BD212" s="292" t="s">
        <v>763</v>
      </c>
      <c r="BE212" s="299" t="str">
        <f t="shared" si="135"/>
        <v>Exhibit 1.5A_R North Shore EEPS_Adjustable_Savings_Goal_Template.xlsx, Unit Savings Calculations Tab</v>
      </c>
      <c r="BF212" s="298">
        <f t="shared" si="136"/>
        <v>0</v>
      </c>
      <c r="BG212" s="298">
        <f t="shared" si="136"/>
        <v>0</v>
      </c>
      <c r="BH212" s="298">
        <f t="shared" si="136"/>
        <v>0</v>
      </c>
      <c r="BI212" s="298">
        <f t="shared" si="136"/>
        <v>0</v>
      </c>
      <c r="BJ212" s="298">
        <f t="shared" si="137"/>
        <v>0</v>
      </c>
      <c r="BK212" s="482">
        <v>20</v>
      </c>
      <c r="BL212" s="482">
        <v>20</v>
      </c>
      <c r="BM212" s="482">
        <f>INDEX('Unit Savings Calculations'!$I$4:$I$421,MATCH('Measure-Level Adjustments Tab'!$A212&amp;"_"&amp;'Measure-Level Adjustments Tab'!$B212,'Unit Savings Calculations'!$A$4:$A$421,0))</f>
        <v>25</v>
      </c>
      <c r="BN212" s="482">
        <f t="shared" si="138"/>
        <v>25</v>
      </c>
      <c r="BO212" s="483">
        <f t="shared" si="139"/>
        <v>0</v>
      </c>
      <c r="BP212" s="483">
        <f t="shared" si="139"/>
        <v>0</v>
      </c>
      <c r="BQ212" s="483">
        <f t="shared" si="139"/>
        <v>0</v>
      </c>
      <c r="BR212" s="483">
        <f t="shared" si="139"/>
        <v>0</v>
      </c>
      <c r="BS212" s="483">
        <f t="shared" si="128"/>
        <v>0</v>
      </c>
    </row>
    <row r="213" spans="1:71" ht="15.75" customHeight="1">
      <c r="A213" s="292" t="str">
        <f>'Unit Savings Calculations'!C209</f>
        <v>Bus - SB Rebates -PTA</v>
      </c>
      <c r="B213" s="292" t="str">
        <f>'Unit Savings Calculations'!D209</f>
        <v>Boiler ≥88% AFUE, ≥300MBh TE (SB)</v>
      </c>
      <c r="C213" s="293">
        <f t="shared" si="107"/>
        <v>1</v>
      </c>
      <c r="D213" s="292" t="str">
        <f>'Unit Savings Calculations'!T209</f>
        <v>4.4.10</v>
      </c>
      <c r="E213" s="438">
        <v>20</v>
      </c>
      <c r="F213" s="438">
        <v>20</v>
      </c>
      <c r="G213" s="292" t="str">
        <f>'Unit Savings Calculations'!E209</f>
        <v>MBH</v>
      </c>
      <c r="H213" s="294">
        <f>'Unit Savings Calculations'!$F209*'Unit Savings Calculations'!J209</f>
        <v>700</v>
      </c>
      <c r="I213" s="294">
        <f>'Unit Savings Calculations'!$F209*'Unit Savings Calculations'!K209</f>
        <v>700</v>
      </c>
      <c r="J213" s="294">
        <f>'Unit Savings Calculations'!$F209*'Unit Savings Calculations'!L209</f>
        <v>700</v>
      </c>
      <c r="K213" s="294">
        <f>'Unit Savings Calculations'!$F209*'Unit Savings Calculations'!M209</f>
        <v>700</v>
      </c>
      <c r="L213" s="292" t="str">
        <f>'Unit Savings Calculations'!U209</f>
        <v>CI-HVC-BOIL-V05-150601</v>
      </c>
      <c r="M213" s="383" t="str">
        <f>'Unit Savings Calculations'!R209</f>
        <v>Exhibit 1.5A_R North Shore EEPS_Adjustable_Savings_Goal_Template.xlsx, Unit Savings Calculations Tab</v>
      </c>
      <c r="N213" s="295">
        <v>1.5869999999999991</v>
      </c>
      <c r="O213" s="295">
        <v>1.5869999999999991</v>
      </c>
      <c r="P213" s="295">
        <v>1.5869999999999991</v>
      </c>
      <c r="Q213" s="295">
        <v>1.5869999999999991</v>
      </c>
      <c r="R213" s="296">
        <f>'Unit Savings Calculations'!$G209</f>
        <v>0.92</v>
      </c>
      <c r="S213" s="296">
        <f>'Unit Savings Calculations'!$G209</f>
        <v>0.92</v>
      </c>
      <c r="T213" s="296">
        <f>'Unit Savings Calculations'!$G209</f>
        <v>0.92</v>
      </c>
      <c r="U213" s="296">
        <f>'Unit Savings Calculations'!$G209</f>
        <v>0.92</v>
      </c>
      <c r="V213" s="297">
        <f t="shared" si="123"/>
        <v>1022.0279999999995</v>
      </c>
      <c r="W213" s="297">
        <f t="shared" si="124"/>
        <v>1022.0279999999995</v>
      </c>
      <c r="X213" s="297">
        <f t="shared" si="125"/>
        <v>1022.0279999999995</v>
      </c>
      <c r="Y213" s="297">
        <f t="shared" si="126"/>
        <v>1022.0279999999995</v>
      </c>
      <c r="Z213" s="297">
        <f t="shared" si="127"/>
        <v>4088.1119999999978</v>
      </c>
      <c r="AA213" s="292"/>
      <c r="AB213" s="292"/>
      <c r="AC213" s="295">
        <v>1.5869999999999991</v>
      </c>
      <c r="AD213" s="292"/>
      <c r="AE213" s="297">
        <f t="shared" si="140"/>
        <v>1022.0279999999995</v>
      </c>
      <c r="AF213" s="294">
        <f t="shared" si="141"/>
        <v>0</v>
      </c>
      <c r="AG213" s="292"/>
      <c r="AH213" s="292">
        <f t="shared" si="142"/>
        <v>0</v>
      </c>
      <c r="AI213" s="295">
        <v>1.5379999999999991</v>
      </c>
      <c r="AJ213" s="383" t="s">
        <v>878</v>
      </c>
      <c r="AK213" s="297">
        <f t="shared" si="143"/>
        <v>990.47199999999953</v>
      </c>
      <c r="AL213" s="294">
        <f t="shared" si="144"/>
        <v>-31.555999999999926</v>
      </c>
      <c r="AM213" s="292"/>
      <c r="AN213" s="292"/>
      <c r="AO213" s="295">
        <f>'Unit Savings Calculations'!P209</f>
        <v>1.6289999999999993</v>
      </c>
      <c r="AP213" s="383" t="s">
        <v>1441</v>
      </c>
      <c r="AQ213" s="297">
        <f t="shared" si="145"/>
        <v>1049.0759999999996</v>
      </c>
      <c r="AR213" s="294">
        <f t="shared" si="146"/>
        <v>27.048000000000116</v>
      </c>
      <c r="AS213" s="292"/>
      <c r="AT213" s="292"/>
      <c r="AU213" s="295">
        <f>'Unit Savings Calculations'!Q209</f>
        <v>1.6289999999999993</v>
      </c>
      <c r="AV213" s="383" t="str">
        <f t="shared" si="129"/>
        <v>Updated heating EFLH</v>
      </c>
      <c r="AW213" s="297">
        <f t="shared" si="147"/>
        <v>1049.0759999999996</v>
      </c>
      <c r="AX213" s="294">
        <f t="shared" si="148"/>
        <v>27.048000000000116</v>
      </c>
      <c r="AY213" s="297">
        <f t="shared" si="130"/>
        <v>1022.0279999999995</v>
      </c>
      <c r="AZ213" s="297">
        <f t="shared" si="131"/>
        <v>990.47199999999953</v>
      </c>
      <c r="BA213" s="297">
        <f t="shared" si="132"/>
        <v>1049.0759999999996</v>
      </c>
      <c r="BB213" s="297">
        <f t="shared" si="133"/>
        <v>1049.0759999999996</v>
      </c>
      <c r="BC213" s="298">
        <f t="shared" si="134"/>
        <v>4110.6519999999982</v>
      </c>
      <c r="BD213" s="292" t="s">
        <v>763</v>
      </c>
      <c r="BE213" s="299" t="str">
        <f t="shared" si="135"/>
        <v>Exhibit 1.5A_R North Shore EEPS_Adjustable_Savings_Goal_Template.xlsx, Unit Savings Calculations Tab</v>
      </c>
      <c r="BF213" s="298">
        <f t="shared" si="136"/>
        <v>20440.55999999999</v>
      </c>
      <c r="BG213" s="298">
        <f t="shared" si="136"/>
        <v>20440.55999999999</v>
      </c>
      <c r="BH213" s="298">
        <f t="shared" si="136"/>
        <v>20440.55999999999</v>
      </c>
      <c r="BI213" s="298">
        <f t="shared" si="136"/>
        <v>20440.55999999999</v>
      </c>
      <c r="BJ213" s="298">
        <f t="shared" si="137"/>
        <v>81762.239999999962</v>
      </c>
      <c r="BK213" s="482">
        <v>20</v>
      </c>
      <c r="BL213" s="482">
        <v>20</v>
      </c>
      <c r="BM213" s="482">
        <f>INDEX('Unit Savings Calculations'!$I$4:$I$421,MATCH('Measure-Level Adjustments Tab'!$A213&amp;"_"&amp;'Measure-Level Adjustments Tab'!$B213,'Unit Savings Calculations'!$A$4:$A$421,0))</f>
        <v>25</v>
      </c>
      <c r="BN213" s="482">
        <f t="shared" si="138"/>
        <v>25</v>
      </c>
      <c r="BO213" s="483">
        <f t="shared" si="139"/>
        <v>20440.55999999999</v>
      </c>
      <c r="BP213" s="483">
        <f t="shared" si="139"/>
        <v>19809.439999999991</v>
      </c>
      <c r="BQ213" s="483">
        <f t="shared" si="139"/>
        <v>26226.899999999991</v>
      </c>
      <c r="BR213" s="483">
        <f t="shared" si="139"/>
        <v>26226.899999999991</v>
      </c>
      <c r="BS213" s="483">
        <f t="shared" si="128"/>
        <v>92703.799999999974</v>
      </c>
    </row>
    <row r="214" spans="1:71" ht="15.75" customHeight="1">
      <c r="A214" s="292" t="str">
        <f>'Unit Savings Calculations'!C210</f>
        <v>Bus - SB Rebates -PTA</v>
      </c>
      <c r="B214" s="292" t="str">
        <f>'Unit Savings Calculations'!D210</f>
        <v>Boiler Reset Controls (SB)</v>
      </c>
      <c r="C214" s="293">
        <f t="shared" si="107"/>
        <v>1</v>
      </c>
      <c r="D214" s="292" t="str">
        <f>'Unit Savings Calculations'!T210</f>
        <v>4.4.4</v>
      </c>
      <c r="E214" s="438">
        <v>20</v>
      </c>
      <c r="F214" s="438">
        <v>20</v>
      </c>
      <c r="G214" s="292" t="str">
        <f>'Unit Savings Calculations'!E210</f>
        <v>MBH</v>
      </c>
      <c r="H214" s="294">
        <f>'Unit Savings Calculations'!$F210*'Unit Savings Calculations'!J210</f>
        <v>1000</v>
      </c>
      <c r="I214" s="294">
        <f>'Unit Savings Calculations'!$F210*'Unit Savings Calculations'!K210</f>
        <v>1000</v>
      </c>
      <c r="J214" s="294">
        <f>'Unit Savings Calculations'!$F210*'Unit Savings Calculations'!L210</f>
        <v>1000</v>
      </c>
      <c r="K214" s="294">
        <f>'Unit Savings Calculations'!$F210*'Unit Savings Calculations'!M210</f>
        <v>1000</v>
      </c>
      <c r="L214" s="292" t="str">
        <f>'Unit Savings Calculations'!U210</f>
        <v>CI-HVC-BLRC-V03-150601</v>
      </c>
      <c r="M214" s="383" t="str">
        <f>'Unit Savings Calculations'!R210</f>
        <v>Exhibit 1.5A_R North Shore EEPS_Adjustable_Savings_Goal_Template.xlsx, Unit Savings Calculations Tab</v>
      </c>
      <c r="N214" s="295">
        <v>1.2696000000000001</v>
      </c>
      <c r="O214" s="295">
        <v>1.2696000000000001</v>
      </c>
      <c r="P214" s="295">
        <v>1.2696000000000001</v>
      </c>
      <c r="Q214" s="295">
        <v>1.2696000000000001</v>
      </c>
      <c r="R214" s="296">
        <f>'Unit Savings Calculations'!$G210</f>
        <v>0.92</v>
      </c>
      <c r="S214" s="296">
        <f>'Unit Savings Calculations'!$G210</f>
        <v>0.92</v>
      </c>
      <c r="T214" s="296">
        <f>'Unit Savings Calculations'!$G210</f>
        <v>0.92</v>
      </c>
      <c r="U214" s="296">
        <f>'Unit Savings Calculations'!$G210</f>
        <v>0.92</v>
      </c>
      <c r="V214" s="297">
        <f t="shared" si="123"/>
        <v>1168.0320000000002</v>
      </c>
      <c r="W214" s="297">
        <f t="shared" si="124"/>
        <v>1168.0320000000002</v>
      </c>
      <c r="X214" s="297">
        <f t="shared" si="125"/>
        <v>1168.0320000000002</v>
      </c>
      <c r="Y214" s="297">
        <f t="shared" si="126"/>
        <v>1168.0320000000002</v>
      </c>
      <c r="Z214" s="297">
        <f t="shared" si="127"/>
        <v>4672.1280000000006</v>
      </c>
      <c r="AA214" s="292"/>
      <c r="AB214" s="292"/>
      <c r="AC214" s="295">
        <v>1.2696000000000001</v>
      </c>
      <c r="AD214" s="292"/>
      <c r="AE214" s="297">
        <f t="shared" si="140"/>
        <v>1168.0320000000002</v>
      </c>
      <c r="AF214" s="294">
        <f t="shared" si="141"/>
        <v>0</v>
      </c>
      <c r="AG214" s="292"/>
      <c r="AH214" s="292">
        <f t="shared" si="142"/>
        <v>0</v>
      </c>
      <c r="AI214" s="295">
        <v>1.2304000000000002</v>
      </c>
      <c r="AJ214" s="383" t="s">
        <v>878</v>
      </c>
      <c r="AK214" s="297">
        <f t="shared" si="143"/>
        <v>1131.9680000000001</v>
      </c>
      <c r="AL214" s="294">
        <f t="shared" si="144"/>
        <v>-36.064000000000078</v>
      </c>
      <c r="AM214" s="292"/>
      <c r="AN214" s="292"/>
      <c r="AO214" s="295">
        <f>'Unit Savings Calculations'!P210</f>
        <v>1.3031999999999999</v>
      </c>
      <c r="AP214" s="383" t="s">
        <v>1441</v>
      </c>
      <c r="AQ214" s="297">
        <f t="shared" si="145"/>
        <v>1198.944</v>
      </c>
      <c r="AR214" s="294">
        <f t="shared" si="146"/>
        <v>30.911999999999807</v>
      </c>
      <c r="AS214" s="292"/>
      <c r="AT214" s="292"/>
      <c r="AU214" s="295">
        <f>'Unit Savings Calculations'!Q210</f>
        <v>1.3031999999999999</v>
      </c>
      <c r="AV214" s="383" t="str">
        <f t="shared" si="129"/>
        <v>Updated heating EFLH</v>
      </c>
      <c r="AW214" s="297">
        <f t="shared" si="147"/>
        <v>1198.944</v>
      </c>
      <c r="AX214" s="294">
        <f t="shared" si="148"/>
        <v>30.911999999999807</v>
      </c>
      <c r="AY214" s="297">
        <f t="shared" si="130"/>
        <v>1168.0320000000002</v>
      </c>
      <c r="AZ214" s="297">
        <f t="shared" si="131"/>
        <v>1131.9680000000001</v>
      </c>
      <c r="BA214" s="297">
        <f t="shared" si="132"/>
        <v>1198.944</v>
      </c>
      <c r="BB214" s="297">
        <f t="shared" si="133"/>
        <v>1198.944</v>
      </c>
      <c r="BC214" s="298">
        <f t="shared" si="134"/>
        <v>4697.8879999999999</v>
      </c>
      <c r="BD214" s="292" t="s">
        <v>763</v>
      </c>
      <c r="BE214" s="299" t="str">
        <f t="shared" si="135"/>
        <v>Exhibit 1.5A_R North Shore EEPS_Adjustable_Savings_Goal_Template.xlsx, Unit Savings Calculations Tab</v>
      </c>
      <c r="BF214" s="298">
        <f t="shared" si="136"/>
        <v>23360.640000000003</v>
      </c>
      <c r="BG214" s="298">
        <f t="shared" si="136"/>
        <v>23360.640000000003</v>
      </c>
      <c r="BH214" s="298">
        <f t="shared" si="136"/>
        <v>23360.640000000003</v>
      </c>
      <c r="BI214" s="298">
        <f t="shared" si="136"/>
        <v>23360.640000000003</v>
      </c>
      <c r="BJ214" s="298">
        <f t="shared" si="137"/>
        <v>93442.560000000012</v>
      </c>
      <c r="BK214" s="482">
        <v>20</v>
      </c>
      <c r="BL214" s="482">
        <v>20</v>
      </c>
      <c r="BM214" s="482">
        <f>INDEX('Unit Savings Calculations'!$I$4:$I$421,MATCH('Measure-Level Adjustments Tab'!$A214&amp;"_"&amp;'Measure-Level Adjustments Tab'!$B214,'Unit Savings Calculations'!$A$4:$A$421,0))</f>
        <v>20</v>
      </c>
      <c r="BN214" s="482">
        <f t="shared" si="138"/>
        <v>20</v>
      </c>
      <c r="BO214" s="483">
        <f t="shared" si="139"/>
        <v>23360.640000000003</v>
      </c>
      <c r="BP214" s="483">
        <f t="shared" si="139"/>
        <v>22639.360000000001</v>
      </c>
      <c r="BQ214" s="483">
        <f t="shared" si="139"/>
        <v>23978.879999999997</v>
      </c>
      <c r="BR214" s="483">
        <f t="shared" si="139"/>
        <v>23978.879999999997</v>
      </c>
      <c r="BS214" s="483">
        <f t="shared" si="128"/>
        <v>93957.760000000009</v>
      </c>
    </row>
    <row r="215" spans="1:71" ht="15.75" customHeight="1">
      <c r="A215" s="292" t="str">
        <f>'Unit Savings Calculations'!C211</f>
        <v>Bus - SB Rebates -PTA</v>
      </c>
      <c r="B215" s="292" t="str">
        <f>'Unit Savings Calculations'!D211</f>
        <v>Boiler Tune Up - Process</v>
      </c>
      <c r="C215" s="293">
        <f t="shared" si="107"/>
        <v>1</v>
      </c>
      <c r="D215" s="292" t="str">
        <f>'Unit Savings Calculations'!T211</f>
        <v>4.4.3</v>
      </c>
      <c r="E215" s="438">
        <v>3</v>
      </c>
      <c r="F215" s="438">
        <v>3</v>
      </c>
      <c r="G215" s="292" t="str">
        <f>'Unit Savings Calculations'!E211</f>
        <v>MBH</v>
      </c>
      <c r="H215" s="294">
        <f>'Unit Savings Calculations'!$F211*'Unit Savings Calculations'!J211</f>
        <v>0</v>
      </c>
      <c r="I215" s="294">
        <f>'Unit Savings Calculations'!$F211*'Unit Savings Calculations'!K211</f>
        <v>0</v>
      </c>
      <c r="J215" s="294">
        <f>'Unit Savings Calculations'!$F211*'Unit Savings Calculations'!L211</f>
        <v>0</v>
      </c>
      <c r="K215" s="294">
        <f>'Unit Savings Calculations'!$F211*'Unit Savings Calculations'!M211</f>
        <v>0</v>
      </c>
      <c r="L215" s="292" t="str">
        <f>'Unit Savings Calculations'!U211</f>
        <v>CI-HVC-PBTU-V05-160601</v>
      </c>
      <c r="M215" s="383" t="str">
        <f>'Unit Savings Calculations'!R211</f>
        <v>Exhibit 1.5A_R North Shore EEPS_Adjustable_Savings_Goal_Template.xlsx, Unit Savings Calculations Tab</v>
      </c>
      <c r="N215" s="295">
        <v>0.83823507428978783</v>
      </c>
      <c r="O215" s="295">
        <v>0.83823507428978783</v>
      </c>
      <c r="P215" s="295">
        <v>0.83823507428978783</v>
      </c>
      <c r="Q215" s="295">
        <v>0.83823507428978783</v>
      </c>
      <c r="R215" s="296">
        <f>'Unit Savings Calculations'!$G211</f>
        <v>0.92</v>
      </c>
      <c r="S215" s="296">
        <f>'Unit Savings Calculations'!$G211</f>
        <v>0.92</v>
      </c>
      <c r="T215" s="296">
        <f>'Unit Savings Calculations'!$G211</f>
        <v>0.92</v>
      </c>
      <c r="U215" s="296">
        <f>'Unit Savings Calculations'!$G211</f>
        <v>0.92</v>
      </c>
      <c r="V215" s="297">
        <f t="shared" si="123"/>
        <v>0</v>
      </c>
      <c r="W215" s="297">
        <f t="shared" si="124"/>
        <v>0</v>
      </c>
      <c r="X215" s="297">
        <f t="shared" si="125"/>
        <v>0</v>
      </c>
      <c r="Y215" s="297">
        <f t="shared" si="126"/>
        <v>0</v>
      </c>
      <c r="Z215" s="297">
        <f t="shared" si="127"/>
        <v>0</v>
      </c>
      <c r="AA215" s="292"/>
      <c r="AB215" s="292"/>
      <c r="AC215" s="295">
        <v>0.83823507428978783</v>
      </c>
      <c r="AD215" s="292"/>
      <c r="AE215" s="297">
        <f t="shared" si="140"/>
        <v>0</v>
      </c>
      <c r="AF215" s="294">
        <f t="shared" si="141"/>
        <v>0</v>
      </c>
      <c r="AG215" s="292"/>
      <c r="AH215" s="292">
        <f t="shared" si="142"/>
        <v>0</v>
      </c>
      <c r="AI215" s="295">
        <v>0.83823507428978783</v>
      </c>
      <c r="AJ215" s="383" t="s">
        <v>878</v>
      </c>
      <c r="AK215" s="297">
        <f t="shared" si="143"/>
        <v>0</v>
      </c>
      <c r="AL215" s="294">
        <f t="shared" si="144"/>
        <v>0</v>
      </c>
      <c r="AM215" s="292"/>
      <c r="AN215" s="292"/>
      <c r="AO215" s="295">
        <f>'Unit Savings Calculations'!P211</f>
        <v>0.83823507428978783</v>
      </c>
      <c r="AP215" s="383" t="s">
        <v>763</v>
      </c>
      <c r="AQ215" s="297">
        <f t="shared" si="145"/>
        <v>0</v>
      </c>
      <c r="AR215" s="294">
        <f t="shared" si="146"/>
        <v>0</v>
      </c>
      <c r="AS215" s="292"/>
      <c r="AT215" s="292"/>
      <c r="AU215" s="295">
        <f>'Unit Savings Calculations'!Q211</f>
        <v>0.83823507428978783</v>
      </c>
      <c r="AV215" s="383" t="str">
        <f t="shared" si="129"/>
        <v>n/a</v>
      </c>
      <c r="AW215" s="297">
        <f t="shared" si="147"/>
        <v>0</v>
      </c>
      <c r="AX215" s="294">
        <f t="shared" si="148"/>
        <v>0</v>
      </c>
      <c r="AY215" s="297">
        <f t="shared" si="130"/>
        <v>0</v>
      </c>
      <c r="AZ215" s="297">
        <f t="shared" si="131"/>
        <v>0</v>
      </c>
      <c r="BA215" s="297">
        <f t="shared" si="132"/>
        <v>0</v>
      </c>
      <c r="BB215" s="297">
        <f t="shared" si="133"/>
        <v>0</v>
      </c>
      <c r="BC215" s="298">
        <f t="shared" si="134"/>
        <v>0</v>
      </c>
      <c r="BD215" s="292" t="s">
        <v>763</v>
      </c>
      <c r="BE215" s="299" t="str">
        <f t="shared" si="135"/>
        <v>Exhibit 1.5A_R North Shore EEPS_Adjustable_Savings_Goal_Template.xlsx, Unit Savings Calculations Tab</v>
      </c>
      <c r="BF215" s="298">
        <f t="shared" si="136"/>
        <v>0</v>
      </c>
      <c r="BG215" s="298">
        <f t="shared" si="136"/>
        <v>0</v>
      </c>
      <c r="BH215" s="298">
        <f t="shared" si="136"/>
        <v>0</v>
      </c>
      <c r="BI215" s="298">
        <f t="shared" si="136"/>
        <v>0</v>
      </c>
      <c r="BJ215" s="298">
        <f t="shared" si="137"/>
        <v>0</v>
      </c>
      <c r="BK215" s="482">
        <v>3</v>
      </c>
      <c r="BL215" s="482">
        <v>3</v>
      </c>
      <c r="BM215" s="482">
        <f>INDEX('Unit Savings Calculations'!$I$4:$I$421,MATCH('Measure-Level Adjustments Tab'!$A215&amp;"_"&amp;'Measure-Level Adjustments Tab'!$B215,'Unit Savings Calculations'!$A$4:$A$421,0))</f>
        <v>3</v>
      </c>
      <c r="BN215" s="482">
        <f t="shared" si="138"/>
        <v>3</v>
      </c>
      <c r="BO215" s="483">
        <f t="shared" si="139"/>
        <v>0</v>
      </c>
      <c r="BP215" s="483">
        <f t="shared" si="139"/>
        <v>0</v>
      </c>
      <c r="BQ215" s="483">
        <f t="shared" si="139"/>
        <v>0</v>
      </c>
      <c r="BR215" s="483">
        <f t="shared" si="139"/>
        <v>0</v>
      </c>
      <c r="BS215" s="483">
        <f t="shared" si="128"/>
        <v>0</v>
      </c>
    </row>
    <row r="216" spans="1:71" ht="15.75" customHeight="1">
      <c r="A216" s="292" t="str">
        <f>'Unit Savings Calculations'!C212</f>
        <v>Bus - SB Rebates -PTA</v>
      </c>
      <c r="B216" s="292" t="str">
        <f>'Unit Savings Calculations'!D212</f>
        <v>Boiler Tune Up - Space Heating (SB)</v>
      </c>
      <c r="C216" s="293">
        <f t="shared" ref="C216:C279" si="149">IF(D216="Custom",0,1)</f>
        <v>1</v>
      </c>
      <c r="D216" s="292" t="str">
        <f>'Unit Savings Calculations'!T212</f>
        <v>4.4.2</v>
      </c>
      <c r="E216" s="438">
        <v>3</v>
      </c>
      <c r="F216" s="438">
        <v>3</v>
      </c>
      <c r="G216" s="292" t="str">
        <f>'Unit Savings Calculations'!E212</f>
        <v>MBH</v>
      </c>
      <c r="H216" s="294">
        <f>'Unit Savings Calculations'!$F212*'Unit Savings Calculations'!J212</f>
        <v>400</v>
      </c>
      <c r="I216" s="294">
        <f>'Unit Savings Calculations'!$F212*'Unit Savings Calculations'!K212</f>
        <v>400</v>
      </c>
      <c r="J216" s="294">
        <f>'Unit Savings Calculations'!$F212*'Unit Savings Calculations'!L212</f>
        <v>400</v>
      </c>
      <c r="K216" s="294">
        <f>'Unit Savings Calculations'!$F212*'Unit Savings Calculations'!M212</f>
        <v>400</v>
      </c>
      <c r="L216" s="292" t="str">
        <f>'Unit Savings Calculations'!U212</f>
        <v>CI-HVC-BLRT-V06-160601</v>
      </c>
      <c r="M216" s="383" t="str">
        <f>'Unit Savings Calculations'!R212</f>
        <v>Exhibit 1.5A_R North Shore EEPS_Adjustable_Savings_Goal_Template.xlsx, Unit Savings Calculations Tab</v>
      </c>
      <c r="N216" s="295">
        <v>0.37064104123585789</v>
      </c>
      <c r="O216" s="295">
        <v>0.37064104123585789</v>
      </c>
      <c r="P216" s="295">
        <v>0.37064104123585789</v>
      </c>
      <c r="Q216" s="295">
        <v>0.37064104123585789</v>
      </c>
      <c r="R216" s="296">
        <f>'Unit Savings Calculations'!$G212</f>
        <v>0.92</v>
      </c>
      <c r="S216" s="296">
        <f>'Unit Savings Calculations'!$G212</f>
        <v>0.92</v>
      </c>
      <c r="T216" s="296">
        <f>'Unit Savings Calculations'!$G212</f>
        <v>0.92</v>
      </c>
      <c r="U216" s="296">
        <f>'Unit Savings Calculations'!$G212</f>
        <v>0.92</v>
      </c>
      <c r="V216" s="297">
        <f t="shared" si="123"/>
        <v>136.39590317479573</v>
      </c>
      <c r="W216" s="297">
        <f t="shared" si="124"/>
        <v>136.39590317479573</v>
      </c>
      <c r="X216" s="297">
        <f t="shared" si="125"/>
        <v>136.39590317479573</v>
      </c>
      <c r="Y216" s="297">
        <f t="shared" si="126"/>
        <v>136.39590317479573</v>
      </c>
      <c r="Z216" s="297">
        <f t="shared" si="127"/>
        <v>545.58361269918294</v>
      </c>
      <c r="AA216" s="292"/>
      <c r="AB216" s="292"/>
      <c r="AC216" s="295">
        <v>0.37064104123585789</v>
      </c>
      <c r="AD216" s="292"/>
      <c r="AE216" s="297">
        <f t="shared" si="140"/>
        <v>136.39590317479573</v>
      </c>
      <c r="AF216" s="294">
        <f t="shared" si="141"/>
        <v>0</v>
      </c>
      <c r="AG216" s="292"/>
      <c r="AH216" s="292">
        <f t="shared" si="142"/>
        <v>0</v>
      </c>
      <c r="AI216" s="295">
        <v>0.35919717795888428</v>
      </c>
      <c r="AJ216" s="383" t="s">
        <v>878</v>
      </c>
      <c r="AK216" s="297">
        <f t="shared" si="143"/>
        <v>132.18456148886943</v>
      </c>
      <c r="AL216" s="294">
        <f t="shared" si="144"/>
        <v>-4.2113416859262998</v>
      </c>
      <c r="AM216" s="292"/>
      <c r="AN216" s="292"/>
      <c r="AO216" s="295">
        <f>'Unit Savings Calculations'!P212</f>
        <v>0.38045006690183525</v>
      </c>
      <c r="AP216" s="383" t="s">
        <v>1441</v>
      </c>
      <c r="AQ216" s="297">
        <f t="shared" si="145"/>
        <v>140.00562461987539</v>
      </c>
      <c r="AR216" s="294">
        <f t="shared" si="146"/>
        <v>3.6097214450796571</v>
      </c>
      <c r="AS216" s="292"/>
      <c r="AT216" s="292"/>
      <c r="AU216" s="295">
        <f>'Unit Savings Calculations'!Q212</f>
        <v>0.38045006690183525</v>
      </c>
      <c r="AV216" s="383" t="str">
        <f t="shared" si="129"/>
        <v>Updated heating EFLH</v>
      </c>
      <c r="AW216" s="297">
        <f t="shared" si="147"/>
        <v>140.00562461987539</v>
      </c>
      <c r="AX216" s="294">
        <f t="shared" si="148"/>
        <v>3.6097214450796571</v>
      </c>
      <c r="AY216" s="297">
        <f t="shared" si="130"/>
        <v>136.39590317479573</v>
      </c>
      <c r="AZ216" s="297">
        <f t="shared" si="131"/>
        <v>132.18456148886943</v>
      </c>
      <c r="BA216" s="297">
        <f t="shared" si="132"/>
        <v>140.00562461987539</v>
      </c>
      <c r="BB216" s="297">
        <f t="shared" si="133"/>
        <v>140.00562461987539</v>
      </c>
      <c r="BC216" s="298">
        <f t="shared" si="134"/>
        <v>548.59171390341589</v>
      </c>
      <c r="BD216" s="292" t="s">
        <v>763</v>
      </c>
      <c r="BE216" s="299" t="str">
        <f t="shared" si="135"/>
        <v>Exhibit 1.5A_R North Shore EEPS_Adjustable_Savings_Goal_Template.xlsx, Unit Savings Calculations Tab</v>
      </c>
      <c r="BF216" s="298">
        <f t="shared" si="136"/>
        <v>409.18770952438717</v>
      </c>
      <c r="BG216" s="298">
        <f t="shared" si="136"/>
        <v>409.18770952438717</v>
      </c>
      <c r="BH216" s="298">
        <f t="shared" si="136"/>
        <v>409.18770952438717</v>
      </c>
      <c r="BI216" s="298">
        <f t="shared" si="136"/>
        <v>409.18770952438717</v>
      </c>
      <c r="BJ216" s="298">
        <f t="shared" si="137"/>
        <v>1636.7508380975487</v>
      </c>
      <c r="BK216" s="482">
        <v>3</v>
      </c>
      <c r="BL216" s="482">
        <v>3</v>
      </c>
      <c r="BM216" s="482">
        <f>INDEX('Unit Savings Calculations'!$I$4:$I$421,MATCH('Measure-Level Adjustments Tab'!$A216&amp;"_"&amp;'Measure-Level Adjustments Tab'!$B216,'Unit Savings Calculations'!$A$4:$A$421,0))</f>
        <v>3</v>
      </c>
      <c r="BN216" s="482">
        <f t="shared" si="138"/>
        <v>3</v>
      </c>
      <c r="BO216" s="483">
        <f t="shared" si="139"/>
        <v>409.18770952438717</v>
      </c>
      <c r="BP216" s="483">
        <f t="shared" si="139"/>
        <v>396.55368446660827</v>
      </c>
      <c r="BQ216" s="483">
        <f t="shared" si="139"/>
        <v>420.01687385962617</v>
      </c>
      <c r="BR216" s="483">
        <f t="shared" si="139"/>
        <v>420.01687385962617</v>
      </c>
      <c r="BS216" s="483">
        <f t="shared" si="128"/>
        <v>1645.7751417102479</v>
      </c>
    </row>
    <row r="217" spans="1:71" ht="15.75" customHeight="1">
      <c r="A217" s="292" t="str">
        <f>'Unit Savings Calculations'!C213</f>
        <v>Bus - SB Rebates -PTA</v>
      </c>
      <c r="B217" s="292" t="str">
        <f>'Unit Savings Calculations'!D213</f>
        <v>Condensing Unit Heater</v>
      </c>
      <c r="C217" s="293">
        <f t="shared" si="149"/>
        <v>1</v>
      </c>
      <c r="D217" s="292" t="str">
        <f>'Unit Savings Calculations'!T213</f>
        <v>4.4.5</v>
      </c>
      <c r="E217" s="438">
        <v>12</v>
      </c>
      <c r="F217" s="438">
        <v>12</v>
      </c>
      <c r="G217" s="292" t="str">
        <f>'Unit Savings Calculations'!E213</f>
        <v>MBH</v>
      </c>
      <c r="H217" s="294">
        <f>'Unit Savings Calculations'!$F213*'Unit Savings Calculations'!J213</f>
        <v>0</v>
      </c>
      <c r="I217" s="294">
        <f>'Unit Savings Calculations'!$F213*'Unit Savings Calculations'!K213</f>
        <v>0</v>
      </c>
      <c r="J217" s="294">
        <f>'Unit Savings Calculations'!$F213*'Unit Savings Calculations'!L213</f>
        <v>0</v>
      </c>
      <c r="K217" s="294">
        <f>'Unit Savings Calculations'!$F213*'Unit Savings Calculations'!M213</f>
        <v>0</v>
      </c>
      <c r="L217" s="292" t="str">
        <f>'Unit Savings Calculations'!U213</f>
        <v>CI-HVC-CUHT-V01-120601</v>
      </c>
      <c r="M217" s="383" t="str">
        <f>'Unit Savings Calculations'!R213</f>
        <v>Exhibit 1.5A_R North Shore EEPS_Adjustable_Savings_Goal_Template.xlsx, Unit Savings Calculations Tab</v>
      </c>
      <c r="N217" s="295">
        <v>1.7733333333333334</v>
      </c>
      <c r="O217" s="295">
        <v>1.7733333333333334</v>
      </c>
      <c r="P217" s="295">
        <v>1.7733333333333334</v>
      </c>
      <c r="Q217" s="295">
        <v>1.7733333333333334</v>
      </c>
      <c r="R217" s="296">
        <f>'Unit Savings Calculations'!$G213</f>
        <v>0.92</v>
      </c>
      <c r="S217" s="296">
        <f>'Unit Savings Calculations'!$G213</f>
        <v>0.92</v>
      </c>
      <c r="T217" s="296">
        <f>'Unit Savings Calculations'!$G213</f>
        <v>0.92</v>
      </c>
      <c r="U217" s="296">
        <f>'Unit Savings Calculations'!$G213</f>
        <v>0.92</v>
      </c>
      <c r="V217" s="297">
        <f t="shared" si="123"/>
        <v>0</v>
      </c>
      <c r="W217" s="297">
        <f t="shared" si="124"/>
        <v>0</v>
      </c>
      <c r="X217" s="297">
        <f t="shared" si="125"/>
        <v>0</v>
      </c>
      <c r="Y217" s="297">
        <f t="shared" si="126"/>
        <v>0</v>
      </c>
      <c r="Z217" s="297">
        <f t="shared" si="127"/>
        <v>0</v>
      </c>
      <c r="AA217" s="292"/>
      <c r="AB217" s="292"/>
      <c r="AC217" s="295">
        <v>1.7733333333333334</v>
      </c>
      <c r="AD217" s="292"/>
      <c r="AE217" s="297">
        <f t="shared" si="140"/>
        <v>0</v>
      </c>
      <c r="AF217" s="294">
        <f t="shared" si="141"/>
        <v>0</v>
      </c>
      <c r="AG217" s="292"/>
      <c r="AH217" s="292">
        <f t="shared" si="142"/>
        <v>0</v>
      </c>
      <c r="AI217" s="295">
        <v>1.7733333333333334</v>
      </c>
      <c r="AJ217" s="383" t="s">
        <v>878</v>
      </c>
      <c r="AK217" s="297">
        <f t="shared" si="143"/>
        <v>0</v>
      </c>
      <c r="AL217" s="294">
        <f t="shared" si="144"/>
        <v>0</v>
      </c>
      <c r="AM217" s="292"/>
      <c r="AN217" s="292"/>
      <c r="AO217" s="295">
        <f>'Unit Savings Calculations'!P213</f>
        <v>1.7733333333333334</v>
      </c>
      <c r="AP217" s="383" t="s">
        <v>763</v>
      </c>
      <c r="AQ217" s="297">
        <f t="shared" si="145"/>
        <v>0</v>
      </c>
      <c r="AR217" s="294">
        <f t="shared" si="146"/>
        <v>0</v>
      </c>
      <c r="AS217" s="292"/>
      <c r="AT217" s="292"/>
      <c r="AU217" s="295">
        <f>'Unit Savings Calculations'!Q213</f>
        <v>1.7733333333333334</v>
      </c>
      <c r="AV217" s="383" t="str">
        <f t="shared" si="129"/>
        <v>n/a</v>
      </c>
      <c r="AW217" s="297">
        <f t="shared" si="147"/>
        <v>0</v>
      </c>
      <c r="AX217" s="294">
        <f t="shared" si="148"/>
        <v>0</v>
      </c>
      <c r="AY217" s="297">
        <f t="shared" si="130"/>
        <v>0</v>
      </c>
      <c r="AZ217" s="297">
        <f t="shared" si="131"/>
        <v>0</v>
      </c>
      <c r="BA217" s="297">
        <f t="shared" si="132"/>
        <v>0</v>
      </c>
      <c r="BB217" s="297">
        <f t="shared" si="133"/>
        <v>0</v>
      </c>
      <c r="BC217" s="298">
        <f t="shared" si="134"/>
        <v>0</v>
      </c>
      <c r="BD217" s="292" t="s">
        <v>763</v>
      </c>
      <c r="BE217" s="299" t="str">
        <f t="shared" si="135"/>
        <v>Exhibit 1.5A_R North Shore EEPS_Adjustable_Savings_Goal_Template.xlsx, Unit Savings Calculations Tab</v>
      </c>
      <c r="BF217" s="298">
        <f t="shared" si="136"/>
        <v>0</v>
      </c>
      <c r="BG217" s="298">
        <f t="shared" si="136"/>
        <v>0</v>
      </c>
      <c r="BH217" s="298">
        <f t="shared" si="136"/>
        <v>0</v>
      </c>
      <c r="BI217" s="298">
        <f t="shared" si="136"/>
        <v>0</v>
      </c>
      <c r="BJ217" s="298">
        <f t="shared" si="137"/>
        <v>0</v>
      </c>
      <c r="BK217" s="482">
        <v>12</v>
      </c>
      <c r="BL217" s="482">
        <v>12</v>
      </c>
      <c r="BM217" s="482">
        <f>INDEX('Unit Savings Calculations'!$I$4:$I$421,MATCH('Measure-Level Adjustments Tab'!$A217&amp;"_"&amp;'Measure-Level Adjustments Tab'!$B217,'Unit Savings Calculations'!$A$4:$A$421,0))</f>
        <v>12</v>
      </c>
      <c r="BN217" s="482">
        <f t="shared" si="138"/>
        <v>12</v>
      </c>
      <c r="BO217" s="483">
        <f t="shared" si="139"/>
        <v>0</v>
      </c>
      <c r="BP217" s="483">
        <f t="shared" si="139"/>
        <v>0</v>
      </c>
      <c r="BQ217" s="483">
        <f t="shared" si="139"/>
        <v>0</v>
      </c>
      <c r="BR217" s="483">
        <f t="shared" si="139"/>
        <v>0</v>
      </c>
      <c r="BS217" s="483">
        <f t="shared" si="128"/>
        <v>0</v>
      </c>
    </row>
    <row r="218" spans="1:71" ht="15.75" customHeight="1">
      <c r="A218" s="292" t="str">
        <f>'Unit Savings Calculations'!C214</f>
        <v>Bus - SB Rebates -PTA</v>
      </c>
      <c r="B218" s="292" t="str">
        <f>'Unit Savings Calculations'!D214</f>
        <v>DCV - Kitchen</v>
      </c>
      <c r="C218" s="293">
        <f t="shared" si="149"/>
        <v>1</v>
      </c>
      <c r="D218" s="292" t="str">
        <f>'Unit Savings Calculations'!T214</f>
        <v>4.2.16</v>
      </c>
      <c r="E218" s="438">
        <v>15</v>
      </c>
      <c r="F218" s="438">
        <v>15</v>
      </c>
      <c r="G218" s="292" t="str">
        <f>'Unit Savings Calculations'!E214</f>
        <v>each</v>
      </c>
      <c r="H218" s="294">
        <f>'Unit Savings Calculations'!$F214*'Unit Savings Calculations'!J214</f>
        <v>0</v>
      </c>
      <c r="I218" s="294">
        <f>'Unit Savings Calculations'!$F214*'Unit Savings Calculations'!K214</f>
        <v>0</v>
      </c>
      <c r="J218" s="294">
        <f>'Unit Savings Calculations'!$F214*'Unit Savings Calculations'!L214</f>
        <v>0</v>
      </c>
      <c r="K218" s="294">
        <f>'Unit Savings Calculations'!$F214*'Unit Savings Calculations'!M214</f>
        <v>0</v>
      </c>
      <c r="L218" s="292" t="str">
        <f>'Unit Savings Calculations'!U214</f>
        <v>CI-FSE-VENT-V03-160601</v>
      </c>
      <c r="M218" s="383" t="str">
        <f>'Unit Savings Calculations'!R214</f>
        <v>Exhibit 1.5A_R North Shore EEPS_Adjustable_Savings_Goal_Template.xlsx, Unit Savings Calculations Tab</v>
      </c>
      <c r="N218" s="295">
        <v>5998.5</v>
      </c>
      <c r="O218" s="295">
        <v>5998.5</v>
      </c>
      <c r="P218" s="295">
        <v>5998.5</v>
      </c>
      <c r="Q218" s="295">
        <v>5998.5</v>
      </c>
      <c r="R218" s="296">
        <f>'Unit Savings Calculations'!$G214</f>
        <v>0.92</v>
      </c>
      <c r="S218" s="296">
        <f>'Unit Savings Calculations'!$G214</f>
        <v>0.92</v>
      </c>
      <c r="T218" s="296">
        <f>'Unit Savings Calculations'!$G214</f>
        <v>0.92</v>
      </c>
      <c r="U218" s="296">
        <f>'Unit Savings Calculations'!$G214</f>
        <v>0.92</v>
      </c>
      <c r="V218" s="297">
        <f t="shared" si="123"/>
        <v>0</v>
      </c>
      <c r="W218" s="297">
        <f t="shared" si="124"/>
        <v>0</v>
      </c>
      <c r="X218" s="297">
        <f t="shared" si="125"/>
        <v>0</v>
      </c>
      <c r="Y218" s="297">
        <f t="shared" si="126"/>
        <v>0</v>
      </c>
      <c r="Z218" s="297">
        <f t="shared" si="127"/>
        <v>0</v>
      </c>
      <c r="AA218" s="292"/>
      <c r="AB218" s="292"/>
      <c r="AC218" s="295">
        <v>5998.5</v>
      </c>
      <c r="AD218" s="292"/>
      <c r="AE218" s="297">
        <f t="shared" si="140"/>
        <v>0</v>
      </c>
      <c r="AF218" s="294">
        <f t="shared" si="141"/>
        <v>0</v>
      </c>
      <c r="AG218" s="292"/>
      <c r="AH218" s="292">
        <f t="shared" si="142"/>
        <v>0</v>
      </c>
      <c r="AI218" s="295">
        <v>5998.5</v>
      </c>
      <c r="AJ218" s="383" t="s">
        <v>878</v>
      </c>
      <c r="AK218" s="297">
        <f t="shared" si="143"/>
        <v>0</v>
      </c>
      <c r="AL218" s="294">
        <f t="shared" si="144"/>
        <v>0</v>
      </c>
      <c r="AM218" s="292"/>
      <c r="AN218" s="292"/>
      <c r="AO218" s="295">
        <f>'Unit Savings Calculations'!P214</f>
        <v>5998.5</v>
      </c>
      <c r="AP218" s="383" t="s">
        <v>763</v>
      </c>
      <c r="AQ218" s="297">
        <f t="shared" si="145"/>
        <v>0</v>
      </c>
      <c r="AR218" s="294">
        <f t="shared" si="146"/>
        <v>0</v>
      </c>
      <c r="AS218" s="292"/>
      <c r="AT218" s="292"/>
      <c r="AU218" s="295">
        <f>'Unit Savings Calculations'!Q214</f>
        <v>5998.5</v>
      </c>
      <c r="AV218" s="383" t="str">
        <f t="shared" si="129"/>
        <v>n/a</v>
      </c>
      <c r="AW218" s="297">
        <f t="shared" si="147"/>
        <v>0</v>
      </c>
      <c r="AX218" s="294">
        <f t="shared" si="148"/>
        <v>0</v>
      </c>
      <c r="AY218" s="297">
        <f t="shared" si="130"/>
        <v>0</v>
      </c>
      <c r="AZ218" s="297">
        <f t="shared" si="131"/>
        <v>0</v>
      </c>
      <c r="BA218" s="297">
        <f t="shared" si="132"/>
        <v>0</v>
      </c>
      <c r="BB218" s="297">
        <f t="shared" si="133"/>
        <v>0</v>
      </c>
      <c r="BC218" s="298">
        <f t="shared" si="134"/>
        <v>0</v>
      </c>
      <c r="BD218" s="292" t="s">
        <v>763</v>
      </c>
      <c r="BE218" s="299" t="str">
        <f t="shared" si="135"/>
        <v>Exhibit 1.5A_R North Shore EEPS_Adjustable_Savings_Goal_Template.xlsx, Unit Savings Calculations Tab</v>
      </c>
      <c r="BF218" s="298">
        <f t="shared" si="136"/>
        <v>0</v>
      </c>
      <c r="BG218" s="298">
        <f t="shared" si="136"/>
        <v>0</v>
      </c>
      <c r="BH218" s="298">
        <f t="shared" si="136"/>
        <v>0</v>
      </c>
      <c r="BI218" s="298">
        <f t="shared" si="136"/>
        <v>0</v>
      </c>
      <c r="BJ218" s="298">
        <f t="shared" si="137"/>
        <v>0</v>
      </c>
      <c r="BK218" s="482">
        <v>15</v>
      </c>
      <c r="BL218" s="482">
        <v>15</v>
      </c>
      <c r="BM218" s="482">
        <f>INDEX('Unit Savings Calculations'!$I$4:$I$421,MATCH('Measure-Level Adjustments Tab'!$A218&amp;"_"&amp;'Measure-Level Adjustments Tab'!$B218,'Unit Savings Calculations'!$A$4:$A$421,0))</f>
        <v>15</v>
      </c>
      <c r="BN218" s="482">
        <f t="shared" si="138"/>
        <v>15</v>
      </c>
      <c r="BO218" s="483">
        <f t="shared" si="139"/>
        <v>0</v>
      </c>
      <c r="BP218" s="483">
        <f t="shared" si="139"/>
        <v>0</v>
      </c>
      <c r="BQ218" s="483">
        <f t="shared" si="139"/>
        <v>0</v>
      </c>
      <c r="BR218" s="483">
        <f t="shared" si="139"/>
        <v>0</v>
      </c>
      <c r="BS218" s="483">
        <f t="shared" si="128"/>
        <v>0</v>
      </c>
    </row>
    <row r="219" spans="1:71" ht="15.75" customHeight="1">
      <c r="A219" s="292" t="str">
        <f>'Unit Savings Calculations'!C215</f>
        <v>Bus - SB Rebates -PTA</v>
      </c>
      <c r="B219" s="292" t="str">
        <f>'Unit Savings Calculations'!D215</f>
        <v>Direct Fired Heaters</v>
      </c>
      <c r="C219" s="293">
        <f t="shared" si="149"/>
        <v>0</v>
      </c>
      <c r="D219" s="292" t="str">
        <f>'Unit Savings Calculations'!T215</f>
        <v>Custom</v>
      </c>
      <c r="E219" s="438">
        <v>20</v>
      </c>
      <c r="F219" s="438">
        <v>20</v>
      </c>
      <c r="G219" s="292" t="str">
        <f>'Unit Savings Calculations'!E215</f>
        <v>MBH</v>
      </c>
      <c r="H219" s="294">
        <f>'Unit Savings Calculations'!$F215*'Unit Savings Calculations'!J215</f>
        <v>0</v>
      </c>
      <c r="I219" s="294">
        <f>'Unit Savings Calculations'!$F215*'Unit Savings Calculations'!K215</f>
        <v>0</v>
      </c>
      <c r="J219" s="294">
        <f>'Unit Savings Calculations'!$F215*'Unit Savings Calculations'!L215</f>
        <v>0</v>
      </c>
      <c r="K219" s="294">
        <f>'Unit Savings Calculations'!$F215*'Unit Savings Calculations'!M215</f>
        <v>0</v>
      </c>
      <c r="L219" s="292" t="str">
        <f>'Unit Savings Calculations'!U215</f>
        <v>Custom</v>
      </c>
      <c r="M219" s="383" t="str">
        <f>'Unit Savings Calculations'!R215</f>
        <v>Custom</v>
      </c>
      <c r="N219" s="295">
        <v>2.3084999999999987</v>
      </c>
      <c r="O219" s="295">
        <v>2.3084999999999987</v>
      </c>
      <c r="P219" s="295">
        <v>2.3084999999999987</v>
      </c>
      <c r="Q219" s="295">
        <v>2.3084999999999987</v>
      </c>
      <c r="R219" s="296">
        <f>'Unit Savings Calculations'!$G215</f>
        <v>0.92</v>
      </c>
      <c r="S219" s="296">
        <f>'Unit Savings Calculations'!$G215</f>
        <v>0.92</v>
      </c>
      <c r="T219" s="296">
        <f>'Unit Savings Calculations'!$G215</f>
        <v>0.92</v>
      </c>
      <c r="U219" s="296">
        <f>'Unit Savings Calculations'!$G215</f>
        <v>0.92</v>
      </c>
      <c r="V219" s="297">
        <f t="shared" si="123"/>
        <v>0</v>
      </c>
      <c r="W219" s="297">
        <f t="shared" si="124"/>
        <v>0</v>
      </c>
      <c r="X219" s="297">
        <f t="shared" si="125"/>
        <v>0</v>
      </c>
      <c r="Y219" s="297">
        <f t="shared" si="126"/>
        <v>0</v>
      </c>
      <c r="Z219" s="297">
        <f t="shared" si="127"/>
        <v>0</v>
      </c>
      <c r="AA219" s="384"/>
      <c r="AB219" s="384"/>
      <c r="AC219" s="387">
        <v>2.3084999999999987</v>
      </c>
      <c r="AD219" s="384"/>
      <c r="AE219" s="385">
        <f t="shared" si="140"/>
        <v>0</v>
      </c>
      <c r="AF219" s="386">
        <f t="shared" si="141"/>
        <v>0</v>
      </c>
      <c r="AG219" s="384"/>
      <c r="AH219" s="384">
        <f t="shared" si="142"/>
        <v>0</v>
      </c>
      <c r="AI219" s="387">
        <v>2.3084999999999987</v>
      </c>
      <c r="AJ219" s="435" t="s">
        <v>878</v>
      </c>
      <c r="AK219" s="385">
        <f t="shared" si="143"/>
        <v>0</v>
      </c>
      <c r="AL219" s="386">
        <f t="shared" si="144"/>
        <v>0</v>
      </c>
      <c r="AM219" s="384"/>
      <c r="AN219" s="384"/>
      <c r="AO219" s="387">
        <f>'Unit Savings Calculations'!P215</f>
        <v>2.5169999999999986</v>
      </c>
      <c r="AP219" s="435" t="s">
        <v>1441</v>
      </c>
      <c r="AQ219" s="385">
        <f t="shared" si="145"/>
        <v>0</v>
      </c>
      <c r="AR219" s="386">
        <f t="shared" si="146"/>
        <v>0</v>
      </c>
      <c r="AS219" s="384"/>
      <c r="AT219" s="384"/>
      <c r="AU219" s="387">
        <f>'Unit Savings Calculations'!Q215</f>
        <v>2.5169999999999986</v>
      </c>
      <c r="AV219" s="435" t="str">
        <f t="shared" si="129"/>
        <v>Updated heating EFLH</v>
      </c>
      <c r="AW219" s="385">
        <f t="shared" si="147"/>
        <v>0</v>
      </c>
      <c r="AX219" s="386">
        <f t="shared" si="148"/>
        <v>0</v>
      </c>
      <c r="AY219" s="297">
        <f t="shared" si="130"/>
        <v>0</v>
      </c>
      <c r="AZ219" s="297">
        <f t="shared" si="131"/>
        <v>0</v>
      </c>
      <c r="BA219" s="297">
        <f t="shared" si="132"/>
        <v>0</v>
      </c>
      <c r="BB219" s="297">
        <f t="shared" si="133"/>
        <v>0</v>
      </c>
      <c r="BC219" s="298">
        <f t="shared" si="134"/>
        <v>0</v>
      </c>
      <c r="BD219" s="292" t="s">
        <v>763</v>
      </c>
      <c r="BE219" s="299" t="str">
        <f t="shared" si="135"/>
        <v>Custom</v>
      </c>
      <c r="BF219" s="298">
        <f t="shared" si="136"/>
        <v>0</v>
      </c>
      <c r="BG219" s="298">
        <f t="shared" si="136"/>
        <v>0</v>
      </c>
      <c r="BH219" s="298">
        <f t="shared" si="136"/>
        <v>0</v>
      </c>
      <c r="BI219" s="298">
        <f t="shared" si="136"/>
        <v>0</v>
      </c>
      <c r="BJ219" s="298">
        <f t="shared" si="137"/>
        <v>0</v>
      </c>
      <c r="BK219" s="482">
        <v>20</v>
      </c>
      <c r="BL219" s="482">
        <v>20</v>
      </c>
      <c r="BM219" s="482">
        <f>INDEX('Unit Savings Calculations'!$I$4:$I$421,MATCH('Measure-Level Adjustments Tab'!$A219&amp;"_"&amp;'Measure-Level Adjustments Tab'!$B219,'Unit Savings Calculations'!$A$4:$A$421,0))</f>
        <v>20</v>
      </c>
      <c r="BN219" s="482">
        <f t="shared" si="138"/>
        <v>20</v>
      </c>
      <c r="BO219" s="483">
        <f t="shared" si="139"/>
        <v>0</v>
      </c>
      <c r="BP219" s="483">
        <f t="shared" si="139"/>
        <v>0</v>
      </c>
      <c r="BQ219" s="483">
        <f t="shared" si="139"/>
        <v>0</v>
      </c>
      <c r="BR219" s="483">
        <f t="shared" si="139"/>
        <v>0</v>
      </c>
      <c r="BS219" s="483">
        <f t="shared" si="128"/>
        <v>0</v>
      </c>
    </row>
    <row r="220" spans="1:71" ht="15.75" customHeight="1">
      <c r="A220" s="292" t="str">
        <f>'Unit Savings Calculations'!C216</f>
        <v>Bus - SB Rebates -PTA</v>
      </c>
      <c r="B220" s="292" t="str">
        <f>'Unit Savings Calculations'!D216</f>
        <v>High Speed Washer - Hotel/Motel/Hospital</v>
      </c>
      <c r="C220" s="293">
        <f t="shared" si="149"/>
        <v>1</v>
      </c>
      <c r="D220" s="292" t="str">
        <f>'Unit Savings Calculations'!T216</f>
        <v>4.8.5</v>
      </c>
      <c r="E220" s="438">
        <v>7</v>
      </c>
      <c r="F220" s="438">
        <v>7</v>
      </c>
      <c r="G220" s="292" t="str">
        <f>'Unit Savings Calculations'!E216</f>
        <v>lb-capacity</v>
      </c>
      <c r="H220" s="294">
        <f>'Unit Savings Calculations'!$F216*'Unit Savings Calculations'!J216</f>
        <v>1000</v>
      </c>
      <c r="I220" s="294">
        <f>'Unit Savings Calculations'!$F216*'Unit Savings Calculations'!K216</f>
        <v>1000</v>
      </c>
      <c r="J220" s="294">
        <f>'Unit Savings Calculations'!$F216*'Unit Savings Calculations'!L216</f>
        <v>1000</v>
      </c>
      <c r="K220" s="294">
        <f>'Unit Savings Calculations'!$F216*'Unit Savings Calculations'!M216</f>
        <v>1000</v>
      </c>
      <c r="L220" s="292" t="str">
        <f>'Unit Savings Calculations'!U216</f>
        <v>CI-MSC-HSCW-V01-180101</v>
      </c>
      <c r="M220" s="383" t="str">
        <f>'Unit Savings Calculations'!R216</f>
        <v>Exhibit 1.5A_R North Shore EEPS_Adjustable_Savings_Goal_Template.xlsx, Unit Savings Calculations Tab</v>
      </c>
      <c r="N220" s="295">
        <v>11.243232000000003</v>
      </c>
      <c r="O220" s="295">
        <v>11.243232000000003</v>
      </c>
      <c r="P220" s="295">
        <v>11.243232000000003</v>
      </c>
      <c r="Q220" s="295">
        <v>11.243232000000003</v>
      </c>
      <c r="R220" s="296">
        <f>'Unit Savings Calculations'!$G216</f>
        <v>0.92</v>
      </c>
      <c r="S220" s="296">
        <f>'Unit Savings Calculations'!$G216</f>
        <v>0.92</v>
      </c>
      <c r="T220" s="296">
        <f>'Unit Savings Calculations'!$G216</f>
        <v>0.92</v>
      </c>
      <c r="U220" s="296">
        <f>'Unit Savings Calculations'!$G216</f>
        <v>0.92</v>
      </c>
      <c r="V220" s="297">
        <f t="shared" si="123"/>
        <v>10343.773440000003</v>
      </c>
      <c r="W220" s="297">
        <f t="shared" si="124"/>
        <v>10343.773440000003</v>
      </c>
      <c r="X220" s="297">
        <f t="shared" si="125"/>
        <v>10343.773440000003</v>
      </c>
      <c r="Y220" s="297">
        <f t="shared" si="126"/>
        <v>10343.773440000003</v>
      </c>
      <c r="Z220" s="297">
        <f t="shared" si="127"/>
        <v>41375.093760000011</v>
      </c>
      <c r="AA220" s="292"/>
      <c r="AB220" s="292"/>
      <c r="AC220" s="295">
        <v>11.243232000000003</v>
      </c>
      <c r="AD220" s="292"/>
      <c r="AE220" s="297">
        <f t="shared" si="140"/>
        <v>10343.773440000003</v>
      </c>
      <c r="AF220" s="294">
        <f t="shared" si="141"/>
        <v>0</v>
      </c>
      <c r="AG220" s="292"/>
      <c r="AH220" s="292">
        <f t="shared" si="142"/>
        <v>0</v>
      </c>
      <c r="AI220" s="295">
        <v>11.243232000000003</v>
      </c>
      <c r="AJ220" s="383" t="s">
        <v>878</v>
      </c>
      <c r="AK220" s="297">
        <f t="shared" si="143"/>
        <v>10343.773440000003</v>
      </c>
      <c r="AL220" s="294">
        <f t="shared" si="144"/>
        <v>0</v>
      </c>
      <c r="AM220" s="292"/>
      <c r="AN220" s="292"/>
      <c r="AO220" s="295">
        <f>'Unit Savings Calculations'!P216</f>
        <v>11.243232000000003</v>
      </c>
      <c r="AP220" s="383" t="s">
        <v>763</v>
      </c>
      <c r="AQ220" s="297">
        <f t="shared" si="145"/>
        <v>10343.773440000003</v>
      </c>
      <c r="AR220" s="294">
        <f t="shared" si="146"/>
        <v>0</v>
      </c>
      <c r="AS220" s="292"/>
      <c r="AT220" s="292"/>
      <c r="AU220" s="295">
        <f>'Unit Savings Calculations'!Q216</f>
        <v>11.243232000000003</v>
      </c>
      <c r="AV220" s="383" t="str">
        <f t="shared" si="129"/>
        <v>n/a</v>
      </c>
      <c r="AW220" s="297">
        <f t="shared" si="147"/>
        <v>10343.773440000003</v>
      </c>
      <c r="AX220" s="294">
        <f t="shared" si="148"/>
        <v>0</v>
      </c>
      <c r="AY220" s="297">
        <f t="shared" si="130"/>
        <v>10343.773440000003</v>
      </c>
      <c r="AZ220" s="297">
        <f t="shared" si="131"/>
        <v>10343.773440000003</v>
      </c>
      <c r="BA220" s="297">
        <f t="shared" si="132"/>
        <v>10343.773440000003</v>
      </c>
      <c r="BB220" s="297">
        <f t="shared" si="133"/>
        <v>10343.773440000003</v>
      </c>
      <c r="BC220" s="298">
        <f t="shared" si="134"/>
        <v>41375.093760000011</v>
      </c>
      <c r="BD220" s="292" t="s">
        <v>763</v>
      </c>
      <c r="BE220" s="299" t="str">
        <f t="shared" si="135"/>
        <v>Exhibit 1.5A_R North Shore EEPS_Adjustable_Savings_Goal_Template.xlsx, Unit Savings Calculations Tab</v>
      </c>
      <c r="BF220" s="298">
        <f t="shared" si="136"/>
        <v>72406.414080000017</v>
      </c>
      <c r="BG220" s="298">
        <f t="shared" si="136"/>
        <v>72406.414080000017</v>
      </c>
      <c r="BH220" s="298">
        <f t="shared" si="136"/>
        <v>72406.414080000017</v>
      </c>
      <c r="BI220" s="298">
        <f t="shared" si="136"/>
        <v>72406.414080000017</v>
      </c>
      <c r="BJ220" s="298">
        <f t="shared" si="137"/>
        <v>289625.65632000007</v>
      </c>
      <c r="BK220" s="482">
        <v>7</v>
      </c>
      <c r="BL220" s="482">
        <v>7</v>
      </c>
      <c r="BM220" s="482">
        <f>INDEX('Unit Savings Calculations'!$I$4:$I$421,MATCH('Measure-Level Adjustments Tab'!$A220&amp;"_"&amp;'Measure-Level Adjustments Tab'!$B220,'Unit Savings Calculations'!$A$4:$A$421,0))</f>
        <v>7</v>
      </c>
      <c r="BN220" s="482">
        <f t="shared" si="138"/>
        <v>7</v>
      </c>
      <c r="BO220" s="483">
        <f t="shared" si="139"/>
        <v>72406.414080000017</v>
      </c>
      <c r="BP220" s="483">
        <f t="shared" si="139"/>
        <v>72406.414080000017</v>
      </c>
      <c r="BQ220" s="483">
        <f t="shared" si="139"/>
        <v>72406.414080000017</v>
      </c>
      <c r="BR220" s="483">
        <f t="shared" si="139"/>
        <v>72406.414080000017</v>
      </c>
      <c r="BS220" s="483">
        <f t="shared" si="128"/>
        <v>289625.65632000007</v>
      </c>
    </row>
    <row r="221" spans="1:71" ht="15.75" customHeight="1">
      <c r="A221" s="292" t="str">
        <f>'Unit Savings Calculations'!C217</f>
        <v>Bus - SB Rebates -PTA</v>
      </c>
      <c r="B221" s="292" t="str">
        <f>'Unit Savings Calculations'!D217</f>
        <v>High Speed Washer - Laundromat</v>
      </c>
      <c r="C221" s="293">
        <f t="shared" si="149"/>
        <v>1</v>
      </c>
      <c r="D221" s="292" t="str">
        <f>'Unit Savings Calculations'!T217</f>
        <v>4.8.5</v>
      </c>
      <c r="E221" s="438">
        <v>7</v>
      </c>
      <c r="F221" s="438">
        <v>7</v>
      </c>
      <c r="G221" s="292" t="str">
        <f>'Unit Savings Calculations'!E217</f>
        <v>lb-capacity</v>
      </c>
      <c r="H221" s="294">
        <f>'Unit Savings Calculations'!$F217*'Unit Savings Calculations'!J217</f>
        <v>0</v>
      </c>
      <c r="I221" s="294">
        <f>'Unit Savings Calculations'!$F217*'Unit Savings Calculations'!K217</f>
        <v>0</v>
      </c>
      <c r="J221" s="294">
        <f>'Unit Savings Calculations'!$F217*'Unit Savings Calculations'!L217</f>
        <v>0</v>
      </c>
      <c r="K221" s="294">
        <f>'Unit Savings Calculations'!$F217*'Unit Savings Calculations'!M217</f>
        <v>0</v>
      </c>
      <c r="L221" s="292" t="str">
        <f>'Unit Savings Calculations'!U217</f>
        <v>CI-MSC-HSCW-V01-180101</v>
      </c>
      <c r="M221" s="383" t="str">
        <f>'Unit Savings Calculations'!R217</f>
        <v>Exhibit 1.5A_R North Shore EEPS_Adjustable_Savings_Goal_Template.xlsx, Unit Savings Calculations Tab</v>
      </c>
      <c r="N221" s="295">
        <v>4.648644</v>
      </c>
      <c r="O221" s="295">
        <v>4.648644</v>
      </c>
      <c r="P221" s="295">
        <v>4.648644</v>
      </c>
      <c r="Q221" s="295">
        <v>4.648644</v>
      </c>
      <c r="R221" s="296">
        <f>'Unit Savings Calculations'!$G217</f>
        <v>0.92</v>
      </c>
      <c r="S221" s="296">
        <f>'Unit Savings Calculations'!$G217</f>
        <v>0.92</v>
      </c>
      <c r="T221" s="296">
        <f>'Unit Savings Calculations'!$G217</f>
        <v>0.92</v>
      </c>
      <c r="U221" s="296">
        <f>'Unit Savings Calculations'!$G217</f>
        <v>0.92</v>
      </c>
      <c r="V221" s="297">
        <f t="shared" si="123"/>
        <v>0</v>
      </c>
      <c r="W221" s="297">
        <f t="shared" si="124"/>
        <v>0</v>
      </c>
      <c r="X221" s="297">
        <f t="shared" si="125"/>
        <v>0</v>
      </c>
      <c r="Y221" s="297">
        <f t="shared" si="126"/>
        <v>0</v>
      </c>
      <c r="Z221" s="297">
        <f t="shared" si="127"/>
        <v>0</v>
      </c>
      <c r="AA221" s="292"/>
      <c r="AB221" s="292"/>
      <c r="AC221" s="295">
        <v>4.648644</v>
      </c>
      <c r="AD221" s="292"/>
      <c r="AE221" s="297">
        <f t="shared" si="140"/>
        <v>0</v>
      </c>
      <c r="AF221" s="294">
        <f t="shared" si="141"/>
        <v>0</v>
      </c>
      <c r="AG221" s="292"/>
      <c r="AH221" s="292">
        <f t="shared" si="142"/>
        <v>0</v>
      </c>
      <c r="AI221" s="295">
        <v>4.648644</v>
      </c>
      <c r="AJ221" s="383" t="s">
        <v>878</v>
      </c>
      <c r="AK221" s="297">
        <f t="shared" si="143"/>
        <v>0</v>
      </c>
      <c r="AL221" s="294">
        <f t="shared" si="144"/>
        <v>0</v>
      </c>
      <c r="AM221" s="292"/>
      <c r="AN221" s="292"/>
      <c r="AO221" s="295">
        <f>'Unit Savings Calculations'!P217</f>
        <v>4.648644</v>
      </c>
      <c r="AP221" s="383" t="s">
        <v>763</v>
      </c>
      <c r="AQ221" s="297">
        <f t="shared" si="145"/>
        <v>0</v>
      </c>
      <c r="AR221" s="294">
        <f t="shared" si="146"/>
        <v>0</v>
      </c>
      <c r="AS221" s="292"/>
      <c r="AT221" s="292"/>
      <c r="AU221" s="295">
        <f>'Unit Savings Calculations'!Q217</f>
        <v>4.648644</v>
      </c>
      <c r="AV221" s="383" t="str">
        <f t="shared" si="129"/>
        <v>n/a</v>
      </c>
      <c r="AW221" s="297">
        <f t="shared" si="147"/>
        <v>0</v>
      </c>
      <c r="AX221" s="294">
        <f t="shared" si="148"/>
        <v>0</v>
      </c>
      <c r="AY221" s="297">
        <f t="shared" si="130"/>
        <v>0</v>
      </c>
      <c r="AZ221" s="297">
        <f t="shared" si="131"/>
        <v>0</v>
      </c>
      <c r="BA221" s="297">
        <f t="shared" si="132"/>
        <v>0</v>
      </c>
      <c r="BB221" s="297">
        <f t="shared" si="133"/>
        <v>0</v>
      </c>
      <c r="BC221" s="298">
        <f t="shared" si="134"/>
        <v>0</v>
      </c>
      <c r="BD221" s="292" t="s">
        <v>763</v>
      </c>
      <c r="BE221" s="299" t="str">
        <f t="shared" si="135"/>
        <v>Exhibit 1.5A_R North Shore EEPS_Adjustable_Savings_Goal_Template.xlsx, Unit Savings Calculations Tab</v>
      </c>
      <c r="BF221" s="298">
        <f t="shared" si="136"/>
        <v>0</v>
      </c>
      <c r="BG221" s="298">
        <f t="shared" si="136"/>
        <v>0</v>
      </c>
      <c r="BH221" s="298">
        <f t="shared" si="136"/>
        <v>0</v>
      </c>
      <c r="BI221" s="298">
        <f t="shared" si="136"/>
        <v>0</v>
      </c>
      <c r="BJ221" s="298">
        <f t="shared" si="137"/>
        <v>0</v>
      </c>
      <c r="BK221" s="482">
        <v>7</v>
      </c>
      <c r="BL221" s="482">
        <v>7</v>
      </c>
      <c r="BM221" s="482">
        <f>INDEX('Unit Savings Calculations'!$I$4:$I$421,MATCH('Measure-Level Adjustments Tab'!$A221&amp;"_"&amp;'Measure-Level Adjustments Tab'!$B221,'Unit Savings Calculations'!$A$4:$A$421,0))</f>
        <v>7</v>
      </c>
      <c r="BN221" s="482">
        <f t="shared" si="138"/>
        <v>7</v>
      </c>
      <c r="BO221" s="483">
        <f t="shared" si="139"/>
        <v>0</v>
      </c>
      <c r="BP221" s="483">
        <f t="shared" si="139"/>
        <v>0</v>
      </c>
      <c r="BQ221" s="483">
        <f t="shared" si="139"/>
        <v>0</v>
      </c>
      <c r="BR221" s="483">
        <f t="shared" si="139"/>
        <v>0</v>
      </c>
      <c r="BS221" s="483">
        <f t="shared" si="128"/>
        <v>0</v>
      </c>
    </row>
    <row r="222" spans="1:71" ht="15.75" customHeight="1">
      <c r="A222" s="292" t="str">
        <f>'Unit Savings Calculations'!C218</f>
        <v>Bus - SB Rebates -PTA</v>
      </c>
      <c r="B222" s="292" t="str">
        <f>'Unit Savings Calculations'!D218</f>
        <v>Infrared Heater</v>
      </c>
      <c r="C222" s="293">
        <f t="shared" si="149"/>
        <v>1</v>
      </c>
      <c r="D222" s="292" t="str">
        <f>'Unit Savings Calculations'!T218</f>
        <v>4.4.12</v>
      </c>
      <c r="E222" s="438">
        <v>12</v>
      </c>
      <c r="F222" s="438">
        <v>12</v>
      </c>
      <c r="G222" s="292" t="str">
        <f>'Unit Savings Calculations'!E218</f>
        <v>MBH</v>
      </c>
      <c r="H222" s="294">
        <f>'Unit Savings Calculations'!$F218*'Unit Savings Calculations'!J218</f>
        <v>0</v>
      </c>
      <c r="I222" s="294">
        <f>'Unit Savings Calculations'!$F218*'Unit Savings Calculations'!K218</f>
        <v>0</v>
      </c>
      <c r="J222" s="294">
        <f>'Unit Savings Calculations'!$F218*'Unit Savings Calculations'!L218</f>
        <v>0</v>
      </c>
      <c r="K222" s="294">
        <f>'Unit Savings Calculations'!$F218*'Unit Savings Calculations'!M218</f>
        <v>0</v>
      </c>
      <c r="L222" s="292" t="str">
        <f>'Unit Savings Calculations'!U218</f>
        <v>CI-HVC-IRHT-V01-120601</v>
      </c>
      <c r="M222" s="383" t="str">
        <f>'Unit Savings Calculations'!R218</f>
        <v>Exhibit 1.5A_R North Shore EEPS_Adjustable_Savings_Goal_Template.xlsx, Unit Savings Calculations Tab</v>
      </c>
      <c r="N222" s="295">
        <v>3.0066666666666668</v>
      </c>
      <c r="O222" s="295">
        <v>3.0066666666666668</v>
      </c>
      <c r="P222" s="295">
        <v>3.0066666666666668</v>
      </c>
      <c r="Q222" s="295">
        <v>3.0066666666666668</v>
      </c>
      <c r="R222" s="296">
        <f>'Unit Savings Calculations'!$G218</f>
        <v>0.92</v>
      </c>
      <c r="S222" s="296">
        <f>'Unit Savings Calculations'!$G218</f>
        <v>0.92</v>
      </c>
      <c r="T222" s="296">
        <f>'Unit Savings Calculations'!$G218</f>
        <v>0.92</v>
      </c>
      <c r="U222" s="296">
        <f>'Unit Savings Calculations'!$G218</f>
        <v>0.92</v>
      </c>
      <c r="V222" s="297">
        <f t="shared" ref="V222:V285" si="150">H222*N222*R222</f>
        <v>0</v>
      </c>
      <c r="W222" s="297">
        <f t="shared" ref="W222:W285" si="151">I222*O222*S222</f>
        <v>0</v>
      </c>
      <c r="X222" s="297">
        <f t="shared" ref="X222:X285" si="152">J222*P222*T222</f>
        <v>0</v>
      </c>
      <c r="Y222" s="297">
        <f t="shared" ref="Y222:Y285" si="153">K222*Q222*U222</f>
        <v>0</v>
      </c>
      <c r="Z222" s="297">
        <f t="shared" ref="Z222:Z285" si="154">V222+W222+X222+Y222</f>
        <v>0</v>
      </c>
      <c r="AA222" s="292"/>
      <c r="AB222" s="292"/>
      <c r="AC222" s="295">
        <v>3.0066666666666668</v>
      </c>
      <c r="AD222" s="292"/>
      <c r="AE222" s="297">
        <f t="shared" si="140"/>
        <v>0</v>
      </c>
      <c r="AF222" s="294">
        <f t="shared" si="141"/>
        <v>0</v>
      </c>
      <c r="AG222" s="292"/>
      <c r="AH222" s="292">
        <f t="shared" si="142"/>
        <v>0</v>
      </c>
      <c r="AI222" s="295">
        <v>3.0066666666666668</v>
      </c>
      <c r="AJ222" s="383" t="s">
        <v>878</v>
      </c>
      <c r="AK222" s="297">
        <f t="shared" si="143"/>
        <v>0</v>
      </c>
      <c r="AL222" s="294">
        <f t="shared" si="144"/>
        <v>0</v>
      </c>
      <c r="AM222" s="292"/>
      <c r="AN222" s="292"/>
      <c r="AO222" s="295">
        <f>'Unit Savings Calculations'!P218</f>
        <v>3.0066666666666668</v>
      </c>
      <c r="AP222" s="383" t="s">
        <v>763</v>
      </c>
      <c r="AQ222" s="297">
        <f t="shared" si="145"/>
        <v>0</v>
      </c>
      <c r="AR222" s="294">
        <f t="shared" si="146"/>
        <v>0</v>
      </c>
      <c r="AS222" s="292"/>
      <c r="AT222" s="292"/>
      <c r="AU222" s="295">
        <f>'Unit Savings Calculations'!Q218</f>
        <v>3.0066666666666668</v>
      </c>
      <c r="AV222" s="383" t="str">
        <f t="shared" si="129"/>
        <v>n/a</v>
      </c>
      <c r="AW222" s="297">
        <f t="shared" si="147"/>
        <v>0</v>
      </c>
      <c r="AX222" s="294">
        <f t="shared" si="148"/>
        <v>0</v>
      </c>
      <c r="AY222" s="297">
        <f t="shared" si="130"/>
        <v>0</v>
      </c>
      <c r="AZ222" s="297">
        <f t="shared" si="131"/>
        <v>0</v>
      </c>
      <c r="BA222" s="297">
        <f t="shared" si="132"/>
        <v>0</v>
      </c>
      <c r="BB222" s="297">
        <f t="shared" si="133"/>
        <v>0</v>
      </c>
      <c r="BC222" s="298">
        <f t="shared" si="134"/>
        <v>0</v>
      </c>
      <c r="BD222" s="292" t="s">
        <v>763</v>
      </c>
      <c r="BE222" s="299" t="str">
        <f t="shared" si="135"/>
        <v>Exhibit 1.5A_R North Shore EEPS_Adjustable_Savings_Goal_Template.xlsx, Unit Savings Calculations Tab</v>
      </c>
      <c r="BF222" s="298">
        <f t="shared" si="136"/>
        <v>0</v>
      </c>
      <c r="BG222" s="298">
        <f t="shared" si="136"/>
        <v>0</v>
      </c>
      <c r="BH222" s="298">
        <f t="shared" si="136"/>
        <v>0</v>
      </c>
      <c r="BI222" s="298">
        <f t="shared" si="136"/>
        <v>0</v>
      </c>
      <c r="BJ222" s="298">
        <f t="shared" si="137"/>
        <v>0</v>
      </c>
      <c r="BK222" s="482">
        <v>12</v>
      </c>
      <c r="BL222" s="482">
        <v>12</v>
      </c>
      <c r="BM222" s="482">
        <f>INDEX('Unit Savings Calculations'!$I$4:$I$421,MATCH('Measure-Level Adjustments Tab'!$A222&amp;"_"&amp;'Measure-Level Adjustments Tab'!$B222,'Unit Savings Calculations'!$A$4:$A$421,0))</f>
        <v>12</v>
      </c>
      <c r="BN222" s="482">
        <f t="shared" si="138"/>
        <v>12</v>
      </c>
      <c r="BO222" s="483">
        <f t="shared" si="139"/>
        <v>0</v>
      </c>
      <c r="BP222" s="483">
        <f t="shared" si="139"/>
        <v>0</v>
      </c>
      <c r="BQ222" s="483">
        <f t="shared" si="139"/>
        <v>0</v>
      </c>
      <c r="BR222" s="483">
        <f t="shared" si="139"/>
        <v>0</v>
      </c>
      <c r="BS222" s="483">
        <f t="shared" si="128"/>
        <v>0</v>
      </c>
    </row>
    <row r="223" spans="1:71" ht="15.75" customHeight="1">
      <c r="A223" s="292" t="str">
        <f>'Unit Savings Calculations'!C219</f>
        <v>Bus - SB Rebates -PTA</v>
      </c>
      <c r="B223" s="292" t="str">
        <f>'Unit Savings Calculations'!D219</f>
        <v>Modulating Commercial Gas Clothes Dryer</v>
      </c>
      <c r="C223" s="293">
        <f t="shared" si="149"/>
        <v>1</v>
      </c>
      <c r="D223" s="292" t="str">
        <f>'Unit Savings Calculations'!T219</f>
        <v>4.8.4</v>
      </c>
      <c r="E223" s="438">
        <v>14</v>
      </c>
      <c r="F223" s="438">
        <v>14</v>
      </c>
      <c r="G223" s="292" t="str">
        <f>'Unit Savings Calculations'!E219</f>
        <v>each</v>
      </c>
      <c r="H223" s="294">
        <f>'Unit Savings Calculations'!$F219*'Unit Savings Calculations'!J219</f>
        <v>0</v>
      </c>
      <c r="I223" s="294">
        <f>'Unit Savings Calculations'!$F219*'Unit Savings Calculations'!K219</f>
        <v>0</v>
      </c>
      <c r="J223" s="294">
        <f>'Unit Savings Calculations'!$F219*'Unit Savings Calculations'!L219</f>
        <v>0</v>
      </c>
      <c r="K223" s="294">
        <f>'Unit Savings Calculations'!$F219*'Unit Savings Calculations'!M219</f>
        <v>0</v>
      </c>
      <c r="L223" s="292" t="str">
        <f>'Unit Savings Calculations'!U219</f>
        <v>CI-MSC-MODD-V01-160601</v>
      </c>
      <c r="M223" s="383" t="str">
        <f>'Unit Savings Calculations'!R219</f>
        <v>Exhibit 1.5A_R North Shore EEPS_Adjustable_Savings_Goal_Template.xlsx, Unit Savings Calculations Tab</v>
      </c>
      <c r="N223" s="295">
        <v>266.94</v>
      </c>
      <c r="O223" s="295">
        <v>266.94</v>
      </c>
      <c r="P223" s="295">
        <v>266.94</v>
      </c>
      <c r="Q223" s="295">
        <v>266.94</v>
      </c>
      <c r="R223" s="296">
        <f>'Unit Savings Calculations'!$G219</f>
        <v>0.92</v>
      </c>
      <c r="S223" s="296">
        <f>'Unit Savings Calculations'!$G219</f>
        <v>0.92</v>
      </c>
      <c r="T223" s="296">
        <f>'Unit Savings Calculations'!$G219</f>
        <v>0.92</v>
      </c>
      <c r="U223" s="296">
        <f>'Unit Savings Calculations'!$G219</f>
        <v>0.92</v>
      </c>
      <c r="V223" s="297">
        <f t="shared" si="150"/>
        <v>0</v>
      </c>
      <c r="W223" s="297">
        <f t="shared" si="151"/>
        <v>0</v>
      </c>
      <c r="X223" s="297">
        <f t="shared" si="152"/>
        <v>0</v>
      </c>
      <c r="Y223" s="297">
        <f t="shared" si="153"/>
        <v>0</v>
      </c>
      <c r="Z223" s="297">
        <f t="shared" si="154"/>
        <v>0</v>
      </c>
      <c r="AA223" s="292"/>
      <c r="AB223" s="292"/>
      <c r="AC223" s="295">
        <v>266.94</v>
      </c>
      <c r="AD223" s="292"/>
      <c r="AE223" s="297">
        <f t="shared" si="140"/>
        <v>0</v>
      </c>
      <c r="AF223" s="294">
        <f t="shared" si="141"/>
        <v>0</v>
      </c>
      <c r="AG223" s="292"/>
      <c r="AH223" s="292">
        <f t="shared" si="142"/>
        <v>0</v>
      </c>
      <c r="AI223" s="295">
        <v>266.94</v>
      </c>
      <c r="AJ223" s="383" t="s">
        <v>878</v>
      </c>
      <c r="AK223" s="297">
        <f t="shared" si="143"/>
        <v>0</v>
      </c>
      <c r="AL223" s="294">
        <f t="shared" si="144"/>
        <v>0</v>
      </c>
      <c r="AM223" s="292"/>
      <c r="AN223" s="292"/>
      <c r="AO223" s="295">
        <f>'Unit Savings Calculations'!P219</f>
        <v>266.94</v>
      </c>
      <c r="AP223" s="383" t="s">
        <v>763</v>
      </c>
      <c r="AQ223" s="297">
        <f t="shared" si="145"/>
        <v>0</v>
      </c>
      <c r="AR223" s="294">
        <f t="shared" si="146"/>
        <v>0</v>
      </c>
      <c r="AS223" s="292"/>
      <c r="AT223" s="292"/>
      <c r="AU223" s="295">
        <f>'Unit Savings Calculations'!Q219</f>
        <v>266.94</v>
      </c>
      <c r="AV223" s="383" t="str">
        <f t="shared" si="129"/>
        <v>n/a</v>
      </c>
      <c r="AW223" s="297">
        <f t="shared" si="147"/>
        <v>0</v>
      </c>
      <c r="AX223" s="294">
        <f t="shared" si="148"/>
        <v>0</v>
      </c>
      <c r="AY223" s="297">
        <f t="shared" si="130"/>
        <v>0</v>
      </c>
      <c r="AZ223" s="297">
        <f t="shared" si="131"/>
        <v>0</v>
      </c>
      <c r="BA223" s="297">
        <f t="shared" si="132"/>
        <v>0</v>
      </c>
      <c r="BB223" s="297">
        <f t="shared" si="133"/>
        <v>0</v>
      </c>
      <c r="BC223" s="298">
        <f t="shared" si="134"/>
        <v>0</v>
      </c>
      <c r="BD223" s="292" t="s">
        <v>763</v>
      </c>
      <c r="BE223" s="299" t="str">
        <f t="shared" si="135"/>
        <v>Exhibit 1.5A_R North Shore EEPS_Adjustable_Savings_Goal_Template.xlsx, Unit Savings Calculations Tab</v>
      </c>
      <c r="BF223" s="298">
        <f t="shared" si="136"/>
        <v>0</v>
      </c>
      <c r="BG223" s="298">
        <f t="shared" si="136"/>
        <v>0</v>
      </c>
      <c r="BH223" s="298">
        <f t="shared" si="136"/>
        <v>0</v>
      </c>
      <c r="BI223" s="298">
        <f t="shared" si="136"/>
        <v>0</v>
      </c>
      <c r="BJ223" s="298">
        <f t="shared" si="137"/>
        <v>0</v>
      </c>
      <c r="BK223" s="482">
        <v>14</v>
      </c>
      <c r="BL223" s="482">
        <v>14</v>
      </c>
      <c r="BM223" s="482">
        <f>INDEX('Unit Savings Calculations'!$I$4:$I$421,MATCH('Measure-Level Adjustments Tab'!$A223&amp;"_"&amp;'Measure-Level Adjustments Tab'!$B223,'Unit Savings Calculations'!$A$4:$A$421,0))</f>
        <v>14</v>
      </c>
      <c r="BN223" s="482">
        <f t="shared" si="138"/>
        <v>14</v>
      </c>
      <c r="BO223" s="483">
        <f t="shared" si="139"/>
        <v>0</v>
      </c>
      <c r="BP223" s="483">
        <f t="shared" si="139"/>
        <v>0</v>
      </c>
      <c r="BQ223" s="483">
        <f t="shared" si="139"/>
        <v>0</v>
      </c>
      <c r="BR223" s="483">
        <f t="shared" si="139"/>
        <v>0</v>
      </c>
      <c r="BS223" s="483">
        <f t="shared" si="128"/>
        <v>0</v>
      </c>
    </row>
    <row r="224" spans="1:71" ht="15.75" customHeight="1">
      <c r="A224" s="292" t="str">
        <f>'Unit Savings Calculations'!C220</f>
        <v>Bus - SB Rebates -PTA</v>
      </c>
      <c r="B224" s="292" t="str">
        <f>'Unit Savings Calculations'!D220</f>
        <v>Ozone Laundry</v>
      </c>
      <c r="C224" s="293">
        <f t="shared" si="149"/>
        <v>1</v>
      </c>
      <c r="D224" s="292" t="str">
        <f>'Unit Savings Calculations'!T220</f>
        <v>4.3.6</v>
      </c>
      <c r="E224" s="438">
        <v>10</v>
      </c>
      <c r="F224" s="438">
        <v>10</v>
      </c>
      <c r="G224" s="292" t="str">
        <f>'Unit Savings Calculations'!E220</f>
        <v>lb-capacity</v>
      </c>
      <c r="H224" s="294">
        <f>'Unit Savings Calculations'!$F220*'Unit Savings Calculations'!J220</f>
        <v>0</v>
      </c>
      <c r="I224" s="294">
        <f>'Unit Savings Calculations'!$F220*'Unit Savings Calculations'!K220</f>
        <v>0</v>
      </c>
      <c r="J224" s="294">
        <f>'Unit Savings Calculations'!$F220*'Unit Savings Calculations'!L220</f>
        <v>0</v>
      </c>
      <c r="K224" s="294">
        <f>'Unit Savings Calculations'!$F220*'Unit Savings Calculations'!M220</f>
        <v>0</v>
      </c>
      <c r="L224" s="292" t="str">
        <f>'Unit Savings Calculations'!U220</f>
        <v>CI-HW-OZLD-VO1-140601</v>
      </c>
      <c r="M224" s="383" t="str">
        <f>'Unit Savings Calculations'!R220</f>
        <v>Exhibit 1.5A_R North Shore EEPS_Adjustable_Savings_Goal_Template.xlsx, Unit Savings Calculations Tab</v>
      </c>
      <c r="N224" s="295">
        <v>30.722664192350027</v>
      </c>
      <c r="O224" s="295">
        <v>30.722664192350027</v>
      </c>
      <c r="P224" s="295">
        <v>30.722664192350027</v>
      </c>
      <c r="Q224" s="295">
        <v>30.722664192350027</v>
      </c>
      <c r="R224" s="296">
        <f>'Unit Savings Calculations'!$G220</f>
        <v>0.92</v>
      </c>
      <c r="S224" s="296">
        <f>'Unit Savings Calculations'!$G220</f>
        <v>0.92</v>
      </c>
      <c r="T224" s="296">
        <f>'Unit Savings Calculations'!$G220</f>
        <v>0.92</v>
      </c>
      <c r="U224" s="296">
        <f>'Unit Savings Calculations'!$G220</f>
        <v>0.92</v>
      </c>
      <c r="V224" s="297">
        <f t="shared" si="150"/>
        <v>0</v>
      </c>
      <c r="W224" s="297">
        <f t="shared" si="151"/>
        <v>0</v>
      </c>
      <c r="X224" s="297">
        <f t="shared" si="152"/>
        <v>0</v>
      </c>
      <c r="Y224" s="297">
        <f t="shared" si="153"/>
        <v>0</v>
      </c>
      <c r="Z224" s="297">
        <f t="shared" si="154"/>
        <v>0</v>
      </c>
      <c r="AA224" s="292"/>
      <c r="AB224" s="292"/>
      <c r="AC224" s="295">
        <v>30.722664192350027</v>
      </c>
      <c r="AD224" s="292"/>
      <c r="AE224" s="297">
        <f t="shared" si="140"/>
        <v>0</v>
      </c>
      <c r="AF224" s="294">
        <f t="shared" si="141"/>
        <v>0</v>
      </c>
      <c r="AG224" s="292"/>
      <c r="AH224" s="292">
        <f t="shared" si="142"/>
        <v>0</v>
      </c>
      <c r="AI224" s="295">
        <v>30.722664192350027</v>
      </c>
      <c r="AJ224" s="383" t="s">
        <v>878</v>
      </c>
      <c r="AK224" s="297">
        <f t="shared" si="143"/>
        <v>0</v>
      </c>
      <c r="AL224" s="294">
        <f t="shared" si="144"/>
        <v>0</v>
      </c>
      <c r="AM224" s="292"/>
      <c r="AN224" s="292"/>
      <c r="AO224" s="295">
        <f>'Unit Savings Calculations'!P220</f>
        <v>30.722664192350027</v>
      </c>
      <c r="AP224" s="383" t="s">
        <v>763</v>
      </c>
      <c r="AQ224" s="297">
        <f t="shared" si="145"/>
        <v>0</v>
      </c>
      <c r="AR224" s="294">
        <f t="shared" si="146"/>
        <v>0</v>
      </c>
      <c r="AS224" s="292"/>
      <c r="AT224" s="292"/>
      <c r="AU224" s="295">
        <f>'Unit Savings Calculations'!Q220</f>
        <v>30.722664192350027</v>
      </c>
      <c r="AV224" s="383" t="str">
        <f t="shared" si="129"/>
        <v>n/a</v>
      </c>
      <c r="AW224" s="297">
        <f t="shared" si="147"/>
        <v>0</v>
      </c>
      <c r="AX224" s="294">
        <f t="shared" si="148"/>
        <v>0</v>
      </c>
      <c r="AY224" s="297">
        <f t="shared" si="130"/>
        <v>0</v>
      </c>
      <c r="AZ224" s="297">
        <f t="shared" si="131"/>
        <v>0</v>
      </c>
      <c r="BA224" s="297">
        <f t="shared" si="132"/>
        <v>0</v>
      </c>
      <c r="BB224" s="297">
        <f t="shared" si="133"/>
        <v>0</v>
      </c>
      <c r="BC224" s="298">
        <f t="shared" si="134"/>
        <v>0</v>
      </c>
      <c r="BD224" s="292" t="s">
        <v>763</v>
      </c>
      <c r="BE224" s="299" t="str">
        <f t="shared" si="135"/>
        <v>Exhibit 1.5A_R North Shore EEPS_Adjustable_Savings_Goal_Template.xlsx, Unit Savings Calculations Tab</v>
      </c>
      <c r="BF224" s="298">
        <f t="shared" si="136"/>
        <v>0</v>
      </c>
      <c r="BG224" s="298">
        <f t="shared" si="136"/>
        <v>0</v>
      </c>
      <c r="BH224" s="298">
        <f t="shared" si="136"/>
        <v>0</v>
      </c>
      <c r="BI224" s="298">
        <f t="shared" si="136"/>
        <v>0</v>
      </c>
      <c r="BJ224" s="298">
        <f t="shared" si="137"/>
        <v>0</v>
      </c>
      <c r="BK224" s="482">
        <v>10</v>
      </c>
      <c r="BL224" s="482">
        <v>10</v>
      </c>
      <c r="BM224" s="482">
        <f>INDEX('Unit Savings Calculations'!$I$4:$I$421,MATCH('Measure-Level Adjustments Tab'!$A224&amp;"_"&amp;'Measure-Level Adjustments Tab'!$B224,'Unit Savings Calculations'!$A$4:$A$421,0))</f>
        <v>10</v>
      </c>
      <c r="BN224" s="482">
        <f t="shared" si="138"/>
        <v>10</v>
      </c>
      <c r="BO224" s="483">
        <f t="shared" si="139"/>
        <v>0</v>
      </c>
      <c r="BP224" s="483">
        <f t="shared" si="139"/>
        <v>0</v>
      </c>
      <c r="BQ224" s="483">
        <f t="shared" si="139"/>
        <v>0</v>
      </c>
      <c r="BR224" s="483">
        <f t="shared" si="139"/>
        <v>0</v>
      </c>
      <c r="BS224" s="483">
        <f t="shared" si="128"/>
        <v>0</v>
      </c>
    </row>
    <row r="225" spans="1:71" ht="15.75" customHeight="1">
      <c r="A225" s="292" t="str">
        <f>'Unit Savings Calculations'!C221</f>
        <v>Bus - SB Rebates -PTA</v>
      </c>
      <c r="B225" s="292" t="str">
        <f>'Unit Savings Calculations'!D221</f>
        <v>Pipe Insulation - Dry Cleaners</v>
      </c>
      <c r="C225" s="293">
        <f t="shared" si="149"/>
        <v>1</v>
      </c>
      <c r="D225" s="292" t="str">
        <f>'Unit Savings Calculations'!T221</f>
        <v>4.4.14</v>
      </c>
      <c r="E225" s="438">
        <v>15</v>
      </c>
      <c r="F225" s="438">
        <v>15</v>
      </c>
      <c r="G225" s="292" t="str">
        <f>'Unit Savings Calculations'!E221</f>
        <v>ft</v>
      </c>
      <c r="H225" s="294">
        <f>'Unit Savings Calculations'!$F221*'Unit Savings Calculations'!J221</f>
        <v>0</v>
      </c>
      <c r="I225" s="294">
        <f>'Unit Savings Calculations'!$F221*'Unit Savings Calculations'!K221</f>
        <v>0</v>
      </c>
      <c r="J225" s="294">
        <f>'Unit Savings Calculations'!$F221*'Unit Savings Calculations'!L221</f>
        <v>0</v>
      </c>
      <c r="K225" s="294">
        <f>'Unit Savings Calculations'!$F221*'Unit Savings Calculations'!M221</f>
        <v>0</v>
      </c>
      <c r="L225" s="292" t="str">
        <f>'Unit Savings Calculations'!U221</f>
        <v>CI-HVC-PINS-V04-160601</v>
      </c>
      <c r="M225" s="383" t="str">
        <f>'Unit Savings Calculations'!R221</f>
        <v>Exhibit 1.5A_R North Shore EEPS_Adjustable_Savings_Goal_Template.xlsx, Pipe Insulation Detail Tab</v>
      </c>
      <c r="N225" s="295">
        <v>4.1509563815028345</v>
      </c>
      <c r="O225" s="295">
        <v>4.1509563815028345</v>
      </c>
      <c r="P225" s="295">
        <v>4.1509563815028345</v>
      </c>
      <c r="Q225" s="295">
        <v>4.1509563815028345</v>
      </c>
      <c r="R225" s="296">
        <f>'Unit Savings Calculations'!$G221</f>
        <v>0.92</v>
      </c>
      <c r="S225" s="296">
        <f>'Unit Savings Calculations'!$G221</f>
        <v>0.92</v>
      </c>
      <c r="T225" s="296">
        <f>'Unit Savings Calculations'!$G221</f>
        <v>0.92</v>
      </c>
      <c r="U225" s="296">
        <f>'Unit Savings Calculations'!$G221</f>
        <v>0.92</v>
      </c>
      <c r="V225" s="297">
        <f t="shared" si="150"/>
        <v>0</v>
      </c>
      <c r="W225" s="297">
        <f t="shared" si="151"/>
        <v>0</v>
      </c>
      <c r="X225" s="297">
        <f t="shared" si="152"/>
        <v>0</v>
      </c>
      <c r="Y225" s="297">
        <f t="shared" si="153"/>
        <v>0</v>
      </c>
      <c r="Z225" s="297">
        <f t="shared" si="154"/>
        <v>0</v>
      </c>
      <c r="AA225" s="292"/>
      <c r="AB225" s="292"/>
      <c r="AC225" s="295">
        <v>4.1509563815028345</v>
      </c>
      <c r="AD225" s="292"/>
      <c r="AE225" s="297">
        <f t="shared" si="140"/>
        <v>0</v>
      </c>
      <c r="AF225" s="294">
        <f t="shared" si="141"/>
        <v>0</v>
      </c>
      <c r="AG225" s="292"/>
      <c r="AH225" s="292">
        <f t="shared" si="142"/>
        <v>0</v>
      </c>
      <c r="AI225" s="295">
        <v>4.1509563815028345</v>
      </c>
      <c r="AJ225" s="383" t="s">
        <v>878</v>
      </c>
      <c r="AK225" s="297">
        <f t="shared" si="143"/>
        <v>0</v>
      </c>
      <c r="AL225" s="294">
        <f t="shared" si="144"/>
        <v>0</v>
      </c>
      <c r="AM225" s="292"/>
      <c r="AN225" s="292"/>
      <c r="AO225" s="295">
        <f>'Unit Savings Calculations'!P221</f>
        <v>4.1509563815028345</v>
      </c>
      <c r="AP225" s="383" t="s">
        <v>763</v>
      </c>
      <c r="AQ225" s="297">
        <f t="shared" si="145"/>
        <v>0</v>
      </c>
      <c r="AR225" s="294">
        <f t="shared" si="146"/>
        <v>0</v>
      </c>
      <c r="AS225" s="292"/>
      <c r="AT225" s="292"/>
      <c r="AU225" s="295">
        <f>'Unit Savings Calculations'!Q221</f>
        <v>4.1509563815028345</v>
      </c>
      <c r="AV225" s="383" t="str">
        <f t="shared" si="129"/>
        <v>n/a</v>
      </c>
      <c r="AW225" s="297">
        <f t="shared" si="147"/>
        <v>0</v>
      </c>
      <c r="AX225" s="294">
        <f t="shared" si="148"/>
        <v>0</v>
      </c>
      <c r="AY225" s="297">
        <f t="shared" si="130"/>
        <v>0</v>
      </c>
      <c r="AZ225" s="297">
        <f t="shared" si="131"/>
        <v>0</v>
      </c>
      <c r="BA225" s="297">
        <f t="shared" si="132"/>
        <v>0</v>
      </c>
      <c r="BB225" s="297">
        <f t="shared" si="133"/>
        <v>0</v>
      </c>
      <c r="BC225" s="298">
        <f t="shared" si="134"/>
        <v>0</v>
      </c>
      <c r="BD225" s="292" t="s">
        <v>763</v>
      </c>
      <c r="BE225" s="299" t="str">
        <f t="shared" si="135"/>
        <v>Exhibit 1.5A_R North Shore EEPS_Adjustable_Savings_Goal_Template.xlsx, Pipe Insulation Detail Tab</v>
      </c>
      <c r="BF225" s="298">
        <f t="shared" si="136"/>
        <v>0</v>
      </c>
      <c r="BG225" s="298">
        <f t="shared" si="136"/>
        <v>0</v>
      </c>
      <c r="BH225" s="298">
        <f t="shared" si="136"/>
        <v>0</v>
      </c>
      <c r="BI225" s="298">
        <f t="shared" si="136"/>
        <v>0</v>
      </c>
      <c r="BJ225" s="298">
        <f t="shared" si="137"/>
        <v>0</v>
      </c>
      <c r="BK225" s="482">
        <v>15</v>
      </c>
      <c r="BL225" s="482">
        <v>15</v>
      </c>
      <c r="BM225" s="482">
        <f>INDEX('Unit Savings Calculations'!$I$4:$I$421,MATCH('Measure-Level Adjustments Tab'!$A225&amp;"_"&amp;'Measure-Level Adjustments Tab'!$B225,'Unit Savings Calculations'!$A$4:$A$421,0))</f>
        <v>15</v>
      </c>
      <c r="BN225" s="482">
        <f t="shared" si="138"/>
        <v>15</v>
      </c>
      <c r="BO225" s="483">
        <f t="shared" si="139"/>
        <v>0</v>
      </c>
      <c r="BP225" s="483">
        <f t="shared" si="139"/>
        <v>0</v>
      </c>
      <c r="BQ225" s="483">
        <f t="shared" si="139"/>
        <v>0</v>
      </c>
      <c r="BR225" s="483">
        <f t="shared" si="139"/>
        <v>0</v>
      </c>
      <c r="BS225" s="483">
        <f t="shared" si="128"/>
        <v>0</v>
      </c>
    </row>
    <row r="226" spans="1:71" ht="15.75" customHeight="1">
      <c r="A226" s="292" t="str">
        <f>'Unit Savings Calculations'!C222</f>
        <v>Bus - SB Rebates -PTA</v>
      </c>
      <c r="B226" s="292" t="str">
        <f>'Unit Savings Calculations'!D222</f>
        <v>Pipe Insulation - Dry Cleaners -Elbows</v>
      </c>
      <c r="C226" s="293">
        <f t="shared" si="149"/>
        <v>1</v>
      </c>
      <c r="D226" s="292" t="str">
        <f>'Unit Savings Calculations'!T222</f>
        <v>4.4.14</v>
      </c>
      <c r="E226" s="438">
        <v>15</v>
      </c>
      <c r="F226" s="438">
        <v>15</v>
      </c>
      <c r="G226" s="292" t="str">
        <f>'Unit Savings Calculations'!E222</f>
        <v>ft</v>
      </c>
      <c r="H226" s="294">
        <f>'Unit Savings Calculations'!$F222*'Unit Savings Calculations'!J222</f>
        <v>0</v>
      </c>
      <c r="I226" s="294">
        <f>'Unit Savings Calculations'!$F222*'Unit Savings Calculations'!K222</f>
        <v>0</v>
      </c>
      <c r="J226" s="294">
        <f>'Unit Savings Calculations'!$F222*'Unit Savings Calculations'!L222</f>
        <v>0</v>
      </c>
      <c r="K226" s="294">
        <f>'Unit Savings Calculations'!$F222*'Unit Savings Calculations'!M222</f>
        <v>0</v>
      </c>
      <c r="L226" s="292" t="str">
        <f>'Unit Savings Calculations'!U222</f>
        <v>CI-HVC-PINS-V04-160601</v>
      </c>
      <c r="M226" s="383" t="str">
        <f>'Unit Savings Calculations'!R222</f>
        <v>Exhibit 1.5A_R North Shore EEPS_Adjustable_Savings_Goal_Template.xlsx, Pipe Insulation Detail Tab</v>
      </c>
      <c r="N226" s="295">
        <v>1.9924590631213606</v>
      </c>
      <c r="O226" s="295">
        <v>1.9924590631213606</v>
      </c>
      <c r="P226" s="295">
        <v>1.9924590631213606</v>
      </c>
      <c r="Q226" s="295">
        <v>1.9924590631213606</v>
      </c>
      <c r="R226" s="296">
        <f>'Unit Savings Calculations'!$G222</f>
        <v>0.92</v>
      </c>
      <c r="S226" s="296">
        <f>'Unit Savings Calculations'!$G222</f>
        <v>0.92</v>
      </c>
      <c r="T226" s="296">
        <f>'Unit Savings Calculations'!$G222</f>
        <v>0.92</v>
      </c>
      <c r="U226" s="296">
        <f>'Unit Savings Calculations'!$G222</f>
        <v>0.92</v>
      </c>
      <c r="V226" s="297">
        <f t="shared" si="150"/>
        <v>0</v>
      </c>
      <c r="W226" s="297">
        <f t="shared" si="151"/>
        <v>0</v>
      </c>
      <c r="X226" s="297">
        <f t="shared" si="152"/>
        <v>0</v>
      </c>
      <c r="Y226" s="297">
        <f t="shared" si="153"/>
        <v>0</v>
      </c>
      <c r="Z226" s="297">
        <f t="shared" si="154"/>
        <v>0</v>
      </c>
      <c r="AA226" s="292"/>
      <c r="AB226" s="292"/>
      <c r="AC226" s="295">
        <v>1.9924590631213606</v>
      </c>
      <c r="AD226" s="292"/>
      <c r="AE226" s="297">
        <f t="shared" si="140"/>
        <v>0</v>
      </c>
      <c r="AF226" s="294">
        <f t="shared" si="141"/>
        <v>0</v>
      </c>
      <c r="AG226" s="292"/>
      <c r="AH226" s="292">
        <f t="shared" si="142"/>
        <v>0</v>
      </c>
      <c r="AI226" s="295">
        <v>1.9924590631213606</v>
      </c>
      <c r="AJ226" s="383" t="s">
        <v>878</v>
      </c>
      <c r="AK226" s="297">
        <f t="shared" si="143"/>
        <v>0</v>
      </c>
      <c r="AL226" s="294">
        <f t="shared" si="144"/>
        <v>0</v>
      </c>
      <c r="AM226" s="292"/>
      <c r="AN226" s="292"/>
      <c r="AO226" s="295">
        <f>'Unit Savings Calculations'!P222</f>
        <v>1.9924590631213606</v>
      </c>
      <c r="AP226" s="383" t="s">
        <v>763</v>
      </c>
      <c r="AQ226" s="297">
        <f t="shared" si="145"/>
        <v>0</v>
      </c>
      <c r="AR226" s="294">
        <f t="shared" si="146"/>
        <v>0</v>
      </c>
      <c r="AS226" s="292"/>
      <c r="AT226" s="292"/>
      <c r="AU226" s="295">
        <f>'Unit Savings Calculations'!Q222</f>
        <v>1.9924590631213606</v>
      </c>
      <c r="AV226" s="383" t="str">
        <f t="shared" si="129"/>
        <v>n/a</v>
      </c>
      <c r="AW226" s="297">
        <f t="shared" si="147"/>
        <v>0</v>
      </c>
      <c r="AX226" s="294">
        <f t="shared" si="148"/>
        <v>0</v>
      </c>
      <c r="AY226" s="297">
        <f t="shared" si="130"/>
        <v>0</v>
      </c>
      <c r="AZ226" s="297">
        <f t="shared" si="131"/>
        <v>0</v>
      </c>
      <c r="BA226" s="297">
        <f t="shared" si="132"/>
        <v>0</v>
      </c>
      <c r="BB226" s="297">
        <f t="shared" si="133"/>
        <v>0</v>
      </c>
      <c r="BC226" s="298">
        <f t="shared" si="134"/>
        <v>0</v>
      </c>
      <c r="BD226" s="292" t="s">
        <v>763</v>
      </c>
      <c r="BE226" s="299" t="str">
        <f t="shared" si="135"/>
        <v>Exhibit 1.5A_R North Shore EEPS_Adjustable_Savings_Goal_Template.xlsx, Pipe Insulation Detail Tab</v>
      </c>
      <c r="BF226" s="298">
        <f t="shared" si="136"/>
        <v>0</v>
      </c>
      <c r="BG226" s="298">
        <f t="shared" si="136"/>
        <v>0</v>
      </c>
      <c r="BH226" s="298">
        <f t="shared" si="136"/>
        <v>0</v>
      </c>
      <c r="BI226" s="298">
        <f t="shared" si="136"/>
        <v>0</v>
      </c>
      <c r="BJ226" s="298">
        <f t="shared" si="137"/>
        <v>0</v>
      </c>
      <c r="BK226" s="482">
        <v>15</v>
      </c>
      <c r="BL226" s="482">
        <v>15</v>
      </c>
      <c r="BM226" s="482">
        <f>INDEX('Unit Savings Calculations'!$I$4:$I$421,MATCH('Measure-Level Adjustments Tab'!$A226&amp;"_"&amp;'Measure-Level Adjustments Tab'!$B226,'Unit Savings Calculations'!$A$4:$A$421,0))</f>
        <v>15</v>
      </c>
      <c r="BN226" s="482">
        <f t="shared" si="138"/>
        <v>15</v>
      </c>
      <c r="BO226" s="483">
        <f t="shared" si="139"/>
        <v>0</v>
      </c>
      <c r="BP226" s="483">
        <f t="shared" si="139"/>
        <v>0</v>
      </c>
      <c r="BQ226" s="483">
        <f t="shared" si="139"/>
        <v>0</v>
      </c>
      <c r="BR226" s="483">
        <f t="shared" si="139"/>
        <v>0</v>
      </c>
      <c r="BS226" s="483">
        <f t="shared" si="128"/>
        <v>0</v>
      </c>
    </row>
    <row r="227" spans="1:71" ht="15.75" customHeight="1">
      <c r="A227" s="292" t="str">
        <f>'Unit Savings Calculations'!C223</f>
        <v>Bus - SB Rebates -PTA</v>
      </c>
      <c r="B227" s="292" t="str">
        <f>'Unit Savings Calculations'!D223</f>
        <v>Pipe Insulation - HW Small 1" to 2"</v>
      </c>
      <c r="C227" s="293">
        <f t="shared" si="149"/>
        <v>1</v>
      </c>
      <c r="D227" s="292" t="str">
        <f>'Unit Savings Calculations'!T223</f>
        <v>4.4.14</v>
      </c>
      <c r="E227" s="438">
        <v>15</v>
      </c>
      <c r="F227" s="438">
        <v>15</v>
      </c>
      <c r="G227" s="292" t="str">
        <f>'Unit Savings Calculations'!E223</f>
        <v>ft</v>
      </c>
      <c r="H227" s="294">
        <f>'Unit Savings Calculations'!$F223*'Unit Savings Calculations'!J223</f>
        <v>150</v>
      </c>
      <c r="I227" s="294">
        <f>'Unit Savings Calculations'!$F223*'Unit Savings Calculations'!K223</f>
        <v>150</v>
      </c>
      <c r="J227" s="294">
        <f>'Unit Savings Calculations'!$F223*'Unit Savings Calculations'!L223</f>
        <v>150</v>
      </c>
      <c r="K227" s="294">
        <f>'Unit Savings Calculations'!$F223*'Unit Savings Calculations'!M223</f>
        <v>150</v>
      </c>
      <c r="L227" s="292" t="str">
        <f>'Unit Savings Calculations'!U223</f>
        <v>CI-HVC-PINS-V04-160601</v>
      </c>
      <c r="M227" s="383" t="str">
        <f>'Unit Savings Calculations'!R223</f>
        <v>Exhibit 1.5A_R North Shore EEPS_Adjustable_Savings_Goal_Template.xlsx, Pipe Insulation Detail Tab</v>
      </c>
      <c r="N227" s="295">
        <v>2.6588140926267867</v>
      </c>
      <c r="O227" s="295">
        <v>2.6588140926267867</v>
      </c>
      <c r="P227" s="295">
        <v>2.6588140926267867</v>
      </c>
      <c r="Q227" s="295">
        <v>2.6588140926267867</v>
      </c>
      <c r="R227" s="296">
        <f>'Unit Savings Calculations'!$G223</f>
        <v>0.92</v>
      </c>
      <c r="S227" s="296">
        <f>'Unit Savings Calculations'!$G223</f>
        <v>0.92</v>
      </c>
      <c r="T227" s="296">
        <f>'Unit Savings Calculations'!$G223</f>
        <v>0.92</v>
      </c>
      <c r="U227" s="296">
        <f>'Unit Savings Calculations'!$G223</f>
        <v>0.92</v>
      </c>
      <c r="V227" s="297">
        <f t="shared" si="150"/>
        <v>366.91634478249659</v>
      </c>
      <c r="W227" s="297">
        <f t="shared" si="151"/>
        <v>366.91634478249659</v>
      </c>
      <c r="X227" s="297">
        <f t="shared" si="152"/>
        <v>366.91634478249659</v>
      </c>
      <c r="Y227" s="297">
        <f t="shared" si="153"/>
        <v>366.91634478249659</v>
      </c>
      <c r="Z227" s="297">
        <f t="shared" si="154"/>
        <v>1467.6653791299864</v>
      </c>
      <c r="AA227" s="292"/>
      <c r="AB227" s="292"/>
      <c r="AC227" s="295">
        <v>2.6588140926267867</v>
      </c>
      <c r="AD227" s="292"/>
      <c r="AE227" s="297">
        <f t="shared" si="140"/>
        <v>366.91634478249659</v>
      </c>
      <c r="AF227" s="294">
        <f t="shared" si="141"/>
        <v>0</v>
      </c>
      <c r="AG227" s="292"/>
      <c r="AH227" s="292">
        <f t="shared" si="142"/>
        <v>0</v>
      </c>
      <c r="AI227" s="295">
        <v>2.6588140926267867</v>
      </c>
      <c r="AJ227" s="383" t="s">
        <v>878</v>
      </c>
      <c r="AK227" s="297">
        <f t="shared" si="143"/>
        <v>366.91634478249659</v>
      </c>
      <c r="AL227" s="294">
        <f t="shared" si="144"/>
        <v>0</v>
      </c>
      <c r="AM227" s="292"/>
      <c r="AN227" s="292"/>
      <c r="AO227" s="295">
        <f>'Unit Savings Calculations'!P223</f>
        <v>2.6588140926267867</v>
      </c>
      <c r="AP227" s="383" t="s">
        <v>763</v>
      </c>
      <c r="AQ227" s="297">
        <f t="shared" si="145"/>
        <v>366.91634478249659</v>
      </c>
      <c r="AR227" s="294">
        <f t="shared" si="146"/>
        <v>0</v>
      </c>
      <c r="AS227" s="292"/>
      <c r="AT227" s="292"/>
      <c r="AU227" s="295">
        <f>'Unit Savings Calculations'!Q223</f>
        <v>2.6588140926267867</v>
      </c>
      <c r="AV227" s="383" t="str">
        <f t="shared" si="129"/>
        <v>n/a</v>
      </c>
      <c r="AW227" s="297">
        <f t="shared" si="147"/>
        <v>366.91634478249659</v>
      </c>
      <c r="AX227" s="294">
        <f t="shared" si="148"/>
        <v>0</v>
      </c>
      <c r="AY227" s="297">
        <f t="shared" si="130"/>
        <v>366.91634478249659</v>
      </c>
      <c r="AZ227" s="297">
        <f t="shared" si="131"/>
        <v>366.91634478249659</v>
      </c>
      <c r="BA227" s="297">
        <f t="shared" si="132"/>
        <v>366.91634478249659</v>
      </c>
      <c r="BB227" s="297">
        <f t="shared" si="133"/>
        <v>366.91634478249659</v>
      </c>
      <c r="BC227" s="298">
        <f t="shared" si="134"/>
        <v>1467.6653791299864</v>
      </c>
      <c r="BD227" s="292" t="s">
        <v>763</v>
      </c>
      <c r="BE227" s="299" t="str">
        <f t="shared" si="135"/>
        <v>Exhibit 1.5A_R North Shore EEPS_Adjustable_Savings_Goal_Template.xlsx, Pipe Insulation Detail Tab</v>
      </c>
      <c r="BF227" s="298">
        <f t="shared" si="136"/>
        <v>5503.7451717374488</v>
      </c>
      <c r="BG227" s="298">
        <f t="shared" si="136"/>
        <v>5503.7451717374488</v>
      </c>
      <c r="BH227" s="298">
        <f t="shared" si="136"/>
        <v>5503.7451717374488</v>
      </c>
      <c r="BI227" s="298">
        <f t="shared" si="136"/>
        <v>5503.7451717374488</v>
      </c>
      <c r="BJ227" s="298">
        <f t="shared" si="137"/>
        <v>22014.980686949795</v>
      </c>
      <c r="BK227" s="482">
        <v>15</v>
      </c>
      <c r="BL227" s="482">
        <v>15</v>
      </c>
      <c r="BM227" s="482">
        <f>INDEX('Unit Savings Calculations'!$I$4:$I$421,MATCH('Measure-Level Adjustments Tab'!$A227&amp;"_"&amp;'Measure-Level Adjustments Tab'!$B227,'Unit Savings Calculations'!$A$4:$A$421,0))</f>
        <v>15</v>
      </c>
      <c r="BN227" s="482">
        <f t="shared" si="138"/>
        <v>15</v>
      </c>
      <c r="BO227" s="483">
        <f t="shared" si="139"/>
        <v>5503.7451717374488</v>
      </c>
      <c r="BP227" s="483">
        <f t="shared" si="139"/>
        <v>5503.7451717374488</v>
      </c>
      <c r="BQ227" s="483">
        <f t="shared" si="139"/>
        <v>5503.7451717374488</v>
      </c>
      <c r="BR227" s="483">
        <f t="shared" si="139"/>
        <v>5503.7451717374488</v>
      </c>
      <c r="BS227" s="483">
        <f t="shared" si="128"/>
        <v>22014.980686949795</v>
      </c>
    </row>
    <row r="228" spans="1:71" ht="15.75" customHeight="1">
      <c r="A228" s="292" t="str">
        <f>'Unit Savings Calculations'!C224</f>
        <v>Bus - SB Rebates -PTA</v>
      </c>
      <c r="B228" s="292" t="str">
        <f>'Unit Savings Calculations'!D224</f>
        <v>Pipe Insulation - HW Medium 2.1" to 4"</v>
      </c>
      <c r="C228" s="293">
        <f t="shared" si="149"/>
        <v>1</v>
      </c>
      <c r="D228" s="292" t="str">
        <f>'Unit Savings Calculations'!T224</f>
        <v>4.4.14</v>
      </c>
      <c r="E228" s="438">
        <v>15</v>
      </c>
      <c r="F228" s="438">
        <v>15</v>
      </c>
      <c r="G228" s="292" t="str">
        <f>'Unit Savings Calculations'!E224</f>
        <v>ft</v>
      </c>
      <c r="H228" s="294">
        <f>'Unit Savings Calculations'!$F224*'Unit Savings Calculations'!J224</f>
        <v>750</v>
      </c>
      <c r="I228" s="294">
        <f>'Unit Savings Calculations'!$F224*'Unit Savings Calculations'!K224</f>
        <v>750</v>
      </c>
      <c r="J228" s="294">
        <f>'Unit Savings Calculations'!$F224*'Unit Savings Calculations'!L224</f>
        <v>750</v>
      </c>
      <c r="K228" s="294">
        <f>'Unit Savings Calculations'!$F224*'Unit Savings Calculations'!M224</f>
        <v>750</v>
      </c>
      <c r="L228" s="292" t="str">
        <f>'Unit Savings Calculations'!U224</f>
        <v>CI-HVC-PINS-V04-160601</v>
      </c>
      <c r="M228" s="383" t="str">
        <f>'Unit Savings Calculations'!R224</f>
        <v>Exhibit 1.5A_R North Shore EEPS_Adjustable_Savings_Goal_Template.xlsx, Pipe Insulation Detail Tab</v>
      </c>
      <c r="N228" s="295">
        <v>5.2492031493764015</v>
      </c>
      <c r="O228" s="295">
        <v>5.2492031493764015</v>
      </c>
      <c r="P228" s="295">
        <v>5.2492031493764015</v>
      </c>
      <c r="Q228" s="295">
        <v>5.2492031493764015</v>
      </c>
      <c r="R228" s="296">
        <f>'Unit Savings Calculations'!$G224</f>
        <v>0.92</v>
      </c>
      <c r="S228" s="296">
        <f>'Unit Savings Calculations'!$G224</f>
        <v>0.92</v>
      </c>
      <c r="T228" s="296">
        <f>'Unit Savings Calculations'!$G224</f>
        <v>0.92</v>
      </c>
      <c r="U228" s="296">
        <f>'Unit Savings Calculations'!$G224</f>
        <v>0.92</v>
      </c>
      <c r="V228" s="297">
        <f t="shared" si="150"/>
        <v>3621.950173069717</v>
      </c>
      <c r="W228" s="297">
        <f t="shared" si="151"/>
        <v>3621.950173069717</v>
      </c>
      <c r="X228" s="297">
        <f t="shared" si="152"/>
        <v>3621.950173069717</v>
      </c>
      <c r="Y228" s="297">
        <f t="shared" si="153"/>
        <v>3621.950173069717</v>
      </c>
      <c r="Z228" s="297">
        <f t="shared" si="154"/>
        <v>14487.800692278868</v>
      </c>
      <c r="AA228" s="292"/>
      <c r="AB228" s="292"/>
      <c r="AC228" s="295">
        <v>5.2492031493764015</v>
      </c>
      <c r="AD228" s="292"/>
      <c r="AE228" s="297">
        <f t="shared" si="140"/>
        <v>3621.950173069717</v>
      </c>
      <c r="AF228" s="294">
        <f t="shared" si="141"/>
        <v>0</v>
      </c>
      <c r="AG228" s="292"/>
      <c r="AH228" s="292">
        <f t="shared" si="142"/>
        <v>0</v>
      </c>
      <c r="AI228" s="295">
        <v>5.2492031493764015</v>
      </c>
      <c r="AJ228" s="383" t="s">
        <v>878</v>
      </c>
      <c r="AK228" s="297">
        <f t="shared" si="143"/>
        <v>3621.950173069717</v>
      </c>
      <c r="AL228" s="294">
        <f t="shared" si="144"/>
        <v>0</v>
      </c>
      <c r="AM228" s="292"/>
      <c r="AN228" s="292"/>
      <c r="AO228" s="295">
        <f>'Unit Savings Calculations'!P224</f>
        <v>5.2492031493764015</v>
      </c>
      <c r="AP228" s="383" t="s">
        <v>763</v>
      </c>
      <c r="AQ228" s="297">
        <f t="shared" si="145"/>
        <v>3621.950173069717</v>
      </c>
      <c r="AR228" s="294">
        <f t="shared" si="146"/>
        <v>0</v>
      </c>
      <c r="AS228" s="292"/>
      <c r="AT228" s="292"/>
      <c r="AU228" s="295">
        <f>'Unit Savings Calculations'!Q224</f>
        <v>5.2492031493764015</v>
      </c>
      <c r="AV228" s="383" t="str">
        <f t="shared" si="129"/>
        <v>n/a</v>
      </c>
      <c r="AW228" s="297">
        <f t="shared" si="147"/>
        <v>3621.950173069717</v>
      </c>
      <c r="AX228" s="294">
        <f t="shared" si="148"/>
        <v>0</v>
      </c>
      <c r="AY228" s="297">
        <f t="shared" si="130"/>
        <v>3621.950173069717</v>
      </c>
      <c r="AZ228" s="297">
        <f t="shared" si="131"/>
        <v>3621.950173069717</v>
      </c>
      <c r="BA228" s="297">
        <f t="shared" si="132"/>
        <v>3621.950173069717</v>
      </c>
      <c r="BB228" s="297">
        <f t="shared" si="133"/>
        <v>3621.950173069717</v>
      </c>
      <c r="BC228" s="298">
        <f t="shared" si="134"/>
        <v>14487.800692278868</v>
      </c>
      <c r="BD228" s="292" t="s">
        <v>763</v>
      </c>
      <c r="BE228" s="299" t="str">
        <f t="shared" si="135"/>
        <v>Exhibit 1.5A_R North Shore EEPS_Adjustable_Savings_Goal_Template.xlsx, Pipe Insulation Detail Tab</v>
      </c>
      <c r="BF228" s="298">
        <f t="shared" si="136"/>
        <v>54329.252596045757</v>
      </c>
      <c r="BG228" s="298">
        <f t="shared" si="136"/>
        <v>54329.252596045757</v>
      </c>
      <c r="BH228" s="298">
        <f t="shared" si="136"/>
        <v>54329.252596045757</v>
      </c>
      <c r="BI228" s="298">
        <f t="shared" si="136"/>
        <v>54329.252596045757</v>
      </c>
      <c r="BJ228" s="298">
        <f t="shared" si="137"/>
        <v>217317.01038418303</v>
      </c>
      <c r="BK228" s="482">
        <v>15</v>
      </c>
      <c r="BL228" s="482">
        <v>15</v>
      </c>
      <c r="BM228" s="482">
        <f>INDEX('Unit Savings Calculations'!$I$4:$I$421,MATCH('Measure-Level Adjustments Tab'!$A228&amp;"_"&amp;'Measure-Level Adjustments Tab'!$B228,'Unit Savings Calculations'!$A$4:$A$421,0))</f>
        <v>15</v>
      </c>
      <c r="BN228" s="482">
        <f t="shared" si="138"/>
        <v>15</v>
      </c>
      <c r="BO228" s="483">
        <f t="shared" si="139"/>
        <v>54329.252596045757</v>
      </c>
      <c r="BP228" s="483">
        <f t="shared" si="139"/>
        <v>54329.252596045757</v>
      </c>
      <c r="BQ228" s="483">
        <f t="shared" si="139"/>
        <v>54329.252596045757</v>
      </c>
      <c r="BR228" s="483">
        <f t="shared" si="139"/>
        <v>54329.252596045757</v>
      </c>
      <c r="BS228" s="483">
        <f t="shared" si="128"/>
        <v>217317.01038418303</v>
      </c>
    </row>
    <row r="229" spans="1:71" ht="15.75" customHeight="1">
      <c r="A229" s="292" t="str">
        <f>'Unit Savings Calculations'!C225</f>
        <v>Bus - SB Rebates -PTA</v>
      </c>
      <c r="B229" s="292" t="str">
        <f>'Unit Savings Calculations'!D225</f>
        <v>Pipe Insulation - HW Large &gt;4"</v>
      </c>
      <c r="C229" s="293">
        <f t="shared" si="149"/>
        <v>1</v>
      </c>
      <c r="D229" s="292" t="str">
        <f>'Unit Savings Calculations'!T225</f>
        <v>4.4.14</v>
      </c>
      <c r="E229" s="438">
        <v>15</v>
      </c>
      <c r="F229" s="438">
        <v>15</v>
      </c>
      <c r="G229" s="292" t="str">
        <f>'Unit Savings Calculations'!E225</f>
        <v>ft</v>
      </c>
      <c r="H229" s="294">
        <f>'Unit Savings Calculations'!$F225*'Unit Savings Calculations'!J225</f>
        <v>150</v>
      </c>
      <c r="I229" s="294">
        <f>'Unit Savings Calculations'!$F225*'Unit Savings Calculations'!K225</f>
        <v>150</v>
      </c>
      <c r="J229" s="294">
        <f>'Unit Savings Calculations'!$F225*'Unit Savings Calculations'!L225</f>
        <v>150</v>
      </c>
      <c r="K229" s="294">
        <f>'Unit Savings Calculations'!$F225*'Unit Savings Calculations'!M225</f>
        <v>150</v>
      </c>
      <c r="L229" s="292" t="str">
        <f>'Unit Savings Calculations'!U225</f>
        <v>CI-HVC-PINS-V04-160601</v>
      </c>
      <c r="M229" s="383" t="str">
        <f>'Unit Savings Calculations'!R225</f>
        <v>Exhibit 1.5A_R North Shore EEPS_Adjustable_Savings_Goal_Template.xlsx, Pipe Insulation Detail Tab</v>
      </c>
      <c r="N229" s="295">
        <v>9.0407613085908682</v>
      </c>
      <c r="O229" s="295">
        <v>9.0407613085908682</v>
      </c>
      <c r="P229" s="295">
        <v>9.0407613085908682</v>
      </c>
      <c r="Q229" s="295">
        <v>9.0407613085908682</v>
      </c>
      <c r="R229" s="296">
        <f>'Unit Savings Calculations'!$G225</f>
        <v>0.92</v>
      </c>
      <c r="S229" s="296">
        <f>'Unit Savings Calculations'!$G225</f>
        <v>0.92</v>
      </c>
      <c r="T229" s="296">
        <f>'Unit Savings Calculations'!$G225</f>
        <v>0.92</v>
      </c>
      <c r="U229" s="296">
        <f>'Unit Savings Calculations'!$G225</f>
        <v>0.92</v>
      </c>
      <c r="V229" s="297">
        <f t="shared" si="150"/>
        <v>1247.6250605855398</v>
      </c>
      <c r="W229" s="297">
        <f t="shared" si="151"/>
        <v>1247.6250605855398</v>
      </c>
      <c r="X229" s="297">
        <f t="shared" si="152"/>
        <v>1247.6250605855398</v>
      </c>
      <c r="Y229" s="297">
        <f t="shared" si="153"/>
        <v>1247.6250605855398</v>
      </c>
      <c r="Z229" s="297">
        <f t="shared" si="154"/>
        <v>4990.5002423421593</v>
      </c>
      <c r="AA229" s="292"/>
      <c r="AB229" s="292"/>
      <c r="AC229" s="295">
        <v>9.0407613085908682</v>
      </c>
      <c r="AD229" s="292"/>
      <c r="AE229" s="297">
        <f t="shared" si="140"/>
        <v>1247.6250605855398</v>
      </c>
      <c r="AF229" s="294">
        <f t="shared" si="141"/>
        <v>0</v>
      </c>
      <c r="AG229" s="292"/>
      <c r="AH229" s="292">
        <f t="shared" si="142"/>
        <v>0</v>
      </c>
      <c r="AI229" s="295">
        <v>9.0407613085908682</v>
      </c>
      <c r="AJ229" s="383" t="s">
        <v>878</v>
      </c>
      <c r="AK229" s="297">
        <f t="shared" si="143"/>
        <v>1247.6250605855398</v>
      </c>
      <c r="AL229" s="294">
        <f t="shared" si="144"/>
        <v>0</v>
      </c>
      <c r="AM229" s="292"/>
      <c r="AN229" s="292"/>
      <c r="AO229" s="295">
        <f>'Unit Savings Calculations'!P225</f>
        <v>9.0407613085908682</v>
      </c>
      <c r="AP229" s="383" t="s">
        <v>763</v>
      </c>
      <c r="AQ229" s="297">
        <f t="shared" si="145"/>
        <v>1247.6250605855398</v>
      </c>
      <c r="AR229" s="294">
        <f t="shared" si="146"/>
        <v>0</v>
      </c>
      <c r="AS229" s="292"/>
      <c r="AT229" s="292"/>
      <c r="AU229" s="295">
        <f>'Unit Savings Calculations'!Q225</f>
        <v>9.0407613085908682</v>
      </c>
      <c r="AV229" s="383" t="str">
        <f t="shared" si="129"/>
        <v>n/a</v>
      </c>
      <c r="AW229" s="297">
        <f t="shared" si="147"/>
        <v>1247.6250605855398</v>
      </c>
      <c r="AX229" s="294">
        <f t="shared" si="148"/>
        <v>0</v>
      </c>
      <c r="AY229" s="297">
        <f t="shared" si="130"/>
        <v>1247.6250605855398</v>
      </c>
      <c r="AZ229" s="297">
        <f t="shared" si="131"/>
        <v>1247.6250605855398</v>
      </c>
      <c r="BA229" s="297">
        <f t="shared" si="132"/>
        <v>1247.6250605855398</v>
      </c>
      <c r="BB229" s="297">
        <f t="shared" si="133"/>
        <v>1247.6250605855398</v>
      </c>
      <c r="BC229" s="298">
        <f t="shared" si="134"/>
        <v>4990.5002423421593</v>
      </c>
      <c r="BD229" s="292" t="s">
        <v>763</v>
      </c>
      <c r="BE229" s="299" t="str">
        <f t="shared" si="135"/>
        <v>Exhibit 1.5A_R North Shore EEPS_Adjustable_Savings_Goal_Template.xlsx, Pipe Insulation Detail Tab</v>
      </c>
      <c r="BF229" s="298">
        <f t="shared" si="136"/>
        <v>18714.375908783099</v>
      </c>
      <c r="BG229" s="298">
        <f t="shared" si="136"/>
        <v>18714.375908783099</v>
      </c>
      <c r="BH229" s="298">
        <f t="shared" si="136"/>
        <v>18714.375908783099</v>
      </c>
      <c r="BI229" s="298">
        <f t="shared" si="136"/>
        <v>18714.375908783099</v>
      </c>
      <c r="BJ229" s="298">
        <f t="shared" si="137"/>
        <v>74857.503635132394</v>
      </c>
      <c r="BK229" s="482">
        <v>15</v>
      </c>
      <c r="BL229" s="482">
        <v>15</v>
      </c>
      <c r="BM229" s="482">
        <f>INDEX('Unit Savings Calculations'!$I$4:$I$421,MATCH('Measure-Level Adjustments Tab'!$A229&amp;"_"&amp;'Measure-Level Adjustments Tab'!$B229,'Unit Savings Calculations'!$A$4:$A$421,0))</f>
        <v>15</v>
      </c>
      <c r="BN229" s="482">
        <f t="shared" si="138"/>
        <v>15</v>
      </c>
      <c r="BO229" s="483">
        <f t="shared" si="139"/>
        <v>18714.375908783099</v>
      </c>
      <c r="BP229" s="483">
        <f t="shared" si="139"/>
        <v>18714.375908783099</v>
      </c>
      <c r="BQ229" s="483">
        <f t="shared" si="139"/>
        <v>18714.375908783099</v>
      </c>
      <c r="BR229" s="483">
        <f t="shared" si="139"/>
        <v>18714.375908783099</v>
      </c>
      <c r="BS229" s="483">
        <f t="shared" si="128"/>
        <v>74857.503635132394</v>
      </c>
    </row>
    <row r="230" spans="1:71" ht="15.75" customHeight="1">
      <c r="A230" s="292" t="str">
        <f>'Unit Savings Calculations'!C226</f>
        <v>Bus - SB Rebates -PTA</v>
      </c>
      <c r="B230" s="292" t="str">
        <f>'Unit Savings Calculations'!D226</f>
        <v>Pipe Insulation - Steam - Small 1" to 2"</v>
      </c>
      <c r="C230" s="293">
        <f t="shared" si="149"/>
        <v>1</v>
      </c>
      <c r="D230" s="292" t="str">
        <f>'Unit Savings Calculations'!T226</f>
        <v>4.4.14</v>
      </c>
      <c r="E230" s="438">
        <v>15</v>
      </c>
      <c r="F230" s="438">
        <v>15</v>
      </c>
      <c r="G230" s="292" t="str">
        <f>'Unit Savings Calculations'!E226</f>
        <v>ft</v>
      </c>
      <c r="H230" s="294">
        <f>'Unit Savings Calculations'!$F226*'Unit Savings Calculations'!J226</f>
        <v>300</v>
      </c>
      <c r="I230" s="294">
        <f>'Unit Savings Calculations'!$F226*'Unit Savings Calculations'!K226</f>
        <v>300</v>
      </c>
      <c r="J230" s="294">
        <f>'Unit Savings Calculations'!$F226*'Unit Savings Calculations'!L226</f>
        <v>300</v>
      </c>
      <c r="K230" s="294">
        <f>'Unit Savings Calculations'!$F226*'Unit Savings Calculations'!M226</f>
        <v>300</v>
      </c>
      <c r="L230" s="292" t="str">
        <f>'Unit Savings Calculations'!U226</f>
        <v>CI-HVC-PINS-V04-160601</v>
      </c>
      <c r="M230" s="383" t="str">
        <f>'Unit Savings Calculations'!R226</f>
        <v>Exhibit 1.5A_R North Shore EEPS_Adjustable_Savings_Goal_Template.xlsx, Pipe Insulation Detail Tab</v>
      </c>
      <c r="N230" s="295">
        <v>3.1854757047967208</v>
      </c>
      <c r="O230" s="295">
        <v>3.1854757047967208</v>
      </c>
      <c r="P230" s="295">
        <v>3.1854757047967208</v>
      </c>
      <c r="Q230" s="295">
        <v>3.1854757047967208</v>
      </c>
      <c r="R230" s="296">
        <f>'Unit Savings Calculations'!$G226</f>
        <v>0.92</v>
      </c>
      <c r="S230" s="296">
        <f>'Unit Savings Calculations'!$G226</f>
        <v>0.92</v>
      </c>
      <c r="T230" s="296">
        <f>'Unit Savings Calculations'!$G226</f>
        <v>0.92</v>
      </c>
      <c r="U230" s="296">
        <f>'Unit Savings Calculations'!$G226</f>
        <v>0.92</v>
      </c>
      <c r="V230" s="297">
        <f t="shared" si="150"/>
        <v>879.19129452389495</v>
      </c>
      <c r="W230" s="297">
        <f t="shared" si="151"/>
        <v>879.19129452389495</v>
      </c>
      <c r="X230" s="297">
        <f t="shared" si="152"/>
        <v>879.19129452389495</v>
      </c>
      <c r="Y230" s="297">
        <f t="shared" si="153"/>
        <v>879.19129452389495</v>
      </c>
      <c r="Z230" s="297">
        <f t="shared" si="154"/>
        <v>3516.7651780955798</v>
      </c>
      <c r="AA230" s="292"/>
      <c r="AB230" s="292"/>
      <c r="AC230" s="295">
        <v>3.1854757047967208</v>
      </c>
      <c r="AD230" s="292"/>
      <c r="AE230" s="297">
        <f t="shared" si="140"/>
        <v>879.19129452389495</v>
      </c>
      <c r="AF230" s="294">
        <f t="shared" si="141"/>
        <v>0</v>
      </c>
      <c r="AG230" s="292"/>
      <c r="AH230" s="292">
        <f t="shared" si="142"/>
        <v>0</v>
      </c>
      <c r="AI230" s="295">
        <v>3.1854757047967208</v>
      </c>
      <c r="AJ230" s="383" t="s">
        <v>878</v>
      </c>
      <c r="AK230" s="297">
        <f t="shared" si="143"/>
        <v>879.19129452389495</v>
      </c>
      <c r="AL230" s="294">
        <f t="shared" si="144"/>
        <v>0</v>
      </c>
      <c r="AM230" s="292"/>
      <c r="AN230" s="292"/>
      <c r="AO230" s="295">
        <f>'Unit Savings Calculations'!P226</f>
        <v>3.1854757047967208</v>
      </c>
      <c r="AP230" s="383" t="s">
        <v>763</v>
      </c>
      <c r="AQ230" s="297">
        <f t="shared" si="145"/>
        <v>879.19129452389495</v>
      </c>
      <c r="AR230" s="294">
        <f t="shared" si="146"/>
        <v>0</v>
      </c>
      <c r="AS230" s="292"/>
      <c r="AT230" s="292"/>
      <c r="AU230" s="295">
        <f>'Unit Savings Calculations'!Q226</f>
        <v>3.1854757047967208</v>
      </c>
      <c r="AV230" s="383" t="str">
        <f t="shared" si="129"/>
        <v>n/a</v>
      </c>
      <c r="AW230" s="297">
        <f t="shared" si="147"/>
        <v>879.19129452389495</v>
      </c>
      <c r="AX230" s="294">
        <f t="shared" si="148"/>
        <v>0</v>
      </c>
      <c r="AY230" s="297">
        <f t="shared" si="130"/>
        <v>879.19129452389495</v>
      </c>
      <c r="AZ230" s="297">
        <f t="shared" si="131"/>
        <v>879.19129452389495</v>
      </c>
      <c r="BA230" s="297">
        <f t="shared" si="132"/>
        <v>879.19129452389495</v>
      </c>
      <c r="BB230" s="297">
        <f t="shared" si="133"/>
        <v>879.19129452389495</v>
      </c>
      <c r="BC230" s="298">
        <f t="shared" si="134"/>
        <v>3516.7651780955798</v>
      </c>
      <c r="BD230" s="292" t="s">
        <v>763</v>
      </c>
      <c r="BE230" s="299" t="str">
        <f t="shared" si="135"/>
        <v>Exhibit 1.5A_R North Shore EEPS_Adjustable_Savings_Goal_Template.xlsx, Pipe Insulation Detail Tab</v>
      </c>
      <c r="BF230" s="298">
        <f t="shared" si="136"/>
        <v>13187.869417858425</v>
      </c>
      <c r="BG230" s="298">
        <f t="shared" si="136"/>
        <v>13187.869417858425</v>
      </c>
      <c r="BH230" s="298">
        <f t="shared" si="136"/>
        <v>13187.869417858425</v>
      </c>
      <c r="BI230" s="298">
        <f t="shared" si="136"/>
        <v>13187.869417858425</v>
      </c>
      <c r="BJ230" s="298">
        <f t="shared" si="137"/>
        <v>52751.477671433699</v>
      </c>
      <c r="BK230" s="482">
        <v>15</v>
      </c>
      <c r="BL230" s="482">
        <v>15</v>
      </c>
      <c r="BM230" s="482">
        <f>INDEX('Unit Savings Calculations'!$I$4:$I$421,MATCH('Measure-Level Adjustments Tab'!$A230&amp;"_"&amp;'Measure-Level Adjustments Tab'!$B230,'Unit Savings Calculations'!$A$4:$A$421,0))</f>
        <v>15</v>
      </c>
      <c r="BN230" s="482">
        <f t="shared" si="138"/>
        <v>15</v>
      </c>
      <c r="BO230" s="483">
        <f t="shared" si="139"/>
        <v>13187.869417858425</v>
      </c>
      <c r="BP230" s="483">
        <f t="shared" si="139"/>
        <v>13187.869417858425</v>
      </c>
      <c r="BQ230" s="483">
        <f t="shared" si="139"/>
        <v>13187.869417858425</v>
      </c>
      <c r="BR230" s="483">
        <f t="shared" si="139"/>
        <v>13187.869417858425</v>
      </c>
      <c r="BS230" s="483">
        <f t="shared" si="128"/>
        <v>52751.477671433699</v>
      </c>
    </row>
    <row r="231" spans="1:71" ht="15.75" customHeight="1">
      <c r="A231" s="292" t="str">
        <f>'Unit Savings Calculations'!C227</f>
        <v>Bus - SB Rebates -PTA</v>
      </c>
      <c r="B231" s="292" t="str">
        <f>'Unit Savings Calculations'!D227</f>
        <v>Pipe Insulation - Steam - Med 2.1" to 5"</v>
      </c>
      <c r="C231" s="293">
        <f t="shared" si="149"/>
        <v>1</v>
      </c>
      <c r="D231" s="292" t="str">
        <f>'Unit Savings Calculations'!T227</f>
        <v>4.4.14</v>
      </c>
      <c r="E231" s="438">
        <v>15</v>
      </c>
      <c r="F231" s="438">
        <v>15</v>
      </c>
      <c r="G231" s="292" t="str">
        <f>'Unit Savings Calculations'!E227</f>
        <v>ft</v>
      </c>
      <c r="H231" s="294">
        <f>'Unit Savings Calculations'!$F227*'Unit Savings Calculations'!J227</f>
        <v>450</v>
      </c>
      <c r="I231" s="294">
        <f>'Unit Savings Calculations'!$F227*'Unit Savings Calculations'!K227</f>
        <v>450</v>
      </c>
      <c r="J231" s="294">
        <f>'Unit Savings Calculations'!$F227*'Unit Savings Calculations'!L227</f>
        <v>450</v>
      </c>
      <c r="K231" s="294">
        <f>'Unit Savings Calculations'!$F227*'Unit Savings Calculations'!M227</f>
        <v>450</v>
      </c>
      <c r="L231" s="292" t="str">
        <f>'Unit Savings Calculations'!U227</f>
        <v>CI-HVC-PINS-V04-160601</v>
      </c>
      <c r="M231" s="383" t="str">
        <f>'Unit Savings Calculations'!R227</f>
        <v>Exhibit 1.5A_R North Shore EEPS_Adjustable_Savings_Goal_Template.xlsx, Pipe Insulation Detail Tab</v>
      </c>
      <c r="N231" s="295">
        <v>13.148126788517139</v>
      </c>
      <c r="O231" s="295">
        <v>13.148126788517139</v>
      </c>
      <c r="P231" s="295">
        <v>13.148126788517139</v>
      </c>
      <c r="Q231" s="295">
        <v>13.148126788517139</v>
      </c>
      <c r="R231" s="296">
        <f>'Unit Savings Calculations'!$G227</f>
        <v>0.92</v>
      </c>
      <c r="S231" s="296">
        <f>'Unit Savings Calculations'!$G227</f>
        <v>0.92</v>
      </c>
      <c r="T231" s="296">
        <f>'Unit Savings Calculations'!$G227</f>
        <v>0.92</v>
      </c>
      <c r="U231" s="296">
        <f>'Unit Savings Calculations'!$G227</f>
        <v>0.92</v>
      </c>
      <c r="V231" s="297">
        <f t="shared" si="150"/>
        <v>5443.3244904460962</v>
      </c>
      <c r="W231" s="297">
        <f t="shared" si="151"/>
        <v>5443.3244904460962</v>
      </c>
      <c r="X231" s="297">
        <f t="shared" si="152"/>
        <v>5443.3244904460962</v>
      </c>
      <c r="Y231" s="297">
        <f t="shared" si="153"/>
        <v>5443.3244904460962</v>
      </c>
      <c r="Z231" s="297">
        <f t="shared" si="154"/>
        <v>21773.297961784385</v>
      </c>
      <c r="AA231" s="292"/>
      <c r="AB231" s="292"/>
      <c r="AC231" s="295">
        <v>13.148126788517139</v>
      </c>
      <c r="AD231" s="292"/>
      <c r="AE231" s="297">
        <f t="shared" si="140"/>
        <v>5443.3244904460962</v>
      </c>
      <c r="AF231" s="294">
        <f t="shared" si="141"/>
        <v>0</v>
      </c>
      <c r="AG231" s="292"/>
      <c r="AH231" s="292">
        <f t="shared" si="142"/>
        <v>0</v>
      </c>
      <c r="AI231" s="295">
        <v>13.148126788517139</v>
      </c>
      <c r="AJ231" s="383" t="s">
        <v>878</v>
      </c>
      <c r="AK231" s="297">
        <f t="shared" si="143"/>
        <v>5443.3244904460962</v>
      </c>
      <c r="AL231" s="294">
        <f t="shared" si="144"/>
        <v>0</v>
      </c>
      <c r="AM231" s="292"/>
      <c r="AN231" s="292"/>
      <c r="AO231" s="295">
        <f>'Unit Savings Calculations'!P227</f>
        <v>13.148126788517139</v>
      </c>
      <c r="AP231" s="383" t="s">
        <v>763</v>
      </c>
      <c r="AQ231" s="297">
        <f t="shared" si="145"/>
        <v>5443.3244904460962</v>
      </c>
      <c r="AR231" s="294">
        <f t="shared" si="146"/>
        <v>0</v>
      </c>
      <c r="AS231" s="292"/>
      <c r="AT231" s="292"/>
      <c r="AU231" s="295">
        <f>'Unit Savings Calculations'!Q227</f>
        <v>13.148126788517139</v>
      </c>
      <c r="AV231" s="383" t="str">
        <f t="shared" si="129"/>
        <v>n/a</v>
      </c>
      <c r="AW231" s="297">
        <f t="shared" si="147"/>
        <v>5443.3244904460962</v>
      </c>
      <c r="AX231" s="294">
        <f t="shared" si="148"/>
        <v>0</v>
      </c>
      <c r="AY231" s="297">
        <f t="shared" si="130"/>
        <v>5443.3244904460962</v>
      </c>
      <c r="AZ231" s="297">
        <f t="shared" si="131"/>
        <v>5443.3244904460962</v>
      </c>
      <c r="BA231" s="297">
        <f t="shared" si="132"/>
        <v>5443.3244904460962</v>
      </c>
      <c r="BB231" s="297">
        <f t="shared" si="133"/>
        <v>5443.3244904460962</v>
      </c>
      <c r="BC231" s="298">
        <f t="shared" si="134"/>
        <v>21773.297961784385</v>
      </c>
      <c r="BD231" s="292" t="s">
        <v>763</v>
      </c>
      <c r="BE231" s="299" t="str">
        <f t="shared" si="135"/>
        <v>Exhibit 1.5A_R North Shore EEPS_Adjustable_Savings_Goal_Template.xlsx, Pipe Insulation Detail Tab</v>
      </c>
      <c r="BF231" s="298">
        <f t="shared" si="136"/>
        <v>81649.867356691437</v>
      </c>
      <c r="BG231" s="298">
        <f t="shared" si="136"/>
        <v>81649.867356691437</v>
      </c>
      <c r="BH231" s="298">
        <f t="shared" si="136"/>
        <v>81649.867356691437</v>
      </c>
      <c r="BI231" s="298">
        <f t="shared" si="136"/>
        <v>81649.867356691437</v>
      </c>
      <c r="BJ231" s="298">
        <f t="shared" si="137"/>
        <v>326599.46942676575</v>
      </c>
      <c r="BK231" s="482">
        <v>15</v>
      </c>
      <c r="BL231" s="482">
        <v>15</v>
      </c>
      <c r="BM231" s="482">
        <f>INDEX('Unit Savings Calculations'!$I$4:$I$421,MATCH('Measure-Level Adjustments Tab'!$A231&amp;"_"&amp;'Measure-Level Adjustments Tab'!$B231,'Unit Savings Calculations'!$A$4:$A$421,0))</f>
        <v>15</v>
      </c>
      <c r="BN231" s="482">
        <f t="shared" si="138"/>
        <v>15</v>
      </c>
      <c r="BO231" s="483">
        <f t="shared" si="139"/>
        <v>81649.867356691437</v>
      </c>
      <c r="BP231" s="483">
        <f t="shared" si="139"/>
        <v>81649.867356691437</v>
      </c>
      <c r="BQ231" s="483">
        <f t="shared" si="139"/>
        <v>81649.867356691437</v>
      </c>
      <c r="BR231" s="483">
        <f t="shared" si="139"/>
        <v>81649.867356691437</v>
      </c>
      <c r="BS231" s="483">
        <f t="shared" si="128"/>
        <v>326599.46942676575</v>
      </c>
    </row>
    <row r="232" spans="1:71" ht="15.75" customHeight="1">
      <c r="A232" s="292" t="str">
        <f>'Unit Savings Calculations'!C228</f>
        <v>Bus - SB Rebates -PTA</v>
      </c>
      <c r="B232" s="292" t="str">
        <f>'Unit Savings Calculations'!D228</f>
        <v>Pipe Insulation - Steam - Large 5.1" to 8"</v>
      </c>
      <c r="C232" s="293">
        <f t="shared" si="149"/>
        <v>1</v>
      </c>
      <c r="D232" s="292" t="str">
        <f>'Unit Savings Calculations'!T228</f>
        <v>4.4.14</v>
      </c>
      <c r="E232" s="438">
        <v>15</v>
      </c>
      <c r="F232" s="438">
        <v>15</v>
      </c>
      <c r="G232" s="292" t="str">
        <f>'Unit Savings Calculations'!E228</f>
        <v>ft</v>
      </c>
      <c r="H232" s="294">
        <f>'Unit Savings Calculations'!$F228*'Unit Savings Calculations'!J228</f>
        <v>300</v>
      </c>
      <c r="I232" s="294">
        <f>'Unit Savings Calculations'!$F228*'Unit Savings Calculations'!K228</f>
        <v>300</v>
      </c>
      <c r="J232" s="294">
        <f>'Unit Savings Calculations'!$F228*'Unit Savings Calculations'!L228</f>
        <v>300</v>
      </c>
      <c r="K232" s="294">
        <f>'Unit Savings Calculations'!$F228*'Unit Savings Calculations'!M228</f>
        <v>300</v>
      </c>
      <c r="L232" s="292" t="str">
        <f>'Unit Savings Calculations'!U228</f>
        <v>CI-HVC-PINS-V04-160601</v>
      </c>
      <c r="M232" s="383" t="str">
        <f>'Unit Savings Calculations'!R228</f>
        <v>Exhibit 1.5A_R North Shore EEPS_Adjustable_Savings_Goal_Template.xlsx, Pipe Insulation Detail Tab</v>
      </c>
      <c r="N232" s="295">
        <v>24.25563238537794</v>
      </c>
      <c r="O232" s="295">
        <v>24.25563238537794</v>
      </c>
      <c r="P232" s="295">
        <v>24.25563238537794</v>
      </c>
      <c r="Q232" s="295">
        <v>24.25563238537794</v>
      </c>
      <c r="R232" s="296">
        <f>'Unit Savings Calculations'!$G228</f>
        <v>0.92</v>
      </c>
      <c r="S232" s="296">
        <f>'Unit Savings Calculations'!$G228</f>
        <v>0.92</v>
      </c>
      <c r="T232" s="296">
        <f>'Unit Savings Calculations'!$G228</f>
        <v>0.92</v>
      </c>
      <c r="U232" s="296">
        <f>'Unit Savings Calculations'!$G228</f>
        <v>0.92</v>
      </c>
      <c r="V232" s="297">
        <f t="shared" si="150"/>
        <v>6694.5545383643112</v>
      </c>
      <c r="W232" s="297">
        <f t="shared" si="151"/>
        <v>6694.5545383643112</v>
      </c>
      <c r="X232" s="297">
        <f t="shared" si="152"/>
        <v>6694.5545383643112</v>
      </c>
      <c r="Y232" s="297">
        <f t="shared" si="153"/>
        <v>6694.5545383643112</v>
      </c>
      <c r="Z232" s="297">
        <f t="shared" si="154"/>
        <v>26778.218153457245</v>
      </c>
      <c r="AA232" s="292"/>
      <c r="AB232" s="292"/>
      <c r="AC232" s="295">
        <v>24.25563238537794</v>
      </c>
      <c r="AD232" s="292"/>
      <c r="AE232" s="297">
        <f t="shared" si="140"/>
        <v>6694.5545383643112</v>
      </c>
      <c r="AF232" s="294">
        <f t="shared" si="141"/>
        <v>0</v>
      </c>
      <c r="AG232" s="292"/>
      <c r="AH232" s="292">
        <f t="shared" si="142"/>
        <v>0</v>
      </c>
      <c r="AI232" s="295">
        <v>24.25563238537794</v>
      </c>
      <c r="AJ232" s="383" t="s">
        <v>878</v>
      </c>
      <c r="AK232" s="297">
        <f t="shared" si="143"/>
        <v>6694.5545383643112</v>
      </c>
      <c r="AL232" s="294">
        <f t="shared" si="144"/>
        <v>0</v>
      </c>
      <c r="AM232" s="292"/>
      <c r="AN232" s="292"/>
      <c r="AO232" s="295">
        <f>'Unit Savings Calculations'!P228</f>
        <v>24.25563238537794</v>
      </c>
      <c r="AP232" s="383" t="s">
        <v>763</v>
      </c>
      <c r="AQ232" s="297">
        <f t="shared" si="145"/>
        <v>6694.5545383643112</v>
      </c>
      <c r="AR232" s="294">
        <f t="shared" si="146"/>
        <v>0</v>
      </c>
      <c r="AS232" s="292"/>
      <c r="AT232" s="292"/>
      <c r="AU232" s="295">
        <f>'Unit Savings Calculations'!Q228</f>
        <v>24.25563238537794</v>
      </c>
      <c r="AV232" s="383" t="str">
        <f t="shared" si="129"/>
        <v>n/a</v>
      </c>
      <c r="AW232" s="297">
        <f t="shared" si="147"/>
        <v>6694.5545383643112</v>
      </c>
      <c r="AX232" s="294">
        <f t="shared" si="148"/>
        <v>0</v>
      </c>
      <c r="AY232" s="297">
        <f t="shared" si="130"/>
        <v>6694.5545383643112</v>
      </c>
      <c r="AZ232" s="297">
        <f t="shared" si="131"/>
        <v>6694.5545383643112</v>
      </c>
      <c r="BA232" s="297">
        <f t="shared" si="132"/>
        <v>6694.5545383643112</v>
      </c>
      <c r="BB232" s="297">
        <f t="shared" si="133"/>
        <v>6694.5545383643112</v>
      </c>
      <c r="BC232" s="298">
        <f t="shared" si="134"/>
        <v>26778.218153457245</v>
      </c>
      <c r="BD232" s="292" t="s">
        <v>763</v>
      </c>
      <c r="BE232" s="299" t="str">
        <f t="shared" si="135"/>
        <v>Exhibit 1.5A_R North Shore EEPS_Adjustable_Savings_Goal_Template.xlsx, Pipe Insulation Detail Tab</v>
      </c>
      <c r="BF232" s="298">
        <f t="shared" si="136"/>
        <v>100418.31807546466</v>
      </c>
      <c r="BG232" s="298">
        <f t="shared" si="136"/>
        <v>100418.31807546466</v>
      </c>
      <c r="BH232" s="298">
        <f t="shared" si="136"/>
        <v>100418.31807546466</v>
      </c>
      <c r="BI232" s="298">
        <f t="shared" si="136"/>
        <v>100418.31807546466</v>
      </c>
      <c r="BJ232" s="298">
        <f t="shared" si="137"/>
        <v>401673.27230185864</v>
      </c>
      <c r="BK232" s="482">
        <v>15</v>
      </c>
      <c r="BL232" s="482">
        <v>15</v>
      </c>
      <c r="BM232" s="482">
        <f>INDEX('Unit Savings Calculations'!$I$4:$I$421,MATCH('Measure-Level Adjustments Tab'!$A232&amp;"_"&amp;'Measure-Level Adjustments Tab'!$B232,'Unit Savings Calculations'!$A$4:$A$421,0))</f>
        <v>15</v>
      </c>
      <c r="BN232" s="482">
        <f t="shared" si="138"/>
        <v>15</v>
      </c>
      <c r="BO232" s="483">
        <f t="shared" si="139"/>
        <v>100418.31807546466</v>
      </c>
      <c r="BP232" s="483">
        <f t="shared" si="139"/>
        <v>100418.31807546466</v>
      </c>
      <c r="BQ232" s="483">
        <f t="shared" si="139"/>
        <v>100418.31807546466</v>
      </c>
      <c r="BR232" s="483">
        <f t="shared" si="139"/>
        <v>100418.31807546466</v>
      </c>
      <c r="BS232" s="483">
        <f t="shared" si="128"/>
        <v>401673.27230185864</v>
      </c>
    </row>
    <row r="233" spans="1:71" ht="15.75" customHeight="1">
      <c r="A233" s="292" t="str">
        <f>'Unit Savings Calculations'!C229</f>
        <v>Bus - SB Rebates -PTA</v>
      </c>
      <c r="B233" s="292" t="str">
        <f>'Unit Savings Calculations'!D229</f>
        <v>Pipe Insulation - Steam - X-Large &gt;8"</v>
      </c>
      <c r="C233" s="293">
        <f t="shared" si="149"/>
        <v>1</v>
      </c>
      <c r="D233" s="292" t="str">
        <f>'Unit Savings Calculations'!T229</f>
        <v>4.4.14</v>
      </c>
      <c r="E233" s="438">
        <v>15</v>
      </c>
      <c r="F233" s="438">
        <v>15</v>
      </c>
      <c r="G233" s="292" t="str">
        <f>'Unit Savings Calculations'!E229</f>
        <v>ft</v>
      </c>
      <c r="H233" s="294">
        <f>'Unit Savings Calculations'!$F229*'Unit Savings Calculations'!J229</f>
        <v>0</v>
      </c>
      <c r="I233" s="294">
        <f>'Unit Savings Calculations'!$F229*'Unit Savings Calculations'!K229</f>
        <v>0</v>
      </c>
      <c r="J233" s="294">
        <f>'Unit Savings Calculations'!$F229*'Unit Savings Calculations'!L229</f>
        <v>0</v>
      </c>
      <c r="K233" s="294">
        <f>'Unit Savings Calculations'!$F229*'Unit Savings Calculations'!M229</f>
        <v>0</v>
      </c>
      <c r="L233" s="292" t="str">
        <f>'Unit Savings Calculations'!U229</f>
        <v>CI-HVC-PINS-V04-160601</v>
      </c>
      <c r="M233" s="383" t="str">
        <f>'Unit Savings Calculations'!R229</f>
        <v>Exhibit 1.5A_R North Shore EEPS_Adjustable_Savings_Goal_Template.xlsx, Pipe Insulation Detail Tab</v>
      </c>
      <c r="N233" s="295">
        <v>35.984797966765058</v>
      </c>
      <c r="O233" s="295">
        <v>35.984797966765058</v>
      </c>
      <c r="P233" s="295">
        <v>35.984797966765058</v>
      </c>
      <c r="Q233" s="295">
        <v>35.984797966765058</v>
      </c>
      <c r="R233" s="296">
        <f>'Unit Savings Calculations'!$G229</f>
        <v>0.92</v>
      </c>
      <c r="S233" s="296">
        <f>'Unit Savings Calculations'!$G229</f>
        <v>0.92</v>
      </c>
      <c r="T233" s="296">
        <f>'Unit Savings Calculations'!$G229</f>
        <v>0.92</v>
      </c>
      <c r="U233" s="296">
        <f>'Unit Savings Calculations'!$G229</f>
        <v>0.92</v>
      </c>
      <c r="V233" s="297">
        <f t="shared" si="150"/>
        <v>0</v>
      </c>
      <c r="W233" s="297">
        <f t="shared" si="151"/>
        <v>0</v>
      </c>
      <c r="X233" s="297">
        <f t="shared" si="152"/>
        <v>0</v>
      </c>
      <c r="Y233" s="297">
        <f t="shared" si="153"/>
        <v>0</v>
      </c>
      <c r="Z233" s="297">
        <f t="shared" si="154"/>
        <v>0</v>
      </c>
      <c r="AA233" s="292"/>
      <c r="AB233" s="292"/>
      <c r="AC233" s="295">
        <v>35.984797966765058</v>
      </c>
      <c r="AD233" s="292"/>
      <c r="AE233" s="297">
        <f t="shared" si="140"/>
        <v>0</v>
      </c>
      <c r="AF233" s="294">
        <f t="shared" si="141"/>
        <v>0</v>
      </c>
      <c r="AG233" s="292"/>
      <c r="AH233" s="292">
        <f t="shared" si="142"/>
        <v>0</v>
      </c>
      <c r="AI233" s="295">
        <v>35.984797966765058</v>
      </c>
      <c r="AJ233" s="383" t="s">
        <v>878</v>
      </c>
      <c r="AK233" s="297">
        <f t="shared" si="143"/>
        <v>0</v>
      </c>
      <c r="AL233" s="294">
        <f t="shared" si="144"/>
        <v>0</v>
      </c>
      <c r="AM233" s="292"/>
      <c r="AN233" s="292"/>
      <c r="AO233" s="295">
        <f>'Unit Savings Calculations'!P229</f>
        <v>35.984797966765058</v>
      </c>
      <c r="AP233" s="383" t="s">
        <v>763</v>
      </c>
      <c r="AQ233" s="297">
        <f t="shared" si="145"/>
        <v>0</v>
      </c>
      <c r="AR233" s="294">
        <f t="shared" si="146"/>
        <v>0</v>
      </c>
      <c r="AS233" s="292"/>
      <c r="AT233" s="292"/>
      <c r="AU233" s="295">
        <f>'Unit Savings Calculations'!Q229</f>
        <v>35.984797966765058</v>
      </c>
      <c r="AV233" s="383" t="str">
        <f t="shared" si="129"/>
        <v>n/a</v>
      </c>
      <c r="AW233" s="297">
        <f t="shared" si="147"/>
        <v>0</v>
      </c>
      <c r="AX233" s="294">
        <f t="shared" si="148"/>
        <v>0</v>
      </c>
      <c r="AY233" s="297">
        <f t="shared" si="130"/>
        <v>0</v>
      </c>
      <c r="AZ233" s="297">
        <f t="shared" si="131"/>
        <v>0</v>
      </c>
      <c r="BA233" s="297">
        <f t="shared" si="132"/>
        <v>0</v>
      </c>
      <c r="BB233" s="297">
        <f t="shared" si="133"/>
        <v>0</v>
      </c>
      <c r="BC233" s="298">
        <f t="shared" si="134"/>
        <v>0</v>
      </c>
      <c r="BD233" s="292" t="s">
        <v>763</v>
      </c>
      <c r="BE233" s="299" t="str">
        <f t="shared" si="135"/>
        <v>Exhibit 1.5A_R North Shore EEPS_Adjustable_Savings_Goal_Template.xlsx, Pipe Insulation Detail Tab</v>
      </c>
      <c r="BF233" s="298">
        <f t="shared" si="136"/>
        <v>0</v>
      </c>
      <c r="BG233" s="298">
        <f t="shared" si="136"/>
        <v>0</v>
      </c>
      <c r="BH233" s="298">
        <f t="shared" si="136"/>
        <v>0</v>
      </c>
      <c r="BI233" s="298">
        <f t="shared" si="136"/>
        <v>0</v>
      </c>
      <c r="BJ233" s="298">
        <f t="shared" si="137"/>
        <v>0</v>
      </c>
      <c r="BK233" s="482">
        <v>15</v>
      </c>
      <c r="BL233" s="482">
        <v>15</v>
      </c>
      <c r="BM233" s="482">
        <f>INDEX('Unit Savings Calculations'!$I$4:$I$421,MATCH('Measure-Level Adjustments Tab'!$A233&amp;"_"&amp;'Measure-Level Adjustments Tab'!$B233,'Unit Savings Calculations'!$A$4:$A$421,0))</f>
        <v>15</v>
      </c>
      <c r="BN233" s="482">
        <f t="shared" si="138"/>
        <v>15</v>
      </c>
      <c r="BO233" s="483">
        <f t="shared" si="139"/>
        <v>0</v>
      </c>
      <c r="BP233" s="483">
        <f t="shared" si="139"/>
        <v>0</v>
      </c>
      <c r="BQ233" s="483">
        <f t="shared" si="139"/>
        <v>0</v>
      </c>
      <c r="BR233" s="483">
        <f t="shared" si="139"/>
        <v>0</v>
      </c>
      <c r="BS233" s="483">
        <f t="shared" si="128"/>
        <v>0</v>
      </c>
    </row>
    <row r="234" spans="1:71" ht="15.75" customHeight="1">
      <c r="A234" s="292" t="str">
        <f>'Unit Savings Calculations'!C230</f>
        <v>Bus - SB Rebates -PTA</v>
      </c>
      <c r="B234" s="292" t="str">
        <f>'Unit Savings Calculations'!D230</f>
        <v>Pipe Insulation - Steam Med Fitting</v>
      </c>
      <c r="C234" s="293">
        <f t="shared" si="149"/>
        <v>1</v>
      </c>
      <c r="D234" s="292" t="str">
        <f>'Unit Savings Calculations'!T230</f>
        <v>4.4.14</v>
      </c>
      <c r="E234" s="438">
        <v>15</v>
      </c>
      <c r="F234" s="438">
        <v>15</v>
      </c>
      <c r="G234" s="292" t="str">
        <f>'Unit Savings Calculations'!E230</f>
        <v>each</v>
      </c>
      <c r="H234" s="294">
        <f>'Unit Savings Calculations'!$F230*'Unit Savings Calculations'!J230</f>
        <v>0</v>
      </c>
      <c r="I234" s="294">
        <f>'Unit Savings Calculations'!$F230*'Unit Savings Calculations'!K230</f>
        <v>0</v>
      </c>
      <c r="J234" s="294">
        <f>'Unit Savings Calculations'!$F230*'Unit Savings Calculations'!L230</f>
        <v>0</v>
      </c>
      <c r="K234" s="294">
        <f>'Unit Savings Calculations'!$F230*'Unit Savings Calculations'!M230</f>
        <v>0</v>
      </c>
      <c r="L234" s="292" t="str">
        <f>'Unit Savings Calculations'!U230</f>
        <v>CI-HVC-PINS-V04-160601</v>
      </c>
      <c r="M234" s="383" t="str">
        <f>'Unit Savings Calculations'!R230</f>
        <v>Exhibit 1.5A_R North Shore EEPS_Adjustable_Savings_Goal_Template.xlsx, Pipe Insulation Detail Tab</v>
      </c>
      <c r="N234" s="295">
        <v>12.515179237984789</v>
      </c>
      <c r="O234" s="295">
        <v>12.515179237984789</v>
      </c>
      <c r="P234" s="295">
        <v>12.515179237984789</v>
      </c>
      <c r="Q234" s="295">
        <v>12.515179237984789</v>
      </c>
      <c r="R234" s="296">
        <f>'Unit Savings Calculations'!$G230</f>
        <v>0.92</v>
      </c>
      <c r="S234" s="296">
        <f>'Unit Savings Calculations'!$G230</f>
        <v>0.92</v>
      </c>
      <c r="T234" s="296">
        <f>'Unit Savings Calculations'!$G230</f>
        <v>0.92</v>
      </c>
      <c r="U234" s="296">
        <f>'Unit Savings Calculations'!$G230</f>
        <v>0.92</v>
      </c>
      <c r="V234" s="297">
        <f t="shared" si="150"/>
        <v>0</v>
      </c>
      <c r="W234" s="297">
        <f t="shared" si="151"/>
        <v>0</v>
      </c>
      <c r="X234" s="297">
        <f t="shared" si="152"/>
        <v>0</v>
      </c>
      <c r="Y234" s="297">
        <f t="shared" si="153"/>
        <v>0</v>
      </c>
      <c r="Z234" s="297">
        <f t="shared" si="154"/>
        <v>0</v>
      </c>
      <c r="AA234" s="292"/>
      <c r="AB234" s="292"/>
      <c r="AC234" s="295">
        <v>12.515179237984789</v>
      </c>
      <c r="AD234" s="292"/>
      <c r="AE234" s="297">
        <f t="shared" si="140"/>
        <v>0</v>
      </c>
      <c r="AF234" s="294">
        <f t="shared" si="141"/>
        <v>0</v>
      </c>
      <c r="AG234" s="292"/>
      <c r="AH234" s="292">
        <f t="shared" si="142"/>
        <v>0</v>
      </c>
      <c r="AI234" s="295">
        <v>12.515179237984789</v>
      </c>
      <c r="AJ234" s="383" t="s">
        <v>878</v>
      </c>
      <c r="AK234" s="297">
        <f t="shared" si="143"/>
        <v>0</v>
      </c>
      <c r="AL234" s="294">
        <f t="shared" si="144"/>
        <v>0</v>
      </c>
      <c r="AM234" s="292"/>
      <c r="AN234" s="292"/>
      <c r="AO234" s="295">
        <f>'Unit Savings Calculations'!P230</f>
        <v>12.515179237984789</v>
      </c>
      <c r="AP234" s="383" t="s">
        <v>763</v>
      </c>
      <c r="AQ234" s="297">
        <f t="shared" si="145"/>
        <v>0</v>
      </c>
      <c r="AR234" s="294">
        <f t="shared" si="146"/>
        <v>0</v>
      </c>
      <c r="AS234" s="292"/>
      <c r="AT234" s="292"/>
      <c r="AU234" s="295">
        <f>'Unit Savings Calculations'!Q230</f>
        <v>12.515179237984789</v>
      </c>
      <c r="AV234" s="383" t="str">
        <f t="shared" si="129"/>
        <v>n/a</v>
      </c>
      <c r="AW234" s="297">
        <f t="shared" si="147"/>
        <v>0</v>
      </c>
      <c r="AX234" s="294">
        <f t="shared" si="148"/>
        <v>0</v>
      </c>
      <c r="AY234" s="297">
        <f t="shared" si="130"/>
        <v>0</v>
      </c>
      <c r="AZ234" s="297">
        <f t="shared" si="131"/>
        <v>0</v>
      </c>
      <c r="BA234" s="297">
        <f t="shared" si="132"/>
        <v>0</v>
      </c>
      <c r="BB234" s="297">
        <f t="shared" si="133"/>
        <v>0</v>
      </c>
      <c r="BC234" s="298">
        <f t="shared" si="134"/>
        <v>0</v>
      </c>
      <c r="BD234" s="292" t="s">
        <v>763</v>
      </c>
      <c r="BE234" s="299" t="str">
        <f t="shared" si="135"/>
        <v>Exhibit 1.5A_R North Shore EEPS_Adjustable_Savings_Goal_Template.xlsx, Pipe Insulation Detail Tab</v>
      </c>
      <c r="BF234" s="298">
        <f t="shared" si="136"/>
        <v>0</v>
      </c>
      <c r="BG234" s="298">
        <f t="shared" si="136"/>
        <v>0</v>
      </c>
      <c r="BH234" s="298">
        <f t="shared" si="136"/>
        <v>0</v>
      </c>
      <c r="BI234" s="298">
        <f t="shared" si="136"/>
        <v>0</v>
      </c>
      <c r="BJ234" s="298">
        <f t="shared" si="137"/>
        <v>0</v>
      </c>
      <c r="BK234" s="482">
        <v>15</v>
      </c>
      <c r="BL234" s="482">
        <v>15</v>
      </c>
      <c r="BM234" s="482">
        <f>INDEX('Unit Savings Calculations'!$I$4:$I$421,MATCH('Measure-Level Adjustments Tab'!$A234&amp;"_"&amp;'Measure-Level Adjustments Tab'!$B234,'Unit Savings Calculations'!$A$4:$A$421,0))</f>
        <v>15</v>
      </c>
      <c r="BN234" s="482">
        <f t="shared" si="138"/>
        <v>15</v>
      </c>
      <c r="BO234" s="483">
        <f t="shared" si="139"/>
        <v>0</v>
      </c>
      <c r="BP234" s="483">
        <f t="shared" si="139"/>
        <v>0</v>
      </c>
      <c r="BQ234" s="483">
        <f t="shared" si="139"/>
        <v>0</v>
      </c>
      <c r="BR234" s="483">
        <f t="shared" si="139"/>
        <v>0</v>
      </c>
      <c r="BS234" s="483">
        <f t="shared" si="128"/>
        <v>0</v>
      </c>
    </row>
    <row r="235" spans="1:71" ht="15.75" customHeight="1">
      <c r="A235" s="292" t="str">
        <f>'Unit Savings Calculations'!C231</f>
        <v>Bus - SB Rebates -PTA</v>
      </c>
      <c r="B235" s="292" t="str">
        <f>'Unit Savings Calculations'!D231</f>
        <v>Pipe Insulation - Steam Large Fitting</v>
      </c>
      <c r="C235" s="293">
        <f t="shared" si="149"/>
        <v>1</v>
      </c>
      <c r="D235" s="292" t="str">
        <f>'Unit Savings Calculations'!T231</f>
        <v>4.4.14</v>
      </c>
      <c r="E235" s="438">
        <v>15</v>
      </c>
      <c r="F235" s="438">
        <v>15</v>
      </c>
      <c r="G235" s="292" t="str">
        <f>'Unit Savings Calculations'!E231</f>
        <v>each</v>
      </c>
      <c r="H235" s="294">
        <f>'Unit Savings Calculations'!$F231*'Unit Savings Calculations'!J231</f>
        <v>0</v>
      </c>
      <c r="I235" s="294">
        <f>'Unit Savings Calculations'!$F231*'Unit Savings Calculations'!K231</f>
        <v>0</v>
      </c>
      <c r="J235" s="294">
        <f>'Unit Savings Calculations'!$F231*'Unit Savings Calculations'!L231</f>
        <v>0</v>
      </c>
      <c r="K235" s="294">
        <f>'Unit Savings Calculations'!$F231*'Unit Savings Calculations'!M231</f>
        <v>0</v>
      </c>
      <c r="L235" s="292" t="str">
        <f>'Unit Savings Calculations'!U231</f>
        <v>CI-HVC-PINS-V04-160601</v>
      </c>
      <c r="M235" s="383" t="str">
        <f>'Unit Savings Calculations'!R231</f>
        <v>Exhibit 1.5A_R North Shore EEPS_Adjustable_Savings_Goal_Template.xlsx, Pipe Insulation Detail Tab</v>
      </c>
      <c r="N235" s="295">
        <v>51.249515380658096</v>
      </c>
      <c r="O235" s="295">
        <v>51.249515380658096</v>
      </c>
      <c r="P235" s="295">
        <v>51.249515380658096</v>
      </c>
      <c r="Q235" s="295">
        <v>51.249515380658096</v>
      </c>
      <c r="R235" s="296">
        <f>'Unit Savings Calculations'!$G231</f>
        <v>0.92</v>
      </c>
      <c r="S235" s="296">
        <f>'Unit Savings Calculations'!$G231</f>
        <v>0.92</v>
      </c>
      <c r="T235" s="296">
        <f>'Unit Savings Calculations'!$G231</f>
        <v>0.92</v>
      </c>
      <c r="U235" s="296">
        <f>'Unit Savings Calculations'!$G231</f>
        <v>0.92</v>
      </c>
      <c r="V235" s="297">
        <f t="shared" si="150"/>
        <v>0</v>
      </c>
      <c r="W235" s="297">
        <f t="shared" si="151"/>
        <v>0</v>
      </c>
      <c r="X235" s="297">
        <f t="shared" si="152"/>
        <v>0</v>
      </c>
      <c r="Y235" s="297">
        <f t="shared" si="153"/>
        <v>0</v>
      </c>
      <c r="Z235" s="297">
        <f t="shared" si="154"/>
        <v>0</v>
      </c>
      <c r="AA235" s="292"/>
      <c r="AB235" s="292"/>
      <c r="AC235" s="295">
        <v>51.249515380658096</v>
      </c>
      <c r="AD235" s="292"/>
      <c r="AE235" s="297">
        <f t="shared" si="140"/>
        <v>0</v>
      </c>
      <c r="AF235" s="294">
        <f t="shared" si="141"/>
        <v>0</v>
      </c>
      <c r="AG235" s="292"/>
      <c r="AH235" s="292">
        <f t="shared" si="142"/>
        <v>0</v>
      </c>
      <c r="AI235" s="295">
        <v>51.249515380658096</v>
      </c>
      <c r="AJ235" s="383" t="s">
        <v>878</v>
      </c>
      <c r="AK235" s="297">
        <f t="shared" si="143"/>
        <v>0</v>
      </c>
      <c r="AL235" s="294">
        <f t="shared" si="144"/>
        <v>0</v>
      </c>
      <c r="AM235" s="292"/>
      <c r="AN235" s="292"/>
      <c r="AO235" s="295">
        <f>'Unit Savings Calculations'!P231</f>
        <v>51.249515380658096</v>
      </c>
      <c r="AP235" s="383" t="s">
        <v>763</v>
      </c>
      <c r="AQ235" s="297">
        <f t="shared" si="145"/>
        <v>0</v>
      </c>
      <c r="AR235" s="294">
        <f t="shared" si="146"/>
        <v>0</v>
      </c>
      <c r="AS235" s="292"/>
      <c r="AT235" s="292"/>
      <c r="AU235" s="295">
        <f>'Unit Savings Calculations'!Q231</f>
        <v>51.249515380658096</v>
      </c>
      <c r="AV235" s="383" t="str">
        <f t="shared" si="129"/>
        <v>n/a</v>
      </c>
      <c r="AW235" s="297">
        <f t="shared" si="147"/>
        <v>0</v>
      </c>
      <c r="AX235" s="294">
        <f t="shared" si="148"/>
        <v>0</v>
      </c>
      <c r="AY235" s="297">
        <f t="shared" si="130"/>
        <v>0</v>
      </c>
      <c r="AZ235" s="297">
        <f t="shared" si="131"/>
        <v>0</v>
      </c>
      <c r="BA235" s="297">
        <f t="shared" si="132"/>
        <v>0</v>
      </c>
      <c r="BB235" s="297">
        <f t="shared" si="133"/>
        <v>0</v>
      </c>
      <c r="BC235" s="298">
        <f t="shared" si="134"/>
        <v>0</v>
      </c>
      <c r="BD235" s="292" t="s">
        <v>763</v>
      </c>
      <c r="BE235" s="299" t="str">
        <f t="shared" si="135"/>
        <v>Exhibit 1.5A_R North Shore EEPS_Adjustable_Savings_Goal_Template.xlsx, Pipe Insulation Detail Tab</v>
      </c>
      <c r="BF235" s="298">
        <f t="shared" si="136"/>
        <v>0</v>
      </c>
      <c r="BG235" s="298">
        <f t="shared" si="136"/>
        <v>0</v>
      </c>
      <c r="BH235" s="298">
        <f t="shared" si="136"/>
        <v>0</v>
      </c>
      <c r="BI235" s="298">
        <f t="shared" si="136"/>
        <v>0</v>
      </c>
      <c r="BJ235" s="298">
        <f t="shared" si="137"/>
        <v>0</v>
      </c>
      <c r="BK235" s="482">
        <v>15</v>
      </c>
      <c r="BL235" s="482">
        <v>15</v>
      </c>
      <c r="BM235" s="482">
        <f>INDEX('Unit Savings Calculations'!$I$4:$I$421,MATCH('Measure-Level Adjustments Tab'!$A235&amp;"_"&amp;'Measure-Level Adjustments Tab'!$B235,'Unit Savings Calculations'!$A$4:$A$421,0))</f>
        <v>15</v>
      </c>
      <c r="BN235" s="482">
        <f t="shared" si="138"/>
        <v>15</v>
      </c>
      <c r="BO235" s="483">
        <f t="shared" si="139"/>
        <v>0</v>
      </c>
      <c r="BP235" s="483">
        <f t="shared" si="139"/>
        <v>0</v>
      </c>
      <c r="BQ235" s="483">
        <f t="shared" si="139"/>
        <v>0</v>
      </c>
      <c r="BR235" s="483">
        <f t="shared" si="139"/>
        <v>0</v>
      </c>
      <c r="BS235" s="483">
        <f t="shared" si="128"/>
        <v>0</v>
      </c>
    </row>
    <row r="236" spans="1:71" ht="15.75" customHeight="1">
      <c r="A236" s="292" t="str">
        <f>'Unit Savings Calculations'!C232</f>
        <v>Bus - SB Rebates -PTA</v>
      </c>
      <c r="B236" s="292" t="str">
        <f>'Unit Savings Calculations'!D232</f>
        <v>Pipe Insulation - Steam X-Large Fitting</v>
      </c>
      <c r="C236" s="293">
        <f t="shared" si="149"/>
        <v>1</v>
      </c>
      <c r="D236" s="292" t="str">
        <f>'Unit Savings Calculations'!T232</f>
        <v>4.4.14</v>
      </c>
      <c r="E236" s="438">
        <v>15</v>
      </c>
      <c r="F236" s="438">
        <v>15</v>
      </c>
      <c r="G236" s="292" t="str">
        <f>'Unit Savings Calculations'!E232</f>
        <v>each</v>
      </c>
      <c r="H236" s="294">
        <f>'Unit Savings Calculations'!$F232*'Unit Savings Calculations'!J232</f>
        <v>0</v>
      </c>
      <c r="I236" s="294">
        <f>'Unit Savings Calculations'!$F232*'Unit Savings Calculations'!K232</f>
        <v>0</v>
      </c>
      <c r="J236" s="294">
        <f>'Unit Savings Calculations'!$F232*'Unit Savings Calculations'!L232</f>
        <v>0</v>
      </c>
      <c r="K236" s="294">
        <f>'Unit Savings Calculations'!$F232*'Unit Savings Calculations'!M232</f>
        <v>0</v>
      </c>
      <c r="L236" s="292" t="str">
        <f>'Unit Savings Calculations'!U232</f>
        <v>CI-HVC-PINS-V04-160601</v>
      </c>
      <c r="M236" s="383" t="str">
        <f>'Unit Savings Calculations'!R232</f>
        <v>Exhibit 1.5A_R North Shore EEPS_Adjustable_Savings_Goal_Template.xlsx, Pipe Insulation Detail Tab</v>
      </c>
      <c r="N236" s="295">
        <v>99.138118398437726</v>
      </c>
      <c r="O236" s="295">
        <v>99.138118398437726</v>
      </c>
      <c r="P236" s="295">
        <v>99.138118398437726</v>
      </c>
      <c r="Q236" s="295">
        <v>99.138118398437726</v>
      </c>
      <c r="R236" s="296">
        <f>'Unit Savings Calculations'!$G232</f>
        <v>0.92</v>
      </c>
      <c r="S236" s="296">
        <f>'Unit Savings Calculations'!$G232</f>
        <v>0.92</v>
      </c>
      <c r="T236" s="296">
        <f>'Unit Savings Calculations'!$G232</f>
        <v>0.92</v>
      </c>
      <c r="U236" s="296">
        <f>'Unit Savings Calculations'!$G232</f>
        <v>0.92</v>
      </c>
      <c r="V236" s="297">
        <f t="shared" si="150"/>
        <v>0</v>
      </c>
      <c r="W236" s="297">
        <f t="shared" si="151"/>
        <v>0</v>
      </c>
      <c r="X236" s="297">
        <f t="shared" si="152"/>
        <v>0</v>
      </c>
      <c r="Y236" s="297">
        <f t="shared" si="153"/>
        <v>0</v>
      </c>
      <c r="Z236" s="297">
        <f t="shared" si="154"/>
        <v>0</v>
      </c>
      <c r="AA236" s="292"/>
      <c r="AB236" s="292"/>
      <c r="AC236" s="295">
        <v>99.138118398437726</v>
      </c>
      <c r="AD236" s="292"/>
      <c r="AE236" s="297">
        <f t="shared" si="140"/>
        <v>0</v>
      </c>
      <c r="AF236" s="294">
        <f t="shared" si="141"/>
        <v>0</v>
      </c>
      <c r="AG236" s="292"/>
      <c r="AH236" s="292">
        <f t="shared" si="142"/>
        <v>0</v>
      </c>
      <c r="AI236" s="295">
        <v>99.138118398437726</v>
      </c>
      <c r="AJ236" s="383" t="s">
        <v>878</v>
      </c>
      <c r="AK236" s="297">
        <f t="shared" si="143"/>
        <v>0</v>
      </c>
      <c r="AL236" s="294">
        <f t="shared" si="144"/>
        <v>0</v>
      </c>
      <c r="AM236" s="292"/>
      <c r="AN236" s="292"/>
      <c r="AO236" s="295">
        <f>'Unit Savings Calculations'!P232</f>
        <v>99.138118398437726</v>
      </c>
      <c r="AP236" s="383" t="s">
        <v>763</v>
      </c>
      <c r="AQ236" s="297">
        <f t="shared" si="145"/>
        <v>0</v>
      </c>
      <c r="AR236" s="294">
        <f t="shared" si="146"/>
        <v>0</v>
      </c>
      <c r="AS236" s="292"/>
      <c r="AT236" s="292"/>
      <c r="AU236" s="295">
        <f>'Unit Savings Calculations'!Q232</f>
        <v>99.138118398437726</v>
      </c>
      <c r="AV236" s="383" t="str">
        <f t="shared" si="129"/>
        <v>n/a</v>
      </c>
      <c r="AW236" s="297">
        <f t="shared" si="147"/>
        <v>0</v>
      </c>
      <c r="AX236" s="294">
        <f t="shared" si="148"/>
        <v>0</v>
      </c>
      <c r="AY236" s="297">
        <f t="shared" si="130"/>
        <v>0</v>
      </c>
      <c r="AZ236" s="297">
        <f t="shared" si="131"/>
        <v>0</v>
      </c>
      <c r="BA236" s="297">
        <f t="shared" si="132"/>
        <v>0</v>
      </c>
      <c r="BB236" s="297">
        <f t="shared" si="133"/>
        <v>0</v>
      </c>
      <c r="BC236" s="298">
        <f t="shared" si="134"/>
        <v>0</v>
      </c>
      <c r="BD236" s="292" t="s">
        <v>763</v>
      </c>
      <c r="BE236" s="299" t="str">
        <f t="shared" si="135"/>
        <v>Exhibit 1.5A_R North Shore EEPS_Adjustable_Savings_Goal_Template.xlsx, Pipe Insulation Detail Tab</v>
      </c>
      <c r="BF236" s="298">
        <f t="shared" si="136"/>
        <v>0</v>
      </c>
      <c r="BG236" s="298">
        <f t="shared" si="136"/>
        <v>0</v>
      </c>
      <c r="BH236" s="298">
        <f t="shared" si="136"/>
        <v>0</v>
      </c>
      <c r="BI236" s="298">
        <f t="shared" si="136"/>
        <v>0</v>
      </c>
      <c r="BJ236" s="298">
        <f t="shared" si="137"/>
        <v>0</v>
      </c>
      <c r="BK236" s="482">
        <v>15</v>
      </c>
      <c r="BL236" s="482">
        <v>15</v>
      </c>
      <c r="BM236" s="482">
        <f>INDEX('Unit Savings Calculations'!$I$4:$I$421,MATCH('Measure-Level Adjustments Tab'!$A236&amp;"_"&amp;'Measure-Level Adjustments Tab'!$B236,'Unit Savings Calculations'!$A$4:$A$421,0))</f>
        <v>15</v>
      </c>
      <c r="BN236" s="482">
        <f t="shared" si="138"/>
        <v>15</v>
      </c>
      <c r="BO236" s="483">
        <f t="shared" si="139"/>
        <v>0</v>
      </c>
      <c r="BP236" s="483">
        <f t="shared" si="139"/>
        <v>0</v>
      </c>
      <c r="BQ236" s="483">
        <f t="shared" si="139"/>
        <v>0</v>
      </c>
      <c r="BR236" s="483">
        <f t="shared" si="139"/>
        <v>0</v>
      </c>
      <c r="BS236" s="483">
        <f t="shared" si="128"/>
        <v>0</v>
      </c>
    </row>
    <row r="237" spans="1:71" ht="15.75" customHeight="1">
      <c r="A237" s="292" t="str">
        <f>'Unit Savings Calculations'!C233</f>
        <v>Bus - SB Rebates -PTA</v>
      </c>
      <c r="B237" s="292" t="str">
        <f>'Unit Savings Calculations'!D233</f>
        <v>Pipe Insulation - Steam Med Valve</v>
      </c>
      <c r="C237" s="293">
        <f t="shared" si="149"/>
        <v>1</v>
      </c>
      <c r="D237" s="292" t="str">
        <f>'Unit Savings Calculations'!T233</f>
        <v>4.4.14</v>
      </c>
      <c r="E237" s="438">
        <v>15</v>
      </c>
      <c r="F237" s="438">
        <v>15</v>
      </c>
      <c r="G237" s="292" t="str">
        <f>'Unit Savings Calculations'!E233</f>
        <v>each</v>
      </c>
      <c r="H237" s="294">
        <f>'Unit Savings Calculations'!$F233*'Unit Savings Calculations'!J233</f>
        <v>0</v>
      </c>
      <c r="I237" s="294">
        <f>'Unit Savings Calculations'!$F233*'Unit Savings Calculations'!K233</f>
        <v>0</v>
      </c>
      <c r="J237" s="294">
        <f>'Unit Savings Calculations'!$F233*'Unit Savings Calculations'!L233</f>
        <v>0</v>
      </c>
      <c r="K237" s="294">
        <f>'Unit Savings Calculations'!$F233*'Unit Savings Calculations'!M233</f>
        <v>0</v>
      </c>
      <c r="L237" s="292" t="str">
        <f>'Unit Savings Calculations'!U233</f>
        <v>CI-HVC-PINS-V04-160601</v>
      </c>
      <c r="M237" s="383" t="str">
        <f>'Unit Savings Calculations'!R233</f>
        <v>Exhibit 1.5A_R North Shore EEPS_Adjustable_Savings_Goal_Template.xlsx, Pipe Insulation Detail Tab</v>
      </c>
      <c r="N237" s="295">
        <v>37.423389683572815</v>
      </c>
      <c r="O237" s="295">
        <v>37.423389683572815</v>
      </c>
      <c r="P237" s="295">
        <v>37.423389683572815</v>
      </c>
      <c r="Q237" s="295">
        <v>37.423389683572815</v>
      </c>
      <c r="R237" s="296">
        <f>'Unit Savings Calculations'!$G233</f>
        <v>0.92</v>
      </c>
      <c r="S237" s="296">
        <f>'Unit Savings Calculations'!$G233</f>
        <v>0.92</v>
      </c>
      <c r="T237" s="296">
        <f>'Unit Savings Calculations'!$G233</f>
        <v>0.92</v>
      </c>
      <c r="U237" s="296">
        <f>'Unit Savings Calculations'!$G233</f>
        <v>0.92</v>
      </c>
      <c r="V237" s="297">
        <f t="shared" si="150"/>
        <v>0</v>
      </c>
      <c r="W237" s="297">
        <f t="shared" si="151"/>
        <v>0</v>
      </c>
      <c r="X237" s="297">
        <f t="shared" si="152"/>
        <v>0</v>
      </c>
      <c r="Y237" s="297">
        <f t="shared" si="153"/>
        <v>0</v>
      </c>
      <c r="Z237" s="297">
        <f t="shared" si="154"/>
        <v>0</v>
      </c>
      <c r="AA237" s="292"/>
      <c r="AB237" s="292"/>
      <c r="AC237" s="295">
        <v>37.423389683572815</v>
      </c>
      <c r="AD237" s="292"/>
      <c r="AE237" s="297">
        <f t="shared" si="140"/>
        <v>0</v>
      </c>
      <c r="AF237" s="294">
        <f t="shared" si="141"/>
        <v>0</v>
      </c>
      <c r="AG237" s="292"/>
      <c r="AH237" s="292">
        <f t="shared" si="142"/>
        <v>0</v>
      </c>
      <c r="AI237" s="295">
        <v>37.423389683572815</v>
      </c>
      <c r="AJ237" s="383" t="s">
        <v>878</v>
      </c>
      <c r="AK237" s="297">
        <f t="shared" si="143"/>
        <v>0</v>
      </c>
      <c r="AL237" s="294">
        <f t="shared" si="144"/>
        <v>0</v>
      </c>
      <c r="AM237" s="292"/>
      <c r="AN237" s="292"/>
      <c r="AO237" s="295">
        <f>'Unit Savings Calculations'!P233</f>
        <v>37.423389683572815</v>
      </c>
      <c r="AP237" s="383" t="s">
        <v>763</v>
      </c>
      <c r="AQ237" s="297">
        <f t="shared" si="145"/>
        <v>0</v>
      </c>
      <c r="AR237" s="294">
        <f t="shared" si="146"/>
        <v>0</v>
      </c>
      <c r="AS237" s="292"/>
      <c r="AT237" s="292"/>
      <c r="AU237" s="295">
        <f>'Unit Savings Calculations'!Q233</f>
        <v>37.423389683572815</v>
      </c>
      <c r="AV237" s="383" t="str">
        <f t="shared" si="129"/>
        <v>n/a</v>
      </c>
      <c r="AW237" s="297">
        <f t="shared" si="147"/>
        <v>0</v>
      </c>
      <c r="AX237" s="294">
        <f t="shared" si="148"/>
        <v>0</v>
      </c>
      <c r="AY237" s="297">
        <f t="shared" si="130"/>
        <v>0</v>
      </c>
      <c r="AZ237" s="297">
        <f t="shared" si="131"/>
        <v>0</v>
      </c>
      <c r="BA237" s="297">
        <f t="shared" si="132"/>
        <v>0</v>
      </c>
      <c r="BB237" s="297">
        <f t="shared" si="133"/>
        <v>0</v>
      </c>
      <c r="BC237" s="298">
        <f t="shared" si="134"/>
        <v>0</v>
      </c>
      <c r="BD237" s="292" t="s">
        <v>763</v>
      </c>
      <c r="BE237" s="299" t="str">
        <f t="shared" si="135"/>
        <v>Exhibit 1.5A_R North Shore EEPS_Adjustable_Savings_Goal_Template.xlsx, Pipe Insulation Detail Tab</v>
      </c>
      <c r="BF237" s="298">
        <f t="shared" si="136"/>
        <v>0</v>
      </c>
      <c r="BG237" s="298">
        <f t="shared" si="136"/>
        <v>0</v>
      </c>
      <c r="BH237" s="298">
        <f t="shared" si="136"/>
        <v>0</v>
      </c>
      <c r="BI237" s="298">
        <f t="shared" si="136"/>
        <v>0</v>
      </c>
      <c r="BJ237" s="298">
        <f t="shared" si="137"/>
        <v>0</v>
      </c>
      <c r="BK237" s="482">
        <v>15</v>
      </c>
      <c r="BL237" s="482">
        <v>15</v>
      </c>
      <c r="BM237" s="482">
        <f>INDEX('Unit Savings Calculations'!$I$4:$I$421,MATCH('Measure-Level Adjustments Tab'!$A237&amp;"_"&amp;'Measure-Level Adjustments Tab'!$B237,'Unit Savings Calculations'!$A$4:$A$421,0))</f>
        <v>15</v>
      </c>
      <c r="BN237" s="482">
        <f t="shared" si="138"/>
        <v>15</v>
      </c>
      <c r="BO237" s="483">
        <f t="shared" si="139"/>
        <v>0</v>
      </c>
      <c r="BP237" s="483">
        <f t="shared" si="139"/>
        <v>0</v>
      </c>
      <c r="BQ237" s="483">
        <f t="shared" si="139"/>
        <v>0</v>
      </c>
      <c r="BR237" s="483">
        <f t="shared" si="139"/>
        <v>0</v>
      </c>
      <c r="BS237" s="483">
        <f t="shared" si="128"/>
        <v>0</v>
      </c>
    </row>
    <row r="238" spans="1:71" ht="15.75" customHeight="1">
      <c r="A238" s="292" t="str">
        <f>'Unit Savings Calculations'!C234</f>
        <v>Bus - SB Rebates -PTA</v>
      </c>
      <c r="B238" s="292" t="str">
        <f>'Unit Savings Calculations'!D234</f>
        <v>Pipe Insulation - Steam Large Valve</v>
      </c>
      <c r="C238" s="293">
        <f t="shared" si="149"/>
        <v>1</v>
      </c>
      <c r="D238" s="292" t="str">
        <f>'Unit Savings Calculations'!T234</f>
        <v>4.4.14</v>
      </c>
      <c r="E238" s="438">
        <v>15</v>
      </c>
      <c r="F238" s="438">
        <v>15</v>
      </c>
      <c r="G238" s="292" t="str">
        <f>'Unit Savings Calculations'!E234</f>
        <v>each</v>
      </c>
      <c r="H238" s="294">
        <f>'Unit Savings Calculations'!$F234*'Unit Savings Calculations'!J234</f>
        <v>0</v>
      </c>
      <c r="I238" s="294">
        <f>'Unit Savings Calculations'!$F234*'Unit Savings Calculations'!K234</f>
        <v>0</v>
      </c>
      <c r="J238" s="294">
        <f>'Unit Savings Calculations'!$F234*'Unit Savings Calculations'!L234</f>
        <v>0</v>
      </c>
      <c r="K238" s="294">
        <f>'Unit Savings Calculations'!$F234*'Unit Savings Calculations'!M234</f>
        <v>0</v>
      </c>
      <c r="L238" s="292" t="str">
        <f>'Unit Savings Calculations'!U234</f>
        <v>CI-HVC-PINS-V04-160601</v>
      </c>
      <c r="M238" s="383" t="str">
        <f>'Unit Savings Calculations'!R234</f>
        <v>Exhibit 1.5A_R North Shore EEPS_Adjustable_Savings_Goal_Template.xlsx, Pipe Insulation Detail Tab</v>
      </c>
      <c r="N238" s="295">
        <v>107.52607289087437</v>
      </c>
      <c r="O238" s="295">
        <v>107.52607289087437</v>
      </c>
      <c r="P238" s="295">
        <v>107.52607289087437</v>
      </c>
      <c r="Q238" s="295">
        <v>107.52607289087437</v>
      </c>
      <c r="R238" s="296">
        <f>'Unit Savings Calculations'!$G234</f>
        <v>0.92</v>
      </c>
      <c r="S238" s="296">
        <f>'Unit Savings Calculations'!$G234</f>
        <v>0.92</v>
      </c>
      <c r="T238" s="296">
        <f>'Unit Savings Calculations'!$G234</f>
        <v>0.92</v>
      </c>
      <c r="U238" s="296">
        <f>'Unit Savings Calculations'!$G234</f>
        <v>0.92</v>
      </c>
      <c r="V238" s="297">
        <f t="shared" si="150"/>
        <v>0</v>
      </c>
      <c r="W238" s="297">
        <f t="shared" si="151"/>
        <v>0</v>
      </c>
      <c r="X238" s="297">
        <f t="shared" si="152"/>
        <v>0</v>
      </c>
      <c r="Y238" s="297">
        <f t="shared" si="153"/>
        <v>0</v>
      </c>
      <c r="Z238" s="297">
        <f t="shared" si="154"/>
        <v>0</v>
      </c>
      <c r="AA238" s="292"/>
      <c r="AB238" s="292"/>
      <c r="AC238" s="295">
        <v>107.52607289087437</v>
      </c>
      <c r="AD238" s="292"/>
      <c r="AE238" s="297">
        <f t="shared" si="140"/>
        <v>0</v>
      </c>
      <c r="AF238" s="294">
        <f t="shared" si="141"/>
        <v>0</v>
      </c>
      <c r="AG238" s="292"/>
      <c r="AH238" s="292">
        <f t="shared" si="142"/>
        <v>0</v>
      </c>
      <c r="AI238" s="295">
        <v>107.52607289087437</v>
      </c>
      <c r="AJ238" s="383" t="s">
        <v>878</v>
      </c>
      <c r="AK238" s="297">
        <f t="shared" si="143"/>
        <v>0</v>
      </c>
      <c r="AL238" s="294">
        <f t="shared" si="144"/>
        <v>0</v>
      </c>
      <c r="AM238" s="292"/>
      <c r="AN238" s="292"/>
      <c r="AO238" s="295">
        <f>'Unit Savings Calculations'!P234</f>
        <v>107.52607289087437</v>
      </c>
      <c r="AP238" s="383" t="s">
        <v>763</v>
      </c>
      <c r="AQ238" s="297">
        <f t="shared" si="145"/>
        <v>0</v>
      </c>
      <c r="AR238" s="294">
        <f t="shared" si="146"/>
        <v>0</v>
      </c>
      <c r="AS238" s="292"/>
      <c r="AT238" s="292"/>
      <c r="AU238" s="295">
        <f>'Unit Savings Calculations'!Q234</f>
        <v>107.52607289087437</v>
      </c>
      <c r="AV238" s="383" t="str">
        <f t="shared" si="129"/>
        <v>n/a</v>
      </c>
      <c r="AW238" s="297">
        <f t="shared" si="147"/>
        <v>0</v>
      </c>
      <c r="AX238" s="294">
        <f t="shared" si="148"/>
        <v>0</v>
      </c>
      <c r="AY238" s="297">
        <f t="shared" si="130"/>
        <v>0</v>
      </c>
      <c r="AZ238" s="297">
        <f t="shared" si="131"/>
        <v>0</v>
      </c>
      <c r="BA238" s="297">
        <f t="shared" si="132"/>
        <v>0</v>
      </c>
      <c r="BB238" s="297">
        <f t="shared" si="133"/>
        <v>0</v>
      </c>
      <c r="BC238" s="298">
        <f t="shared" si="134"/>
        <v>0</v>
      </c>
      <c r="BD238" s="292" t="s">
        <v>763</v>
      </c>
      <c r="BE238" s="299" t="str">
        <f t="shared" si="135"/>
        <v>Exhibit 1.5A_R North Shore EEPS_Adjustable_Savings_Goal_Template.xlsx, Pipe Insulation Detail Tab</v>
      </c>
      <c r="BF238" s="298">
        <f t="shared" si="136"/>
        <v>0</v>
      </c>
      <c r="BG238" s="298">
        <f t="shared" si="136"/>
        <v>0</v>
      </c>
      <c r="BH238" s="298">
        <f t="shared" si="136"/>
        <v>0</v>
      </c>
      <c r="BI238" s="298">
        <f t="shared" si="136"/>
        <v>0</v>
      </c>
      <c r="BJ238" s="298">
        <f t="shared" si="137"/>
        <v>0</v>
      </c>
      <c r="BK238" s="482">
        <v>15</v>
      </c>
      <c r="BL238" s="482">
        <v>15</v>
      </c>
      <c r="BM238" s="482">
        <f>INDEX('Unit Savings Calculations'!$I$4:$I$421,MATCH('Measure-Level Adjustments Tab'!$A238&amp;"_"&amp;'Measure-Level Adjustments Tab'!$B238,'Unit Savings Calculations'!$A$4:$A$421,0))</f>
        <v>15</v>
      </c>
      <c r="BN238" s="482">
        <f t="shared" si="138"/>
        <v>15</v>
      </c>
      <c r="BO238" s="483">
        <f t="shared" si="139"/>
        <v>0</v>
      </c>
      <c r="BP238" s="483">
        <f t="shared" si="139"/>
        <v>0</v>
      </c>
      <c r="BQ238" s="483">
        <f t="shared" si="139"/>
        <v>0</v>
      </c>
      <c r="BR238" s="483">
        <f t="shared" si="139"/>
        <v>0</v>
      </c>
      <c r="BS238" s="483">
        <f t="shared" si="128"/>
        <v>0</v>
      </c>
    </row>
    <row r="239" spans="1:71" ht="15.75" customHeight="1">
      <c r="A239" s="292" t="str">
        <f>'Unit Savings Calculations'!C235</f>
        <v>Bus - SB Rebates -PTA</v>
      </c>
      <c r="B239" s="292" t="str">
        <f>'Unit Savings Calculations'!D235</f>
        <v>Pipe Insulation - Steam X-Large Valve</v>
      </c>
      <c r="C239" s="293">
        <f t="shared" si="149"/>
        <v>1</v>
      </c>
      <c r="D239" s="292" t="str">
        <f>'Unit Savings Calculations'!T235</f>
        <v>4.4.14</v>
      </c>
      <c r="E239" s="438">
        <v>15</v>
      </c>
      <c r="F239" s="438">
        <v>15</v>
      </c>
      <c r="G239" s="292" t="str">
        <f>'Unit Savings Calculations'!E235</f>
        <v>each</v>
      </c>
      <c r="H239" s="294">
        <f>'Unit Savings Calculations'!$F235*'Unit Savings Calculations'!J235</f>
        <v>0</v>
      </c>
      <c r="I239" s="294">
        <f>'Unit Savings Calculations'!$F235*'Unit Savings Calculations'!K235</f>
        <v>0</v>
      </c>
      <c r="J239" s="294">
        <f>'Unit Savings Calculations'!$F235*'Unit Savings Calculations'!L235</f>
        <v>0</v>
      </c>
      <c r="K239" s="294">
        <f>'Unit Savings Calculations'!$F235*'Unit Savings Calculations'!M235</f>
        <v>0</v>
      </c>
      <c r="L239" s="292" t="str">
        <f>'Unit Savings Calculations'!U235</f>
        <v>CI-HVC-PINS-V04-160601</v>
      </c>
      <c r="M239" s="383" t="str">
        <f>'Unit Savings Calculations'!R235</f>
        <v>Exhibit 1.5A_R North Shore EEPS_Adjustable_Savings_Goal_Template.xlsx, Pipe Insulation Detail Tab</v>
      </c>
      <c r="N239" s="295">
        <v>175.06254164158375</v>
      </c>
      <c r="O239" s="295">
        <v>175.06254164158375</v>
      </c>
      <c r="P239" s="295">
        <v>175.06254164158375</v>
      </c>
      <c r="Q239" s="295">
        <v>175.06254164158375</v>
      </c>
      <c r="R239" s="296">
        <f>'Unit Savings Calculations'!$G235</f>
        <v>0.92</v>
      </c>
      <c r="S239" s="296">
        <f>'Unit Savings Calculations'!$G235</f>
        <v>0.92</v>
      </c>
      <c r="T239" s="296">
        <f>'Unit Savings Calculations'!$G235</f>
        <v>0.92</v>
      </c>
      <c r="U239" s="296">
        <f>'Unit Savings Calculations'!$G235</f>
        <v>0.92</v>
      </c>
      <c r="V239" s="297">
        <f t="shared" si="150"/>
        <v>0</v>
      </c>
      <c r="W239" s="297">
        <f t="shared" si="151"/>
        <v>0</v>
      </c>
      <c r="X239" s="297">
        <f t="shared" si="152"/>
        <v>0</v>
      </c>
      <c r="Y239" s="297">
        <f t="shared" si="153"/>
        <v>0</v>
      </c>
      <c r="Z239" s="297">
        <f t="shared" si="154"/>
        <v>0</v>
      </c>
      <c r="AA239" s="292"/>
      <c r="AB239" s="292"/>
      <c r="AC239" s="295">
        <v>175.06254164158375</v>
      </c>
      <c r="AD239" s="292"/>
      <c r="AE239" s="297">
        <f t="shared" si="140"/>
        <v>0</v>
      </c>
      <c r="AF239" s="294">
        <f t="shared" si="141"/>
        <v>0</v>
      </c>
      <c r="AG239" s="292"/>
      <c r="AH239" s="292">
        <f t="shared" si="142"/>
        <v>0</v>
      </c>
      <c r="AI239" s="295">
        <v>175.06254164158375</v>
      </c>
      <c r="AJ239" s="383" t="s">
        <v>878</v>
      </c>
      <c r="AK239" s="297">
        <f t="shared" si="143"/>
        <v>0</v>
      </c>
      <c r="AL239" s="294">
        <f t="shared" si="144"/>
        <v>0</v>
      </c>
      <c r="AM239" s="292"/>
      <c r="AN239" s="292"/>
      <c r="AO239" s="295">
        <f>'Unit Savings Calculations'!P235</f>
        <v>175.06254164158375</v>
      </c>
      <c r="AP239" s="383" t="s">
        <v>763</v>
      </c>
      <c r="AQ239" s="297">
        <f t="shared" si="145"/>
        <v>0</v>
      </c>
      <c r="AR239" s="294">
        <f t="shared" si="146"/>
        <v>0</v>
      </c>
      <c r="AS239" s="292"/>
      <c r="AT239" s="292"/>
      <c r="AU239" s="295">
        <f>'Unit Savings Calculations'!Q235</f>
        <v>175.06254164158375</v>
      </c>
      <c r="AV239" s="383" t="str">
        <f t="shared" si="129"/>
        <v>n/a</v>
      </c>
      <c r="AW239" s="297">
        <f t="shared" si="147"/>
        <v>0</v>
      </c>
      <c r="AX239" s="294">
        <f t="shared" si="148"/>
        <v>0</v>
      </c>
      <c r="AY239" s="297">
        <f t="shared" si="130"/>
        <v>0</v>
      </c>
      <c r="AZ239" s="297">
        <f t="shared" si="131"/>
        <v>0</v>
      </c>
      <c r="BA239" s="297">
        <f t="shared" si="132"/>
        <v>0</v>
      </c>
      <c r="BB239" s="297">
        <f t="shared" si="133"/>
        <v>0</v>
      </c>
      <c r="BC239" s="298">
        <f t="shared" si="134"/>
        <v>0</v>
      </c>
      <c r="BD239" s="292" t="s">
        <v>763</v>
      </c>
      <c r="BE239" s="299" t="str">
        <f t="shared" si="135"/>
        <v>Exhibit 1.5A_R North Shore EEPS_Adjustable_Savings_Goal_Template.xlsx, Pipe Insulation Detail Tab</v>
      </c>
      <c r="BF239" s="298">
        <f t="shared" si="136"/>
        <v>0</v>
      </c>
      <c r="BG239" s="298">
        <f t="shared" si="136"/>
        <v>0</v>
      </c>
      <c r="BH239" s="298">
        <f t="shared" si="136"/>
        <v>0</v>
      </c>
      <c r="BI239" s="298">
        <f t="shared" si="136"/>
        <v>0</v>
      </c>
      <c r="BJ239" s="298">
        <f t="shared" si="137"/>
        <v>0</v>
      </c>
      <c r="BK239" s="482">
        <v>15</v>
      </c>
      <c r="BL239" s="482">
        <v>15</v>
      </c>
      <c r="BM239" s="482">
        <f>INDEX('Unit Savings Calculations'!$I$4:$I$421,MATCH('Measure-Level Adjustments Tab'!$A239&amp;"_"&amp;'Measure-Level Adjustments Tab'!$B239,'Unit Savings Calculations'!$A$4:$A$421,0))</f>
        <v>15</v>
      </c>
      <c r="BN239" s="482">
        <f t="shared" si="138"/>
        <v>15</v>
      </c>
      <c r="BO239" s="483">
        <f t="shared" si="139"/>
        <v>0</v>
      </c>
      <c r="BP239" s="483">
        <f t="shared" si="139"/>
        <v>0</v>
      </c>
      <c r="BQ239" s="483">
        <f t="shared" si="139"/>
        <v>0</v>
      </c>
      <c r="BR239" s="483">
        <f t="shared" si="139"/>
        <v>0</v>
      </c>
      <c r="BS239" s="483">
        <f t="shared" si="128"/>
        <v>0</v>
      </c>
    </row>
    <row r="240" spans="1:71" ht="15.75" customHeight="1">
      <c r="A240" s="292" t="str">
        <f>'Unit Savings Calculations'!C236</f>
        <v>Bus - SB Rebates -PTA</v>
      </c>
      <c r="B240" s="292" t="str">
        <f>'Unit Savings Calculations'!D236</f>
        <v>Pre Rinse Sprayer (P)</v>
      </c>
      <c r="C240" s="293">
        <f t="shared" si="149"/>
        <v>1</v>
      </c>
      <c r="D240" s="292" t="str">
        <f>'Unit Savings Calculations'!T236</f>
        <v>4.2.11</v>
      </c>
      <c r="E240" s="438">
        <v>5</v>
      </c>
      <c r="F240" s="438">
        <v>5</v>
      </c>
      <c r="G240" s="292" t="str">
        <f>'Unit Savings Calculations'!E236</f>
        <v>each</v>
      </c>
      <c r="H240" s="294">
        <f>'Unit Savings Calculations'!$F236*'Unit Savings Calculations'!J236</f>
        <v>0</v>
      </c>
      <c r="I240" s="294">
        <f>'Unit Savings Calculations'!$F236*'Unit Savings Calculations'!K236</f>
        <v>0</v>
      </c>
      <c r="J240" s="294">
        <f>'Unit Savings Calculations'!$F236*'Unit Savings Calculations'!L236</f>
        <v>0</v>
      </c>
      <c r="K240" s="294">
        <f>'Unit Savings Calculations'!$F236*'Unit Savings Calculations'!M236</f>
        <v>0</v>
      </c>
      <c r="L240" s="292" t="str">
        <f>'Unit Savings Calculations'!U236</f>
        <v>CI-FSE-SPRY-V04-180101</v>
      </c>
      <c r="M240" s="383" t="str">
        <f>'Unit Savings Calculations'!R236</f>
        <v>Exhibit 1.5A_R North Shore EEPS_Adjustable_Savings_Goal_Template.xlsx, Pipe Insulation Detail Tab</v>
      </c>
      <c r="N240" s="295">
        <v>110.52077400000002</v>
      </c>
      <c r="O240" s="295">
        <v>110.52077400000002</v>
      </c>
      <c r="P240" s="295">
        <v>110.52077400000002</v>
      </c>
      <c r="Q240" s="295">
        <v>110.52077400000002</v>
      </c>
      <c r="R240" s="296">
        <f>'Unit Savings Calculations'!$G236</f>
        <v>0.92</v>
      </c>
      <c r="S240" s="296">
        <f>'Unit Savings Calculations'!$G236</f>
        <v>0.92</v>
      </c>
      <c r="T240" s="296">
        <f>'Unit Savings Calculations'!$G236</f>
        <v>0.92</v>
      </c>
      <c r="U240" s="296">
        <f>'Unit Savings Calculations'!$G236</f>
        <v>0.92</v>
      </c>
      <c r="V240" s="297">
        <f t="shared" si="150"/>
        <v>0</v>
      </c>
      <c r="W240" s="297">
        <f t="shared" si="151"/>
        <v>0</v>
      </c>
      <c r="X240" s="297">
        <f t="shared" si="152"/>
        <v>0</v>
      </c>
      <c r="Y240" s="297">
        <f t="shared" si="153"/>
        <v>0</v>
      </c>
      <c r="Z240" s="297">
        <f t="shared" si="154"/>
        <v>0</v>
      </c>
      <c r="AA240" s="292"/>
      <c r="AB240" s="292"/>
      <c r="AC240" s="295">
        <v>110.52077400000002</v>
      </c>
      <c r="AD240" s="292"/>
      <c r="AE240" s="297">
        <f t="shared" si="140"/>
        <v>0</v>
      </c>
      <c r="AF240" s="294">
        <f t="shared" si="141"/>
        <v>0</v>
      </c>
      <c r="AG240" s="292"/>
      <c r="AH240" s="292">
        <f t="shared" si="142"/>
        <v>0</v>
      </c>
      <c r="AI240" s="295">
        <v>110.52077400000002</v>
      </c>
      <c r="AJ240" s="383" t="s">
        <v>878</v>
      </c>
      <c r="AK240" s="297">
        <f t="shared" si="143"/>
        <v>0</v>
      </c>
      <c r="AL240" s="294">
        <f t="shared" si="144"/>
        <v>0</v>
      </c>
      <c r="AM240" s="292"/>
      <c r="AN240" s="292"/>
      <c r="AO240" s="295">
        <f>'Unit Savings Calculations'!P236</f>
        <v>51.167025000000002</v>
      </c>
      <c r="AP240" s="383" t="s">
        <v>1427</v>
      </c>
      <c r="AQ240" s="297">
        <f t="shared" si="145"/>
        <v>0</v>
      </c>
      <c r="AR240" s="294">
        <f t="shared" si="146"/>
        <v>0</v>
      </c>
      <c r="AS240" s="292"/>
      <c r="AT240" s="292"/>
      <c r="AU240" s="295">
        <f>'Unit Savings Calculations'!Q236</f>
        <v>51.167025000000002</v>
      </c>
      <c r="AV240" s="383" t="str">
        <f t="shared" si="129"/>
        <v>Updated base and EE flow rates</v>
      </c>
      <c r="AW240" s="297">
        <f t="shared" si="147"/>
        <v>0</v>
      </c>
      <c r="AX240" s="294">
        <f t="shared" si="148"/>
        <v>0</v>
      </c>
      <c r="AY240" s="297">
        <f t="shared" si="130"/>
        <v>0</v>
      </c>
      <c r="AZ240" s="297">
        <f t="shared" si="131"/>
        <v>0</v>
      </c>
      <c r="BA240" s="297">
        <f t="shared" si="132"/>
        <v>0</v>
      </c>
      <c r="BB240" s="297">
        <f t="shared" si="133"/>
        <v>0</v>
      </c>
      <c r="BC240" s="298">
        <f t="shared" si="134"/>
        <v>0</v>
      </c>
      <c r="BD240" s="292" t="s">
        <v>763</v>
      </c>
      <c r="BE240" s="299" t="str">
        <f t="shared" si="135"/>
        <v>Exhibit 1.5A_R North Shore EEPS_Adjustable_Savings_Goal_Template.xlsx, Pipe Insulation Detail Tab</v>
      </c>
      <c r="BF240" s="298">
        <f t="shared" si="136"/>
        <v>0</v>
      </c>
      <c r="BG240" s="298">
        <f t="shared" si="136"/>
        <v>0</v>
      </c>
      <c r="BH240" s="298">
        <f t="shared" si="136"/>
        <v>0</v>
      </c>
      <c r="BI240" s="298">
        <f t="shared" si="136"/>
        <v>0</v>
      </c>
      <c r="BJ240" s="298">
        <f t="shared" si="137"/>
        <v>0</v>
      </c>
      <c r="BK240" s="482">
        <v>5</v>
      </c>
      <c r="BL240" s="482">
        <v>5</v>
      </c>
      <c r="BM240" s="482">
        <f>INDEX('Unit Savings Calculations'!$I$4:$I$421,MATCH('Measure-Level Adjustments Tab'!$A240&amp;"_"&amp;'Measure-Level Adjustments Tab'!$B240,'Unit Savings Calculations'!$A$4:$A$421,0))</f>
        <v>5</v>
      </c>
      <c r="BN240" s="482">
        <f t="shared" si="138"/>
        <v>5</v>
      </c>
      <c r="BO240" s="483">
        <f t="shared" si="139"/>
        <v>0</v>
      </c>
      <c r="BP240" s="483">
        <f t="shared" si="139"/>
        <v>0</v>
      </c>
      <c r="BQ240" s="483">
        <f t="shared" si="139"/>
        <v>0</v>
      </c>
      <c r="BR240" s="483">
        <f t="shared" si="139"/>
        <v>0</v>
      </c>
      <c r="BS240" s="483">
        <f t="shared" si="128"/>
        <v>0</v>
      </c>
    </row>
    <row r="241" spans="1:71" ht="15.75" customHeight="1">
      <c r="A241" s="292" t="str">
        <f>'Unit Savings Calculations'!C237</f>
        <v>Bus - SB Rebates -PTA</v>
      </c>
      <c r="B241" s="292" t="str">
        <f>'Unit Savings Calculations'!D237</f>
        <v>Steam Boiler ≥82% AFUE, &gt;300MBh TE (SB)</v>
      </c>
      <c r="C241" s="293">
        <f t="shared" si="149"/>
        <v>1</v>
      </c>
      <c r="D241" s="292" t="str">
        <f>'Unit Savings Calculations'!T237</f>
        <v>4.4.10</v>
      </c>
      <c r="E241" s="438">
        <v>20</v>
      </c>
      <c r="F241" s="438">
        <v>20</v>
      </c>
      <c r="G241" s="292" t="str">
        <f>'Unit Savings Calculations'!E237</f>
        <v>MBH</v>
      </c>
      <c r="H241" s="294">
        <f>'Unit Savings Calculations'!$F237*'Unit Savings Calculations'!J237</f>
        <v>0</v>
      </c>
      <c r="I241" s="294">
        <f>'Unit Savings Calculations'!$F237*'Unit Savings Calculations'!K237</f>
        <v>0</v>
      </c>
      <c r="J241" s="294">
        <f>'Unit Savings Calculations'!$F237*'Unit Savings Calculations'!L237</f>
        <v>0</v>
      </c>
      <c r="K241" s="294">
        <f>'Unit Savings Calculations'!$F237*'Unit Savings Calculations'!M237</f>
        <v>0</v>
      </c>
      <c r="L241" s="292" t="str">
        <f>'Unit Savings Calculations'!U237</f>
        <v>CI-HVC-BOIL-V05-150601</v>
      </c>
      <c r="M241" s="383" t="str">
        <f>'Unit Savings Calculations'!R237</f>
        <v>Exhibit 1.5A_R North Shore EEPS_Adjustable_Savings_Goal_Template.xlsx, Unit Savings Calculations Tab</v>
      </c>
      <c r="N241" s="295">
        <v>0.60265822784809941</v>
      </c>
      <c r="O241" s="295">
        <v>0.60265822784809941</v>
      </c>
      <c r="P241" s="295">
        <v>0.60265822784809941</v>
      </c>
      <c r="Q241" s="295">
        <v>0.60265822784809941</v>
      </c>
      <c r="R241" s="296">
        <f>'Unit Savings Calculations'!$G237</f>
        <v>0.92</v>
      </c>
      <c r="S241" s="296">
        <f>'Unit Savings Calculations'!$G237</f>
        <v>0.92</v>
      </c>
      <c r="T241" s="296">
        <f>'Unit Savings Calculations'!$G237</f>
        <v>0.92</v>
      </c>
      <c r="U241" s="296">
        <f>'Unit Savings Calculations'!$G237</f>
        <v>0.92</v>
      </c>
      <c r="V241" s="297">
        <f t="shared" si="150"/>
        <v>0</v>
      </c>
      <c r="W241" s="297">
        <f t="shared" si="151"/>
        <v>0</v>
      </c>
      <c r="X241" s="297">
        <f t="shared" si="152"/>
        <v>0</v>
      </c>
      <c r="Y241" s="297">
        <f t="shared" si="153"/>
        <v>0</v>
      </c>
      <c r="Z241" s="297">
        <f t="shared" si="154"/>
        <v>0</v>
      </c>
      <c r="AA241" s="292"/>
      <c r="AB241" s="292"/>
      <c r="AC241" s="295">
        <v>0.60265822784809941</v>
      </c>
      <c r="AD241" s="292"/>
      <c r="AE241" s="297">
        <f t="shared" si="140"/>
        <v>0</v>
      </c>
      <c r="AF241" s="294">
        <f t="shared" si="141"/>
        <v>0</v>
      </c>
      <c r="AG241" s="292"/>
      <c r="AH241" s="292">
        <f t="shared" si="142"/>
        <v>0</v>
      </c>
      <c r="AI241" s="295">
        <v>0.5840506329113907</v>
      </c>
      <c r="AJ241" s="383" t="s">
        <v>878</v>
      </c>
      <c r="AK241" s="297">
        <f t="shared" si="143"/>
        <v>0</v>
      </c>
      <c r="AL241" s="294">
        <f t="shared" si="144"/>
        <v>0</v>
      </c>
      <c r="AM241" s="292"/>
      <c r="AN241" s="292"/>
      <c r="AO241" s="295">
        <f>'Unit Savings Calculations'!P237</f>
        <v>0.61860759493670714</v>
      </c>
      <c r="AP241" s="383" t="s">
        <v>1441</v>
      </c>
      <c r="AQ241" s="297">
        <f t="shared" si="145"/>
        <v>0</v>
      </c>
      <c r="AR241" s="294">
        <f t="shared" si="146"/>
        <v>0</v>
      </c>
      <c r="AS241" s="292"/>
      <c r="AT241" s="292"/>
      <c r="AU241" s="295">
        <f>'Unit Savings Calculations'!Q237</f>
        <v>0.61860759493670714</v>
      </c>
      <c r="AV241" s="383" t="str">
        <f t="shared" si="129"/>
        <v>Updated heating EFLH</v>
      </c>
      <c r="AW241" s="297">
        <f t="shared" si="147"/>
        <v>0</v>
      </c>
      <c r="AX241" s="294">
        <f t="shared" si="148"/>
        <v>0</v>
      </c>
      <c r="AY241" s="297">
        <f t="shared" si="130"/>
        <v>0</v>
      </c>
      <c r="AZ241" s="297">
        <f t="shared" si="131"/>
        <v>0</v>
      </c>
      <c r="BA241" s="297">
        <f t="shared" si="132"/>
        <v>0</v>
      </c>
      <c r="BB241" s="297">
        <f t="shared" si="133"/>
        <v>0</v>
      </c>
      <c r="BC241" s="298">
        <f t="shared" si="134"/>
        <v>0</v>
      </c>
      <c r="BD241" s="292" t="s">
        <v>763</v>
      </c>
      <c r="BE241" s="299" t="str">
        <f t="shared" si="135"/>
        <v>Exhibit 1.5A_R North Shore EEPS_Adjustable_Savings_Goal_Template.xlsx, Unit Savings Calculations Tab</v>
      </c>
      <c r="BF241" s="298">
        <f t="shared" si="136"/>
        <v>0</v>
      </c>
      <c r="BG241" s="298">
        <f t="shared" si="136"/>
        <v>0</v>
      </c>
      <c r="BH241" s="298">
        <f t="shared" si="136"/>
        <v>0</v>
      </c>
      <c r="BI241" s="298">
        <f t="shared" si="136"/>
        <v>0</v>
      </c>
      <c r="BJ241" s="298">
        <f t="shared" si="137"/>
        <v>0</v>
      </c>
      <c r="BK241" s="482">
        <v>20</v>
      </c>
      <c r="BL241" s="482">
        <v>20</v>
      </c>
      <c r="BM241" s="482">
        <f>INDEX('Unit Savings Calculations'!$I$4:$I$421,MATCH('Measure-Level Adjustments Tab'!$A241&amp;"_"&amp;'Measure-Level Adjustments Tab'!$B241,'Unit Savings Calculations'!$A$4:$A$421,0))</f>
        <v>25</v>
      </c>
      <c r="BN241" s="482">
        <f t="shared" si="138"/>
        <v>25</v>
      </c>
      <c r="BO241" s="483">
        <f t="shared" si="139"/>
        <v>0</v>
      </c>
      <c r="BP241" s="483">
        <f t="shared" si="139"/>
        <v>0</v>
      </c>
      <c r="BQ241" s="483">
        <f t="shared" si="139"/>
        <v>0</v>
      </c>
      <c r="BR241" s="483">
        <f t="shared" si="139"/>
        <v>0</v>
      </c>
      <c r="BS241" s="483">
        <f t="shared" si="128"/>
        <v>0</v>
      </c>
    </row>
    <row r="242" spans="1:71" ht="15.75" customHeight="1">
      <c r="A242" s="292" t="str">
        <f>'Unit Savings Calculations'!C238</f>
        <v>Bus - SB Rebates -PTA</v>
      </c>
      <c r="B242" s="292" t="str">
        <f>'Unit Savings Calculations'!D238</f>
        <v>Steam Traps - Dry Cleaner/Industrial</v>
      </c>
      <c r="C242" s="293">
        <f t="shared" si="149"/>
        <v>1</v>
      </c>
      <c r="D242" s="292" t="str">
        <f>'Unit Savings Calculations'!T238</f>
        <v>4.4.16</v>
      </c>
      <c r="E242" s="438">
        <v>6</v>
      </c>
      <c r="F242" s="438">
        <v>6</v>
      </c>
      <c r="G242" s="292" t="str">
        <f>'Unit Savings Calculations'!E238</f>
        <v>each</v>
      </c>
      <c r="H242" s="294">
        <f>'Unit Savings Calculations'!$F238*'Unit Savings Calculations'!J238</f>
        <v>5</v>
      </c>
      <c r="I242" s="294">
        <f>'Unit Savings Calculations'!$F238*'Unit Savings Calculations'!K238</f>
        <v>5</v>
      </c>
      <c r="J242" s="294">
        <f>'Unit Savings Calculations'!$F238*'Unit Savings Calculations'!L238</f>
        <v>5</v>
      </c>
      <c r="K242" s="294">
        <f>'Unit Savings Calculations'!$F238*'Unit Savings Calculations'!M238</f>
        <v>5</v>
      </c>
      <c r="L242" s="292" t="str">
        <f>'Unit Savings Calculations'!U238</f>
        <v>CI-HVC-STRE-V05-180101</v>
      </c>
      <c r="M242" s="383" t="str">
        <f>'Unit Savings Calculations'!R238</f>
        <v>Exhibit 1.5A_R North Shore EEPS_Adjustable_Savings_Goal_Template.xlsx, Unit Savings Calculations Tab</v>
      </c>
      <c r="N242" s="295">
        <v>137.91939591078068</v>
      </c>
      <c r="O242" s="295">
        <v>137.91939591078068</v>
      </c>
      <c r="P242" s="295">
        <v>137.91939591078068</v>
      </c>
      <c r="Q242" s="295">
        <v>137.91939591078068</v>
      </c>
      <c r="R242" s="296">
        <f>'Unit Savings Calculations'!$G238</f>
        <v>0.92</v>
      </c>
      <c r="S242" s="296">
        <f>'Unit Savings Calculations'!$G238</f>
        <v>0.92</v>
      </c>
      <c r="T242" s="296">
        <f>'Unit Savings Calculations'!$G238</f>
        <v>0.92</v>
      </c>
      <c r="U242" s="296">
        <f>'Unit Savings Calculations'!$G238</f>
        <v>0.92</v>
      </c>
      <c r="V242" s="297">
        <f t="shared" si="150"/>
        <v>634.42922118959109</v>
      </c>
      <c r="W242" s="297">
        <f t="shared" si="151"/>
        <v>634.42922118959109</v>
      </c>
      <c r="X242" s="297">
        <f t="shared" si="152"/>
        <v>634.42922118959109</v>
      </c>
      <c r="Y242" s="297">
        <f t="shared" si="153"/>
        <v>634.42922118959109</v>
      </c>
      <c r="Z242" s="297">
        <f t="shared" si="154"/>
        <v>2537.7168847583644</v>
      </c>
      <c r="AA242" s="292"/>
      <c r="AB242" s="292"/>
      <c r="AC242" s="295">
        <v>137.91939591078068</v>
      </c>
      <c r="AD242" s="292"/>
      <c r="AE242" s="297">
        <f t="shared" si="140"/>
        <v>634.42922118959109</v>
      </c>
      <c r="AF242" s="294">
        <f t="shared" si="141"/>
        <v>0</v>
      </c>
      <c r="AG242" s="292"/>
      <c r="AH242" s="292">
        <f t="shared" si="142"/>
        <v>0</v>
      </c>
      <c r="AI242" s="295">
        <v>137.91939591078068</v>
      </c>
      <c r="AJ242" s="383" t="s">
        <v>878</v>
      </c>
      <c r="AK242" s="297">
        <f t="shared" si="143"/>
        <v>634.42922118959109</v>
      </c>
      <c r="AL242" s="294">
        <f t="shared" si="144"/>
        <v>0</v>
      </c>
      <c r="AM242" s="292"/>
      <c r="AN242" s="292"/>
      <c r="AO242" s="295">
        <f>'Unit Savings Calculations'!P238</f>
        <v>137.91939591078068</v>
      </c>
      <c r="AP242" s="383" t="s">
        <v>763</v>
      </c>
      <c r="AQ242" s="297">
        <f t="shared" si="145"/>
        <v>634.42922118959109</v>
      </c>
      <c r="AR242" s="294">
        <f t="shared" si="146"/>
        <v>0</v>
      </c>
      <c r="AS242" s="292"/>
      <c r="AT242" s="292"/>
      <c r="AU242" s="295">
        <f>'Unit Savings Calculations'!Q238</f>
        <v>137.91939591078068</v>
      </c>
      <c r="AV242" s="383" t="str">
        <f t="shared" si="129"/>
        <v>n/a</v>
      </c>
      <c r="AW242" s="297">
        <f t="shared" si="147"/>
        <v>634.42922118959109</v>
      </c>
      <c r="AX242" s="294">
        <f t="shared" si="148"/>
        <v>0</v>
      </c>
      <c r="AY242" s="297">
        <f t="shared" si="130"/>
        <v>634.42922118959109</v>
      </c>
      <c r="AZ242" s="297">
        <f t="shared" si="131"/>
        <v>634.42922118959109</v>
      </c>
      <c r="BA242" s="297">
        <f t="shared" si="132"/>
        <v>634.42922118959109</v>
      </c>
      <c r="BB242" s="297">
        <f t="shared" si="133"/>
        <v>634.42922118959109</v>
      </c>
      <c r="BC242" s="298">
        <f t="shared" si="134"/>
        <v>2537.7168847583644</v>
      </c>
      <c r="BD242" s="292" t="s">
        <v>763</v>
      </c>
      <c r="BE242" s="299" t="str">
        <f t="shared" si="135"/>
        <v>Exhibit 1.5A_R North Shore EEPS_Adjustable_Savings_Goal_Template.xlsx, Unit Savings Calculations Tab</v>
      </c>
      <c r="BF242" s="298">
        <f t="shared" si="136"/>
        <v>3806.5753271375465</v>
      </c>
      <c r="BG242" s="298">
        <f t="shared" si="136"/>
        <v>3806.5753271375465</v>
      </c>
      <c r="BH242" s="298">
        <f t="shared" si="136"/>
        <v>3806.5753271375465</v>
      </c>
      <c r="BI242" s="298">
        <f t="shared" si="136"/>
        <v>3806.5753271375465</v>
      </c>
      <c r="BJ242" s="298">
        <f t="shared" si="137"/>
        <v>15226.301308550186</v>
      </c>
      <c r="BK242" s="482">
        <v>6</v>
      </c>
      <c r="BL242" s="482">
        <v>6</v>
      </c>
      <c r="BM242" s="482">
        <f>INDEX('Unit Savings Calculations'!$I$4:$I$421,MATCH('Measure-Level Adjustments Tab'!$A242&amp;"_"&amp;'Measure-Level Adjustments Tab'!$B242,'Unit Savings Calculations'!$A$4:$A$421,0))</f>
        <v>6</v>
      </c>
      <c r="BN242" s="482">
        <f t="shared" si="138"/>
        <v>6</v>
      </c>
      <c r="BO242" s="483">
        <f t="shared" si="139"/>
        <v>3806.5753271375465</v>
      </c>
      <c r="BP242" s="483">
        <f t="shared" si="139"/>
        <v>3806.5753271375465</v>
      </c>
      <c r="BQ242" s="483">
        <f t="shared" si="139"/>
        <v>3806.5753271375465</v>
      </c>
      <c r="BR242" s="483">
        <f t="shared" si="139"/>
        <v>3806.5753271375465</v>
      </c>
      <c r="BS242" s="483">
        <f t="shared" si="128"/>
        <v>15226.301308550186</v>
      </c>
    </row>
    <row r="243" spans="1:71" ht="15.75" customHeight="1">
      <c r="A243" s="292" t="str">
        <f>'Unit Savings Calculations'!C239</f>
        <v>Bus - SB Rebates -PTA</v>
      </c>
      <c r="B243" s="292" t="str">
        <f>'Unit Savings Calculations'!D239</f>
        <v>Steam Traps - HVAC Repair/Rep - Audit</v>
      </c>
      <c r="C243" s="293">
        <f t="shared" si="149"/>
        <v>1</v>
      </c>
      <c r="D243" s="292" t="str">
        <f>'Unit Savings Calculations'!T239</f>
        <v>4.4.16</v>
      </c>
      <c r="E243" s="438">
        <v>6</v>
      </c>
      <c r="F243" s="438">
        <v>6</v>
      </c>
      <c r="G243" s="292" t="str">
        <f>'Unit Savings Calculations'!E239</f>
        <v>each</v>
      </c>
      <c r="H243" s="294">
        <f>'Unit Savings Calculations'!$F239*'Unit Savings Calculations'!J239</f>
        <v>2</v>
      </c>
      <c r="I243" s="294">
        <f>'Unit Savings Calculations'!$F239*'Unit Savings Calculations'!K239</f>
        <v>2</v>
      </c>
      <c r="J243" s="294">
        <f>'Unit Savings Calculations'!$F239*'Unit Savings Calculations'!L239</f>
        <v>2</v>
      </c>
      <c r="K243" s="294">
        <f>'Unit Savings Calculations'!$F239*'Unit Savings Calculations'!M239</f>
        <v>2</v>
      </c>
      <c r="L243" s="292" t="str">
        <f>'Unit Savings Calculations'!U239</f>
        <v>CI-HVC-STRE-V05-180101</v>
      </c>
      <c r="M243" s="383" t="str">
        <f>'Unit Savings Calculations'!R239</f>
        <v>Exhibit 1.5A_R North Shore EEPS_Adjustable_Savings_Goal_Template.xlsx, Unit Savings Calculations Tab</v>
      </c>
      <c r="N243" s="295">
        <v>88.453924126394057</v>
      </c>
      <c r="O243" s="295">
        <v>88.453924126394057</v>
      </c>
      <c r="P243" s="295">
        <v>88.453924126394057</v>
      </c>
      <c r="Q243" s="295">
        <v>88.453924126394057</v>
      </c>
      <c r="R243" s="296">
        <f>'Unit Savings Calculations'!$G239</f>
        <v>0.92</v>
      </c>
      <c r="S243" s="296">
        <f>'Unit Savings Calculations'!$G239</f>
        <v>0.92</v>
      </c>
      <c r="T243" s="296">
        <f>'Unit Savings Calculations'!$G239</f>
        <v>0.92</v>
      </c>
      <c r="U243" s="296">
        <f>'Unit Savings Calculations'!$G239</f>
        <v>0.92</v>
      </c>
      <c r="V243" s="297">
        <f t="shared" si="150"/>
        <v>162.75522039256506</v>
      </c>
      <c r="W243" s="297">
        <f t="shared" si="151"/>
        <v>162.75522039256506</v>
      </c>
      <c r="X243" s="297">
        <f t="shared" si="152"/>
        <v>162.75522039256506</v>
      </c>
      <c r="Y243" s="297">
        <f t="shared" si="153"/>
        <v>162.75522039256506</v>
      </c>
      <c r="Z243" s="297">
        <f t="shared" si="154"/>
        <v>651.02088157026026</v>
      </c>
      <c r="AA243" s="292"/>
      <c r="AB243" s="292"/>
      <c r="AC243" s="295">
        <v>88.453924126394057</v>
      </c>
      <c r="AD243" s="292"/>
      <c r="AE243" s="297">
        <f t="shared" si="140"/>
        <v>162.75522039256506</v>
      </c>
      <c r="AF243" s="294">
        <f t="shared" si="141"/>
        <v>0</v>
      </c>
      <c r="AG243" s="292"/>
      <c r="AH243" s="292">
        <f t="shared" si="142"/>
        <v>0</v>
      </c>
      <c r="AI243" s="295">
        <v>88.453924126394057</v>
      </c>
      <c r="AJ243" s="383" t="s">
        <v>878</v>
      </c>
      <c r="AK243" s="297">
        <f t="shared" si="143"/>
        <v>162.75522039256506</v>
      </c>
      <c r="AL243" s="294">
        <f t="shared" si="144"/>
        <v>0</v>
      </c>
      <c r="AM243" s="292"/>
      <c r="AN243" s="292"/>
      <c r="AO243" s="295">
        <f>'Unit Savings Calculations'!P239</f>
        <v>88.453924126394057</v>
      </c>
      <c r="AP243" s="383" t="s">
        <v>763</v>
      </c>
      <c r="AQ243" s="297">
        <f t="shared" si="145"/>
        <v>162.75522039256506</v>
      </c>
      <c r="AR243" s="294">
        <f t="shared" si="146"/>
        <v>0</v>
      </c>
      <c r="AS243" s="292"/>
      <c r="AT243" s="292"/>
      <c r="AU243" s="295">
        <f>'Unit Savings Calculations'!Q239</f>
        <v>88.453924126394057</v>
      </c>
      <c r="AV243" s="383" t="str">
        <f t="shared" si="129"/>
        <v>n/a</v>
      </c>
      <c r="AW243" s="297">
        <f t="shared" si="147"/>
        <v>162.75522039256506</v>
      </c>
      <c r="AX243" s="294">
        <f t="shared" si="148"/>
        <v>0</v>
      </c>
      <c r="AY243" s="297">
        <f t="shared" si="130"/>
        <v>162.75522039256506</v>
      </c>
      <c r="AZ243" s="297">
        <f t="shared" si="131"/>
        <v>162.75522039256506</v>
      </c>
      <c r="BA243" s="297">
        <f t="shared" si="132"/>
        <v>162.75522039256506</v>
      </c>
      <c r="BB243" s="297">
        <f t="shared" si="133"/>
        <v>162.75522039256506</v>
      </c>
      <c r="BC243" s="298">
        <f t="shared" si="134"/>
        <v>651.02088157026026</v>
      </c>
      <c r="BD243" s="292" t="s">
        <v>763</v>
      </c>
      <c r="BE243" s="299" t="str">
        <f t="shared" si="135"/>
        <v>Exhibit 1.5A_R North Shore EEPS_Adjustable_Savings_Goal_Template.xlsx, Unit Savings Calculations Tab</v>
      </c>
      <c r="BF243" s="298">
        <f t="shared" si="136"/>
        <v>976.53132235539033</v>
      </c>
      <c r="BG243" s="298">
        <f t="shared" si="136"/>
        <v>976.53132235539033</v>
      </c>
      <c r="BH243" s="298">
        <f t="shared" si="136"/>
        <v>976.53132235539033</v>
      </c>
      <c r="BI243" s="298">
        <f t="shared" si="136"/>
        <v>976.53132235539033</v>
      </c>
      <c r="BJ243" s="298">
        <f t="shared" si="137"/>
        <v>3906.1252894215613</v>
      </c>
      <c r="BK243" s="482">
        <v>6</v>
      </c>
      <c r="BL243" s="482">
        <v>6</v>
      </c>
      <c r="BM243" s="482">
        <f>INDEX('Unit Savings Calculations'!$I$4:$I$421,MATCH('Measure-Level Adjustments Tab'!$A243&amp;"_"&amp;'Measure-Level Adjustments Tab'!$B243,'Unit Savings Calculations'!$A$4:$A$421,0))</f>
        <v>6</v>
      </c>
      <c r="BN243" s="482">
        <f t="shared" si="138"/>
        <v>6</v>
      </c>
      <c r="BO243" s="483">
        <f t="shared" si="139"/>
        <v>976.53132235539033</v>
      </c>
      <c r="BP243" s="483">
        <f t="shared" si="139"/>
        <v>976.53132235539033</v>
      </c>
      <c r="BQ243" s="483">
        <f t="shared" si="139"/>
        <v>976.53132235539033</v>
      </c>
      <c r="BR243" s="483">
        <f t="shared" si="139"/>
        <v>976.53132235539033</v>
      </c>
      <c r="BS243" s="483">
        <f t="shared" si="128"/>
        <v>3906.1252894215613</v>
      </c>
    </row>
    <row r="244" spans="1:71" ht="15.75" customHeight="1">
      <c r="A244" s="292" t="str">
        <f>'Unit Savings Calculations'!C240</f>
        <v>Bus - SB Rebates -PTA</v>
      </c>
      <c r="B244" s="292" t="str">
        <f>'Unit Savings Calculations'!D240</f>
        <v>Steam Traps - HVAC Repair/Rep - No Audit</v>
      </c>
      <c r="C244" s="293">
        <f t="shared" si="149"/>
        <v>1</v>
      </c>
      <c r="D244" s="292" t="str">
        <f>'Unit Savings Calculations'!T240</f>
        <v>4.4.16</v>
      </c>
      <c r="E244" s="438">
        <v>6</v>
      </c>
      <c r="F244" s="438">
        <v>6</v>
      </c>
      <c r="G244" s="292" t="str">
        <f>'Unit Savings Calculations'!E240</f>
        <v>each</v>
      </c>
      <c r="H244" s="294">
        <f>'Unit Savings Calculations'!$F240*'Unit Savings Calculations'!J240</f>
        <v>2</v>
      </c>
      <c r="I244" s="294">
        <f>'Unit Savings Calculations'!$F240*'Unit Savings Calculations'!K240</f>
        <v>2</v>
      </c>
      <c r="J244" s="294">
        <f>'Unit Savings Calculations'!$F240*'Unit Savings Calculations'!L240</f>
        <v>2</v>
      </c>
      <c r="K244" s="294">
        <f>'Unit Savings Calculations'!$F240*'Unit Savings Calculations'!M240</f>
        <v>2</v>
      </c>
      <c r="L244" s="292" t="str">
        <f>'Unit Savings Calculations'!U240</f>
        <v>CI-HVC-STRE-V05-180101</v>
      </c>
      <c r="M244" s="383" t="str">
        <f>'Unit Savings Calculations'!R240</f>
        <v>Exhibit 1.5A_R North Shore EEPS_Adjustable_Savings_Goal_Template.xlsx, Unit Savings Calculations Tab</v>
      </c>
      <c r="N244" s="295">
        <v>88.453924126394057</v>
      </c>
      <c r="O244" s="295">
        <v>88.453924126394057</v>
      </c>
      <c r="P244" s="295">
        <v>88.453924126394057</v>
      </c>
      <c r="Q244" s="295">
        <v>88.453924126394057</v>
      </c>
      <c r="R244" s="296">
        <f>'Unit Savings Calculations'!$G240</f>
        <v>0.92</v>
      </c>
      <c r="S244" s="296">
        <f>'Unit Savings Calculations'!$G240</f>
        <v>0.92</v>
      </c>
      <c r="T244" s="296">
        <f>'Unit Savings Calculations'!$G240</f>
        <v>0.92</v>
      </c>
      <c r="U244" s="296">
        <f>'Unit Savings Calculations'!$G240</f>
        <v>0.92</v>
      </c>
      <c r="V244" s="297">
        <f t="shared" si="150"/>
        <v>162.75522039256506</v>
      </c>
      <c r="W244" s="297">
        <f t="shared" si="151"/>
        <v>162.75522039256506</v>
      </c>
      <c r="X244" s="297">
        <f t="shared" si="152"/>
        <v>162.75522039256506</v>
      </c>
      <c r="Y244" s="297">
        <f t="shared" si="153"/>
        <v>162.75522039256506</v>
      </c>
      <c r="Z244" s="297">
        <f t="shared" si="154"/>
        <v>651.02088157026026</v>
      </c>
      <c r="AA244" s="292"/>
      <c r="AB244" s="292"/>
      <c r="AC244" s="295">
        <v>88.453924126394057</v>
      </c>
      <c r="AD244" s="292"/>
      <c r="AE244" s="297">
        <f t="shared" si="140"/>
        <v>162.75522039256506</v>
      </c>
      <c r="AF244" s="294">
        <f t="shared" si="141"/>
        <v>0</v>
      </c>
      <c r="AG244" s="292"/>
      <c r="AH244" s="292">
        <f t="shared" si="142"/>
        <v>0</v>
      </c>
      <c r="AI244" s="295">
        <v>88.453924126394057</v>
      </c>
      <c r="AJ244" s="383" t="s">
        <v>878</v>
      </c>
      <c r="AK244" s="297">
        <f t="shared" si="143"/>
        <v>162.75522039256506</v>
      </c>
      <c r="AL244" s="294">
        <f t="shared" si="144"/>
        <v>0</v>
      </c>
      <c r="AM244" s="292"/>
      <c r="AN244" s="292"/>
      <c r="AO244" s="295">
        <f>'Unit Savings Calculations'!P240</f>
        <v>88.453924126394057</v>
      </c>
      <c r="AP244" s="383" t="s">
        <v>763</v>
      </c>
      <c r="AQ244" s="297">
        <f t="shared" si="145"/>
        <v>162.75522039256506</v>
      </c>
      <c r="AR244" s="294">
        <f t="shared" si="146"/>
        <v>0</v>
      </c>
      <c r="AS244" s="292"/>
      <c r="AT244" s="292"/>
      <c r="AU244" s="295">
        <f>'Unit Savings Calculations'!Q240</f>
        <v>88.453924126394057</v>
      </c>
      <c r="AV244" s="383" t="str">
        <f t="shared" si="129"/>
        <v>n/a</v>
      </c>
      <c r="AW244" s="297">
        <f t="shared" si="147"/>
        <v>162.75522039256506</v>
      </c>
      <c r="AX244" s="294">
        <f t="shared" si="148"/>
        <v>0</v>
      </c>
      <c r="AY244" s="297">
        <f t="shared" si="130"/>
        <v>162.75522039256506</v>
      </c>
      <c r="AZ244" s="297">
        <f t="shared" si="131"/>
        <v>162.75522039256506</v>
      </c>
      <c r="BA244" s="297">
        <f t="shared" si="132"/>
        <v>162.75522039256506</v>
      </c>
      <c r="BB244" s="297">
        <f t="shared" si="133"/>
        <v>162.75522039256506</v>
      </c>
      <c r="BC244" s="298">
        <f t="shared" si="134"/>
        <v>651.02088157026026</v>
      </c>
      <c r="BD244" s="292" t="s">
        <v>763</v>
      </c>
      <c r="BE244" s="299" t="str">
        <f t="shared" si="135"/>
        <v>Exhibit 1.5A_R North Shore EEPS_Adjustable_Savings_Goal_Template.xlsx, Unit Savings Calculations Tab</v>
      </c>
      <c r="BF244" s="298">
        <f t="shared" si="136"/>
        <v>976.53132235539033</v>
      </c>
      <c r="BG244" s="298">
        <f t="shared" si="136"/>
        <v>976.53132235539033</v>
      </c>
      <c r="BH244" s="298">
        <f t="shared" si="136"/>
        <v>976.53132235539033</v>
      </c>
      <c r="BI244" s="298">
        <f t="shared" si="136"/>
        <v>976.53132235539033</v>
      </c>
      <c r="BJ244" s="298">
        <f t="shared" si="137"/>
        <v>3906.1252894215613</v>
      </c>
      <c r="BK244" s="482">
        <v>6</v>
      </c>
      <c r="BL244" s="482">
        <v>6</v>
      </c>
      <c r="BM244" s="482">
        <f>INDEX('Unit Savings Calculations'!$I$4:$I$421,MATCH('Measure-Level Adjustments Tab'!$A244&amp;"_"&amp;'Measure-Level Adjustments Tab'!$B244,'Unit Savings Calculations'!$A$4:$A$421,0))</f>
        <v>6</v>
      </c>
      <c r="BN244" s="482">
        <f t="shared" si="138"/>
        <v>6</v>
      </c>
      <c r="BO244" s="483">
        <f t="shared" si="139"/>
        <v>976.53132235539033</v>
      </c>
      <c r="BP244" s="483">
        <f t="shared" si="139"/>
        <v>976.53132235539033</v>
      </c>
      <c r="BQ244" s="483">
        <f t="shared" si="139"/>
        <v>976.53132235539033</v>
      </c>
      <c r="BR244" s="483">
        <f t="shared" si="139"/>
        <v>976.53132235539033</v>
      </c>
      <c r="BS244" s="483">
        <f t="shared" si="128"/>
        <v>3906.1252894215613</v>
      </c>
    </row>
    <row r="245" spans="1:71" ht="15.75" customHeight="1">
      <c r="A245" s="292" t="str">
        <f>'Unit Savings Calculations'!C241</f>
        <v>Bus - SB Rebates -PTA</v>
      </c>
      <c r="B245" s="292" t="str">
        <f>'Unit Savings Calculations'!D241</f>
        <v>Steam Traps - Test</v>
      </c>
      <c r="C245" s="293">
        <f t="shared" si="149"/>
        <v>0</v>
      </c>
      <c r="D245" s="292" t="str">
        <f>'Unit Savings Calculations'!T241</f>
        <v>Custom</v>
      </c>
      <c r="E245" s="438">
        <v>3</v>
      </c>
      <c r="F245" s="438">
        <v>3</v>
      </c>
      <c r="G245" s="292" t="str">
        <f>'Unit Savings Calculations'!E241</f>
        <v>each</v>
      </c>
      <c r="H245" s="294">
        <f>'Unit Savings Calculations'!$F241*'Unit Savings Calculations'!J241</f>
        <v>0</v>
      </c>
      <c r="I245" s="294">
        <f>'Unit Savings Calculations'!$F241*'Unit Savings Calculations'!K241</f>
        <v>0</v>
      </c>
      <c r="J245" s="294">
        <f>'Unit Savings Calculations'!$F241*'Unit Savings Calculations'!L241</f>
        <v>0</v>
      </c>
      <c r="K245" s="294">
        <f>'Unit Savings Calculations'!$F241*'Unit Savings Calculations'!M241</f>
        <v>0</v>
      </c>
      <c r="L245" s="292" t="str">
        <f>'Unit Savings Calculations'!U241</f>
        <v>Custom</v>
      </c>
      <c r="M245" s="383" t="str">
        <f>'Unit Savings Calculations'!R241</f>
        <v>Custom</v>
      </c>
      <c r="N245" s="295">
        <v>0</v>
      </c>
      <c r="O245" s="295">
        <v>0</v>
      </c>
      <c r="P245" s="295">
        <v>0</v>
      </c>
      <c r="Q245" s="295">
        <v>0</v>
      </c>
      <c r="R245" s="296">
        <f>'Unit Savings Calculations'!$G241</f>
        <v>0.92</v>
      </c>
      <c r="S245" s="296">
        <f>'Unit Savings Calculations'!$G241</f>
        <v>0.92</v>
      </c>
      <c r="T245" s="296">
        <f>'Unit Savings Calculations'!$G241</f>
        <v>0.92</v>
      </c>
      <c r="U245" s="296">
        <f>'Unit Savings Calculations'!$G241</f>
        <v>0.92</v>
      </c>
      <c r="V245" s="297">
        <f t="shared" si="150"/>
        <v>0</v>
      </c>
      <c r="W245" s="297">
        <f t="shared" si="151"/>
        <v>0</v>
      </c>
      <c r="X245" s="297">
        <f t="shared" si="152"/>
        <v>0</v>
      </c>
      <c r="Y245" s="297">
        <f t="shared" si="153"/>
        <v>0</v>
      </c>
      <c r="Z245" s="297">
        <f t="shared" si="154"/>
        <v>0</v>
      </c>
      <c r="AA245" s="384"/>
      <c r="AB245" s="384"/>
      <c r="AC245" s="387">
        <v>0</v>
      </c>
      <c r="AD245" s="384"/>
      <c r="AE245" s="385">
        <f t="shared" si="140"/>
        <v>0</v>
      </c>
      <c r="AF245" s="386">
        <f t="shared" si="141"/>
        <v>0</v>
      </c>
      <c r="AG245" s="384"/>
      <c r="AH245" s="384">
        <f t="shared" si="142"/>
        <v>0</v>
      </c>
      <c r="AI245" s="387">
        <v>0</v>
      </c>
      <c r="AJ245" s="435" t="s">
        <v>878</v>
      </c>
      <c r="AK245" s="385">
        <f t="shared" si="143"/>
        <v>0</v>
      </c>
      <c r="AL245" s="386">
        <f t="shared" si="144"/>
        <v>0</v>
      </c>
      <c r="AM245" s="384"/>
      <c r="AN245" s="384"/>
      <c r="AO245" s="387">
        <f>'Unit Savings Calculations'!P241</f>
        <v>0</v>
      </c>
      <c r="AP245" s="435" t="s">
        <v>763</v>
      </c>
      <c r="AQ245" s="385">
        <f t="shared" si="145"/>
        <v>0</v>
      </c>
      <c r="AR245" s="386">
        <f t="shared" si="146"/>
        <v>0</v>
      </c>
      <c r="AS245" s="384"/>
      <c r="AT245" s="384"/>
      <c r="AU245" s="387">
        <f>'Unit Savings Calculations'!Q241</f>
        <v>0</v>
      </c>
      <c r="AV245" s="435" t="str">
        <f t="shared" si="129"/>
        <v>n/a</v>
      </c>
      <c r="AW245" s="385">
        <f t="shared" si="147"/>
        <v>0</v>
      </c>
      <c r="AX245" s="386">
        <f t="shared" si="148"/>
        <v>0</v>
      </c>
      <c r="AY245" s="297">
        <f t="shared" si="130"/>
        <v>0</v>
      </c>
      <c r="AZ245" s="297">
        <f t="shared" si="131"/>
        <v>0</v>
      </c>
      <c r="BA245" s="297">
        <f t="shared" si="132"/>
        <v>0</v>
      </c>
      <c r="BB245" s="297">
        <f t="shared" si="133"/>
        <v>0</v>
      </c>
      <c r="BC245" s="298">
        <f t="shared" si="134"/>
        <v>0</v>
      </c>
      <c r="BD245" s="292" t="s">
        <v>763</v>
      </c>
      <c r="BE245" s="299" t="str">
        <f t="shared" si="135"/>
        <v>Custom</v>
      </c>
      <c r="BF245" s="298">
        <f t="shared" si="136"/>
        <v>0</v>
      </c>
      <c r="BG245" s="298">
        <f t="shared" si="136"/>
        <v>0</v>
      </c>
      <c r="BH245" s="298">
        <f t="shared" si="136"/>
        <v>0</v>
      </c>
      <c r="BI245" s="298">
        <f t="shared" si="136"/>
        <v>0</v>
      </c>
      <c r="BJ245" s="298">
        <f t="shared" si="137"/>
        <v>0</v>
      </c>
      <c r="BK245" s="482">
        <v>3</v>
      </c>
      <c r="BL245" s="482">
        <v>3</v>
      </c>
      <c r="BM245" s="482">
        <f>INDEX('Unit Savings Calculations'!$I$4:$I$421,MATCH('Measure-Level Adjustments Tab'!$A245&amp;"_"&amp;'Measure-Level Adjustments Tab'!$B245,'Unit Savings Calculations'!$A$4:$A$421,0))</f>
        <v>3</v>
      </c>
      <c r="BN245" s="482">
        <f t="shared" si="138"/>
        <v>3</v>
      </c>
      <c r="BO245" s="483">
        <f t="shared" si="139"/>
        <v>0</v>
      </c>
      <c r="BP245" s="483">
        <f t="shared" si="139"/>
        <v>0</v>
      </c>
      <c r="BQ245" s="483">
        <f t="shared" si="139"/>
        <v>0</v>
      </c>
      <c r="BR245" s="483">
        <f t="shared" si="139"/>
        <v>0</v>
      </c>
      <c r="BS245" s="483">
        <f t="shared" si="128"/>
        <v>0</v>
      </c>
    </row>
    <row r="246" spans="1:71" ht="15.75" customHeight="1">
      <c r="A246" s="292" t="str">
        <f>'Unit Savings Calculations'!C242</f>
        <v>Bus - SB Rebates -PTA</v>
      </c>
      <c r="B246" s="292" t="str">
        <f>'Unit Savings Calculations'!D242</f>
        <v>Thermostat - Programmable</v>
      </c>
      <c r="C246" s="293">
        <f t="shared" si="149"/>
        <v>1</v>
      </c>
      <c r="D246" s="292" t="str">
        <f>'Unit Savings Calculations'!T242</f>
        <v>4.4.18</v>
      </c>
      <c r="E246" s="438">
        <v>4</v>
      </c>
      <c r="F246" s="438">
        <v>4</v>
      </c>
      <c r="G246" s="292" t="str">
        <f>'Unit Savings Calculations'!E242</f>
        <v>each</v>
      </c>
      <c r="H246" s="294">
        <f>'Unit Savings Calculations'!$F242*'Unit Savings Calculations'!J242</f>
        <v>0</v>
      </c>
      <c r="I246" s="294">
        <f>'Unit Savings Calculations'!$F242*'Unit Savings Calculations'!K242</f>
        <v>0</v>
      </c>
      <c r="J246" s="294">
        <f>'Unit Savings Calculations'!$F242*'Unit Savings Calculations'!L242</f>
        <v>0</v>
      </c>
      <c r="K246" s="294">
        <f>'Unit Savings Calculations'!$F242*'Unit Savings Calculations'!M242</f>
        <v>0</v>
      </c>
      <c r="L246" s="292" t="str">
        <f>'Unit Savings Calculations'!U242</f>
        <v>CI-HVC-PROG-V02-150601</v>
      </c>
      <c r="M246" s="383" t="str">
        <f>'Unit Savings Calculations'!R242</f>
        <v>Exhibit 1.5A_R North Shore EEPS_Adjustable_Savings_Goal_Template.xlsx, Thermostat Detail Tab</v>
      </c>
      <c r="N246" s="295">
        <v>124.68584320000001</v>
      </c>
      <c r="O246" s="295">
        <v>124.68584320000001</v>
      </c>
      <c r="P246" s="295">
        <v>124.68584320000001</v>
      </c>
      <c r="Q246" s="295">
        <v>124.68584320000001</v>
      </c>
      <c r="R246" s="296">
        <f>'Unit Savings Calculations'!$G242</f>
        <v>0.92</v>
      </c>
      <c r="S246" s="296">
        <f>'Unit Savings Calculations'!$G242</f>
        <v>0.92</v>
      </c>
      <c r="T246" s="296">
        <f>'Unit Savings Calculations'!$G242</f>
        <v>0.92</v>
      </c>
      <c r="U246" s="296">
        <f>'Unit Savings Calculations'!$G242</f>
        <v>0.92</v>
      </c>
      <c r="V246" s="297">
        <f t="shared" si="150"/>
        <v>0</v>
      </c>
      <c r="W246" s="297">
        <f t="shared" si="151"/>
        <v>0</v>
      </c>
      <c r="X246" s="297">
        <f t="shared" si="152"/>
        <v>0</v>
      </c>
      <c r="Y246" s="297">
        <f t="shared" si="153"/>
        <v>0</v>
      </c>
      <c r="Z246" s="297">
        <f t="shared" si="154"/>
        <v>0</v>
      </c>
      <c r="AA246" s="292"/>
      <c r="AB246" s="292"/>
      <c r="AC246" s="295">
        <v>124.68584320000001</v>
      </c>
      <c r="AD246" s="292"/>
      <c r="AE246" s="297">
        <f t="shared" si="140"/>
        <v>0</v>
      </c>
      <c r="AF246" s="294">
        <f t="shared" si="141"/>
        <v>0</v>
      </c>
      <c r="AG246" s="292"/>
      <c r="AH246" s="292">
        <f t="shared" si="142"/>
        <v>0</v>
      </c>
      <c r="AI246" s="295">
        <v>124.68584320000001</v>
      </c>
      <c r="AJ246" s="383" t="s">
        <v>878</v>
      </c>
      <c r="AK246" s="297">
        <f t="shared" si="143"/>
        <v>0</v>
      </c>
      <c r="AL246" s="294">
        <f t="shared" si="144"/>
        <v>0</v>
      </c>
      <c r="AM246" s="292"/>
      <c r="AN246" s="292"/>
      <c r="AO246" s="295">
        <f>'Unit Savings Calculations'!P242</f>
        <v>124.68584320000001</v>
      </c>
      <c r="AP246" s="383" t="s">
        <v>763</v>
      </c>
      <c r="AQ246" s="297">
        <f t="shared" si="145"/>
        <v>0</v>
      </c>
      <c r="AR246" s="294">
        <f t="shared" si="146"/>
        <v>0</v>
      </c>
      <c r="AS246" s="292"/>
      <c r="AT246" s="292"/>
      <c r="AU246" s="295">
        <f>'Unit Savings Calculations'!Q242</f>
        <v>124.68584320000001</v>
      </c>
      <c r="AV246" s="383" t="str">
        <f t="shared" si="129"/>
        <v>n/a</v>
      </c>
      <c r="AW246" s="297">
        <f t="shared" si="147"/>
        <v>0</v>
      </c>
      <c r="AX246" s="294">
        <f t="shared" si="148"/>
        <v>0</v>
      </c>
      <c r="AY246" s="297">
        <f t="shared" si="130"/>
        <v>0</v>
      </c>
      <c r="AZ246" s="297">
        <f t="shared" si="131"/>
        <v>0</v>
      </c>
      <c r="BA246" s="297">
        <f t="shared" si="132"/>
        <v>0</v>
      </c>
      <c r="BB246" s="297">
        <f t="shared" si="133"/>
        <v>0</v>
      </c>
      <c r="BC246" s="298">
        <f t="shared" si="134"/>
        <v>0</v>
      </c>
      <c r="BD246" s="292" t="s">
        <v>763</v>
      </c>
      <c r="BE246" s="299" t="str">
        <f t="shared" si="135"/>
        <v>Exhibit 1.5A_R North Shore EEPS_Adjustable_Savings_Goal_Template.xlsx, Thermostat Detail Tab</v>
      </c>
      <c r="BF246" s="298">
        <f t="shared" si="136"/>
        <v>0</v>
      </c>
      <c r="BG246" s="298">
        <f t="shared" si="136"/>
        <v>0</v>
      </c>
      <c r="BH246" s="298">
        <f t="shared" si="136"/>
        <v>0</v>
      </c>
      <c r="BI246" s="298">
        <f t="shared" si="136"/>
        <v>0</v>
      </c>
      <c r="BJ246" s="298">
        <f t="shared" si="137"/>
        <v>0</v>
      </c>
      <c r="BK246" s="482">
        <v>4</v>
      </c>
      <c r="BL246" s="482">
        <v>4</v>
      </c>
      <c r="BM246" s="482">
        <f>INDEX('Unit Savings Calculations'!$I$4:$I$421,MATCH('Measure-Level Adjustments Tab'!$A246&amp;"_"&amp;'Measure-Level Adjustments Tab'!$B246,'Unit Savings Calculations'!$A$4:$A$421,0))</f>
        <v>4</v>
      </c>
      <c r="BN246" s="482">
        <f t="shared" si="138"/>
        <v>4</v>
      </c>
      <c r="BO246" s="483">
        <f t="shared" si="139"/>
        <v>0</v>
      </c>
      <c r="BP246" s="483">
        <f t="shared" si="139"/>
        <v>0</v>
      </c>
      <c r="BQ246" s="483">
        <f t="shared" si="139"/>
        <v>0</v>
      </c>
      <c r="BR246" s="483">
        <f t="shared" si="139"/>
        <v>0</v>
      </c>
      <c r="BS246" s="483">
        <f t="shared" si="128"/>
        <v>0</v>
      </c>
    </row>
    <row r="247" spans="1:71" ht="15.75" customHeight="1">
      <c r="A247" s="292" t="str">
        <f>'Unit Savings Calculations'!C243</f>
        <v>Bus - SB Rebates -PTA</v>
      </c>
      <c r="B247" s="292" t="str">
        <f>'Unit Savings Calculations'!D243</f>
        <v>Water Heater - Storage 88% TE ≥75MBh</v>
      </c>
      <c r="C247" s="293">
        <f t="shared" si="149"/>
        <v>1</v>
      </c>
      <c r="D247" s="292" t="str">
        <f>'Unit Savings Calculations'!T243</f>
        <v>4.3.1</v>
      </c>
      <c r="E247" s="438">
        <v>15</v>
      </c>
      <c r="F247" s="438">
        <v>15</v>
      </c>
      <c r="G247" s="292" t="str">
        <f>'Unit Savings Calculations'!E243</f>
        <v>each</v>
      </c>
      <c r="H247" s="294">
        <f>'Unit Savings Calculations'!$F243*'Unit Savings Calculations'!J243</f>
        <v>0</v>
      </c>
      <c r="I247" s="294">
        <f>'Unit Savings Calculations'!$F243*'Unit Savings Calculations'!K243</f>
        <v>0</v>
      </c>
      <c r="J247" s="294">
        <f>'Unit Savings Calculations'!$F243*'Unit Savings Calculations'!L243</f>
        <v>0</v>
      </c>
      <c r="K247" s="294">
        <f>'Unit Savings Calculations'!$F243*'Unit Savings Calculations'!M243</f>
        <v>0</v>
      </c>
      <c r="L247" s="292" t="str">
        <f>'Unit Savings Calculations'!U243</f>
        <v>CI-HW-STWH-V03-180101</v>
      </c>
      <c r="M247" s="383" t="str">
        <f>'Unit Savings Calculations'!R243</f>
        <v>Exhibit 1.5A_R North Shore EEPS_Adjustable_Savings_Goal_Template.xlsx, Unit Savings Calculations Tab</v>
      </c>
      <c r="N247" s="295">
        <v>135.66827090062347</v>
      </c>
      <c r="O247" s="295">
        <v>135.66827090062347</v>
      </c>
      <c r="P247" s="295">
        <v>135.66827090062347</v>
      </c>
      <c r="Q247" s="295">
        <v>135.66827090062347</v>
      </c>
      <c r="R247" s="296">
        <f>'Unit Savings Calculations'!$G243</f>
        <v>0.92</v>
      </c>
      <c r="S247" s="296">
        <f>'Unit Savings Calculations'!$G243</f>
        <v>0.92</v>
      </c>
      <c r="T247" s="296">
        <f>'Unit Savings Calculations'!$G243</f>
        <v>0.92</v>
      </c>
      <c r="U247" s="296">
        <f>'Unit Savings Calculations'!$G243</f>
        <v>0.92</v>
      </c>
      <c r="V247" s="297">
        <f t="shared" si="150"/>
        <v>0</v>
      </c>
      <c r="W247" s="297">
        <f t="shared" si="151"/>
        <v>0</v>
      </c>
      <c r="X247" s="297">
        <f t="shared" si="152"/>
        <v>0</v>
      </c>
      <c r="Y247" s="297">
        <f t="shared" si="153"/>
        <v>0</v>
      </c>
      <c r="Z247" s="297">
        <f t="shared" si="154"/>
        <v>0</v>
      </c>
      <c r="AA247" s="292"/>
      <c r="AB247" s="292"/>
      <c r="AC247" s="295">
        <v>135.66827090062347</v>
      </c>
      <c r="AD247" s="292"/>
      <c r="AE247" s="297">
        <f t="shared" si="140"/>
        <v>0</v>
      </c>
      <c r="AF247" s="294">
        <f t="shared" si="141"/>
        <v>0</v>
      </c>
      <c r="AG247" s="292"/>
      <c r="AH247" s="292">
        <f t="shared" si="142"/>
        <v>0</v>
      </c>
      <c r="AI247" s="295">
        <v>1514.573584976577</v>
      </c>
      <c r="AJ247" s="383" t="s">
        <v>894</v>
      </c>
      <c r="AK247" s="297">
        <f t="shared" si="143"/>
        <v>0</v>
      </c>
      <c r="AL247" s="294">
        <f t="shared" si="144"/>
        <v>0</v>
      </c>
      <c r="AM247" s="292"/>
      <c r="AN247" s="292"/>
      <c r="AO247" s="295">
        <f>'Unit Savings Calculations'!P243</f>
        <v>1514.573584976577</v>
      </c>
      <c r="AP247" s="383" t="s">
        <v>763</v>
      </c>
      <c r="AQ247" s="297">
        <f t="shared" si="145"/>
        <v>0</v>
      </c>
      <c r="AR247" s="294">
        <f t="shared" si="146"/>
        <v>0</v>
      </c>
      <c r="AS247" s="292"/>
      <c r="AT247" s="292"/>
      <c r="AU247" s="295">
        <f>'Unit Savings Calculations'!Q243</f>
        <v>1514.573584976577</v>
      </c>
      <c r="AV247" s="383" t="str">
        <f t="shared" si="129"/>
        <v>n/a</v>
      </c>
      <c r="AW247" s="297">
        <f t="shared" si="147"/>
        <v>0</v>
      </c>
      <c r="AX247" s="294">
        <f t="shared" si="148"/>
        <v>0</v>
      </c>
      <c r="AY247" s="297">
        <f t="shared" si="130"/>
        <v>0</v>
      </c>
      <c r="AZ247" s="297">
        <f t="shared" si="131"/>
        <v>0</v>
      </c>
      <c r="BA247" s="297">
        <f t="shared" si="132"/>
        <v>0</v>
      </c>
      <c r="BB247" s="297">
        <f t="shared" si="133"/>
        <v>0</v>
      </c>
      <c r="BC247" s="298">
        <f t="shared" si="134"/>
        <v>0</v>
      </c>
      <c r="BD247" s="292" t="s">
        <v>763</v>
      </c>
      <c r="BE247" s="299" t="str">
        <f t="shared" si="135"/>
        <v>Exhibit 1.5A_R North Shore EEPS_Adjustable_Savings_Goal_Template.xlsx, Unit Savings Calculations Tab</v>
      </c>
      <c r="BF247" s="298">
        <f t="shared" si="136"/>
        <v>0</v>
      </c>
      <c r="BG247" s="298">
        <f t="shared" si="136"/>
        <v>0</v>
      </c>
      <c r="BH247" s="298">
        <f t="shared" si="136"/>
        <v>0</v>
      </c>
      <c r="BI247" s="298">
        <f t="shared" si="136"/>
        <v>0</v>
      </c>
      <c r="BJ247" s="298">
        <f t="shared" si="137"/>
        <v>0</v>
      </c>
      <c r="BK247" s="482">
        <v>15</v>
      </c>
      <c r="BL247" s="482">
        <v>15</v>
      </c>
      <c r="BM247" s="482">
        <f>INDEX('Unit Savings Calculations'!$I$4:$I$421,MATCH('Measure-Level Adjustments Tab'!$A247&amp;"_"&amp;'Measure-Level Adjustments Tab'!$B247,'Unit Savings Calculations'!$A$4:$A$421,0))</f>
        <v>15</v>
      </c>
      <c r="BN247" s="482">
        <f t="shared" si="138"/>
        <v>15</v>
      </c>
      <c r="BO247" s="483">
        <f t="shared" si="139"/>
        <v>0</v>
      </c>
      <c r="BP247" s="483">
        <f t="shared" si="139"/>
        <v>0</v>
      </c>
      <c r="BQ247" s="483">
        <f t="shared" si="139"/>
        <v>0</v>
      </c>
      <c r="BR247" s="483">
        <f t="shared" si="139"/>
        <v>0</v>
      </c>
      <c r="BS247" s="483">
        <f t="shared" si="128"/>
        <v>0</v>
      </c>
    </row>
    <row r="248" spans="1:71" ht="15.75" customHeight="1">
      <c r="A248" s="292" t="str">
        <f>'Unit Savings Calculations'!C244</f>
        <v>Bus - SB Rebates -PTA</v>
      </c>
      <c r="B248" s="292" t="str">
        <f>'Unit Savings Calculations'!D244</f>
        <v>Water Heater 88% TE - Laundromat</v>
      </c>
      <c r="C248" s="293">
        <f t="shared" si="149"/>
        <v>0</v>
      </c>
      <c r="D248" s="292" t="str">
        <f>'Unit Savings Calculations'!T244</f>
        <v>Custom</v>
      </c>
      <c r="E248" s="438">
        <v>15</v>
      </c>
      <c r="F248" s="438">
        <v>15</v>
      </c>
      <c r="G248" s="292" t="str">
        <f>'Unit Savings Calculations'!E244</f>
        <v>MBH</v>
      </c>
      <c r="H248" s="294">
        <f>'Unit Savings Calculations'!$F244*'Unit Savings Calculations'!J244</f>
        <v>0</v>
      </c>
      <c r="I248" s="294">
        <f>'Unit Savings Calculations'!$F244*'Unit Savings Calculations'!K244</f>
        <v>0</v>
      </c>
      <c r="J248" s="294">
        <f>'Unit Savings Calculations'!$F244*'Unit Savings Calculations'!L244</f>
        <v>0</v>
      </c>
      <c r="K248" s="294">
        <f>'Unit Savings Calculations'!$F244*'Unit Savings Calculations'!M244</f>
        <v>0</v>
      </c>
      <c r="L248" s="292" t="str">
        <f>'Unit Savings Calculations'!U244</f>
        <v>Custom</v>
      </c>
      <c r="M248" s="383" t="str">
        <f>'Unit Savings Calculations'!R244</f>
        <v>Exhibit 1.5A_R North Shore EEPS_Adjustable_Savings_Goal_Template.xlsx, Laundromat Broiler Tab</v>
      </c>
      <c r="N248" s="295">
        <v>1.0567132867132856</v>
      </c>
      <c r="O248" s="295">
        <v>1.0567132867132856</v>
      </c>
      <c r="P248" s="295">
        <v>1.0567132867132856</v>
      </c>
      <c r="Q248" s="295">
        <v>1.0567132867132856</v>
      </c>
      <c r="R248" s="296">
        <f>'Unit Savings Calculations'!$G244</f>
        <v>0.92</v>
      </c>
      <c r="S248" s="296">
        <f>'Unit Savings Calculations'!$G244</f>
        <v>0.92</v>
      </c>
      <c r="T248" s="296">
        <f>'Unit Savings Calculations'!$G244</f>
        <v>0.92</v>
      </c>
      <c r="U248" s="296">
        <f>'Unit Savings Calculations'!$G244</f>
        <v>0.92</v>
      </c>
      <c r="V248" s="297">
        <f t="shared" si="150"/>
        <v>0</v>
      </c>
      <c r="W248" s="297">
        <f t="shared" si="151"/>
        <v>0</v>
      </c>
      <c r="X248" s="297">
        <f t="shared" si="152"/>
        <v>0</v>
      </c>
      <c r="Y248" s="297">
        <f t="shared" si="153"/>
        <v>0</v>
      </c>
      <c r="Z248" s="297">
        <f t="shared" si="154"/>
        <v>0</v>
      </c>
      <c r="AA248" s="384"/>
      <c r="AB248" s="384"/>
      <c r="AC248" s="387">
        <v>1.0567132867132856</v>
      </c>
      <c r="AD248" s="384"/>
      <c r="AE248" s="385">
        <f t="shared" si="140"/>
        <v>0</v>
      </c>
      <c r="AF248" s="386">
        <f t="shared" si="141"/>
        <v>0</v>
      </c>
      <c r="AG248" s="384"/>
      <c r="AH248" s="384">
        <f t="shared" si="142"/>
        <v>0</v>
      </c>
      <c r="AI248" s="387">
        <v>1.0567132867132856</v>
      </c>
      <c r="AJ248" s="435" t="s">
        <v>878</v>
      </c>
      <c r="AK248" s="385">
        <f t="shared" si="143"/>
        <v>0</v>
      </c>
      <c r="AL248" s="386">
        <f t="shared" si="144"/>
        <v>0</v>
      </c>
      <c r="AM248" s="384"/>
      <c r="AN248" s="384"/>
      <c r="AO248" s="387">
        <f>'Unit Savings Calculations'!P244</f>
        <v>1.0567132867132856</v>
      </c>
      <c r="AP248" s="435" t="s">
        <v>763</v>
      </c>
      <c r="AQ248" s="385">
        <f t="shared" si="145"/>
        <v>0</v>
      </c>
      <c r="AR248" s="386">
        <f t="shared" si="146"/>
        <v>0</v>
      </c>
      <c r="AS248" s="384"/>
      <c r="AT248" s="384"/>
      <c r="AU248" s="387">
        <f>'Unit Savings Calculations'!Q244</f>
        <v>1.0567132867132856</v>
      </c>
      <c r="AV248" s="435" t="str">
        <f t="shared" si="129"/>
        <v>n/a</v>
      </c>
      <c r="AW248" s="385">
        <f t="shared" si="147"/>
        <v>0</v>
      </c>
      <c r="AX248" s="386">
        <f t="shared" si="148"/>
        <v>0</v>
      </c>
      <c r="AY248" s="297">
        <f t="shared" si="130"/>
        <v>0</v>
      </c>
      <c r="AZ248" s="297">
        <f t="shared" si="131"/>
        <v>0</v>
      </c>
      <c r="BA248" s="297">
        <f t="shared" si="132"/>
        <v>0</v>
      </c>
      <c r="BB248" s="297">
        <f t="shared" si="133"/>
        <v>0</v>
      </c>
      <c r="BC248" s="298">
        <f t="shared" si="134"/>
        <v>0</v>
      </c>
      <c r="BD248" s="292" t="s">
        <v>763</v>
      </c>
      <c r="BE248" s="299" t="str">
        <f t="shared" si="135"/>
        <v>Exhibit 1.5A_R North Shore EEPS_Adjustable_Savings_Goal_Template.xlsx, Laundromat Broiler Tab</v>
      </c>
      <c r="BF248" s="298">
        <f t="shared" si="136"/>
        <v>0</v>
      </c>
      <c r="BG248" s="298">
        <f t="shared" si="136"/>
        <v>0</v>
      </c>
      <c r="BH248" s="298">
        <f t="shared" si="136"/>
        <v>0</v>
      </c>
      <c r="BI248" s="298">
        <f t="shared" si="136"/>
        <v>0</v>
      </c>
      <c r="BJ248" s="298">
        <f t="shared" si="137"/>
        <v>0</v>
      </c>
      <c r="BK248" s="482">
        <v>15</v>
      </c>
      <c r="BL248" s="482">
        <v>15</v>
      </c>
      <c r="BM248" s="482">
        <f>INDEX('Unit Savings Calculations'!$I$4:$I$421,MATCH('Measure-Level Adjustments Tab'!$A248&amp;"_"&amp;'Measure-Level Adjustments Tab'!$B248,'Unit Savings Calculations'!$A$4:$A$421,0))</f>
        <v>15</v>
      </c>
      <c r="BN248" s="482">
        <f t="shared" si="138"/>
        <v>15</v>
      </c>
      <c r="BO248" s="483">
        <f t="shared" si="139"/>
        <v>0</v>
      </c>
      <c r="BP248" s="483">
        <f t="shared" si="139"/>
        <v>0</v>
      </c>
      <c r="BQ248" s="483">
        <f t="shared" si="139"/>
        <v>0</v>
      </c>
      <c r="BR248" s="483">
        <f t="shared" si="139"/>
        <v>0</v>
      </c>
      <c r="BS248" s="483">
        <f t="shared" si="128"/>
        <v>0</v>
      </c>
    </row>
    <row r="249" spans="1:71" ht="15.75" customHeight="1">
      <c r="A249" s="292" t="str">
        <f>'Unit Savings Calculations'!C245</f>
        <v>Bus - SB Rebates -PTA</v>
      </c>
      <c r="B249" s="292" t="str">
        <f>'Unit Savings Calculations'!D245</f>
        <v>Water Heater 95% TE - Laundromat</v>
      </c>
      <c r="C249" s="293">
        <f t="shared" si="149"/>
        <v>0</v>
      </c>
      <c r="D249" s="292" t="str">
        <f>'Unit Savings Calculations'!T245</f>
        <v>Custom</v>
      </c>
      <c r="E249" s="438">
        <v>15</v>
      </c>
      <c r="F249" s="438">
        <v>15</v>
      </c>
      <c r="G249" s="292" t="str">
        <f>'Unit Savings Calculations'!E245</f>
        <v>MBH</v>
      </c>
      <c r="H249" s="294">
        <f>'Unit Savings Calculations'!$F245*'Unit Savings Calculations'!J245</f>
        <v>0</v>
      </c>
      <c r="I249" s="294">
        <f>'Unit Savings Calculations'!$F245*'Unit Savings Calculations'!K245</f>
        <v>0</v>
      </c>
      <c r="J249" s="294">
        <f>'Unit Savings Calculations'!$F245*'Unit Savings Calculations'!L245</f>
        <v>0</v>
      </c>
      <c r="K249" s="294">
        <f>'Unit Savings Calculations'!$F245*'Unit Savings Calculations'!M245</f>
        <v>0</v>
      </c>
      <c r="L249" s="292" t="str">
        <f>'Unit Savings Calculations'!U245</f>
        <v>Custom</v>
      </c>
      <c r="M249" s="383" t="str">
        <f>'Unit Savings Calculations'!R245</f>
        <v>Exhibit 1.5A_R North Shore EEPS_Adjustable_Savings_Goal_Template.xlsx, Laundromat Broiler Tab</v>
      </c>
      <c r="N249" s="295">
        <v>1.8353441295546562</v>
      </c>
      <c r="O249" s="295">
        <v>1.8353441295546562</v>
      </c>
      <c r="P249" s="295">
        <v>1.8353441295546562</v>
      </c>
      <c r="Q249" s="295">
        <v>1.8353441295546562</v>
      </c>
      <c r="R249" s="296">
        <f>'Unit Savings Calculations'!$G245</f>
        <v>0.92</v>
      </c>
      <c r="S249" s="296">
        <f>'Unit Savings Calculations'!$G245</f>
        <v>0.92</v>
      </c>
      <c r="T249" s="296">
        <f>'Unit Savings Calculations'!$G245</f>
        <v>0.92</v>
      </c>
      <c r="U249" s="296">
        <f>'Unit Savings Calculations'!$G245</f>
        <v>0.92</v>
      </c>
      <c r="V249" s="297">
        <f t="shared" si="150"/>
        <v>0</v>
      </c>
      <c r="W249" s="297">
        <f t="shared" si="151"/>
        <v>0</v>
      </c>
      <c r="X249" s="297">
        <f t="shared" si="152"/>
        <v>0</v>
      </c>
      <c r="Y249" s="297">
        <f t="shared" si="153"/>
        <v>0</v>
      </c>
      <c r="Z249" s="297">
        <f t="shared" si="154"/>
        <v>0</v>
      </c>
      <c r="AA249" s="384"/>
      <c r="AB249" s="384"/>
      <c r="AC249" s="387">
        <v>1.8353441295546562</v>
      </c>
      <c r="AD249" s="384"/>
      <c r="AE249" s="385">
        <f t="shared" si="140"/>
        <v>0</v>
      </c>
      <c r="AF249" s="386">
        <f t="shared" si="141"/>
        <v>0</v>
      </c>
      <c r="AG249" s="384"/>
      <c r="AH249" s="384">
        <f t="shared" si="142"/>
        <v>0</v>
      </c>
      <c r="AI249" s="387">
        <v>1.8353441295546562</v>
      </c>
      <c r="AJ249" s="435" t="s">
        <v>878</v>
      </c>
      <c r="AK249" s="385">
        <f t="shared" si="143"/>
        <v>0</v>
      </c>
      <c r="AL249" s="386">
        <f t="shared" si="144"/>
        <v>0</v>
      </c>
      <c r="AM249" s="384"/>
      <c r="AN249" s="384"/>
      <c r="AO249" s="387">
        <f>'Unit Savings Calculations'!P245</f>
        <v>1.8353441295546562</v>
      </c>
      <c r="AP249" s="435" t="s">
        <v>763</v>
      </c>
      <c r="AQ249" s="385">
        <f t="shared" si="145"/>
        <v>0</v>
      </c>
      <c r="AR249" s="386">
        <f t="shared" si="146"/>
        <v>0</v>
      </c>
      <c r="AS249" s="384"/>
      <c r="AT249" s="384"/>
      <c r="AU249" s="387">
        <f>'Unit Savings Calculations'!Q245</f>
        <v>1.8353441295546562</v>
      </c>
      <c r="AV249" s="435" t="str">
        <f t="shared" si="129"/>
        <v>n/a</v>
      </c>
      <c r="AW249" s="385">
        <f t="shared" si="147"/>
        <v>0</v>
      </c>
      <c r="AX249" s="386">
        <f t="shared" si="148"/>
        <v>0</v>
      </c>
      <c r="AY249" s="297">
        <f t="shared" si="130"/>
        <v>0</v>
      </c>
      <c r="AZ249" s="297">
        <f t="shared" si="131"/>
        <v>0</v>
      </c>
      <c r="BA249" s="297">
        <f t="shared" si="132"/>
        <v>0</v>
      </c>
      <c r="BB249" s="297">
        <f t="shared" si="133"/>
        <v>0</v>
      </c>
      <c r="BC249" s="298">
        <f t="shared" si="134"/>
        <v>0</v>
      </c>
      <c r="BD249" s="292" t="s">
        <v>763</v>
      </c>
      <c r="BE249" s="299" t="str">
        <f t="shared" si="135"/>
        <v>Exhibit 1.5A_R North Shore EEPS_Adjustable_Savings_Goal_Template.xlsx, Laundromat Broiler Tab</v>
      </c>
      <c r="BF249" s="298">
        <f t="shared" si="136"/>
        <v>0</v>
      </c>
      <c r="BG249" s="298">
        <f t="shared" si="136"/>
        <v>0</v>
      </c>
      <c r="BH249" s="298">
        <f t="shared" si="136"/>
        <v>0</v>
      </c>
      <c r="BI249" s="298">
        <f t="shared" si="136"/>
        <v>0</v>
      </c>
      <c r="BJ249" s="298">
        <f t="shared" si="137"/>
        <v>0</v>
      </c>
      <c r="BK249" s="482">
        <v>15</v>
      </c>
      <c r="BL249" s="482">
        <v>15</v>
      </c>
      <c r="BM249" s="482">
        <f>INDEX('Unit Savings Calculations'!$I$4:$I$421,MATCH('Measure-Level Adjustments Tab'!$A249&amp;"_"&amp;'Measure-Level Adjustments Tab'!$B249,'Unit Savings Calculations'!$A$4:$A$421,0))</f>
        <v>15</v>
      </c>
      <c r="BN249" s="482">
        <f t="shared" si="138"/>
        <v>15</v>
      </c>
      <c r="BO249" s="483">
        <f t="shared" si="139"/>
        <v>0</v>
      </c>
      <c r="BP249" s="483">
        <f t="shared" si="139"/>
        <v>0</v>
      </c>
      <c r="BQ249" s="483">
        <f t="shared" si="139"/>
        <v>0</v>
      </c>
      <c r="BR249" s="483">
        <f t="shared" si="139"/>
        <v>0</v>
      </c>
      <c r="BS249" s="483">
        <f t="shared" si="128"/>
        <v>0</v>
      </c>
    </row>
    <row r="250" spans="1:71" ht="15.75" customHeight="1">
      <c r="A250" s="292" t="str">
        <f>'Unit Savings Calculations'!C246</f>
        <v>Bus - CI Rebates</v>
      </c>
      <c r="B250" s="292" t="str">
        <f>'Unit Savings Calculations'!D246</f>
        <v>Boiler ≥88% AFUE, &lt;300MBh</v>
      </c>
      <c r="C250" s="293">
        <f t="shared" si="149"/>
        <v>1</v>
      </c>
      <c r="D250" s="292" t="str">
        <f>'Unit Savings Calculations'!T246</f>
        <v>4.4.10</v>
      </c>
      <c r="E250" s="438">
        <v>20</v>
      </c>
      <c r="F250" s="438">
        <v>20</v>
      </c>
      <c r="G250" s="292" t="str">
        <f>'Unit Savings Calculations'!E246</f>
        <v>MBH</v>
      </c>
      <c r="H250" s="294">
        <f>'Unit Savings Calculations'!$F246*'Unit Savings Calculations'!J246</f>
        <v>600</v>
      </c>
      <c r="I250" s="294">
        <f>'Unit Savings Calculations'!$F246*'Unit Savings Calculations'!K246</f>
        <v>600</v>
      </c>
      <c r="J250" s="294">
        <f>'Unit Savings Calculations'!$F246*'Unit Savings Calculations'!L246</f>
        <v>600</v>
      </c>
      <c r="K250" s="294">
        <f>'Unit Savings Calculations'!$F246*'Unit Savings Calculations'!M246</f>
        <v>600</v>
      </c>
      <c r="L250" s="292" t="str">
        <f>'Unit Savings Calculations'!U246</f>
        <v>CI-HVC-BOIL-V05-150601</v>
      </c>
      <c r="M250" s="383" t="str">
        <f>'Unit Savings Calculations'!R246</f>
        <v>Exhibit 1.5A_R North Shore EEPS_Adjustable_Savings_Goal_Template.xlsx, Unit Savings Calculations Tab</v>
      </c>
      <c r="N250" s="295">
        <v>1.126097560975611</v>
      </c>
      <c r="O250" s="295">
        <v>1.126097560975611</v>
      </c>
      <c r="P250" s="295">
        <v>1.126097560975611</v>
      </c>
      <c r="Q250" s="295">
        <v>1.126097560975611</v>
      </c>
      <c r="R250" s="296">
        <f>'Unit Savings Calculations'!$G246</f>
        <v>0.79</v>
      </c>
      <c r="S250" s="296">
        <f>'Unit Savings Calculations'!$G246</f>
        <v>0.79</v>
      </c>
      <c r="T250" s="296">
        <f>'Unit Savings Calculations'!$G246</f>
        <v>0.79</v>
      </c>
      <c r="U250" s="296">
        <f>'Unit Savings Calculations'!$G246</f>
        <v>0.79</v>
      </c>
      <c r="V250" s="297">
        <f t="shared" si="150"/>
        <v>533.77024390243969</v>
      </c>
      <c r="W250" s="297">
        <f t="shared" si="151"/>
        <v>533.77024390243969</v>
      </c>
      <c r="X250" s="297">
        <f t="shared" si="152"/>
        <v>533.77024390243969</v>
      </c>
      <c r="Y250" s="297">
        <f t="shared" si="153"/>
        <v>533.77024390243969</v>
      </c>
      <c r="Z250" s="297">
        <f t="shared" si="154"/>
        <v>2135.0809756097588</v>
      </c>
      <c r="AA250" s="292"/>
      <c r="AB250" s="292"/>
      <c r="AC250" s="295">
        <v>1.126097560975611</v>
      </c>
      <c r="AD250" s="292"/>
      <c r="AE250" s="297">
        <f t="shared" si="140"/>
        <v>533.77024390243969</v>
      </c>
      <c r="AF250" s="294">
        <f t="shared" si="141"/>
        <v>0</v>
      </c>
      <c r="AG250" s="292"/>
      <c r="AH250" s="292">
        <f t="shared" si="142"/>
        <v>0</v>
      </c>
      <c r="AI250" s="295">
        <v>1.126097560975611</v>
      </c>
      <c r="AJ250" s="383" t="s">
        <v>878</v>
      </c>
      <c r="AK250" s="297">
        <f t="shared" si="143"/>
        <v>533.77024390243969</v>
      </c>
      <c r="AL250" s="294">
        <f t="shared" si="144"/>
        <v>0</v>
      </c>
      <c r="AM250" s="292"/>
      <c r="AN250" s="292"/>
      <c r="AO250" s="295">
        <f>'Unit Savings Calculations'!P246</f>
        <v>1.2278048780487816</v>
      </c>
      <c r="AP250" s="383" t="s">
        <v>1441</v>
      </c>
      <c r="AQ250" s="297">
        <f t="shared" si="145"/>
        <v>581.97951219512242</v>
      </c>
      <c r="AR250" s="294">
        <f t="shared" si="146"/>
        <v>48.209268292682737</v>
      </c>
      <c r="AS250" s="292"/>
      <c r="AT250" s="292"/>
      <c r="AU250" s="295">
        <f>'Unit Savings Calculations'!Q246</f>
        <v>1.2278048780487816</v>
      </c>
      <c r="AV250" s="383" t="str">
        <f t="shared" si="129"/>
        <v>Updated heating EFLH</v>
      </c>
      <c r="AW250" s="297">
        <f t="shared" si="147"/>
        <v>581.97951219512242</v>
      </c>
      <c r="AX250" s="294">
        <f t="shared" si="148"/>
        <v>48.209268292682737</v>
      </c>
      <c r="AY250" s="297">
        <f t="shared" si="130"/>
        <v>533.77024390243969</v>
      </c>
      <c r="AZ250" s="297">
        <f t="shared" si="131"/>
        <v>533.77024390243969</v>
      </c>
      <c r="BA250" s="297">
        <f t="shared" si="132"/>
        <v>581.97951219512242</v>
      </c>
      <c r="BB250" s="297">
        <f t="shared" si="133"/>
        <v>581.97951219512242</v>
      </c>
      <c r="BC250" s="298">
        <f t="shared" si="134"/>
        <v>2231.4995121951242</v>
      </c>
      <c r="BD250" s="292" t="s">
        <v>763</v>
      </c>
      <c r="BE250" s="299" t="str">
        <f t="shared" si="135"/>
        <v>Exhibit 1.5A_R North Shore EEPS_Adjustable_Savings_Goal_Template.xlsx, Unit Savings Calculations Tab</v>
      </c>
      <c r="BF250" s="298">
        <f t="shared" si="136"/>
        <v>10675.404878048794</v>
      </c>
      <c r="BG250" s="298">
        <f t="shared" si="136"/>
        <v>10675.404878048794</v>
      </c>
      <c r="BH250" s="298">
        <f t="shared" si="136"/>
        <v>10675.404878048794</v>
      </c>
      <c r="BI250" s="298">
        <f t="shared" si="136"/>
        <v>10675.404878048794</v>
      </c>
      <c r="BJ250" s="298">
        <f t="shared" si="137"/>
        <v>42701.619512195175</v>
      </c>
      <c r="BK250" s="482">
        <v>20</v>
      </c>
      <c r="BL250" s="482">
        <v>20</v>
      </c>
      <c r="BM250" s="482">
        <f>INDEX('Unit Savings Calculations'!$I$4:$I$421,MATCH('Measure-Level Adjustments Tab'!$A250&amp;"_"&amp;'Measure-Level Adjustments Tab'!$B250,'Unit Savings Calculations'!$A$4:$A$421,0))</f>
        <v>25</v>
      </c>
      <c r="BN250" s="482">
        <f t="shared" si="138"/>
        <v>25</v>
      </c>
      <c r="BO250" s="483">
        <f t="shared" si="139"/>
        <v>10675.404878048794</v>
      </c>
      <c r="BP250" s="483">
        <f t="shared" si="139"/>
        <v>10675.404878048794</v>
      </c>
      <c r="BQ250" s="483">
        <f t="shared" si="139"/>
        <v>14549.487804878061</v>
      </c>
      <c r="BR250" s="483">
        <f t="shared" si="139"/>
        <v>14549.487804878061</v>
      </c>
      <c r="BS250" s="483">
        <f t="shared" si="128"/>
        <v>50449.785365853706</v>
      </c>
    </row>
    <row r="251" spans="1:71" ht="15.75" customHeight="1">
      <c r="A251" s="292" t="str">
        <f>'Unit Savings Calculations'!C247</f>
        <v>Bus - CI Rebates</v>
      </c>
      <c r="B251" s="292" t="str">
        <f>'Unit Savings Calculations'!D247</f>
        <v>Boiler ≥88% AFUE, ≥300MBh TE</v>
      </c>
      <c r="C251" s="293">
        <f t="shared" si="149"/>
        <v>1</v>
      </c>
      <c r="D251" s="292" t="str">
        <f>'Unit Savings Calculations'!T247</f>
        <v>4.4.10</v>
      </c>
      <c r="E251" s="438">
        <v>20</v>
      </c>
      <c r="F251" s="438">
        <v>20</v>
      </c>
      <c r="G251" s="292" t="str">
        <f>'Unit Savings Calculations'!E247</f>
        <v>MBH</v>
      </c>
      <c r="H251" s="294">
        <f>'Unit Savings Calculations'!$F247*'Unit Savings Calculations'!J247</f>
        <v>2000</v>
      </c>
      <c r="I251" s="294">
        <f>'Unit Savings Calculations'!$F247*'Unit Savings Calculations'!K247</f>
        <v>2000</v>
      </c>
      <c r="J251" s="294">
        <f>'Unit Savings Calculations'!$F247*'Unit Savings Calculations'!L247</f>
        <v>2000</v>
      </c>
      <c r="K251" s="294">
        <f>'Unit Savings Calculations'!$F247*'Unit Savings Calculations'!M247</f>
        <v>2000</v>
      </c>
      <c r="L251" s="292" t="str">
        <f>'Unit Savings Calculations'!U247</f>
        <v>CI-HVC-BOIL-V05-150601</v>
      </c>
      <c r="M251" s="383" t="str">
        <f>'Unit Savings Calculations'!R247</f>
        <v>Exhibit 1.5A_R North Shore EEPS_Adjustable_Savings_Goal_Template.xlsx, Unit Savings Calculations Tab</v>
      </c>
      <c r="N251" s="295">
        <v>1.5389999999999993</v>
      </c>
      <c r="O251" s="295">
        <v>1.5389999999999993</v>
      </c>
      <c r="P251" s="295">
        <v>1.5389999999999993</v>
      </c>
      <c r="Q251" s="295">
        <v>1.5389999999999993</v>
      </c>
      <c r="R251" s="296">
        <f>'Unit Savings Calculations'!$G247</f>
        <v>0.79</v>
      </c>
      <c r="S251" s="296">
        <f>'Unit Savings Calculations'!$G247</f>
        <v>0.79</v>
      </c>
      <c r="T251" s="296">
        <f>'Unit Savings Calculations'!$G247</f>
        <v>0.79</v>
      </c>
      <c r="U251" s="296">
        <f>'Unit Savings Calculations'!$G247</f>
        <v>0.79</v>
      </c>
      <c r="V251" s="297">
        <f t="shared" si="150"/>
        <v>2431.619999999999</v>
      </c>
      <c r="W251" s="297">
        <f t="shared" si="151"/>
        <v>2431.619999999999</v>
      </c>
      <c r="X251" s="297">
        <f t="shared" si="152"/>
        <v>2431.619999999999</v>
      </c>
      <c r="Y251" s="297">
        <f t="shared" si="153"/>
        <v>2431.619999999999</v>
      </c>
      <c r="Z251" s="297">
        <f t="shared" si="154"/>
        <v>9726.4799999999959</v>
      </c>
      <c r="AA251" s="292"/>
      <c r="AB251" s="292"/>
      <c r="AC251" s="295">
        <v>1.5389999999999993</v>
      </c>
      <c r="AD251" s="292"/>
      <c r="AE251" s="297">
        <f t="shared" si="140"/>
        <v>2431.619999999999</v>
      </c>
      <c r="AF251" s="294">
        <f t="shared" si="141"/>
        <v>0</v>
      </c>
      <c r="AG251" s="292"/>
      <c r="AH251" s="292">
        <f t="shared" si="142"/>
        <v>0</v>
      </c>
      <c r="AI251" s="295">
        <v>1.5389999999999993</v>
      </c>
      <c r="AJ251" s="383" t="s">
        <v>878</v>
      </c>
      <c r="AK251" s="297">
        <f t="shared" si="143"/>
        <v>2431.619999999999</v>
      </c>
      <c r="AL251" s="294">
        <f t="shared" si="144"/>
        <v>0</v>
      </c>
      <c r="AM251" s="292"/>
      <c r="AN251" s="292"/>
      <c r="AO251" s="295">
        <f>'Unit Savings Calculations'!P247</f>
        <v>1.6779999999999993</v>
      </c>
      <c r="AP251" s="383" t="s">
        <v>1441</v>
      </c>
      <c r="AQ251" s="297">
        <f t="shared" si="145"/>
        <v>2651.2399999999989</v>
      </c>
      <c r="AR251" s="294">
        <f t="shared" si="146"/>
        <v>219.61999999999989</v>
      </c>
      <c r="AS251" s="292"/>
      <c r="AT251" s="292"/>
      <c r="AU251" s="295">
        <f>'Unit Savings Calculations'!Q247</f>
        <v>1.6779999999999993</v>
      </c>
      <c r="AV251" s="383" t="str">
        <f t="shared" si="129"/>
        <v>Updated heating EFLH</v>
      </c>
      <c r="AW251" s="297">
        <f t="shared" si="147"/>
        <v>2651.2399999999989</v>
      </c>
      <c r="AX251" s="294">
        <f t="shared" si="148"/>
        <v>219.61999999999989</v>
      </c>
      <c r="AY251" s="297">
        <f t="shared" si="130"/>
        <v>2431.619999999999</v>
      </c>
      <c r="AZ251" s="297">
        <f t="shared" si="131"/>
        <v>2431.619999999999</v>
      </c>
      <c r="BA251" s="297">
        <f t="shared" si="132"/>
        <v>2651.2399999999989</v>
      </c>
      <c r="BB251" s="297">
        <f t="shared" si="133"/>
        <v>2651.2399999999989</v>
      </c>
      <c r="BC251" s="298">
        <f t="shared" si="134"/>
        <v>10165.719999999996</v>
      </c>
      <c r="BD251" s="292" t="s">
        <v>763</v>
      </c>
      <c r="BE251" s="299" t="str">
        <f t="shared" si="135"/>
        <v>Exhibit 1.5A_R North Shore EEPS_Adjustable_Savings_Goal_Template.xlsx, Unit Savings Calculations Tab</v>
      </c>
      <c r="BF251" s="298">
        <f t="shared" si="136"/>
        <v>48632.39999999998</v>
      </c>
      <c r="BG251" s="298">
        <f t="shared" si="136"/>
        <v>48632.39999999998</v>
      </c>
      <c r="BH251" s="298">
        <f t="shared" si="136"/>
        <v>48632.39999999998</v>
      </c>
      <c r="BI251" s="298">
        <f t="shared" si="136"/>
        <v>48632.39999999998</v>
      </c>
      <c r="BJ251" s="298">
        <f t="shared" si="137"/>
        <v>194529.59999999992</v>
      </c>
      <c r="BK251" s="482">
        <v>20</v>
      </c>
      <c r="BL251" s="482">
        <v>20</v>
      </c>
      <c r="BM251" s="482">
        <f>INDEX('Unit Savings Calculations'!$I$4:$I$421,MATCH('Measure-Level Adjustments Tab'!$A251&amp;"_"&amp;'Measure-Level Adjustments Tab'!$B251,'Unit Savings Calculations'!$A$4:$A$421,0))</f>
        <v>25</v>
      </c>
      <c r="BN251" s="482">
        <f t="shared" si="138"/>
        <v>25</v>
      </c>
      <c r="BO251" s="483">
        <f t="shared" si="139"/>
        <v>48632.39999999998</v>
      </c>
      <c r="BP251" s="483">
        <f t="shared" si="139"/>
        <v>48632.39999999998</v>
      </c>
      <c r="BQ251" s="483">
        <f t="shared" si="139"/>
        <v>66280.999999999971</v>
      </c>
      <c r="BR251" s="483">
        <f t="shared" si="139"/>
        <v>66280.999999999971</v>
      </c>
      <c r="BS251" s="483">
        <f t="shared" si="128"/>
        <v>229826.7999999999</v>
      </c>
    </row>
    <row r="252" spans="1:71" ht="15.75" customHeight="1">
      <c r="A252" s="292" t="str">
        <f>'Unit Savings Calculations'!C248</f>
        <v>Bus - CI Rebates</v>
      </c>
      <c r="B252" s="292" t="str">
        <f>'Unit Savings Calculations'!D248</f>
        <v>Boiler Reset Controls</v>
      </c>
      <c r="C252" s="293">
        <f t="shared" si="149"/>
        <v>1</v>
      </c>
      <c r="D252" s="292" t="str">
        <f>'Unit Savings Calculations'!T248</f>
        <v>4.4.4</v>
      </c>
      <c r="E252" s="438">
        <v>20</v>
      </c>
      <c r="F252" s="438">
        <v>20</v>
      </c>
      <c r="G252" s="292" t="str">
        <f>'Unit Savings Calculations'!E248</f>
        <v>each</v>
      </c>
      <c r="H252" s="294">
        <f>'Unit Savings Calculations'!$F248*'Unit Savings Calculations'!J248</f>
        <v>2400</v>
      </c>
      <c r="I252" s="294">
        <f>'Unit Savings Calculations'!$F248*'Unit Savings Calculations'!K248</f>
        <v>2400</v>
      </c>
      <c r="J252" s="294">
        <f>'Unit Savings Calculations'!$F248*'Unit Savings Calculations'!L248</f>
        <v>2400</v>
      </c>
      <c r="K252" s="294">
        <f>'Unit Savings Calculations'!$F248*'Unit Savings Calculations'!M248</f>
        <v>2400</v>
      </c>
      <c r="L252" s="292" t="str">
        <f>'Unit Savings Calculations'!U248</f>
        <v>CI-HVC-BLRC-V03-150601</v>
      </c>
      <c r="M252" s="383" t="str">
        <f>'Unit Savings Calculations'!R248</f>
        <v>Exhibit 1.5A_R North Shore EEPS_Adjustable_Savings_Goal_Template.xlsx, Unit Savings Calculations Tab</v>
      </c>
      <c r="N252" s="295">
        <v>1.2312000000000001</v>
      </c>
      <c r="O252" s="295">
        <v>1.2312000000000001</v>
      </c>
      <c r="P252" s="295">
        <v>1.2312000000000001</v>
      </c>
      <c r="Q252" s="295">
        <v>1.2312000000000001</v>
      </c>
      <c r="R252" s="296">
        <f>'Unit Savings Calculations'!$G248</f>
        <v>0.79</v>
      </c>
      <c r="S252" s="296">
        <f>'Unit Savings Calculations'!$G248</f>
        <v>0.79</v>
      </c>
      <c r="T252" s="296">
        <f>'Unit Savings Calculations'!$G248</f>
        <v>0.79</v>
      </c>
      <c r="U252" s="296">
        <f>'Unit Savings Calculations'!$G248</f>
        <v>0.79</v>
      </c>
      <c r="V252" s="297">
        <f t="shared" si="150"/>
        <v>2334.3552</v>
      </c>
      <c r="W252" s="297">
        <f t="shared" si="151"/>
        <v>2334.3552</v>
      </c>
      <c r="X252" s="297">
        <f t="shared" si="152"/>
        <v>2334.3552</v>
      </c>
      <c r="Y252" s="297">
        <f t="shared" si="153"/>
        <v>2334.3552</v>
      </c>
      <c r="Z252" s="297">
        <f t="shared" si="154"/>
        <v>9337.4207999999999</v>
      </c>
      <c r="AA252" s="292"/>
      <c r="AB252" s="292"/>
      <c r="AC252" s="295">
        <v>1.2312000000000001</v>
      </c>
      <c r="AD252" s="292"/>
      <c r="AE252" s="297">
        <f t="shared" si="140"/>
        <v>2334.3552</v>
      </c>
      <c r="AF252" s="294">
        <f t="shared" si="141"/>
        <v>0</v>
      </c>
      <c r="AG252" s="292"/>
      <c r="AH252" s="292">
        <f t="shared" si="142"/>
        <v>0</v>
      </c>
      <c r="AI252" s="295">
        <v>1.2312000000000001</v>
      </c>
      <c r="AJ252" s="383" t="s">
        <v>878</v>
      </c>
      <c r="AK252" s="297">
        <f t="shared" si="143"/>
        <v>2334.3552</v>
      </c>
      <c r="AL252" s="294">
        <f t="shared" si="144"/>
        <v>0</v>
      </c>
      <c r="AM252" s="292"/>
      <c r="AN252" s="292"/>
      <c r="AO252" s="295">
        <f>'Unit Savings Calculations'!P248</f>
        <v>1.3424</v>
      </c>
      <c r="AP252" s="383" t="s">
        <v>1441</v>
      </c>
      <c r="AQ252" s="297">
        <f t="shared" si="145"/>
        <v>2545.1904000000004</v>
      </c>
      <c r="AR252" s="294">
        <f t="shared" si="146"/>
        <v>210.83520000000044</v>
      </c>
      <c r="AS252" s="292"/>
      <c r="AT252" s="292"/>
      <c r="AU252" s="295">
        <f>'Unit Savings Calculations'!Q248</f>
        <v>1.3424</v>
      </c>
      <c r="AV252" s="383" t="str">
        <f t="shared" si="129"/>
        <v>Updated heating EFLH</v>
      </c>
      <c r="AW252" s="297">
        <f t="shared" si="147"/>
        <v>2545.1904000000004</v>
      </c>
      <c r="AX252" s="294">
        <f t="shared" si="148"/>
        <v>210.83520000000044</v>
      </c>
      <c r="AY252" s="297">
        <f t="shared" si="130"/>
        <v>2334.3552</v>
      </c>
      <c r="AZ252" s="297">
        <f t="shared" si="131"/>
        <v>2334.3552</v>
      </c>
      <c r="BA252" s="297">
        <f t="shared" si="132"/>
        <v>2545.1904000000004</v>
      </c>
      <c r="BB252" s="297">
        <f t="shared" si="133"/>
        <v>2545.1904000000004</v>
      </c>
      <c r="BC252" s="298">
        <f t="shared" si="134"/>
        <v>9759.0912000000008</v>
      </c>
      <c r="BD252" s="292" t="s">
        <v>763</v>
      </c>
      <c r="BE252" s="299" t="str">
        <f t="shared" si="135"/>
        <v>Exhibit 1.5A_R North Shore EEPS_Adjustable_Savings_Goal_Template.xlsx, Unit Savings Calculations Tab</v>
      </c>
      <c r="BF252" s="298">
        <f t="shared" si="136"/>
        <v>46687.103999999999</v>
      </c>
      <c r="BG252" s="298">
        <f t="shared" si="136"/>
        <v>46687.103999999999</v>
      </c>
      <c r="BH252" s="298">
        <f t="shared" si="136"/>
        <v>46687.103999999999</v>
      </c>
      <c r="BI252" s="298">
        <f t="shared" si="136"/>
        <v>46687.103999999999</v>
      </c>
      <c r="BJ252" s="298">
        <f t="shared" si="137"/>
        <v>186748.416</v>
      </c>
      <c r="BK252" s="482">
        <v>20</v>
      </c>
      <c r="BL252" s="482">
        <v>20</v>
      </c>
      <c r="BM252" s="482">
        <f>INDEX('Unit Savings Calculations'!$I$4:$I$421,MATCH('Measure-Level Adjustments Tab'!$A252&amp;"_"&amp;'Measure-Level Adjustments Tab'!$B252,'Unit Savings Calculations'!$A$4:$A$421,0))</f>
        <v>20</v>
      </c>
      <c r="BN252" s="482">
        <f t="shared" si="138"/>
        <v>20</v>
      </c>
      <c r="BO252" s="483">
        <f t="shared" si="139"/>
        <v>46687.103999999999</v>
      </c>
      <c r="BP252" s="483">
        <f t="shared" si="139"/>
        <v>46687.103999999999</v>
      </c>
      <c r="BQ252" s="483">
        <f t="shared" si="139"/>
        <v>50903.808000000005</v>
      </c>
      <c r="BR252" s="483">
        <f t="shared" si="139"/>
        <v>50903.808000000005</v>
      </c>
      <c r="BS252" s="483">
        <f t="shared" si="128"/>
        <v>195181.82400000002</v>
      </c>
    </row>
    <row r="253" spans="1:71" ht="15.75" customHeight="1">
      <c r="A253" s="292" t="str">
        <f>'Unit Savings Calculations'!C249</f>
        <v>Bus - CI Rebates</v>
      </c>
      <c r="B253" s="292" t="str">
        <f>'Unit Savings Calculations'!D249</f>
        <v>Boiler Tune Up - Process</v>
      </c>
      <c r="C253" s="293">
        <f t="shared" si="149"/>
        <v>1</v>
      </c>
      <c r="D253" s="292" t="str">
        <f>'Unit Savings Calculations'!T249</f>
        <v>4.4.3</v>
      </c>
      <c r="E253" s="438">
        <v>3</v>
      </c>
      <c r="F253" s="438">
        <v>3</v>
      </c>
      <c r="G253" s="292" t="str">
        <f>'Unit Savings Calculations'!E249</f>
        <v>MBH</v>
      </c>
      <c r="H253" s="294">
        <f>'Unit Savings Calculations'!$F249*'Unit Savings Calculations'!J249</f>
        <v>45000</v>
      </c>
      <c r="I253" s="294">
        <f>'Unit Savings Calculations'!$F249*'Unit Savings Calculations'!K249</f>
        <v>45000</v>
      </c>
      <c r="J253" s="294">
        <f>'Unit Savings Calculations'!$F249*'Unit Savings Calculations'!L249</f>
        <v>45000</v>
      </c>
      <c r="K253" s="294">
        <f>'Unit Savings Calculations'!$F249*'Unit Savings Calculations'!M249</f>
        <v>45000</v>
      </c>
      <c r="L253" s="292" t="str">
        <f>'Unit Savings Calculations'!U249</f>
        <v>CI-HVC-PBTU-V05-160601</v>
      </c>
      <c r="M253" s="383" t="str">
        <f>'Unit Savings Calculations'!R249</f>
        <v>Exhibit 1.5A_R North Shore EEPS_Adjustable_Savings_Goal_Template.xlsx, Unit Savings Calculations Tab</v>
      </c>
      <c r="N253" s="295">
        <v>0.83823507428978783</v>
      </c>
      <c r="O253" s="295">
        <v>0.83823507428978783</v>
      </c>
      <c r="P253" s="295">
        <v>0.83823507428978783</v>
      </c>
      <c r="Q253" s="295">
        <v>0.83823507428978783</v>
      </c>
      <c r="R253" s="296">
        <f>'Unit Savings Calculations'!$G249</f>
        <v>0.79</v>
      </c>
      <c r="S253" s="296">
        <f>'Unit Savings Calculations'!$G249</f>
        <v>0.79</v>
      </c>
      <c r="T253" s="296">
        <f>'Unit Savings Calculations'!$G249</f>
        <v>0.79</v>
      </c>
      <c r="U253" s="296">
        <f>'Unit Savings Calculations'!$G249</f>
        <v>0.79</v>
      </c>
      <c r="V253" s="297">
        <f t="shared" si="150"/>
        <v>29799.256891001962</v>
      </c>
      <c r="W253" s="297">
        <f t="shared" si="151"/>
        <v>29799.256891001962</v>
      </c>
      <c r="X253" s="297">
        <f t="shared" si="152"/>
        <v>29799.256891001962</v>
      </c>
      <c r="Y253" s="297">
        <f t="shared" si="153"/>
        <v>29799.256891001962</v>
      </c>
      <c r="Z253" s="297">
        <f t="shared" si="154"/>
        <v>119197.02756400785</v>
      </c>
      <c r="AA253" s="292"/>
      <c r="AB253" s="292"/>
      <c r="AC253" s="295">
        <v>0.83823507428978783</v>
      </c>
      <c r="AD253" s="292"/>
      <c r="AE253" s="297">
        <f t="shared" si="140"/>
        <v>29799.256891001962</v>
      </c>
      <c r="AF253" s="294">
        <f t="shared" si="141"/>
        <v>0</v>
      </c>
      <c r="AG253" s="292"/>
      <c r="AH253" s="292">
        <f t="shared" si="142"/>
        <v>0</v>
      </c>
      <c r="AI253" s="295">
        <v>0.83823507428978783</v>
      </c>
      <c r="AJ253" s="383" t="s">
        <v>878</v>
      </c>
      <c r="AK253" s="297">
        <f t="shared" si="143"/>
        <v>29799.256891001962</v>
      </c>
      <c r="AL253" s="294">
        <f t="shared" si="144"/>
        <v>0</v>
      </c>
      <c r="AM253" s="292"/>
      <c r="AN253" s="292"/>
      <c r="AO253" s="295">
        <f>'Unit Savings Calculations'!P249</f>
        <v>0.83823507428978783</v>
      </c>
      <c r="AP253" s="383" t="s">
        <v>763</v>
      </c>
      <c r="AQ253" s="297">
        <f t="shared" si="145"/>
        <v>29799.256891001962</v>
      </c>
      <c r="AR253" s="294">
        <f t="shared" si="146"/>
        <v>0</v>
      </c>
      <c r="AS253" s="292"/>
      <c r="AT253" s="292"/>
      <c r="AU253" s="295">
        <f>'Unit Savings Calculations'!Q249</f>
        <v>0.83823507428978783</v>
      </c>
      <c r="AV253" s="383" t="str">
        <f t="shared" si="129"/>
        <v>n/a</v>
      </c>
      <c r="AW253" s="297">
        <f t="shared" si="147"/>
        <v>29799.256891001962</v>
      </c>
      <c r="AX253" s="294">
        <f t="shared" si="148"/>
        <v>0</v>
      </c>
      <c r="AY253" s="297">
        <f t="shared" si="130"/>
        <v>29799.256891001962</v>
      </c>
      <c r="AZ253" s="297">
        <f t="shared" si="131"/>
        <v>29799.256891001962</v>
      </c>
      <c r="BA253" s="297">
        <f t="shared" si="132"/>
        <v>29799.256891001962</v>
      </c>
      <c r="BB253" s="297">
        <f t="shared" si="133"/>
        <v>29799.256891001962</v>
      </c>
      <c r="BC253" s="298">
        <f t="shared" si="134"/>
        <v>119197.02756400785</v>
      </c>
      <c r="BD253" s="292" t="s">
        <v>763</v>
      </c>
      <c r="BE253" s="299" t="str">
        <f t="shared" si="135"/>
        <v>Exhibit 1.5A_R North Shore EEPS_Adjustable_Savings_Goal_Template.xlsx, Unit Savings Calculations Tab</v>
      </c>
      <c r="BF253" s="298">
        <f t="shared" si="136"/>
        <v>89397.770673005885</v>
      </c>
      <c r="BG253" s="298">
        <f t="shared" si="136"/>
        <v>89397.770673005885</v>
      </c>
      <c r="BH253" s="298">
        <f t="shared" si="136"/>
        <v>89397.770673005885</v>
      </c>
      <c r="BI253" s="298">
        <f t="shared" si="136"/>
        <v>89397.770673005885</v>
      </c>
      <c r="BJ253" s="298">
        <f t="shared" si="137"/>
        <v>357591.08269202354</v>
      </c>
      <c r="BK253" s="482">
        <v>3</v>
      </c>
      <c r="BL253" s="482">
        <v>3</v>
      </c>
      <c r="BM253" s="482">
        <f>INDEX('Unit Savings Calculations'!$I$4:$I$421,MATCH('Measure-Level Adjustments Tab'!$A253&amp;"_"&amp;'Measure-Level Adjustments Tab'!$B253,'Unit Savings Calculations'!$A$4:$A$421,0))</f>
        <v>3</v>
      </c>
      <c r="BN253" s="482">
        <f t="shared" si="138"/>
        <v>3</v>
      </c>
      <c r="BO253" s="483">
        <f t="shared" si="139"/>
        <v>89397.770673005885</v>
      </c>
      <c r="BP253" s="483">
        <f t="shared" si="139"/>
        <v>89397.770673005885</v>
      </c>
      <c r="BQ253" s="483">
        <f t="shared" si="139"/>
        <v>89397.770673005885</v>
      </c>
      <c r="BR253" s="483">
        <f t="shared" si="139"/>
        <v>89397.770673005885</v>
      </c>
      <c r="BS253" s="483">
        <f t="shared" si="128"/>
        <v>357591.08269202354</v>
      </c>
    </row>
    <row r="254" spans="1:71" ht="15.75" customHeight="1">
      <c r="A254" s="292" t="str">
        <f>'Unit Savings Calculations'!C250</f>
        <v>Bus - CI Rebates</v>
      </c>
      <c r="B254" s="292" t="str">
        <f>'Unit Savings Calculations'!D250</f>
        <v>Boiler Tune Up - Space Heating</v>
      </c>
      <c r="C254" s="293">
        <f t="shared" si="149"/>
        <v>1</v>
      </c>
      <c r="D254" s="292" t="str">
        <f>'Unit Savings Calculations'!T250</f>
        <v>4.4.2</v>
      </c>
      <c r="E254" s="438">
        <v>3</v>
      </c>
      <c r="F254" s="438">
        <v>3</v>
      </c>
      <c r="G254" s="292" t="str">
        <f>'Unit Savings Calculations'!E250</f>
        <v>MBH</v>
      </c>
      <c r="H254" s="294">
        <f>'Unit Savings Calculations'!$F250*'Unit Savings Calculations'!J250</f>
        <v>5000</v>
      </c>
      <c r="I254" s="294">
        <f>'Unit Savings Calculations'!$F250*'Unit Savings Calculations'!K250</f>
        <v>5000</v>
      </c>
      <c r="J254" s="294">
        <f>'Unit Savings Calculations'!$F250*'Unit Savings Calculations'!L250</f>
        <v>5000</v>
      </c>
      <c r="K254" s="294">
        <f>'Unit Savings Calculations'!$F250*'Unit Savings Calculations'!M250</f>
        <v>5000</v>
      </c>
      <c r="L254" s="292" t="str">
        <f>'Unit Savings Calculations'!U250</f>
        <v>CI-HVC-BLRT-V06-160601</v>
      </c>
      <c r="M254" s="383" t="str">
        <f>'Unit Savings Calculations'!R250</f>
        <v>Exhibit 1.5A_R North Shore EEPS_Adjustable_Savings_Goal_Template.xlsx, Unit Savings Calculations Tab</v>
      </c>
      <c r="N254" s="295">
        <v>0.35943072618902666</v>
      </c>
      <c r="O254" s="295">
        <v>0.35943072618902666</v>
      </c>
      <c r="P254" s="295">
        <v>0.35943072618902666</v>
      </c>
      <c r="Q254" s="295">
        <v>0.35943072618902666</v>
      </c>
      <c r="R254" s="296">
        <f>'Unit Savings Calculations'!$G250</f>
        <v>0.79</v>
      </c>
      <c r="S254" s="296">
        <f>'Unit Savings Calculations'!$G250</f>
        <v>0.79</v>
      </c>
      <c r="T254" s="296">
        <f>'Unit Savings Calculations'!$G250</f>
        <v>0.79</v>
      </c>
      <c r="U254" s="296">
        <f>'Unit Savings Calculations'!$G250</f>
        <v>0.79</v>
      </c>
      <c r="V254" s="297">
        <f t="shared" si="150"/>
        <v>1419.7513684466553</v>
      </c>
      <c r="W254" s="297">
        <f t="shared" si="151"/>
        <v>1419.7513684466553</v>
      </c>
      <c r="X254" s="297">
        <f t="shared" si="152"/>
        <v>1419.7513684466553</v>
      </c>
      <c r="Y254" s="297">
        <f t="shared" si="153"/>
        <v>1419.7513684466553</v>
      </c>
      <c r="Z254" s="297">
        <f t="shared" si="154"/>
        <v>5679.0054737866212</v>
      </c>
      <c r="AA254" s="292"/>
      <c r="AB254" s="292"/>
      <c r="AC254" s="295">
        <v>0.35943072618902666</v>
      </c>
      <c r="AD254" s="292"/>
      <c r="AE254" s="297">
        <f t="shared" si="140"/>
        <v>1419.7513684466553</v>
      </c>
      <c r="AF254" s="294">
        <f t="shared" si="141"/>
        <v>0</v>
      </c>
      <c r="AG254" s="292"/>
      <c r="AH254" s="292">
        <f t="shared" si="142"/>
        <v>0</v>
      </c>
      <c r="AI254" s="295">
        <v>0.35943072618902666</v>
      </c>
      <c r="AJ254" s="383" t="s">
        <v>878</v>
      </c>
      <c r="AK254" s="297">
        <f t="shared" si="143"/>
        <v>1419.7513684466553</v>
      </c>
      <c r="AL254" s="294">
        <f t="shared" si="144"/>
        <v>0</v>
      </c>
      <c r="AM254" s="292"/>
      <c r="AN254" s="292"/>
      <c r="AO254" s="295">
        <f>'Unit Savings Calculations'!P250</f>
        <v>0.3918939301788088</v>
      </c>
      <c r="AP254" s="383" t="s">
        <v>1441</v>
      </c>
      <c r="AQ254" s="297">
        <f t="shared" si="145"/>
        <v>1547.9810242062947</v>
      </c>
      <c r="AR254" s="294">
        <f t="shared" si="146"/>
        <v>128.2296557596394</v>
      </c>
      <c r="AS254" s="292"/>
      <c r="AT254" s="292"/>
      <c r="AU254" s="295">
        <f>'Unit Savings Calculations'!Q250</f>
        <v>0.3918939301788088</v>
      </c>
      <c r="AV254" s="383" t="str">
        <f t="shared" si="129"/>
        <v>Updated heating EFLH</v>
      </c>
      <c r="AW254" s="297">
        <f t="shared" si="147"/>
        <v>1547.9810242062947</v>
      </c>
      <c r="AX254" s="294">
        <f t="shared" si="148"/>
        <v>128.2296557596394</v>
      </c>
      <c r="AY254" s="297">
        <f t="shared" si="130"/>
        <v>1419.7513684466553</v>
      </c>
      <c r="AZ254" s="297">
        <f t="shared" si="131"/>
        <v>1419.7513684466553</v>
      </c>
      <c r="BA254" s="297">
        <f t="shared" si="132"/>
        <v>1547.9810242062947</v>
      </c>
      <c r="BB254" s="297">
        <f t="shared" si="133"/>
        <v>1547.9810242062947</v>
      </c>
      <c r="BC254" s="298">
        <f t="shared" si="134"/>
        <v>5935.4647853059005</v>
      </c>
      <c r="BD254" s="292" t="s">
        <v>763</v>
      </c>
      <c r="BE254" s="299" t="str">
        <f t="shared" si="135"/>
        <v>Exhibit 1.5A_R North Shore EEPS_Adjustable_Savings_Goal_Template.xlsx, Unit Savings Calculations Tab</v>
      </c>
      <c r="BF254" s="298">
        <f t="shared" si="136"/>
        <v>4259.2541053399655</v>
      </c>
      <c r="BG254" s="298">
        <f t="shared" si="136"/>
        <v>4259.2541053399655</v>
      </c>
      <c r="BH254" s="298">
        <f t="shared" si="136"/>
        <v>4259.2541053399655</v>
      </c>
      <c r="BI254" s="298">
        <f t="shared" si="136"/>
        <v>4259.2541053399655</v>
      </c>
      <c r="BJ254" s="298">
        <f t="shared" si="137"/>
        <v>17037.016421359862</v>
      </c>
      <c r="BK254" s="482">
        <v>3</v>
      </c>
      <c r="BL254" s="482">
        <v>3</v>
      </c>
      <c r="BM254" s="482">
        <f>INDEX('Unit Savings Calculations'!$I$4:$I$421,MATCH('Measure-Level Adjustments Tab'!$A254&amp;"_"&amp;'Measure-Level Adjustments Tab'!$B254,'Unit Savings Calculations'!$A$4:$A$421,0))</f>
        <v>3</v>
      </c>
      <c r="BN254" s="482">
        <f t="shared" si="138"/>
        <v>3</v>
      </c>
      <c r="BO254" s="483">
        <f t="shared" si="139"/>
        <v>4259.2541053399655</v>
      </c>
      <c r="BP254" s="483">
        <f t="shared" si="139"/>
        <v>4259.2541053399655</v>
      </c>
      <c r="BQ254" s="483">
        <f t="shared" si="139"/>
        <v>4643.9430726188839</v>
      </c>
      <c r="BR254" s="483">
        <f t="shared" si="139"/>
        <v>4643.9430726188839</v>
      </c>
      <c r="BS254" s="483">
        <f t="shared" si="128"/>
        <v>17806.394355917699</v>
      </c>
    </row>
    <row r="255" spans="1:71" ht="15.75" customHeight="1">
      <c r="A255" s="292" t="str">
        <f>'Unit Savings Calculations'!C251</f>
        <v>Bus - CI Rebates</v>
      </c>
      <c r="B255" s="292" t="str">
        <f>'Unit Savings Calculations'!D251</f>
        <v>Condensing Unit Heater</v>
      </c>
      <c r="C255" s="293">
        <f t="shared" si="149"/>
        <v>1</v>
      </c>
      <c r="D255" s="292" t="str">
        <f>'Unit Savings Calculations'!T251</f>
        <v>4.4.5</v>
      </c>
      <c r="E255" s="438">
        <v>12</v>
      </c>
      <c r="F255" s="438">
        <v>12</v>
      </c>
      <c r="G255" s="292" t="str">
        <f>'Unit Savings Calculations'!E251</f>
        <v>MBH</v>
      </c>
      <c r="H255" s="294">
        <f>'Unit Savings Calculations'!$F251*'Unit Savings Calculations'!J251</f>
        <v>0</v>
      </c>
      <c r="I255" s="294">
        <f>'Unit Savings Calculations'!$F251*'Unit Savings Calculations'!K251</f>
        <v>0</v>
      </c>
      <c r="J255" s="294">
        <f>'Unit Savings Calculations'!$F251*'Unit Savings Calculations'!L251</f>
        <v>0</v>
      </c>
      <c r="K255" s="294">
        <f>'Unit Savings Calculations'!$F251*'Unit Savings Calculations'!M251</f>
        <v>0</v>
      </c>
      <c r="L255" s="292" t="str">
        <f>'Unit Savings Calculations'!U251</f>
        <v>CI-HVC-CUHT-V01-120601</v>
      </c>
      <c r="M255" s="383" t="str">
        <f>'Unit Savings Calculations'!R251</f>
        <v>Exhibit 1.5A_R North Shore EEPS_Adjustable_Savings_Goal_Template.xlsx, Unit Savings Calculations Tab</v>
      </c>
      <c r="N255" s="295">
        <v>1.7733333333333334</v>
      </c>
      <c r="O255" s="295">
        <v>1.7733333333333334</v>
      </c>
      <c r="P255" s="295">
        <v>1.7733333333333334</v>
      </c>
      <c r="Q255" s="295">
        <v>1.7733333333333334</v>
      </c>
      <c r="R255" s="296">
        <f>'Unit Savings Calculations'!$G251</f>
        <v>0.79</v>
      </c>
      <c r="S255" s="296">
        <f>'Unit Savings Calculations'!$G251</f>
        <v>0.79</v>
      </c>
      <c r="T255" s="296">
        <f>'Unit Savings Calculations'!$G251</f>
        <v>0.79</v>
      </c>
      <c r="U255" s="296">
        <f>'Unit Savings Calculations'!$G251</f>
        <v>0.79</v>
      </c>
      <c r="V255" s="297">
        <f t="shared" si="150"/>
        <v>0</v>
      </c>
      <c r="W255" s="297">
        <f t="shared" si="151"/>
        <v>0</v>
      </c>
      <c r="X255" s="297">
        <f t="shared" si="152"/>
        <v>0</v>
      </c>
      <c r="Y255" s="297">
        <f t="shared" si="153"/>
        <v>0</v>
      </c>
      <c r="Z255" s="297">
        <f t="shared" si="154"/>
        <v>0</v>
      </c>
      <c r="AA255" s="292"/>
      <c r="AB255" s="292"/>
      <c r="AC255" s="295">
        <v>1.7733333333333334</v>
      </c>
      <c r="AD255" s="292"/>
      <c r="AE255" s="297">
        <f t="shared" si="140"/>
        <v>0</v>
      </c>
      <c r="AF255" s="294">
        <f t="shared" si="141"/>
        <v>0</v>
      </c>
      <c r="AG255" s="292"/>
      <c r="AH255" s="292">
        <f t="shared" si="142"/>
        <v>0</v>
      </c>
      <c r="AI255" s="295">
        <v>1.7733333333333334</v>
      </c>
      <c r="AJ255" s="383" t="s">
        <v>878</v>
      </c>
      <c r="AK255" s="297">
        <f t="shared" si="143"/>
        <v>0</v>
      </c>
      <c r="AL255" s="294">
        <f t="shared" si="144"/>
        <v>0</v>
      </c>
      <c r="AM255" s="292"/>
      <c r="AN255" s="292"/>
      <c r="AO255" s="295">
        <f>'Unit Savings Calculations'!P251</f>
        <v>1.7733333333333334</v>
      </c>
      <c r="AP255" s="383" t="s">
        <v>763</v>
      </c>
      <c r="AQ255" s="297">
        <f t="shared" si="145"/>
        <v>0</v>
      </c>
      <c r="AR255" s="294">
        <f t="shared" si="146"/>
        <v>0</v>
      </c>
      <c r="AS255" s="292"/>
      <c r="AT255" s="292"/>
      <c r="AU255" s="295">
        <f>'Unit Savings Calculations'!Q251</f>
        <v>1.7733333333333334</v>
      </c>
      <c r="AV255" s="383" t="str">
        <f t="shared" si="129"/>
        <v>n/a</v>
      </c>
      <c r="AW255" s="297">
        <f t="shared" si="147"/>
        <v>0</v>
      </c>
      <c r="AX255" s="294">
        <f t="shared" si="148"/>
        <v>0</v>
      </c>
      <c r="AY255" s="297">
        <f t="shared" si="130"/>
        <v>0</v>
      </c>
      <c r="AZ255" s="297">
        <f t="shared" si="131"/>
        <v>0</v>
      </c>
      <c r="BA255" s="297">
        <f t="shared" si="132"/>
        <v>0</v>
      </c>
      <c r="BB255" s="297">
        <f t="shared" si="133"/>
        <v>0</v>
      </c>
      <c r="BC255" s="298">
        <f t="shared" si="134"/>
        <v>0</v>
      </c>
      <c r="BD255" s="292" t="s">
        <v>763</v>
      </c>
      <c r="BE255" s="299" t="str">
        <f t="shared" si="135"/>
        <v>Exhibit 1.5A_R North Shore EEPS_Adjustable_Savings_Goal_Template.xlsx, Unit Savings Calculations Tab</v>
      </c>
      <c r="BF255" s="298">
        <f t="shared" si="136"/>
        <v>0</v>
      </c>
      <c r="BG255" s="298">
        <f t="shared" si="136"/>
        <v>0</v>
      </c>
      <c r="BH255" s="298">
        <f t="shared" si="136"/>
        <v>0</v>
      </c>
      <c r="BI255" s="298">
        <f t="shared" si="136"/>
        <v>0</v>
      </c>
      <c r="BJ255" s="298">
        <f t="shared" si="137"/>
        <v>0</v>
      </c>
      <c r="BK255" s="482">
        <v>12</v>
      </c>
      <c r="BL255" s="482">
        <v>12</v>
      </c>
      <c r="BM255" s="482">
        <f>INDEX('Unit Savings Calculations'!$I$4:$I$421,MATCH('Measure-Level Adjustments Tab'!$A255&amp;"_"&amp;'Measure-Level Adjustments Tab'!$B255,'Unit Savings Calculations'!$A$4:$A$421,0))</f>
        <v>12</v>
      </c>
      <c r="BN255" s="482">
        <f t="shared" si="138"/>
        <v>12</v>
      </c>
      <c r="BO255" s="483">
        <f t="shared" si="139"/>
        <v>0</v>
      </c>
      <c r="BP255" s="483">
        <f t="shared" si="139"/>
        <v>0</v>
      </c>
      <c r="BQ255" s="483">
        <f t="shared" si="139"/>
        <v>0</v>
      </c>
      <c r="BR255" s="483">
        <f t="shared" si="139"/>
        <v>0</v>
      </c>
      <c r="BS255" s="483">
        <f t="shared" si="128"/>
        <v>0</v>
      </c>
    </row>
    <row r="256" spans="1:71" ht="15.75" customHeight="1">
      <c r="A256" s="292" t="str">
        <f>'Unit Savings Calculations'!C252</f>
        <v>Bus - CI Rebates</v>
      </c>
      <c r="B256" s="292" t="str">
        <f>'Unit Savings Calculations'!D252</f>
        <v>DCV - Kitchen</v>
      </c>
      <c r="C256" s="293">
        <f t="shared" si="149"/>
        <v>1</v>
      </c>
      <c r="D256" s="292" t="str">
        <f>'Unit Savings Calculations'!T252</f>
        <v>4.2.16</v>
      </c>
      <c r="E256" s="438">
        <v>15</v>
      </c>
      <c r="F256" s="438">
        <v>15</v>
      </c>
      <c r="G256" s="292" t="str">
        <f>'Unit Savings Calculations'!E252</f>
        <v>each</v>
      </c>
      <c r="H256" s="294">
        <f>'Unit Savings Calculations'!$F252*'Unit Savings Calculations'!J252</f>
        <v>5</v>
      </c>
      <c r="I256" s="294">
        <f>'Unit Savings Calculations'!$F252*'Unit Savings Calculations'!K252</f>
        <v>5</v>
      </c>
      <c r="J256" s="294">
        <f>'Unit Savings Calculations'!$F252*'Unit Savings Calculations'!L252</f>
        <v>5</v>
      </c>
      <c r="K256" s="294">
        <f>'Unit Savings Calculations'!$F252*'Unit Savings Calculations'!M252</f>
        <v>5</v>
      </c>
      <c r="L256" s="292" t="str">
        <f>'Unit Savings Calculations'!U252</f>
        <v>CI-FSE-VENT-V03-160601</v>
      </c>
      <c r="M256" s="383" t="str">
        <f>'Unit Savings Calculations'!R252</f>
        <v>Exhibit 1.5A_R North Shore EEPS_Adjustable_Savings_Goal_Template.xlsx, Unit Savings Calculations Tab</v>
      </c>
      <c r="N256" s="295">
        <v>5998.5</v>
      </c>
      <c r="O256" s="295">
        <v>5998.5</v>
      </c>
      <c r="P256" s="295">
        <v>5998.5</v>
      </c>
      <c r="Q256" s="295">
        <v>5998.5</v>
      </c>
      <c r="R256" s="296">
        <f>'Unit Savings Calculations'!$G252</f>
        <v>0.79</v>
      </c>
      <c r="S256" s="296">
        <f>'Unit Savings Calculations'!$G252</f>
        <v>0.79</v>
      </c>
      <c r="T256" s="296">
        <f>'Unit Savings Calculations'!$G252</f>
        <v>0.79</v>
      </c>
      <c r="U256" s="296">
        <f>'Unit Savings Calculations'!$G252</f>
        <v>0.79</v>
      </c>
      <c r="V256" s="297">
        <f t="shared" si="150"/>
        <v>23694.075000000001</v>
      </c>
      <c r="W256" s="297">
        <f t="shared" si="151"/>
        <v>23694.075000000001</v>
      </c>
      <c r="X256" s="297">
        <f t="shared" si="152"/>
        <v>23694.075000000001</v>
      </c>
      <c r="Y256" s="297">
        <f t="shared" si="153"/>
        <v>23694.075000000001</v>
      </c>
      <c r="Z256" s="297">
        <f t="shared" si="154"/>
        <v>94776.3</v>
      </c>
      <c r="AA256" s="292"/>
      <c r="AB256" s="292"/>
      <c r="AC256" s="295">
        <v>5998.5</v>
      </c>
      <c r="AD256" s="292"/>
      <c r="AE256" s="297">
        <f t="shared" si="140"/>
        <v>23694.075000000001</v>
      </c>
      <c r="AF256" s="294">
        <f t="shared" si="141"/>
        <v>0</v>
      </c>
      <c r="AG256" s="292"/>
      <c r="AH256" s="292">
        <f t="shared" si="142"/>
        <v>0</v>
      </c>
      <c r="AI256" s="295">
        <v>5998.5</v>
      </c>
      <c r="AJ256" s="383" t="s">
        <v>878</v>
      </c>
      <c r="AK256" s="297">
        <f t="shared" si="143"/>
        <v>23694.075000000001</v>
      </c>
      <c r="AL256" s="294">
        <f t="shared" si="144"/>
        <v>0</v>
      </c>
      <c r="AM256" s="292"/>
      <c r="AN256" s="292"/>
      <c r="AO256" s="295">
        <f>'Unit Savings Calculations'!P252</f>
        <v>5998.5</v>
      </c>
      <c r="AP256" s="383" t="s">
        <v>763</v>
      </c>
      <c r="AQ256" s="297">
        <f t="shared" si="145"/>
        <v>23694.075000000001</v>
      </c>
      <c r="AR256" s="294">
        <f t="shared" si="146"/>
        <v>0</v>
      </c>
      <c r="AS256" s="292"/>
      <c r="AT256" s="292"/>
      <c r="AU256" s="295">
        <f>'Unit Savings Calculations'!Q252</f>
        <v>5998.5</v>
      </c>
      <c r="AV256" s="383" t="str">
        <f t="shared" si="129"/>
        <v>n/a</v>
      </c>
      <c r="AW256" s="297">
        <f t="shared" si="147"/>
        <v>23694.075000000001</v>
      </c>
      <c r="AX256" s="294">
        <f t="shared" si="148"/>
        <v>0</v>
      </c>
      <c r="AY256" s="297">
        <f t="shared" si="130"/>
        <v>23694.075000000001</v>
      </c>
      <c r="AZ256" s="297">
        <f t="shared" si="131"/>
        <v>23694.075000000001</v>
      </c>
      <c r="BA256" s="297">
        <f t="shared" si="132"/>
        <v>23694.075000000001</v>
      </c>
      <c r="BB256" s="297">
        <f t="shared" si="133"/>
        <v>23694.075000000001</v>
      </c>
      <c r="BC256" s="298">
        <f t="shared" si="134"/>
        <v>94776.3</v>
      </c>
      <c r="BD256" s="292" t="s">
        <v>763</v>
      </c>
      <c r="BE256" s="299" t="str">
        <f t="shared" si="135"/>
        <v>Exhibit 1.5A_R North Shore EEPS_Adjustable_Savings_Goal_Template.xlsx, Unit Savings Calculations Tab</v>
      </c>
      <c r="BF256" s="298">
        <f t="shared" si="136"/>
        <v>355411.125</v>
      </c>
      <c r="BG256" s="298">
        <f t="shared" si="136"/>
        <v>355411.125</v>
      </c>
      <c r="BH256" s="298">
        <f t="shared" si="136"/>
        <v>355411.125</v>
      </c>
      <c r="BI256" s="298">
        <f t="shared" si="136"/>
        <v>355411.125</v>
      </c>
      <c r="BJ256" s="298">
        <f t="shared" si="137"/>
        <v>1421644.5</v>
      </c>
      <c r="BK256" s="482">
        <v>15</v>
      </c>
      <c r="BL256" s="482">
        <v>15</v>
      </c>
      <c r="BM256" s="482">
        <f>INDEX('Unit Savings Calculations'!$I$4:$I$421,MATCH('Measure-Level Adjustments Tab'!$A256&amp;"_"&amp;'Measure-Level Adjustments Tab'!$B256,'Unit Savings Calculations'!$A$4:$A$421,0))</f>
        <v>15</v>
      </c>
      <c r="BN256" s="482">
        <f t="shared" si="138"/>
        <v>15</v>
      </c>
      <c r="BO256" s="483">
        <f t="shared" si="139"/>
        <v>355411.125</v>
      </c>
      <c r="BP256" s="483">
        <f t="shared" si="139"/>
        <v>355411.125</v>
      </c>
      <c r="BQ256" s="483">
        <f t="shared" si="139"/>
        <v>355411.125</v>
      </c>
      <c r="BR256" s="483">
        <f t="shared" si="139"/>
        <v>355411.125</v>
      </c>
      <c r="BS256" s="483">
        <f t="shared" si="128"/>
        <v>1421644.5</v>
      </c>
    </row>
    <row r="257" spans="1:71" ht="15.75" customHeight="1">
      <c r="A257" s="292" t="str">
        <f>'Unit Savings Calculations'!C253</f>
        <v>Bus - CI Rebates</v>
      </c>
      <c r="B257" s="292" t="str">
        <f>'Unit Savings Calculations'!D253</f>
        <v>Direct Fired Heaters</v>
      </c>
      <c r="C257" s="293">
        <f t="shared" si="149"/>
        <v>0</v>
      </c>
      <c r="D257" s="292" t="str">
        <f>'Unit Savings Calculations'!T253</f>
        <v>Custom</v>
      </c>
      <c r="E257" s="438">
        <v>20</v>
      </c>
      <c r="F257" s="438">
        <v>20</v>
      </c>
      <c r="G257" s="292" t="str">
        <f>'Unit Savings Calculations'!E253</f>
        <v>MBH</v>
      </c>
      <c r="H257" s="294">
        <f>'Unit Savings Calculations'!$F253*'Unit Savings Calculations'!J253</f>
        <v>0</v>
      </c>
      <c r="I257" s="294">
        <f>'Unit Savings Calculations'!$F253*'Unit Savings Calculations'!K253</f>
        <v>0</v>
      </c>
      <c r="J257" s="294">
        <f>'Unit Savings Calculations'!$F253*'Unit Savings Calculations'!L253</f>
        <v>0</v>
      </c>
      <c r="K257" s="294">
        <f>'Unit Savings Calculations'!$F253*'Unit Savings Calculations'!M253</f>
        <v>0</v>
      </c>
      <c r="L257" s="292" t="str">
        <f>'Unit Savings Calculations'!U253</f>
        <v>Custom</v>
      </c>
      <c r="M257" s="383" t="str">
        <f>'Unit Savings Calculations'!R253</f>
        <v>Custom</v>
      </c>
      <c r="N257" s="295">
        <v>2.3084999999999987</v>
      </c>
      <c r="O257" s="295">
        <v>2.3084999999999987</v>
      </c>
      <c r="P257" s="295">
        <v>2.3084999999999987</v>
      </c>
      <c r="Q257" s="295">
        <v>2.3084999999999987</v>
      </c>
      <c r="R257" s="296">
        <f>'Unit Savings Calculations'!$G253</f>
        <v>0.79</v>
      </c>
      <c r="S257" s="296">
        <f>'Unit Savings Calculations'!$G253</f>
        <v>0.79</v>
      </c>
      <c r="T257" s="296">
        <f>'Unit Savings Calculations'!$G253</f>
        <v>0.79</v>
      </c>
      <c r="U257" s="296">
        <f>'Unit Savings Calculations'!$G253</f>
        <v>0.79</v>
      </c>
      <c r="V257" s="297">
        <f t="shared" si="150"/>
        <v>0</v>
      </c>
      <c r="W257" s="297">
        <f t="shared" si="151"/>
        <v>0</v>
      </c>
      <c r="X257" s="297">
        <f t="shared" si="152"/>
        <v>0</v>
      </c>
      <c r="Y257" s="297">
        <f t="shared" si="153"/>
        <v>0</v>
      </c>
      <c r="Z257" s="297">
        <f t="shared" si="154"/>
        <v>0</v>
      </c>
      <c r="AA257" s="384"/>
      <c r="AB257" s="384"/>
      <c r="AC257" s="387">
        <v>2.3084999999999987</v>
      </c>
      <c r="AD257" s="384"/>
      <c r="AE257" s="385">
        <f t="shared" si="140"/>
        <v>0</v>
      </c>
      <c r="AF257" s="386">
        <f t="shared" si="141"/>
        <v>0</v>
      </c>
      <c r="AG257" s="384"/>
      <c r="AH257" s="384">
        <f t="shared" si="142"/>
        <v>0</v>
      </c>
      <c r="AI257" s="387">
        <v>2.3084999999999987</v>
      </c>
      <c r="AJ257" s="435" t="s">
        <v>878</v>
      </c>
      <c r="AK257" s="385">
        <f t="shared" si="143"/>
        <v>0</v>
      </c>
      <c r="AL257" s="386">
        <f t="shared" si="144"/>
        <v>0</v>
      </c>
      <c r="AM257" s="384"/>
      <c r="AN257" s="384"/>
      <c r="AO257" s="387">
        <f>'Unit Savings Calculations'!P253</f>
        <v>2.5169999999999986</v>
      </c>
      <c r="AP257" s="435" t="s">
        <v>1441</v>
      </c>
      <c r="AQ257" s="385">
        <f t="shared" si="145"/>
        <v>0</v>
      </c>
      <c r="AR257" s="386">
        <f t="shared" si="146"/>
        <v>0</v>
      </c>
      <c r="AS257" s="384"/>
      <c r="AT257" s="384"/>
      <c r="AU257" s="387">
        <f>'Unit Savings Calculations'!Q253</f>
        <v>2.5169999999999986</v>
      </c>
      <c r="AV257" s="435" t="str">
        <f t="shared" si="129"/>
        <v>Updated heating EFLH</v>
      </c>
      <c r="AW257" s="385">
        <f t="shared" si="147"/>
        <v>0</v>
      </c>
      <c r="AX257" s="386">
        <f t="shared" si="148"/>
        <v>0</v>
      </c>
      <c r="AY257" s="297">
        <f t="shared" si="130"/>
        <v>0</v>
      </c>
      <c r="AZ257" s="297">
        <f t="shared" si="131"/>
        <v>0</v>
      </c>
      <c r="BA257" s="297">
        <f t="shared" si="132"/>
        <v>0</v>
      </c>
      <c r="BB257" s="297">
        <f t="shared" si="133"/>
        <v>0</v>
      </c>
      <c r="BC257" s="298">
        <f t="shared" si="134"/>
        <v>0</v>
      </c>
      <c r="BD257" s="292" t="s">
        <v>763</v>
      </c>
      <c r="BE257" s="299" t="str">
        <f t="shared" si="135"/>
        <v>Custom</v>
      </c>
      <c r="BF257" s="298">
        <f t="shared" si="136"/>
        <v>0</v>
      </c>
      <c r="BG257" s="298">
        <f t="shared" si="136"/>
        <v>0</v>
      </c>
      <c r="BH257" s="298">
        <f t="shared" si="136"/>
        <v>0</v>
      </c>
      <c r="BI257" s="298">
        <f t="shared" si="136"/>
        <v>0</v>
      </c>
      <c r="BJ257" s="298">
        <f t="shared" si="137"/>
        <v>0</v>
      </c>
      <c r="BK257" s="482">
        <v>20</v>
      </c>
      <c r="BL257" s="482">
        <v>20</v>
      </c>
      <c r="BM257" s="482">
        <f>INDEX('Unit Savings Calculations'!$I$4:$I$421,MATCH('Measure-Level Adjustments Tab'!$A257&amp;"_"&amp;'Measure-Level Adjustments Tab'!$B257,'Unit Savings Calculations'!$A$4:$A$421,0))</f>
        <v>20</v>
      </c>
      <c r="BN257" s="482">
        <f t="shared" si="138"/>
        <v>20</v>
      </c>
      <c r="BO257" s="483">
        <f t="shared" si="139"/>
        <v>0</v>
      </c>
      <c r="BP257" s="483">
        <f t="shared" si="139"/>
        <v>0</v>
      </c>
      <c r="BQ257" s="483">
        <f t="shared" si="139"/>
        <v>0</v>
      </c>
      <c r="BR257" s="483">
        <f t="shared" si="139"/>
        <v>0</v>
      </c>
      <c r="BS257" s="483">
        <f t="shared" si="128"/>
        <v>0</v>
      </c>
    </row>
    <row r="258" spans="1:71" ht="15.75" customHeight="1">
      <c r="A258" s="292" t="str">
        <f>'Unit Savings Calculations'!C254</f>
        <v>Bus - CI Rebates</v>
      </c>
      <c r="B258" s="292" t="str">
        <f>'Unit Savings Calculations'!D254</f>
        <v>High Speed Washer - Hotel/Motel/Hospital</v>
      </c>
      <c r="C258" s="293">
        <f t="shared" si="149"/>
        <v>1</v>
      </c>
      <c r="D258" s="292" t="str">
        <f>'Unit Savings Calculations'!T254</f>
        <v>4.8.5</v>
      </c>
      <c r="E258" s="438">
        <v>7</v>
      </c>
      <c r="F258" s="438">
        <v>7</v>
      </c>
      <c r="G258" s="292" t="str">
        <f>'Unit Savings Calculations'!E254</f>
        <v>lb-capacity</v>
      </c>
      <c r="H258" s="294">
        <f>'Unit Savings Calculations'!$F254*'Unit Savings Calculations'!J254</f>
        <v>500</v>
      </c>
      <c r="I258" s="294">
        <f>'Unit Savings Calculations'!$F254*'Unit Savings Calculations'!K254</f>
        <v>500</v>
      </c>
      <c r="J258" s="294">
        <f>'Unit Savings Calculations'!$F254*'Unit Savings Calculations'!L254</f>
        <v>500</v>
      </c>
      <c r="K258" s="294">
        <f>'Unit Savings Calculations'!$F254*'Unit Savings Calculations'!M254</f>
        <v>500</v>
      </c>
      <c r="L258" s="292" t="str">
        <f>'Unit Savings Calculations'!U254</f>
        <v>CI-MSC-HSCW-V01-180101</v>
      </c>
      <c r="M258" s="383" t="str">
        <f>'Unit Savings Calculations'!R254</f>
        <v>Exhibit 1.5A_R North Shore EEPS_Adjustable_Savings_Goal_Template.xlsx, Unit Savings Calculations Tab</v>
      </c>
      <c r="N258" s="295">
        <v>11.243232000000003</v>
      </c>
      <c r="O258" s="295">
        <v>11.243232000000003</v>
      </c>
      <c r="P258" s="295">
        <v>11.243232000000003</v>
      </c>
      <c r="Q258" s="295">
        <v>11.243232000000003</v>
      </c>
      <c r="R258" s="296">
        <f>'Unit Savings Calculations'!$G254</f>
        <v>0.79</v>
      </c>
      <c r="S258" s="296">
        <f>'Unit Savings Calculations'!$G254</f>
        <v>0.79</v>
      </c>
      <c r="T258" s="296">
        <f>'Unit Savings Calculations'!$G254</f>
        <v>0.79</v>
      </c>
      <c r="U258" s="296">
        <f>'Unit Savings Calculations'!$G254</f>
        <v>0.79</v>
      </c>
      <c r="V258" s="297">
        <f t="shared" si="150"/>
        <v>4441.0766400000011</v>
      </c>
      <c r="W258" s="297">
        <f t="shared" si="151"/>
        <v>4441.0766400000011</v>
      </c>
      <c r="X258" s="297">
        <f t="shared" si="152"/>
        <v>4441.0766400000011</v>
      </c>
      <c r="Y258" s="297">
        <f t="shared" si="153"/>
        <v>4441.0766400000011</v>
      </c>
      <c r="Z258" s="297">
        <f t="shared" si="154"/>
        <v>17764.306560000005</v>
      </c>
      <c r="AA258" s="292"/>
      <c r="AB258" s="292"/>
      <c r="AC258" s="295">
        <v>11.243232000000003</v>
      </c>
      <c r="AD258" s="292"/>
      <c r="AE258" s="297">
        <f t="shared" si="140"/>
        <v>4441.0766400000011</v>
      </c>
      <c r="AF258" s="294">
        <f t="shared" si="141"/>
        <v>0</v>
      </c>
      <c r="AG258" s="292"/>
      <c r="AH258" s="292">
        <f t="shared" si="142"/>
        <v>0</v>
      </c>
      <c r="AI258" s="295">
        <v>11.243232000000003</v>
      </c>
      <c r="AJ258" s="383" t="s">
        <v>878</v>
      </c>
      <c r="AK258" s="297">
        <f t="shared" si="143"/>
        <v>4441.0766400000011</v>
      </c>
      <c r="AL258" s="294">
        <f t="shared" si="144"/>
        <v>0</v>
      </c>
      <c r="AM258" s="292"/>
      <c r="AN258" s="292"/>
      <c r="AO258" s="295">
        <f>'Unit Savings Calculations'!P254</f>
        <v>11.243232000000003</v>
      </c>
      <c r="AP258" s="383" t="s">
        <v>763</v>
      </c>
      <c r="AQ258" s="297">
        <f t="shared" si="145"/>
        <v>4441.0766400000011</v>
      </c>
      <c r="AR258" s="294">
        <f t="shared" si="146"/>
        <v>0</v>
      </c>
      <c r="AS258" s="292"/>
      <c r="AT258" s="292"/>
      <c r="AU258" s="295">
        <f>'Unit Savings Calculations'!Q254</f>
        <v>11.243232000000003</v>
      </c>
      <c r="AV258" s="383" t="str">
        <f t="shared" si="129"/>
        <v>n/a</v>
      </c>
      <c r="AW258" s="297">
        <f t="shared" si="147"/>
        <v>4441.0766400000011</v>
      </c>
      <c r="AX258" s="294">
        <f t="shared" si="148"/>
        <v>0</v>
      </c>
      <c r="AY258" s="297">
        <f t="shared" si="130"/>
        <v>4441.0766400000011</v>
      </c>
      <c r="AZ258" s="297">
        <f t="shared" si="131"/>
        <v>4441.0766400000011</v>
      </c>
      <c r="BA258" s="297">
        <f t="shared" si="132"/>
        <v>4441.0766400000011</v>
      </c>
      <c r="BB258" s="297">
        <f t="shared" si="133"/>
        <v>4441.0766400000011</v>
      </c>
      <c r="BC258" s="298">
        <f t="shared" si="134"/>
        <v>17764.306560000005</v>
      </c>
      <c r="BD258" s="292" t="s">
        <v>763</v>
      </c>
      <c r="BE258" s="299" t="str">
        <f t="shared" si="135"/>
        <v>Exhibit 1.5A_R North Shore EEPS_Adjustable_Savings_Goal_Template.xlsx, Unit Savings Calculations Tab</v>
      </c>
      <c r="BF258" s="298">
        <f t="shared" si="136"/>
        <v>31087.53648000001</v>
      </c>
      <c r="BG258" s="298">
        <f t="shared" si="136"/>
        <v>31087.53648000001</v>
      </c>
      <c r="BH258" s="298">
        <f t="shared" si="136"/>
        <v>31087.53648000001</v>
      </c>
      <c r="BI258" s="298">
        <f t="shared" si="136"/>
        <v>31087.53648000001</v>
      </c>
      <c r="BJ258" s="298">
        <f t="shared" si="137"/>
        <v>124350.14592000004</v>
      </c>
      <c r="BK258" s="482">
        <v>7</v>
      </c>
      <c r="BL258" s="482">
        <v>7</v>
      </c>
      <c r="BM258" s="482">
        <f>INDEX('Unit Savings Calculations'!$I$4:$I$421,MATCH('Measure-Level Adjustments Tab'!$A258&amp;"_"&amp;'Measure-Level Adjustments Tab'!$B258,'Unit Savings Calculations'!$A$4:$A$421,0))</f>
        <v>7</v>
      </c>
      <c r="BN258" s="482">
        <f t="shared" si="138"/>
        <v>7</v>
      </c>
      <c r="BO258" s="483">
        <f t="shared" si="139"/>
        <v>31087.53648000001</v>
      </c>
      <c r="BP258" s="483">
        <f t="shared" si="139"/>
        <v>31087.53648000001</v>
      </c>
      <c r="BQ258" s="483">
        <f t="shared" si="139"/>
        <v>31087.53648000001</v>
      </c>
      <c r="BR258" s="483">
        <f t="shared" si="139"/>
        <v>31087.53648000001</v>
      </c>
      <c r="BS258" s="483">
        <f t="shared" si="128"/>
        <v>124350.14592000004</v>
      </c>
    </row>
    <row r="259" spans="1:71" ht="15.75" customHeight="1">
      <c r="A259" s="292" t="str">
        <f>'Unit Savings Calculations'!C255</f>
        <v>Bus - CI Rebates</v>
      </c>
      <c r="B259" s="292" t="str">
        <f>'Unit Savings Calculations'!D255</f>
        <v>Infrared Heater</v>
      </c>
      <c r="C259" s="293">
        <f t="shared" si="149"/>
        <v>1</v>
      </c>
      <c r="D259" s="292" t="str">
        <f>'Unit Savings Calculations'!T255</f>
        <v>4.4.12</v>
      </c>
      <c r="E259" s="438">
        <v>12</v>
      </c>
      <c r="F259" s="438">
        <v>12</v>
      </c>
      <c r="G259" s="292" t="str">
        <f>'Unit Savings Calculations'!E255</f>
        <v>MBH</v>
      </c>
      <c r="H259" s="294">
        <f>'Unit Savings Calculations'!$F255*'Unit Savings Calculations'!J255</f>
        <v>0</v>
      </c>
      <c r="I259" s="294">
        <f>'Unit Savings Calculations'!$F255*'Unit Savings Calculations'!K255</f>
        <v>0</v>
      </c>
      <c r="J259" s="294">
        <f>'Unit Savings Calculations'!$F255*'Unit Savings Calculations'!L255</f>
        <v>0</v>
      </c>
      <c r="K259" s="294">
        <f>'Unit Savings Calculations'!$F255*'Unit Savings Calculations'!M255</f>
        <v>0</v>
      </c>
      <c r="L259" s="292" t="str">
        <f>'Unit Savings Calculations'!U255</f>
        <v>CI-HVC-IRHT-V01-120601</v>
      </c>
      <c r="M259" s="383" t="str">
        <f>'Unit Savings Calculations'!R255</f>
        <v>Exhibit 1.5A_R North Shore EEPS_Adjustable_Savings_Goal_Template.xlsx, Unit Savings Calculations Tab</v>
      </c>
      <c r="N259" s="295">
        <v>3.0066666666666668</v>
      </c>
      <c r="O259" s="295">
        <v>3.0066666666666668</v>
      </c>
      <c r="P259" s="295">
        <v>3.0066666666666668</v>
      </c>
      <c r="Q259" s="295">
        <v>3.0066666666666668</v>
      </c>
      <c r="R259" s="296">
        <f>'Unit Savings Calculations'!$G255</f>
        <v>0.79</v>
      </c>
      <c r="S259" s="296">
        <f>'Unit Savings Calculations'!$G255</f>
        <v>0.79</v>
      </c>
      <c r="T259" s="296">
        <f>'Unit Savings Calculations'!$G255</f>
        <v>0.79</v>
      </c>
      <c r="U259" s="296">
        <f>'Unit Savings Calculations'!$G255</f>
        <v>0.79</v>
      </c>
      <c r="V259" s="297">
        <f t="shared" si="150"/>
        <v>0</v>
      </c>
      <c r="W259" s="297">
        <f t="shared" si="151"/>
        <v>0</v>
      </c>
      <c r="X259" s="297">
        <f t="shared" si="152"/>
        <v>0</v>
      </c>
      <c r="Y259" s="297">
        <f t="shared" si="153"/>
        <v>0</v>
      </c>
      <c r="Z259" s="297">
        <f t="shared" si="154"/>
        <v>0</v>
      </c>
      <c r="AA259" s="292"/>
      <c r="AB259" s="292"/>
      <c r="AC259" s="295">
        <v>3.0066666666666668</v>
      </c>
      <c r="AD259" s="292"/>
      <c r="AE259" s="297">
        <f t="shared" si="140"/>
        <v>0</v>
      </c>
      <c r="AF259" s="294">
        <f t="shared" si="141"/>
        <v>0</v>
      </c>
      <c r="AG259" s="292"/>
      <c r="AH259" s="292">
        <f t="shared" si="142"/>
        <v>0</v>
      </c>
      <c r="AI259" s="295">
        <v>3.0066666666666668</v>
      </c>
      <c r="AJ259" s="383" t="s">
        <v>878</v>
      </c>
      <c r="AK259" s="297">
        <f t="shared" si="143"/>
        <v>0</v>
      </c>
      <c r="AL259" s="294">
        <f t="shared" si="144"/>
        <v>0</v>
      </c>
      <c r="AM259" s="292"/>
      <c r="AN259" s="292"/>
      <c r="AO259" s="295">
        <f>'Unit Savings Calculations'!P255</f>
        <v>3.0066666666666668</v>
      </c>
      <c r="AP259" s="383" t="s">
        <v>763</v>
      </c>
      <c r="AQ259" s="297">
        <f t="shared" si="145"/>
        <v>0</v>
      </c>
      <c r="AR259" s="294">
        <f t="shared" si="146"/>
        <v>0</v>
      </c>
      <c r="AS259" s="292"/>
      <c r="AT259" s="292"/>
      <c r="AU259" s="295">
        <f>'Unit Savings Calculations'!Q255</f>
        <v>3.0066666666666668</v>
      </c>
      <c r="AV259" s="383" t="str">
        <f t="shared" si="129"/>
        <v>n/a</v>
      </c>
      <c r="AW259" s="297">
        <f t="shared" si="147"/>
        <v>0</v>
      </c>
      <c r="AX259" s="294">
        <f t="shared" si="148"/>
        <v>0</v>
      </c>
      <c r="AY259" s="297">
        <f t="shared" si="130"/>
        <v>0</v>
      </c>
      <c r="AZ259" s="297">
        <f t="shared" si="131"/>
        <v>0</v>
      </c>
      <c r="BA259" s="297">
        <f t="shared" si="132"/>
        <v>0</v>
      </c>
      <c r="BB259" s="297">
        <f t="shared" si="133"/>
        <v>0</v>
      </c>
      <c r="BC259" s="298">
        <f t="shared" si="134"/>
        <v>0</v>
      </c>
      <c r="BD259" s="292" t="s">
        <v>763</v>
      </c>
      <c r="BE259" s="299" t="str">
        <f t="shared" si="135"/>
        <v>Exhibit 1.5A_R North Shore EEPS_Adjustable_Savings_Goal_Template.xlsx, Unit Savings Calculations Tab</v>
      </c>
      <c r="BF259" s="298">
        <f t="shared" si="136"/>
        <v>0</v>
      </c>
      <c r="BG259" s="298">
        <f t="shared" si="136"/>
        <v>0</v>
      </c>
      <c r="BH259" s="298">
        <f t="shared" si="136"/>
        <v>0</v>
      </c>
      <c r="BI259" s="298">
        <f t="shared" si="136"/>
        <v>0</v>
      </c>
      <c r="BJ259" s="298">
        <f t="shared" si="137"/>
        <v>0</v>
      </c>
      <c r="BK259" s="482">
        <v>12</v>
      </c>
      <c r="BL259" s="482">
        <v>12</v>
      </c>
      <c r="BM259" s="482">
        <f>INDEX('Unit Savings Calculations'!$I$4:$I$421,MATCH('Measure-Level Adjustments Tab'!$A259&amp;"_"&amp;'Measure-Level Adjustments Tab'!$B259,'Unit Savings Calculations'!$A$4:$A$421,0))</f>
        <v>12</v>
      </c>
      <c r="BN259" s="482">
        <f t="shared" si="138"/>
        <v>12</v>
      </c>
      <c r="BO259" s="483">
        <f t="shared" si="139"/>
        <v>0</v>
      </c>
      <c r="BP259" s="483">
        <f t="shared" si="139"/>
        <v>0</v>
      </c>
      <c r="BQ259" s="483">
        <f t="shared" si="139"/>
        <v>0</v>
      </c>
      <c r="BR259" s="483">
        <f t="shared" si="139"/>
        <v>0</v>
      </c>
      <c r="BS259" s="483">
        <f t="shared" si="128"/>
        <v>0</v>
      </c>
    </row>
    <row r="260" spans="1:71" ht="15.75" customHeight="1">
      <c r="A260" s="292" t="str">
        <f>'Unit Savings Calculations'!C256</f>
        <v>Bus - CI Rebates</v>
      </c>
      <c r="B260" s="292" t="str">
        <f>'Unit Savings Calculations'!D256</f>
        <v>Modulating Commercial Gas Clothes Dryer</v>
      </c>
      <c r="C260" s="293">
        <f t="shared" si="149"/>
        <v>1</v>
      </c>
      <c r="D260" s="292" t="str">
        <f>'Unit Savings Calculations'!T256</f>
        <v>4.8.4</v>
      </c>
      <c r="E260" s="438">
        <v>14</v>
      </c>
      <c r="F260" s="438">
        <v>14</v>
      </c>
      <c r="G260" s="292" t="str">
        <f>'Unit Savings Calculations'!E256</f>
        <v>each</v>
      </c>
      <c r="H260" s="294">
        <f>'Unit Savings Calculations'!$F256*'Unit Savings Calculations'!J256</f>
        <v>0</v>
      </c>
      <c r="I260" s="294">
        <f>'Unit Savings Calculations'!$F256*'Unit Savings Calculations'!K256</f>
        <v>0</v>
      </c>
      <c r="J260" s="294">
        <f>'Unit Savings Calculations'!$F256*'Unit Savings Calculations'!L256</f>
        <v>0</v>
      </c>
      <c r="K260" s="294">
        <f>'Unit Savings Calculations'!$F256*'Unit Savings Calculations'!M256</f>
        <v>0</v>
      </c>
      <c r="L260" s="292" t="str">
        <f>'Unit Savings Calculations'!U256</f>
        <v>CI-MSC-MODD-V01-160601</v>
      </c>
      <c r="M260" s="383" t="str">
        <f>'Unit Savings Calculations'!R256</f>
        <v>Exhibit 1.5A_R North Shore EEPS_Adjustable_Savings_Goal_Template.xlsx, Unit Savings Calculations Tab</v>
      </c>
      <c r="N260" s="295">
        <v>266.94</v>
      </c>
      <c r="O260" s="295">
        <v>266.94</v>
      </c>
      <c r="P260" s="295">
        <v>266.94</v>
      </c>
      <c r="Q260" s="295">
        <v>266.94</v>
      </c>
      <c r="R260" s="296">
        <f>'Unit Savings Calculations'!$G256</f>
        <v>0.79</v>
      </c>
      <c r="S260" s="296">
        <f>'Unit Savings Calculations'!$G256</f>
        <v>0.79</v>
      </c>
      <c r="T260" s="296">
        <f>'Unit Savings Calculations'!$G256</f>
        <v>0.79</v>
      </c>
      <c r="U260" s="296">
        <f>'Unit Savings Calculations'!$G256</f>
        <v>0.79</v>
      </c>
      <c r="V260" s="297">
        <f t="shared" si="150"/>
        <v>0</v>
      </c>
      <c r="W260" s="297">
        <f t="shared" si="151"/>
        <v>0</v>
      </c>
      <c r="X260" s="297">
        <f t="shared" si="152"/>
        <v>0</v>
      </c>
      <c r="Y260" s="297">
        <f t="shared" si="153"/>
        <v>0</v>
      </c>
      <c r="Z260" s="297">
        <f t="shared" si="154"/>
        <v>0</v>
      </c>
      <c r="AA260" s="292"/>
      <c r="AB260" s="292"/>
      <c r="AC260" s="295">
        <v>266.94</v>
      </c>
      <c r="AD260" s="292"/>
      <c r="AE260" s="297">
        <f t="shared" si="140"/>
        <v>0</v>
      </c>
      <c r="AF260" s="294">
        <f t="shared" si="141"/>
        <v>0</v>
      </c>
      <c r="AG260" s="292"/>
      <c r="AH260" s="292">
        <f t="shared" si="142"/>
        <v>0</v>
      </c>
      <c r="AI260" s="295">
        <v>266.94</v>
      </c>
      <c r="AJ260" s="383" t="s">
        <v>878</v>
      </c>
      <c r="AK260" s="297">
        <f t="shared" si="143"/>
        <v>0</v>
      </c>
      <c r="AL260" s="294">
        <f t="shared" si="144"/>
        <v>0</v>
      </c>
      <c r="AM260" s="292"/>
      <c r="AN260" s="292"/>
      <c r="AO260" s="295">
        <f>'Unit Savings Calculations'!P256</f>
        <v>266.94</v>
      </c>
      <c r="AP260" s="383" t="s">
        <v>763</v>
      </c>
      <c r="AQ260" s="297">
        <f t="shared" si="145"/>
        <v>0</v>
      </c>
      <c r="AR260" s="294">
        <f t="shared" si="146"/>
        <v>0</v>
      </c>
      <c r="AS260" s="292"/>
      <c r="AT260" s="292"/>
      <c r="AU260" s="295">
        <f>'Unit Savings Calculations'!Q256</f>
        <v>266.94</v>
      </c>
      <c r="AV260" s="383" t="str">
        <f t="shared" si="129"/>
        <v>n/a</v>
      </c>
      <c r="AW260" s="297">
        <f t="shared" si="147"/>
        <v>0</v>
      </c>
      <c r="AX260" s="294">
        <f t="shared" si="148"/>
        <v>0</v>
      </c>
      <c r="AY260" s="297">
        <f t="shared" si="130"/>
        <v>0</v>
      </c>
      <c r="AZ260" s="297">
        <f t="shared" si="131"/>
        <v>0</v>
      </c>
      <c r="BA260" s="297">
        <f t="shared" si="132"/>
        <v>0</v>
      </c>
      <c r="BB260" s="297">
        <f t="shared" si="133"/>
        <v>0</v>
      </c>
      <c r="BC260" s="298">
        <f t="shared" si="134"/>
        <v>0</v>
      </c>
      <c r="BD260" s="292" t="s">
        <v>763</v>
      </c>
      <c r="BE260" s="299" t="str">
        <f t="shared" si="135"/>
        <v>Exhibit 1.5A_R North Shore EEPS_Adjustable_Savings_Goal_Template.xlsx, Unit Savings Calculations Tab</v>
      </c>
      <c r="BF260" s="298">
        <f t="shared" si="136"/>
        <v>0</v>
      </c>
      <c r="BG260" s="298">
        <f t="shared" si="136"/>
        <v>0</v>
      </c>
      <c r="BH260" s="298">
        <f t="shared" si="136"/>
        <v>0</v>
      </c>
      <c r="BI260" s="298">
        <f t="shared" si="136"/>
        <v>0</v>
      </c>
      <c r="BJ260" s="298">
        <f t="shared" si="137"/>
        <v>0</v>
      </c>
      <c r="BK260" s="482">
        <v>14</v>
      </c>
      <c r="BL260" s="482">
        <v>14</v>
      </c>
      <c r="BM260" s="482">
        <f>INDEX('Unit Savings Calculations'!$I$4:$I$421,MATCH('Measure-Level Adjustments Tab'!$A260&amp;"_"&amp;'Measure-Level Adjustments Tab'!$B260,'Unit Savings Calculations'!$A$4:$A$421,0))</f>
        <v>14</v>
      </c>
      <c r="BN260" s="482">
        <f t="shared" si="138"/>
        <v>14</v>
      </c>
      <c r="BO260" s="483">
        <f t="shared" si="139"/>
        <v>0</v>
      </c>
      <c r="BP260" s="483">
        <f t="shared" si="139"/>
        <v>0</v>
      </c>
      <c r="BQ260" s="483">
        <f t="shared" si="139"/>
        <v>0</v>
      </c>
      <c r="BR260" s="483">
        <f t="shared" si="139"/>
        <v>0</v>
      </c>
      <c r="BS260" s="483">
        <f t="shared" si="128"/>
        <v>0</v>
      </c>
    </row>
    <row r="261" spans="1:71" ht="15.75" customHeight="1">
      <c r="A261" s="292" t="str">
        <f>'Unit Savings Calculations'!C257</f>
        <v>Bus - CI Rebates</v>
      </c>
      <c r="B261" s="292" t="str">
        <f>'Unit Savings Calculations'!D257</f>
        <v>Ozone Laundry</v>
      </c>
      <c r="C261" s="293">
        <f t="shared" si="149"/>
        <v>1</v>
      </c>
      <c r="D261" s="292" t="str">
        <f>'Unit Savings Calculations'!T257</f>
        <v>4.3.6</v>
      </c>
      <c r="E261" s="438">
        <v>10</v>
      </c>
      <c r="F261" s="438">
        <v>10</v>
      </c>
      <c r="G261" s="292" t="str">
        <f>'Unit Savings Calculations'!E257</f>
        <v>lb-capacity</v>
      </c>
      <c r="H261" s="294">
        <f>'Unit Savings Calculations'!$F257*'Unit Savings Calculations'!J257</f>
        <v>0</v>
      </c>
      <c r="I261" s="294">
        <f>'Unit Savings Calculations'!$F257*'Unit Savings Calculations'!K257</f>
        <v>0</v>
      </c>
      <c r="J261" s="294">
        <f>'Unit Savings Calculations'!$F257*'Unit Savings Calculations'!L257</f>
        <v>0</v>
      </c>
      <c r="K261" s="294">
        <f>'Unit Savings Calculations'!$F257*'Unit Savings Calculations'!M257</f>
        <v>0</v>
      </c>
      <c r="L261" s="292" t="str">
        <f>'Unit Savings Calculations'!U257</f>
        <v>CI-HW-OZLD-VO1-140601</v>
      </c>
      <c r="M261" s="383" t="str">
        <f>'Unit Savings Calculations'!R257</f>
        <v>Exhibit 1.5A_R North Shore EEPS_Adjustable_Savings_Goal_Template.xlsx, Unit Savings Calculations Tab</v>
      </c>
      <c r="N261" s="295">
        <v>30.722664192350027</v>
      </c>
      <c r="O261" s="295">
        <v>30.722664192350027</v>
      </c>
      <c r="P261" s="295">
        <v>30.722664192350027</v>
      </c>
      <c r="Q261" s="295">
        <v>30.722664192350027</v>
      </c>
      <c r="R261" s="296">
        <f>'Unit Savings Calculations'!$G257</f>
        <v>0.79</v>
      </c>
      <c r="S261" s="296">
        <f>'Unit Savings Calculations'!$G257</f>
        <v>0.79</v>
      </c>
      <c r="T261" s="296">
        <f>'Unit Savings Calculations'!$G257</f>
        <v>0.79</v>
      </c>
      <c r="U261" s="296">
        <f>'Unit Savings Calculations'!$G257</f>
        <v>0.79</v>
      </c>
      <c r="V261" s="297">
        <f t="shared" si="150"/>
        <v>0</v>
      </c>
      <c r="W261" s="297">
        <f t="shared" si="151"/>
        <v>0</v>
      </c>
      <c r="X261" s="297">
        <f t="shared" si="152"/>
        <v>0</v>
      </c>
      <c r="Y261" s="297">
        <f t="shared" si="153"/>
        <v>0</v>
      </c>
      <c r="Z261" s="297">
        <f t="shared" si="154"/>
        <v>0</v>
      </c>
      <c r="AA261" s="292"/>
      <c r="AB261" s="292"/>
      <c r="AC261" s="295">
        <v>30.722664192350027</v>
      </c>
      <c r="AD261" s="292"/>
      <c r="AE261" s="297">
        <f t="shared" si="140"/>
        <v>0</v>
      </c>
      <c r="AF261" s="294">
        <f t="shared" si="141"/>
        <v>0</v>
      </c>
      <c r="AG261" s="292"/>
      <c r="AH261" s="292">
        <f t="shared" si="142"/>
        <v>0</v>
      </c>
      <c r="AI261" s="295">
        <v>30.722664192350027</v>
      </c>
      <c r="AJ261" s="383" t="s">
        <v>878</v>
      </c>
      <c r="AK261" s="297">
        <f t="shared" si="143"/>
        <v>0</v>
      </c>
      <c r="AL261" s="294">
        <f t="shared" si="144"/>
        <v>0</v>
      </c>
      <c r="AM261" s="292"/>
      <c r="AN261" s="292"/>
      <c r="AO261" s="295">
        <f>'Unit Savings Calculations'!P257</f>
        <v>30.722664192350027</v>
      </c>
      <c r="AP261" s="383" t="s">
        <v>763</v>
      </c>
      <c r="AQ261" s="297">
        <f t="shared" si="145"/>
        <v>0</v>
      </c>
      <c r="AR261" s="294">
        <f t="shared" si="146"/>
        <v>0</v>
      </c>
      <c r="AS261" s="292"/>
      <c r="AT261" s="292"/>
      <c r="AU261" s="295">
        <f>'Unit Savings Calculations'!Q257</f>
        <v>30.722664192350027</v>
      </c>
      <c r="AV261" s="383" t="str">
        <f t="shared" si="129"/>
        <v>n/a</v>
      </c>
      <c r="AW261" s="297">
        <f t="shared" si="147"/>
        <v>0</v>
      </c>
      <c r="AX261" s="294">
        <f t="shared" si="148"/>
        <v>0</v>
      </c>
      <c r="AY261" s="297">
        <f t="shared" si="130"/>
        <v>0</v>
      </c>
      <c r="AZ261" s="297">
        <f t="shared" si="131"/>
        <v>0</v>
      </c>
      <c r="BA261" s="297">
        <f t="shared" si="132"/>
        <v>0</v>
      </c>
      <c r="BB261" s="297">
        <f t="shared" si="133"/>
        <v>0</v>
      </c>
      <c r="BC261" s="298">
        <f t="shared" si="134"/>
        <v>0</v>
      </c>
      <c r="BD261" s="292" t="s">
        <v>763</v>
      </c>
      <c r="BE261" s="299" t="str">
        <f t="shared" si="135"/>
        <v>Exhibit 1.5A_R North Shore EEPS_Adjustable_Savings_Goal_Template.xlsx, Unit Savings Calculations Tab</v>
      </c>
      <c r="BF261" s="298">
        <f t="shared" si="136"/>
        <v>0</v>
      </c>
      <c r="BG261" s="298">
        <f t="shared" si="136"/>
        <v>0</v>
      </c>
      <c r="BH261" s="298">
        <f t="shared" si="136"/>
        <v>0</v>
      </c>
      <c r="BI261" s="298">
        <f t="shared" si="136"/>
        <v>0</v>
      </c>
      <c r="BJ261" s="298">
        <f t="shared" si="137"/>
        <v>0</v>
      </c>
      <c r="BK261" s="482">
        <v>10</v>
      </c>
      <c r="BL261" s="482">
        <v>10</v>
      </c>
      <c r="BM261" s="482">
        <f>INDEX('Unit Savings Calculations'!$I$4:$I$421,MATCH('Measure-Level Adjustments Tab'!$A261&amp;"_"&amp;'Measure-Level Adjustments Tab'!$B261,'Unit Savings Calculations'!$A$4:$A$421,0))</f>
        <v>10</v>
      </c>
      <c r="BN261" s="482">
        <f t="shared" si="138"/>
        <v>10</v>
      </c>
      <c r="BO261" s="483">
        <f t="shared" si="139"/>
        <v>0</v>
      </c>
      <c r="BP261" s="483">
        <f t="shared" si="139"/>
        <v>0</v>
      </c>
      <c r="BQ261" s="483">
        <f t="shared" si="139"/>
        <v>0</v>
      </c>
      <c r="BR261" s="483">
        <f t="shared" si="139"/>
        <v>0</v>
      </c>
      <c r="BS261" s="483">
        <f t="shared" si="128"/>
        <v>0</v>
      </c>
    </row>
    <row r="262" spans="1:71" ht="15.75" customHeight="1">
      <c r="A262" s="292" t="str">
        <f>'Unit Savings Calculations'!C258</f>
        <v>Bus - CI Rebates</v>
      </c>
      <c r="B262" s="292" t="str">
        <f>'Unit Savings Calculations'!D258</f>
        <v>Pipe Insulation - HW Small 1" to 2"</v>
      </c>
      <c r="C262" s="293">
        <f t="shared" si="149"/>
        <v>1</v>
      </c>
      <c r="D262" s="292" t="str">
        <f>'Unit Savings Calculations'!T258</f>
        <v>4.4.14</v>
      </c>
      <c r="E262" s="438">
        <v>15</v>
      </c>
      <c r="F262" s="438">
        <v>15</v>
      </c>
      <c r="G262" s="292" t="str">
        <f>'Unit Savings Calculations'!E258</f>
        <v>ft</v>
      </c>
      <c r="H262" s="294">
        <f>'Unit Savings Calculations'!$F258*'Unit Savings Calculations'!J258</f>
        <v>2625</v>
      </c>
      <c r="I262" s="294">
        <f>'Unit Savings Calculations'!$F258*'Unit Savings Calculations'!K258</f>
        <v>2625</v>
      </c>
      <c r="J262" s="294">
        <f>'Unit Savings Calculations'!$F258*'Unit Savings Calculations'!L258</f>
        <v>2625</v>
      </c>
      <c r="K262" s="294">
        <f>'Unit Savings Calculations'!$F258*'Unit Savings Calculations'!M258</f>
        <v>2625</v>
      </c>
      <c r="L262" s="292" t="str">
        <f>'Unit Savings Calculations'!U258</f>
        <v>CI-HVC-PINS-V04-160601</v>
      </c>
      <c r="M262" s="383" t="str">
        <f>'Unit Savings Calculations'!R258</f>
        <v>Exhibit 1.5A_R North Shore EEPS_Adjustable_Savings_Goal_Template.xlsx, Pipe Insulation Detail Tab</v>
      </c>
      <c r="N262" s="295">
        <v>2.6588140926267867</v>
      </c>
      <c r="O262" s="295">
        <v>2.6588140926267867</v>
      </c>
      <c r="P262" s="295">
        <v>2.6588140926267867</v>
      </c>
      <c r="Q262" s="295">
        <v>2.6588140926267867</v>
      </c>
      <c r="R262" s="296">
        <f>'Unit Savings Calculations'!$G258</f>
        <v>0.79</v>
      </c>
      <c r="S262" s="296">
        <f>'Unit Savings Calculations'!$G258</f>
        <v>0.79</v>
      </c>
      <c r="T262" s="296">
        <f>'Unit Savings Calculations'!$G258</f>
        <v>0.79</v>
      </c>
      <c r="U262" s="296">
        <f>'Unit Savings Calculations'!$G258</f>
        <v>0.79</v>
      </c>
      <c r="V262" s="297">
        <f t="shared" si="150"/>
        <v>5513.7157245847993</v>
      </c>
      <c r="W262" s="297">
        <f t="shared" si="151"/>
        <v>5513.7157245847993</v>
      </c>
      <c r="X262" s="297">
        <f t="shared" si="152"/>
        <v>5513.7157245847993</v>
      </c>
      <c r="Y262" s="297">
        <f t="shared" si="153"/>
        <v>5513.7157245847993</v>
      </c>
      <c r="Z262" s="297">
        <f t="shared" si="154"/>
        <v>22054.862898339197</v>
      </c>
      <c r="AA262" s="292"/>
      <c r="AB262" s="292"/>
      <c r="AC262" s="295">
        <v>2.6588140926267867</v>
      </c>
      <c r="AD262" s="292"/>
      <c r="AE262" s="297">
        <f t="shared" si="140"/>
        <v>5513.7157245847993</v>
      </c>
      <c r="AF262" s="294">
        <f t="shared" si="141"/>
        <v>0</v>
      </c>
      <c r="AG262" s="292"/>
      <c r="AH262" s="292">
        <f t="shared" si="142"/>
        <v>0</v>
      </c>
      <c r="AI262" s="295">
        <v>2.6588140926267867</v>
      </c>
      <c r="AJ262" s="383" t="s">
        <v>878</v>
      </c>
      <c r="AK262" s="297">
        <f t="shared" si="143"/>
        <v>5513.7157245847993</v>
      </c>
      <c r="AL262" s="294">
        <f t="shared" si="144"/>
        <v>0</v>
      </c>
      <c r="AM262" s="292"/>
      <c r="AN262" s="292"/>
      <c r="AO262" s="295">
        <f>'Unit Savings Calculations'!P258</f>
        <v>2.6588140926267867</v>
      </c>
      <c r="AP262" s="383" t="s">
        <v>763</v>
      </c>
      <c r="AQ262" s="297">
        <f t="shared" si="145"/>
        <v>5513.7157245847993</v>
      </c>
      <c r="AR262" s="294">
        <f t="shared" si="146"/>
        <v>0</v>
      </c>
      <c r="AS262" s="292"/>
      <c r="AT262" s="292"/>
      <c r="AU262" s="295">
        <f>'Unit Savings Calculations'!Q258</f>
        <v>2.6588140926267867</v>
      </c>
      <c r="AV262" s="383" t="str">
        <f t="shared" si="129"/>
        <v>n/a</v>
      </c>
      <c r="AW262" s="297">
        <f t="shared" si="147"/>
        <v>5513.7157245847993</v>
      </c>
      <c r="AX262" s="294">
        <f t="shared" si="148"/>
        <v>0</v>
      </c>
      <c r="AY262" s="297">
        <f t="shared" si="130"/>
        <v>5513.7157245847993</v>
      </c>
      <c r="AZ262" s="297">
        <f t="shared" si="131"/>
        <v>5513.7157245847993</v>
      </c>
      <c r="BA262" s="297">
        <f t="shared" si="132"/>
        <v>5513.7157245847993</v>
      </c>
      <c r="BB262" s="297">
        <f t="shared" si="133"/>
        <v>5513.7157245847993</v>
      </c>
      <c r="BC262" s="298">
        <f t="shared" si="134"/>
        <v>22054.862898339197</v>
      </c>
      <c r="BD262" s="292" t="s">
        <v>763</v>
      </c>
      <c r="BE262" s="299" t="str">
        <f t="shared" si="135"/>
        <v>Exhibit 1.5A_R North Shore EEPS_Adjustable_Savings_Goal_Template.xlsx, Pipe Insulation Detail Tab</v>
      </c>
      <c r="BF262" s="298">
        <f t="shared" si="136"/>
        <v>82705.735868771997</v>
      </c>
      <c r="BG262" s="298">
        <f t="shared" si="136"/>
        <v>82705.735868771997</v>
      </c>
      <c r="BH262" s="298">
        <f t="shared" si="136"/>
        <v>82705.735868771997</v>
      </c>
      <c r="BI262" s="298">
        <f t="shared" si="136"/>
        <v>82705.735868771997</v>
      </c>
      <c r="BJ262" s="298">
        <f t="shared" si="137"/>
        <v>330822.94347508799</v>
      </c>
      <c r="BK262" s="482">
        <v>15</v>
      </c>
      <c r="BL262" s="482">
        <v>15</v>
      </c>
      <c r="BM262" s="482">
        <f>INDEX('Unit Savings Calculations'!$I$4:$I$421,MATCH('Measure-Level Adjustments Tab'!$A262&amp;"_"&amp;'Measure-Level Adjustments Tab'!$B262,'Unit Savings Calculations'!$A$4:$A$421,0))</f>
        <v>15</v>
      </c>
      <c r="BN262" s="482">
        <f t="shared" si="138"/>
        <v>15</v>
      </c>
      <c r="BO262" s="483">
        <f t="shared" si="139"/>
        <v>82705.735868771997</v>
      </c>
      <c r="BP262" s="483">
        <f t="shared" si="139"/>
        <v>82705.735868771997</v>
      </c>
      <c r="BQ262" s="483">
        <f t="shared" si="139"/>
        <v>82705.735868771997</v>
      </c>
      <c r="BR262" s="483">
        <f t="shared" si="139"/>
        <v>82705.735868771997</v>
      </c>
      <c r="BS262" s="483">
        <f t="shared" si="128"/>
        <v>330822.94347508799</v>
      </c>
    </row>
    <row r="263" spans="1:71" ht="15.75" customHeight="1">
      <c r="A263" s="292" t="str">
        <f>'Unit Savings Calculations'!C259</f>
        <v>Bus - CI Rebates</v>
      </c>
      <c r="B263" s="292" t="str">
        <f>'Unit Savings Calculations'!D259</f>
        <v>Pipe Insulation - HW Medium 2.1" to 4"</v>
      </c>
      <c r="C263" s="293">
        <f t="shared" si="149"/>
        <v>1</v>
      </c>
      <c r="D263" s="292" t="str">
        <f>'Unit Savings Calculations'!T259</f>
        <v>4.4.14</v>
      </c>
      <c r="E263" s="438">
        <v>15</v>
      </c>
      <c r="F263" s="438">
        <v>15</v>
      </c>
      <c r="G263" s="292" t="str">
        <f>'Unit Savings Calculations'!E259</f>
        <v>ft</v>
      </c>
      <c r="H263" s="294">
        <f>'Unit Savings Calculations'!$F259*'Unit Savings Calculations'!J259</f>
        <v>2625</v>
      </c>
      <c r="I263" s="294">
        <f>'Unit Savings Calculations'!$F259*'Unit Savings Calculations'!K259</f>
        <v>2625</v>
      </c>
      <c r="J263" s="294">
        <f>'Unit Savings Calculations'!$F259*'Unit Savings Calculations'!L259</f>
        <v>2625</v>
      </c>
      <c r="K263" s="294">
        <f>'Unit Savings Calculations'!$F259*'Unit Savings Calculations'!M259</f>
        <v>2625</v>
      </c>
      <c r="L263" s="292" t="str">
        <f>'Unit Savings Calculations'!U259</f>
        <v>CI-HVC-PINS-V04-160601</v>
      </c>
      <c r="M263" s="383" t="str">
        <f>'Unit Savings Calculations'!R259</f>
        <v>Exhibit 1.5A_R North Shore EEPS_Adjustable_Savings_Goal_Template.xlsx, Pipe Insulation Detail Tab</v>
      </c>
      <c r="N263" s="295">
        <v>5.2492031493764015</v>
      </c>
      <c r="O263" s="295">
        <v>5.2492031493764015</v>
      </c>
      <c r="P263" s="295">
        <v>5.2492031493764015</v>
      </c>
      <c r="Q263" s="295">
        <v>5.2492031493764015</v>
      </c>
      <c r="R263" s="296">
        <f>'Unit Savings Calculations'!$G259</f>
        <v>0.79</v>
      </c>
      <c r="S263" s="296">
        <f>'Unit Savings Calculations'!$G259</f>
        <v>0.79</v>
      </c>
      <c r="T263" s="296">
        <f>'Unit Savings Calculations'!$G259</f>
        <v>0.79</v>
      </c>
      <c r="U263" s="296">
        <f>'Unit Savings Calculations'!$G259</f>
        <v>0.79</v>
      </c>
      <c r="V263" s="297">
        <f t="shared" si="150"/>
        <v>10885.535031019313</v>
      </c>
      <c r="W263" s="297">
        <f t="shared" si="151"/>
        <v>10885.535031019313</v>
      </c>
      <c r="X263" s="297">
        <f t="shared" si="152"/>
        <v>10885.535031019313</v>
      </c>
      <c r="Y263" s="297">
        <f t="shared" si="153"/>
        <v>10885.535031019313</v>
      </c>
      <c r="Z263" s="297">
        <f t="shared" si="154"/>
        <v>43542.140124077254</v>
      </c>
      <c r="AA263" s="292"/>
      <c r="AB263" s="292"/>
      <c r="AC263" s="295">
        <v>5.2492031493764015</v>
      </c>
      <c r="AD263" s="292"/>
      <c r="AE263" s="297">
        <f t="shared" si="140"/>
        <v>10885.535031019313</v>
      </c>
      <c r="AF263" s="294">
        <f t="shared" si="141"/>
        <v>0</v>
      </c>
      <c r="AG263" s="292"/>
      <c r="AH263" s="292">
        <f t="shared" si="142"/>
        <v>0</v>
      </c>
      <c r="AI263" s="295">
        <v>5.2492031493764015</v>
      </c>
      <c r="AJ263" s="383" t="s">
        <v>878</v>
      </c>
      <c r="AK263" s="297">
        <f t="shared" si="143"/>
        <v>10885.535031019313</v>
      </c>
      <c r="AL263" s="294">
        <f t="shared" si="144"/>
        <v>0</v>
      </c>
      <c r="AM263" s="292"/>
      <c r="AN263" s="292"/>
      <c r="AO263" s="295">
        <f>'Unit Savings Calculations'!P259</f>
        <v>5.2492031493764015</v>
      </c>
      <c r="AP263" s="383" t="s">
        <v>763</v>
      </c>
      <c r="AQ263" s="297">
        <f t="shared" si="145"/>
        <v>10885.535031019313</v>
      </c>
      <c r="AR263" s="294">
        <f t="shared" si="146"/>
        <v>0</v>
      </c>
      <c r="AS263" s="292"/>
      <c r="AT263" s="292"/>
      <c r="AU263" s="295">
        <f>'Unit Savings Calculations'!Q259</f>
        <v>5.2492031493764015</v>
      </c>
      <c r="AV263" s="383" t="str">
        <f t="shared" si="129"/>
        <v>n/a</v>
      </c>
      <c r="AW263" s="297">
        <f t="shared" si="147"/>
        <v>10885.535031019313</v>
      </c>
      <c r="AX263" s="294">
        <f t="shared" si="148"/>
        <v>0</v>
      </c>
      <c r="AY263" s="297">
        <f t="shared" si="130"/>
        <v>10885.535031019313</v>
      </c>
      <c r="AZ263" s="297">
        <f t="shared" si="131"/>
        <v>10885.535031019313</v>
      </c>
      <c r="BA263" s="297">
        <f t="shared" si="132"/>
        <v>10885.535031019313</v>
      </c>
      <c r="BB263" s="297">
        <f t="shared" si="133"/>
        <v>10885.535031019313</v>
      </c>
      <c r="BC263" s="298">
        <f t="shared" si="134"/>
        <v>43542.140124077254</v>
      </c>
      <c r="BD263" s="292" t="s">
        <v>763</v>
      </c>
      <c r="BE263" s="299" t="str">
        <f t="shared" si="135"/>
        <v>Exhibit 1.5A_R North Shore EEPS_Adjustable_Savings_Goal_Template.xlsx, Pipe Insulation Detail Tab</v>
      </c>
      <c r="BF263" s="298">
        <f t="shared" si="136"/>
        <v>163283.02546528971</v>
      </c>
      <c r="BG263" s="298">
        <f t="shared" si="136"/>
        <v>163283.02546528971</v>
      </c>
      <c r="BH263" s="298">
        <f t="shared" si="136"/>
        <v>163283.02546528971</v>
      </c>
      <c r="BI263" s="298">
        <f t="shared" si="136"/>
        <v>163283.02546528971</v>
      </c>
      <c r="BJ263" s="298">
        <f t="shared" si="137"/>
        <v>653132.10186115885</v>
      </c>
      <c r="BK263" s="482">
        <v>15</v>
      </c>
      <c r="BL263" s="482">
        <v>15</v>
      </c>
      <c r="BM263" s="482">
        <f>INDEX('Unit Savings Calculations'!$I$4:$I$421,MATCH('Measure-Level Adjustments Tab'!$A263&amp;"_"&amp;'Measure-Level Adjustments Tab'!$B263,'Unit Savings Calculations'!$A$4:$A$421,0))</f>
        <v>15</v>
      </c>
      <c r="BN263" s="482">
        <f t="shared" si="138"/>
        <v>15</v>
      </c>
      <c r="BO263" s="483">
        <f t="shared" si="139"/>
        <v>163283.02546528971</v>
      </c>
      <c r="BP263" s="483">
        <f t="shared" si="139"/>
        <v>163283.02546528971</v>
      </c>
      <c r="BQ263" s="483">
        <f t="shared" si="139"/>
        <v>163283.02546528971</v>
      </c>
      <c r="BR263" s="483">
        <f t="shared" si="139"/>
        <v>163283.02546528971</v>
      </c>
      <c r="BS263" s="483">
        <f t="shared" si="128"/>
        <v>653132.10186115885</v>
      </c>
    </row>
    <row r="264" spans="1:71" ht="15.75" customHeight="1">
      <c r="A264" s="292" t="str">
        <f>'Unit Savings Calculations'!C260</f>
        <v>Bus - CI Rebates</v>
      </c>
      <c r="B264" s="292" t="str">
        <f>'Unit Savings Calculations'!D260</f>
        <v>Pipe Insulation - HW Large &gt;4"</v>
      </c>
      <c r="C264" s="293">
        <f t="shared" si="149"/>
        <v>1</v>
      </c>
      <c r="D264" s="292" t="str">
        <f>'Unit Savings Calculations'!T260</f>
        <v>4.4.14</v>
      </c>
      <c r="E264" s="438">
        <v>15</v>
      </c>
      <c r="F264" s="438">
        <v>15</v>
      </c>
      <c r="G264" s="292" t="str">
        <f>'Unit Savings Calculations'!E260</f>
        <v>ft</v>
      </c>
      <c r="H264" s="294">
        <f>'Unit Savings Calculations'!$F260*'Unit Savings Calculations'!J260</f>
        <v>900</v>
      </c>
      <c r="I264" s="294">
        <f>'Unit Savings Calculations'!$F260*'Unit Savings Calculations'!K260</f>
        <v>900</v>
      </c>
      <c r="J264" s="294">
        <f>'Unit Savings Calculations'!$F260*'Unit Savings Calculations'!L260</f>
        <v>900</v>
      </c>
      <c r="K264" s="294">
        <f>'Unit Savings Calculations'!$F260*'Unit Savings Calculations'!M260</f>
        <v>900</v>
      </c>
      <c r="L264" s="292" t="str">
        <f>'Unit Savings Calculations'!U260</f>
        <v>CI-HVC-PINS-V04-160601</v>
      </c>
      <c r="M264" s="383" t="str">
        <f>'Unit Savings Calculations'!R260</f>
        <v>Exhibit 1.5A_R North Shore EEPS_Adjustable_Savings_Goal_Template.xlsx, Pipe Insulation Detail Tab</v>
      </c>
      <c r="N264" s="295">
        <v>9.0407613085908682</v>
      </c>
      <c r="O264" s="295">
        <v>9.0407613085908682</v>
      </c>
      <c r="P264" s="295">
        <v>9.0407613085908682</v>
      </c>
      <c r="Q264" s="295">
        <v>9.0407613085908682</v>
      </c>
      <c r="R264" s="296">
        <f>'Unit Savings Calculations'!$G260</f>
        <v>0.79</v>
      </c>
      <c r="S264" s="296">
        <f>'Unit Savings Calculations'!$G260</f>
        <v>0.79</v>
      </c>
      <c r="T264" s="296">
        <f>'Unit Savings Calculations'!$G260</f>
        <v>0.79</v>
      </c>
      <c r="U264" s="296">
        <f>'Unit Savings Calculations'!$G260</f>
        <v>0.79</v>
      </c>
      <c r="V264" s="297">
        <f t="shared" si="150"/>
        <v>6427.9812904081073</v>
      </c>
      <c r="W264" s="297">
        <f t="shared" si="151"/>
        <v>6427.9812904081073</v>
      </c>
      <c r="X264" s="297">
        <f t="shared" si="152"/>
        <v>6427.9812904081073</v>
      </c>
      <c r="Y264" s="297">
        <f t="shared" si="153"/>
        <v>6427.9812904081073</v>
      </c>
      <c r="Z264" s="297">
        <f t="shared" si="154"/>
        <v>25711.925161632429</v>
      </c>
      <c r="AA264" s="292"/>
      <c r="AB264" s="292"/>
      <c r="AC264" s="295">
        <v>9.0407613085908682</v>
      </c>
      <c r="AD264" s="292"/>
      <c r="AE264" s="297">
        <f t="shared" si="140"/>
        <v>6427.9812904081073</v>
      </c>
      <c r="AF264" s="294">
        <f t="shared" si="141"/>
        <v>0</v>
      </c>
      <c r="AG264" s="292"/>
      <c r="AH264" s="292">
        <f t="shared" si="142"/>
        <v>0</v>
      </c>
      <c r="AI264" s="295">
        <v>9.0407613085908682</v>
      </c>
      <c r="AJ264" s="383" t="s">
        <v>878</v>
      </c>
      <c r="AK264" s="297">
        <f t="shared" si="143"/>
        <v>6427.9812904081073</v>
      </c>
      <c r="AL264" s="294">
        <f t="shared" si="144"/>
        <v>0</v>
      </c>
      <c r="AM264" s="292"/>
      <c r="AN264" s="292"/>
      <c r="AO264" s="295">
        <f>'Unit Savings Calculations'!P260</f>
        <v>9.0407613085908682</v>
      </c>
      <c r="AP264" s="383" t="s">
        <v>763</v>
      </c>
      <c r="AQ264" s="297">
        <f t="shared" si="145"/>
        <v>6427.9812904081073</v>
      </c>
      <c r="AR264" s="294">
        <f t="shared" si="146"/>
        <v>0</v>
      </c>
      <c r="AS264" s="292"/>
      <c r="AT264" s="292"/>
      <c r="AU264" s="295">
        <f>'Unit Savings Calculations'!Q260</f>
        <v>9.0407613085908682</v>
      </c>
      <c r="AV264" s="383" t="str">
        <f t="shared" si="129"/>
        <v>n/a</v>
      </c>
      <c r="AW264" s="297">
        <f t="shared" si="147"/>
        <v>6427.9812904081073</v>
      </c>
      <c r="AX264" s="294">
        <f t="shared" si="148"/>
        <v>0</v>
      </c>
      <c r="AY264" s="297">
        <f t="shared" si="130"/>
        <v>6427.9812904081073</v>
      </c>
      <c r="AZ264" s="297">
        <f t="shared" si="131"/>
        <v>6427.9812904081073</v>
      </c>
      <c r="BA264" s="297">
        <f t="shared" si="132"/>
        <v>6427.9812904081073</v>
      </c>
      <c r="BB264" s="297">
        <f t="shared" si="133"/>
        <v>6427.9812904081073</v>
      </c>
      <c r="BC264" s="298">
        <f t="shared" si="134"/>
        <v>25711.925161632429</v>
      </c>
      <c r="BD264" s="292" t="s">
        <v>763</v>
      </c>
      <c r="BE264" s="299" t="str">
        <f t="shared" si="135"/>
        <v>Exhibit 1.5A_R North Shore EEPS_Adjustable_Savings_Goal_Template.xlsx, Pipe Insulation Detail Tab</v>
      </c>
      <c r="BF264" s="298">
        <f t="shared" si="136"/>
        <v>96419.719356121612</v>
      </c>
      <c r="BG264" s="298">
        <f t="shared" si="136"/>
        <v>96419.719356121612</v>
      </c>
      <c r="BH264" s="298">
        <f t="shared" si="136"/>
        <v>96419.719356121612</v>
      </c>
      <c r="BI264" s="298">
        <f t="shared" ref="BI264:BI327" si="155">$F264*Y264</f>
        <v>96419.719356121612</v>
      </c>
      <c r="BJ264" s="298">
        <f t="shared" si="137"/>
        <v>385678.87742448645</v>
      </c>
      <c r="BK264" s="482">
        <v>15</v>
      </c>
      <c r="BL264" s="482">
        <v>15</v>
      </c>
      <c r="BM264" s="482">
        <f>INDEX('Unit Savings Calculations'!$I$4:$I$421,MATCH('Measure-Level Adjustments Tab'!$A264&amp;"_"&amp;'Measure-Level Adjustments Tab'!$B264,'Unit Savings Calculations'!$A$4:$A$421,0))</f>
        <v>15</v>
      </c>
      <c r="BN264" s="482">
        <f t="shared" si="138"/>
        <v>15</v>
      </c>
      <c r="BO264" s="483">
        <f t="shared" si="139"/>
        <v>96419.719356121612</v>
      </c>
      <c r="BP264" s="483">
        <f t="shared" si="139"/>
        <v>96419.719356121612</v>
      </c>
      <c r="BQ264" s="483">
        <f t="shared" si="139"/>
        <v>96419.719356121612</v>
      </c>
      <c r="BR264" s="483">
        <f t="shared" ref="BR264:BR327" si="156">BB264*BN264</f>
        <v>96419.719356121612</v>
      </c>
      <c r="BS264" s="483">
        <f t="shared" ref="BS264:BS327" si="157">SUM(BO264:BR264)</f>
        <v>385678.87742448645</v>
      </c>
    </row>
    <row r="265" spans="1:71" ht="15.75" customHeight="1">
      <c r="A265" s="292" t="str">
        <f>'Unit Savings Calculations'!C261</f>
        <v>Bus - CI Rebates</v>
      </c>
      <c r="B265" s="292" t="str">
        <f>'Unit Savings Calculations'!D261</f>
        <v>Pipe Insulation - Steam - Small 1" to 2"</v>
      </c>
      <c r="C265" s="293">
        <f t="shared" si="149"/>
        <v>1</v>
      </c>
      <c r="D265" s="292" t="str">
        <f>'Unit Savings Calculations'!T261</f>
        <v>4.4.14</v>
      </c>
      <c r="E265" s="438">
        <v>15</v>
      </c>
      <c r="F265" s="438">
        <v>15</v>
      </c>
      <c r="G265" s="292" t="str">
        <f>'Unit Savings Calculations'!E261</f>
        <v>ft</v>
      </c>
      <c r="H265" s="294">
        <f>'Unit Savings Calculations'!$F261*'Unit Savings Calculations'!J261</f>
        <v>0</v>
      </c>
      <c r="I265" s="294">
        <f>'Unit Savings Calculations'!$F261*'Unit Savings Calculations'!K261</f>
        <v>0</v>
      </c>
      <c r="J265" s="294">
        <f>'Unit Savings Calculations'!$F261*'Unit Savings Calculations'!L261</f>
        <v>0</v>
      </c>
      <c r="K265" s="294">
        <f>'Unit Savings Calculations'!$F261*'Unit Savings Calculations'!M261</f>
        <v>0</v>
      </c>
      <c r="L265" s="292" t="str">
        <f>'Unit Savings Calculations'!U261</f>
        <v>CI-HVC-PINS-V04-160601</v>
      </c>
      <c r="M265" s="383" t="str">
        <f>'Unit Savings Calculations'!R261</f>
        <v>Exhibit 1.5A_R North Shore EEPS_Adjustable_Savings_Goal_Template.xlsx, Pipe Insulation Detail Tab</v>
      </c>
      <c r="N265" s="295">
        <v>3.1854757047967208</v>
      </c>
      <c r="O265" s="295">
        <v>3.1854757047967208</v>
      </c>
      <c r="P265" s="295">
        <v>3.1854757047967208</v>
      </c>
      <c r="Q265" s="295">
        <v>3.1854757047967208</v>
      </c>
      <c r="R265" s="296">
        <f>'Unit Savings Calculations'!$G261</f>
        <v>0.79</v>
      </c>
      <c r="S265" s="296">
        <f>'Unit Savings Calculations'!$G261</f>
        <v>0.79</v>
      </c>
      <c r="T265" s="296">
        <f>'Unit Savings Calculations'!$G261</f>
        <v>0.79</v>
      </c>
      <c r="U265" s="296">
        <f>'Unit Savings Calculations'!$G261</f>
        <v>0.79</v>
      </c>
      <c r="V265" s="297">
        <f t="shared" si="150"/>
        <v>0</v>
      </c>
      <c r="W265" s="297">
        <f t="shared" si="151"/>
        <v>0</v>
      </c>
      <c r="X265" s="297">
        <f t="shared" si="152"/>
        <v>0</v>
      </c>
      <c r="Y265" s="297">
        <f t="shared" si="153"/>
        <v>0</v>
      </c>
      <c r="Z265" s="297">
        <f t="shared" si="154"/>
        <v>0</v>
      </c>
      <c r="AA265" s="292"/>
      <c r="AB265" s="292"/>
      <c r="AC265" s="295">
        <v>3.1854757047967208</v>
      </c>
      <c r="AD265" s="292"/>
      <c r="AE265" s="297">
        <f t="shared" si="140"/>
        <v>0</v>
      </c>
      <c r="AF265" s="294">
        <f t="shared" si="141"/>
        <v>0</v>
      </c>
      <c r="AG265" s="292"/>
      <c r="AH265" s="292">
        <f t="shared" si="142"/>
        <v>0</v>
      </c>
      <c r="AI265" s="295">
        <v>3.1854757047967208</v>
      </c>
      <c r="AJ265" s="383" t="s">
        <v>878</v>
      </c>
      <c r="AK265" s="297">
        <f t="shared" si="143"/>
        <v>0</v>
      </c>
      <c r="AL265" s="294">
        <f t="shared" si="144"/>
        <v>0</v>
      </c>
      <c r="AM265" s="292"/>
      <c r="AN265" s="292"/>
      <c r="AO265" s="295">
        <f>'Unit Savings Calculations'!P261</f>
        <v>3.1854757047967208</v>
      </c>
      <c r="AP265" s="383" t="s">
        <v>763</v>
      </c>
      <c r="AQ265" s="297">
        <f t="shared" si="145"/>
        <v>0</v>
      </c>
      <c r="AR265" s="294">
        <f t="shared" si="146"/>
        <v>0</v>
      </c>
      <c r="AS265" s="292"/>
      <c r="AT265" s="292"/>
      <c r="AU265" s="295">
        <f>'Unit Savings Calculations'!Q261</f>
        <v>3.1854757047967208</v>
      </c>
      <c r="AV265" s="383" t="str">
        <f t="shared" ref="AV265:AV328" si="158">AP265</f>
        <v>n/a</v>
      </c>
      <c r="AW265" s="297">
        <f t="shared" si="147"/>
        <v>0</v>
      </c>
      <c r="AX265" s="294">
        <f t="shared" si="148"/>
        <v>0</v>
      </c>
      <c r="AY265" s="297">
        <f t="shared" ref="AY265:AY328" si="159">IF(C265=1,AE265,V265)</f>
        <v>0</v>
      </c>
      <c r="AZ265" s="297">
        <f t="shared" ref="AZ265:AZ328" si="160">IF(C265=1,AK265,W265)</f>
        <v>0</v>
      </c>
      <c r="BA265" s="297">
        <f t="shared" ref="BA265:BA328" si="161">IF(C265=1,AQ265,X265)</f>
        <v>0</v>
      </c>
      <c r="BB265" s="297">
        <f t="shared" ref="BB265:BB328" si="162">IF(C265=1,AW265,Y265)</f>
        <v>0</v>
      </c>
      <c r="BC265" s="298">
        <f t="shared" ref="BC265:BC328" si="163">AY265+AZ265+BA265+BB265</f>
        <v>0</v>
      </c>
      <c r="BD265" s="292" t="s">
        <v>763</v>
      </c>
      <c r="BE265" s="299" t="str">
        <f t="shared" ref="BE265:BE328" si="164">M265</f>
        <v>Exhibit 1.5A_R North Shore EEPS_Adjustable_Savings_Goal_Template.xlsx, Pipe Insulation Detail Tab</v>
      </c>
      <c r="BF265" s="298">
        <f t="shared" ref="BF265:BI328" si="165">$F265*V265</f>
        <v>0</v>
      </c>
      <c r="BG265" s="298">
        <f t="shared" si="165"/>
        <v>0</v>
      </c>
      <c r="BH265" s="298">
        <f t="shared" si="165"/>
        <v>0</v>
      </c>
      <c r="BI265" s="298">
        <f t="shared" si="155"/>
        <v>0</v>
      </c>
      <c r="BJ265" s="298">
        <f t="shared" ref="BJ265:BJ328" si="166">SUM(BF265:BI265)</f>
        <v>0</v>
      </c>
      <c r="BK265" s="482">
        <v>15</v>
      </c>
      <c r="BL265" s="482">
        <v>15</v>
      </c>
      <c r="BM265" s="482">
        <f>INDEX('Unit Savings Calculations'!$I$4:$I$421,MATCH('Measure-Level Adjustments Tab'!$A265&amp;"_"&amp;'Measure-Level Adjustments Tab'!$B265,'Unit Savings Calculations'!$A$4:$A$421,0))</f>
        <v>15</v>
      </c>
      <c r="BN265" s="482">
        <f t="shared" ref="BN265:BN328" si="167">BM265</f>
        <v>15</v>
      </c>
      <c r="BO265" s="483">
        <f t="shared" ref="BO265:BR328" si="168">AY265*BK265</f>
        <v>0</v>
      </c>
      <c r="BP265" s="483">
        <f t="shared" si="168"/>
        <v>0</v>
      </c>
      <c r="BQ265" s="483">
        <f t="shared" si="168"/>
        <v>0</v>
      </c>
      <c r="BR265" s="483">
        <f t="shared" si="156"/>
        <v>0</v>
      </c>
      <c r="BS265" s="483">
        <f t="shared" si="157"/>
        <v>0</v>
      </c>
    </row>
    <row r="266" spans="1:71" ht="15.75" customHeight="1">
      <c r="A266" s="292" t="str">
        <f>'Unit Savings Calculations'!C262</f>
        <v>Bus - CI Rebates</v>
      </c>
      <c r="B266" s="292" t="str">
        <f>'Unit Savings Calculations'!D262</f>
        <v>Pipe Insulation - Steam - Med 2.1" to 5"</v>
      </c>
      <c r="C266" s="293">
        <f t="shared" si="149"/>
        <v>1</v>
      </c>
      <c r="D266" s="292" t="str">
        <f>'Unit Savings Calculations'!T262</f>
        <v>4.4.14</v>
      </c>
      <c r="E266" s="438">
        <v>15</v>
      </c>
      <c r="F266" s="438">
        <v>15</v>
      </c>
      <c r="G266" s="292" t="str">
        <f>'Unit Savings Calculations'!E262</f>
        <v>ft</v>
      </c>
      <c r="H266" s="294">
        <f>'Unit Savings Calculations'!$F262*'Unit Savings Calculations'!J262</f>
        <v>2625</v>
      </c>
      <c r="I266" s="294">
        <f>'Unit Savings Calculations'!$F262*'Unit Savings Calculations'!K262</f>
        <v>2625</v>
      </c>
      <c r="J266" s="294">
        <f>'Unit Savings Calculations'!$F262*'Unit Savings Calculations'!L262</f>
        <v>2625</v>
      </c>
      <c r="K266" s="294">
        <f>'Unit Savings Calculations'!$F262*'Unit Savings Calculations'!M262</f>
        <v>2625</v>
      </c>
      <c r="L266" s="292" t="str">
        <f>'Unit Savings Calculations'!U262</f>
        <v>CI-HVC-PINS-V04-160601</v>
      </c>
      <c r="M266" s="383" t="str">
        <f>'Unit Savings Calculations'!R262</f>
        <v>Exhibit 1.5A_R North Shore EEPS_Adjustable_Savings_Goal_Template.xlsx, Pipe Insulation Detail Tab</v>
      </c>
      <c r="N266" s="295">
        <v>13.148126788517139</v>
      </c>
      <c r="O266" s="295">
        <v>13.148126788517139</v>
      </c>
      <c r="P266" s="295">
        <v>13.148126788517139</v>
      </c>
      <c r="Q266" s="295">
        <v>13.148126788517139</v>
      </c>
      <c r="R266" s="296">
        <f>'Unit Savings Calculations'!$G262</f>
        <v>0.79</v>
      </c>
      <c r="S266" s="296">
        <f>'Unit Savings Calculations'!$G262</f>
        <v>0.79</v>
      </c>
      <c r="T266" s="296">
        <f>'Unit Savings Calculations'!$G262</f>
        <v>0.79</v>
      </c>
      <c r="U266" s="296">
        <f>'Unit Savings Calculations'!$G262</f>
        <v>0.79</v>
      </c>
      <c r="V266" s="297">
        <f t="shared" si="150"/>
        <v>27265.927927687419</v>
      </c>
      <c r="W266" s="297">
        <f t="shared" si="151"/>
        <v>27265.927927687419</v>
      </c>
      <c r="X266" s="297">
        <f t="shared" si="152"/>
        <v>27265.927927687419</v>
      </c>
      <c r="Y266" s="297">
        <f t="shared" si="153"/>
        <v>27265.927927687419</v>
      </c>
      <c r="Z266" s="297">
        <f t="shared" si="154"/>
        <v>109063.71171074967</v>
      </c>
      <c r="AA266" s="292"/>
      <c r="AB266" s="292"/>
      <c r="AC266" s="295">
        <v>13.148126788517139</v>
      </c>
      <c r="AD266" s="292"/>
      <c r="AE266" s="297">
        <f t="shared" ref="AE266:AE329" si="169">H266*AC266*R266</f>
        <v>27265.927927687419</v>
      </c>
      <c r="AF266" s="294">
        <f t="shared" ref="AF266:AF329" si="170">AE266-V266</f>
        <v>0</v>
      </c>
      <c r="AG266" s="292"/>
      <c r="AH266" s="292">
        <f t="shared" ref="AH266:AH329" si="171">AB266</f>
        <v>0</v>
      </c>
      <c r="AI266" s="295">
        <v>13.148126788517139</v>
      </c>
      <c r="AJ266" s="383" t="s">
        <v>878</v>
      </c>
      <c r="AK266" s="297">
        <f t="shared" ref="AK266:AK329" si="172">I266*AI266*S266</f>
        <v>27265.927927687419</v>
      </c>
      <c r="AL266" s="294">
        <f t="shared" ref="AL266:AL329" si="173">AK266-W266</f>
        <v>0</v>
      </c>
      <c r="AM266" s="292"/>
      <c r="AN266" s="292"/>
      <c r="AO266" s="295">
        <f>'Unit Savings Calculations'!P262</f>
        <v>13.148126788517139</v>
      </c>
      <c r="AP266" s="383" t="s">
        <v>763</v>
      </c>
      <c r="AQ266" s="297">
        <f t="shared" ref="AQ266:AQ329" si="174">J266*AO266*T266</f>
        <v>27265.927927687419</v>
      </c>
      <c r="AR266" s="294">
        <f t="shared" ref="AR266:AR329" si="175">AQ266-X266</f>
        <v>0</v>
      </c>
      <c r="AS266" s="292"/>
      <c r="AT266" s="292"/>
      <c r="AU266" s="295">
        <f>'Unit Savings Calculations'!Q262</f>
        <v>13.148126788517139</v>
      </c>
      <c r="AV266" s="383" t="str">
        <f t="shared" si="158"/>
        <v>n/a</v>
      </c>
      <c r="AW266" s="297">
        <f t="shared" ref="AW266:AW329" si="176">K266*AU266*U266</f>
        <v>27265.927927687419</v>
      </c>
      <c r="AX266" s="294">
        <f t="shared" ref="AX266:AX329" si="177">AW266-Y266</f>
        <v>0</v>
      </c>
      <c r="AY266" s="297">
        <f t="shared" si="159"/>
        <v>27265.927927687419</v>
      </c>
      <c r="AZ266" s="297">
        <f t="shared" si="160"/>
        <v>27265.927927687419</v>
      </c>
      <c r="BA266" s="297">
        <f t="shared" si="161"/>
        <v>27265.927927687419</v>
      </c>
      <c r="BB266" s="297">
        <f t="shared" si="162"/>
        <v>27265.927927687419</v>
      </c>
      <c r="BC266" s="298">
        <f t="shared" si="163"/>
        <v>109063.71171074967</v>
      </c>
      <c r="BD266" s="292" t="s">
        <v>763</v>
      </c>
      <c r="BE266" s="299" t="str">
        <f t="shared" si="164"/>
        <v>Exhibit 1.5A_R North Shore EEPS_Adjustable_Savings_Goal_Template.xlsx, Pipe Insulation Detail Tab</v>
      </c>
      <c r="BF266" s="298">
        <f t="shared" si="165"/>
        <v>408988.91891531128</v>
      </c>
      <c r="BG266" s="298">
        <f t="shared" si="165"/>
        <v>408988.91891531128</v>
      </c>
      <c r="BH266" s="298">
        <f t="shared" si="165"/>
        <v>408988.91891531128</v>
      </c>
      <c r="BI266" s="298">
        <f t="shared" si="155"/>
        <v>408988.91891531128</v>
      </c>
      <c r="BJ266" s="298">
        <f t="shared" si="166"/>
        <v>1635955.6756612451</v>
      </c>
      <c r="BK266" s="482">
        <v>15</v>
      </c>
      <c r="BL266" s="482">
        <v>15</v>
      </c>
      <c r="BM266" s="482">
        <f>INDEX('Unit Savings Calculations'!$I$4:$I$421,MATCH('Measure-Level Adjustments Tab'!$A266&amp;"_"&amp;'Measure-Level Adjustments Tab'!$B266,'Unit Savings Calculations'!$A$4:$A$421,0))</f>
        <v>15</v>
      </c>
      <c r="BN266" s="482">
        <f t="shared" si="167"/>
        <v>15</v>
      </c>
      <c r="BO266" s="483">
        <f t="shared" si="168"/>
        <v>408988.91891531128</v>
      </c>
      <c r="BP266" s="483">
        <f t="shared" si="168"/>
        <v>408988.91891531128</v>
      </c>
      <c r="BQ266" s="483">
        <f t="shared" si="168"/>
        <v>408988.91891531128</v>
      </c>
      <c r="BR266" s="483">
        <f t="shared" si="156"/>
        <v>408988.91891531128</v>
      </c>
      <c r="BS266" s="483">
        <f t="shared" si="157"/>
        <v>1635955.6756612451</v>
      </c>
    </row>
    <row r="267" spans="1:71" ht="15.75" customHeight="1">
      <c r="A267" s="292" t="str">
        <f>'Unit Savings Calculations'!C263</f>
        <v>Bus - CI Rebates</v>
      </c>
      <c r="B267" s="292" t="str">
        <f>'Unit Savings Calculations'!D263</f>
        <v>Pipe Insulation - Steam - Large 5.1" to 8"</v>
      </c>
      <c r="C267" s="293">
        <f t="shared" si="149"/>
        <v>1</v>
      </c>
      <c r="D267" s="292" t="str">
        <f>'Unit Savings Calculations'!T263</f>
        <v>4.4.14</v>
      </c>
      <c r="E267" s="438">
        <v>15</v>
      </c>
      <c r="F267" s="438">
        <v>15</v>
      </c>
      <c r="G267" s="292" t="str">
        <f>'Unit Savings Calculations'!E263</f>
        <v>ft</v>
      </c>
      <c r="H267" s="294">
        <f>'Unit Savings Calculations'!$F263*'Unit Savings Calculations'!J263</f>
        <v>300</v>
      </c>
      <c r="I267" s="294">
        <f>'Unit Savings Calculations'!$F263*'Unit Savings Calculations'!K263</f>
        <v>300</v>
      </c>
      <c r="J267" s="294">
        <f>'Unit Savings Calculations'!$F263*'Unit Savings Calculations'!L263</f>
        <v>300</v>
      </c>
      <c r="K267" s="294">
        <f>'Unit Savings Calculations'!$F263*'Unit Savings Calculations'!M263</f>
        <v>300</v>
      </c>
      <c r="L267" s="292" t="str">
        <f>'Unit Savings Calculations'!U263</f>
        <v>CI-HVC-PINS-V04-160601</v>
      </c>
      <c r="M267" s="383" t="str">
        <f>'Unit Savings Calculations'!R263</f>
        <v>Exhibit 1.5A_R North Shore EEPS_Adjustable_Savings_Goal_Template.xlsx, Pipe Insulation Detail Tab</v>
      </c>
      <c r="N267" s="295">
        <v>24.25563238537794</v>
      </c>
      <c r="O267" s="295">
        <v>24.25563238537794</v>
      </c>
      <c r="P267" s="295">
        <v>24.25563238537794</v>
      </c>
      <c r="Q267" s="295">
        <v>24.25563238537794</v>
      </c>
      <c r="R267" s="296">
        <f>'Unit Savings Calculations'!$G263</f>
        <v>0.79</v>
      </c>
      <c r="S267" s="296">
        <f>'Unit Savings Calculations'!$G263</f>
        <v>0.79</v>
      </c>
      <c r="T267" s="296">
        <f>'Unit Savings Calculations'!$G263</f>
        <v>0.79</v>
      </c>
      <c r="U267" s="296">
        <f>'Unit Savings Calculations'!$G263</f>
        <v>0.79</v>
      </c>
      <c r="V267" s="297">
        <f t="shared" si="150"/>
        <v>5748.5848753345717</v>
      </c>
      <c r="W267" s="297">
        <f t="shared" si="151"/>
        <v>5748.5848753345717</v>
      </c>
      <c r="X267" s="297">
        <f t="shared" si="152"/>
        <v>5748.5848753345717</v>
      </c>
      <c r="Y267" s="297">
        <f t="shared" si="153"/>
        <v>5748.5848753345717</v>
      </c>
      <c r="Z267" s="297">
        <f t="shared" si="154"/>
        <v>22994.339501338287</v>
      </c>
      <c r="AA267" s="292"/>
      <c r="AB267" s="292"/>
      <c r="AC267" s="295">
        <v>24.25563238537794</v>
      </c>
      <c r="AD267" s="292"/>
      <c r="AE267" s="297">
        <f t="shared" si="169"/>
        <v>5748.5848753345717</v>
      </c>
      <c r="AF267" s="294">
        <f t="shared" si="170"/>
        <v>0</v>
      </c>
      <c r="AG267" s="292"/>
      <c r="AH267" s="292">
        <f t="shared" si="171"/>
        <v>0</v>
      </c>
      <c r="AI267" s="295">
        <v>24.25563238537794</v>
      </c>
      <c r="AJ267" s="383" t="s">
        <v>878</v>
      </c>
      <c r="AK267" s="297">
        <f t="shared" si="172"/>
        <v>5748.5848753345717</v>
      </c>
      <c r="AL267" s="294">
        <f t="shared" si="173"/>
        <v>0</v>
      </c>
      <c r="AM267" s="292"/>
      <c r="AN267" s="292"/>
      <c r="AO267" s="295">
        <f>'Unit Savings Calculations'!P263</f>
        <v>24.25563238537794</v>
      </c>
      <c r="AP267" s="383" t="s">
        <v>763</v>
      </c>
      <c r="AQ267" s="297">
        <f t="shared" si="174"/>
        <v>5748.5848753345717</v>
      </c>
      <c r="AR267" s="294">
        <f t="shared" si="175"/>
        <v>0</v>
      </c>
      <c r="AS267" s="292"/>
      <c r="AT267" s="292"/>
      <c r="AU267" s="295">
        <f>'Unit Savings Calculations'!Q263</f>
        <v>24.25563238537794</v>
      </c>
      <c r="AV267" s="383" t="str">
        <f t="shared" si="158"/>
        <v>n/a</v>
      </c>
      <c r="AW267" s="297">
        <f t="shared" si="176"/>
        <v>5748.5848753345717</v>
      </c>
      <c r="AX267" s="294">
        <f t="shared" si="177"/>
        <v>0</v>
      </c>
      <c r="AY267" s="297">
        <f t="shared" si="159"/>
        <v>5748.5848753345717</v>
      </c>
      <c r="AZ267" s="297">
        <f t="shared" si="160"/>
        <v>5748.5848753345717</v>
      </c>
      <c r="BA267" s="297">
        <f t="shared" si="161"/>
        <v>5748.5848753345717</v>
      </c>
      <c r="BB267" s="297">
        <f t="shared" si="162"/>
        <v>5748.5848753345717</v>
      </c>
      <c r="BC267" s="298">
        <f t="shared" si="163"/>
        <v>22994.339501338287</v>
      </c>
      <c r="BD267" s="292" t="s">
        <v>763</v>
      </c>
      <c r="BE267" s="299" t="str">
        <f t="shared" si="164"/>
        <v>Exhibit 1.5A_R North Shore EEPS_Adjustable_Savings_Goal_Template.xlsx, Pipe Insulation Detail Tab</v>
      </c>
      <c r="BF267" s="298">
        <f t="shared" si="165"/>
        <v>86228.77313001857</v>
      </c>
      <c r="BG267" s="298">
        <f t="shared" si="165"/>
        <v>86228.77313001857</v>
      </c>
      <c r="BH267" s="298">
        <f t="shared" si="165"/>
        <v>86228.77313001857</v>
      </c>
      <c r="BI267" s="298">
        <f t="shared" si="155"/>
        <v>86228.77313001857</v>
      </c>
      <c r="BJ267" s="298">
        <f t="shared" si="166"/>
        <v>344915.09252007428</v>
      </c>
      <c r="BK267" s="482">
        <v>15</v>
      </c>
      <c r="BL267" s="482">
        <v>15</v>
      </c>
      <c r="BM267" s="482">
        <f>INDEX('Unit Savings Calculations'!$I$4:$I$421,MATCH('Measure-Level Adjustments Tab'!$A267&amp;"_"&amp;'Measure-Level Adjustments Tab'!$B267,'Unit Savings Calculations'!$A$4:$A$421,0))</f>
        <v>15</v>
      </c>
      <c r="BN267" s="482">
        <f t="shared" si="167"/>
        <v>15</v>
      </c>
      <c r="BO267" s="483">
        <f t="shared" si="168"/>
        <v>86228.77313001857</v>
      </c>
      <c r="BP267" s="483">
        <f t="shared" si="168"/>
        <v>86228.77313001857</v>
      </c>
      <c r="BQ267" s="483">
        <f t="shared" si="168"/>
        <v>86228.77313001857</v>
      </c>
      <c r="BR267" s="483">
        <f t="shared" si="156"/>
        <v>86228.77313001857</v>
      </c>
      <c r="BS267" s="483">
        <f t="shared" si="157"/>
        <v>344915.09252007428</v>
      </c>
    </row>
    <row r="268" spans="1:71" ht="15.75" customHeight="1">
      <c r="A268" s="292" t="str">
        <f>'Unit Savings Calculations'!C264</f>
        <v>Bus - CI Rebates</v>
      </c>
      <c r="B268" s="292" t="str">
        <f>'Unit Savings Calculations'!D264</f>
        <v>Pipe Insulation - Steam - X-Large &gt;8"</v>
      </c>
      <c r="C268" s="293">
        <f t="shared" si="149"/>
        <v>1</v>
      </c>
      <c r="D268" s="292" t="str">
        <f>'Unit Savings Calculations'!T264</f>
        <v>4.4.14</v>
      </c>
      <c r="E268" s="438">
        <v>15</v>
      </c>
      <c r="F268" s="438">
        <v>15</v>
      </c>
      <c r="G268" s="292" t="str">
        <f>'Unit Savings Calculations'!E264</f>
        <v>ft</v>
      </c>
      <c r="H268" s="294">
        <f>'Unit Savings Calculations'!$F264*'Unit Savings Calculations'!J264</f>
        <v>0</v>
      </c>
      <c r="I268" s="294">
        <f>'Unit Savings Calculations'!$F264*'Unit Savings Calculations'!K264</f>
        <v>0</v>
      </c>
      <c r="J268" s="294">
        <f>'Unit Savings Calculations'!$F264*'Unit Savings Calculations'!L264</f>
        <v>0</v>
      </c>
      <c r="K268" s="294">
        <f>'Unit Savings Calculations'!$F264*'Unit Savings Calculations'!M264</f>
        <v>0</v>
      </c>
      <c r="L268" s="292" t="str">
        <f>'Unit Savings Calculations'!U264</f>
        <v>CI-HVC-PINS-V04-160601</v>
      </c>
      <c r="M268" s="383" t="str">
        <f>'Unit Savings Calculations'!R264</f>
        <v>Exhibit 1.5A_R North Shore EEPS_Adjustable_Savings_Goal_Template.xlsx, Pipe Insulation Detail Tab</v>
      </c>
      <c r="N268" s="295">
        <v>35.984797966765058</v>
      </c>
      <c r="O268" s="295">
        <v>35.984797966765058</v>
      </c>
      <c r="P268" s="295">
        <v>35.984797966765058</v>
      </c>
      <c r="Q268" s="295">
        <v>35.984797966765058</v>
      </c>
      <c r="R268" s="296">
        <f>'Unit Savings Calculations'!$G264</f>
        <v>0.79</v>
      </c>
      <c r="S268" s="296">
        <f>'Unit Savings Calculations'!$G264</f>
        <v>0.79</v>
      </c>
      <c r="T268" s="296">
        <f>'Unit Savings Calculations'!$G264</f>
        <v>0.79</v>
      </c>
      <c r="U268" s="296">
        <f>'Unit Savings Calculations'!$G264</f>
        <v>0.79</v>
      </c>
      <c r="V268" s="297">
        <f t="shared" si="150"/>
        <v>0</v>
      </c>
      <c r="W268" s="297">
        <f t="shared" si="151"/>
        <v>0</v>
      </c>
      <c r="X268" s="297">
        <f t="shared" si="152"/>
        <v>0</v>
      </c>
      <c r="Y268" s="297">
        <f t="shared" si="153"/>
        <v>0</v>
      </c>
      <c r="Z268" s="297">
        <f t="shared" si="154"/>
        <v>0</v>
      </c>
      <c r="AA268" s="292"/>
      <c r="AB268" s="292"/>
      <c r="AC268" s="295">
        <v>35.984797966765058</v>
      </c>
      <c r="AD268" s="292"/>
      <c r="AE268" s="297">
        <f t="shared" si="169"/>
        <v>0</v>
      </c>
      <c r="AF268" s="294">
        <f t="shared" si="170"/>
        <v>0</v>
      </c>
      <c r="AG268" s="292"/>
      <c r="AH268" s="292">
        <f t="shared" si="171"/>
        <v>0</v>
      </c>
      <c r="AI268" s="295">
        <v>35.984797966765058</v>
      </c>
      <c r="AJ268" s="383" t="s">
        <v>878</v>
      </c>
      <c r="AK268" s="297">
        <f t="shared" si="172"/>
        <v>0</v>
      </c>
      <c r="AL268" s="294">
        <f t="shared" si="173"/>
        <v>0</v>
      </c>
      <c r="AM268" s="292"/>
      <c r="AN268" s="292"/>
      <c r="AO268" s="295">
        <f>'Unit Savings Calculations'!P264</f>
        <v>35.984797966765058</v>
      </c>
      <c r="AP268" s="383" t="s">
        <v>763</v>
      </c>
      <c r="AQ268" s="297">
        <f t="shared" si="174"/>
        <v>0</v>
      </c>
      <c r="AR268" s="294">
        <f t="shared" si="175"/>
        <v>0</v>
      </c>
      <c r="AS268" s="292"/>
      <c r="AT268" s="292"/>
      <c r="AU268" s="295">
        <f>'Unit Savings Calculations'!Q264</f>
        <v>35.984797966765058</v>
      </c>
      <c r="AV268" s="383" t="str">
        <f t="shared" si="158"/>
        <v>n/a</v>
      </c>
      <c r="AW268" s="297">
        <f t="shared" si="176"/>
        <v>0</v>
      </c>
      <c r="AX268" s="294">
        <f t="shared" si="177"/>
        <v>0</v>
      </c>
      <c r="AY268" s="297">
        <f t="shared" si="159"/>
        <v>0</v>
      </c>
      <c r="AZ268" s="297">
        <f t="shared" si="160"/>
        <v>0</v>
      </c>
      <c r="BA268" s="297">
        <f t="shared" si="161"/>
        <v>0</v>
      </c>
      <c r="BB268" s="297">
        <f t="shared" si="162"/>
        <v>0</v>
      </c>
      <c r="BC268" s="298">
        <f t="shared" si="163"/>
        <v>0</v>
      </c>
      <c r="BD268" s="292" t="s">
        <v>763</v>
      </c>
      <c r="BE268" s="299" t="str">
        <f t="shared" si="164"/>
        <v>Exhibit 1.5A_R North Shore EEPS_Adjustable_Savings_Goal_Template.xlsx, Pipe Insulation Detail Tab</v>
      </c>
      <c r="BF268" s="298">
        <f t="shared" si="165"/>
        <v>0</v>
      </c>
      <c r="BG268" s="298">
        <f t="shared" si="165"/>
        <v>0</v>
      </c>
      <c r="BH268" s="298">
        <f t="shared" si="165"/>
        <v>0</v>
      </c>
      <c r="BI268" s="298">
        <f t="shared" si="155"/>
        <v>0</v>
      </c>
      <c r="BJ268" s="298">
        <f t="shared" si="166"/>
        <v>0</v>
      </c>
      <c r="BK268" s="482">
        <v>15</v>
      </c>
      <c r="BL268" s="482">
        <v>15</v>
      </c>
      <c r="BM268" s="482">
        <f>INDEX('Unit Savings Calculations'!$I$4:$I$421,MATCH('Measure-Level Adjustments Tab'!$A268&amp;"_"&amp;'Measure-Level Adjustments Tab'!$B268,'Unit Savings Calculations'!$A$4:$A$421,0))</f>
        <v>15</v>
      </c>
      <c r="BN268" s="482">
        <f t="shared" si="167"/>
        <v>15</v>
      </c>
      <c r="BO268" s="483">
        <f t="shared" si="168"/>
        <v>0</v>
      </c>
      <c r="BP268" s="483">
        <f t="shared" si="168"/>
        <v>0</v>
      </c>
      <c r="BQ268" s="483">
        <f t="shared" si="168"/>
        <v>0</v>
      </c>
      <c r="BR268" s="483">
        <f t="shared" si="156"/>
        <v>0</v>
      </c>
      <c r="BS268" s="483">
        <f t="shared" si="157"/>
        <v>0</v>
      </c>
    </row>
    <row r="269" spans="1:71" ht="15.75" customHeight="1">
      <c r="A269" s="292" t="str">
        <f>'Unit Savings Calculations'!C265</f>
        <v>Bus - CI Rebates</v>
      </c>
      <c r="B269" s="292" t="str">
        <f>'Unit Savings Calculations'!D265</f>
        <v>Pipe Insulation - Steam Med Fitting</v>
      </c>
      <c r="C269" s="293">
        <f t="shared" si="149"/>
        <v>1</v>
      </c>
      <c r="D269" s="292" t="str">
        <f>'Unit Savings Calculations'!T265</f>
        <v>4.4.14</v>
      </c>
      <c r="E269" s="438">
        <v>15</v>
      </c>
      <c r="F269" s="438">
        <v>15</v>
      </c>
      <c r="G269" s="292" t="str">
        <f>'Unit Savings Calculations'!E265</f>
        <v>each</v>
      </c>
      <c r="H269" s="294">
        <f>'Unit Savings Calculations'!$F265*'Unit Savings Calculations'!J265</f>
        <v>0</v>
      </c>
      <c r="I269" s="294">
        <f>'Unit Savings Calculations'!$F265*'Unit Savings Calculations'!K265</f>
        <v>0</v>
      </c>
      <c r="J269" s="294">
        <f>'Unit Savings Calculations'!$F265*'Unit Savings Calculations'!L265</f>
        <v>0</v>
      </c>
      <c r="K269" s="294">
        <f>'Unit Savings Calculations'!$F265*'Unit Savings Calculations'!M265</f>
        <v>0</v>
      </c>
      <c r="L269" s="292" t="str">
        <f>'Unit Savings Calculations'!U265</f>
        <v>CI-HVC-PINS-V04-160601</v>
      </c>
      <c r="M269" s="383" t="str">
        <f>'Unit Savings Calculations'!R265</f>
        <v>Exhibit 1.5A_R North Shore EEPS_Adjustable_Savings_Goal_Template.xlsx, Pipe Insulation Detail Tab</v>
      </c>
      <c r="N269" s="295">
        <v>12.515179237984789</v>
      </c>
      <c r="O269" s="295">
        <v>12.515179237984789</v>
      </c>
      <c r="P269" s="295">
        <v>12.515179237984789</v>
      </c>
      <c r="Q269" s="295">
        <v>12.515179237984789</v>
      </c>
      <c r="R269" s="296">
        <f>'Unit Savings Calculations'!$G265</f>
        <v>0.79</v>
      </c>
      <c r="S269" s="296">
        <f>'Unit Savings Calculations'!$G265</f>
        <v>0.79</v>
      </c>
      <c r="T269" s="296">
        <f>'Unit Savings Calculations'!$G265</f>
        <v>0.79</v>
      </c>
      <c r="U269" s="296">
        <f>'Unit Savings Calculations'!$G265</f>
        <v>0.79</v>
      </c>
      <c r="V269" s="297">
        <f t="shared" si="150"/>
        <v>0</v>
      </c>
      <c r="W269" s="297">
        <f t="shared" si="151"/>
        <v>0</v>
      </c>
      <c r="X269" s="297">
        <f t="shared" si="152"/>
        <v>0</v>
      </c>
      <c r="Y269" s="297">
        <f t="shared" si="153"/>
        <v>0</v>
      </c>
      <c r="Z269" s="297">
        <f t="shared" si="154"/>
        <v>0</v>
      </c>
      <c r="AA269" s="292"/>
      <c r="AB269" s="292"/>
      <c r="AC269" s="295">
        <v>12.515179237984789</v>
      </c>
      <c r="AD269" s="292"/>
      <c r="AE269" s="297">
        <f t="shared" si="169"/>
        <v>0</v>
      </c>
      <c r="AF269" s="294">
        <f t="shared" si="170"/>
        <v>0</v>
      </c>
      <c r="AG269" s="292"/>
      <c r="AH269" s="292">
        <f t="shared" si="171"/>
        <v>0</v>
      </c>
      <c r="AI269" s="295">
        <v>12.515179237984789</v>
      </c>
      <c r="AJ269" s="383" t="s">
        <v>878</v>
      </c>
      <c r="AK269" s="297">
        <f t="shared" si="172"/>
        <v>0</v>
      </c>
      <c r="AL269" s="294">
        <f t="shared" si="173"/>
        <v>0</v>
      </c>
      <c r="AM269" s="292"/>
      <c r="AN269" s="292"/>
      <c r="AO269" s="295">
        <f>'Unit Savings Calculations'!P265</f>
        <v>12.515179237984789</v>
      </c>
      <c r="AP269" s="383" t="s">
        <v>763</v>
      </c>
      <c r="AQ269" s="297">
        <f t="shared" si="174"/>
        <v>0</v>
      </c>
      <c r="AR269" s="294">
        <f t="shared" si="175"/>
        <v>0</v>
      </c>
      <c r="AS269" s="292"/>
      <c r="AT269" s="292"/>
      <c r="AU269" s="295">
        <f>'Unit Savings Calculations'!Q265</f>
        <v>12.515179237984789</v>
      </c>
      <c r="AV269" s="383" t="str">
        <f t="shared" si="158"/>
        <v>n/a</v>
      </c>
      <c r="AW269" s="297">
        <f t="shared" si="176"/>
        <v>0</v>
      </c>
      <c r="AX269" s="294">
        <f t="shared" si="177"/>
        <v>0</v>
      </c>
      <c r="AY269" s="297">
        <f t="shared" si="159"/>
        <v>0</v>
      </c>
      <c r="AZ269" s="297">
        <f t="shared" si="160"/>
        <v>0</v>
      </c>
      <c r="BA269" s="297">
        <f t="shared" si="161"/>
        <v>0</v>
      </c>
      <c r="BB269" s="297">
        <f t="shared" si="162"/>
        <v>0</v>
      </c>
      <c r="BC269" s="298">
        <f t="shared" si="163"/>
        <v>0</v>
      </c>
      <c r="BD269" s="292" t="s">
        <v>763</v>
      </c>
      <c r="BE269" s="299" t="str">
        <f t="shared" si="164"/>
        <v>Exhibit 1.5A_R North Shore EEPS_Adjustable_Savings_Goal_Template.xlsx, Pipe Insulation Detail Tab</v>
      </c>
      <c r="BF269" s="298">
        <f t="shared" si="165"/>
        <v>0</v>
      </c>
      <c r="BG269" s="298">
        <f t="shared" si="165"/>
        <v>0</v>
      </c>
      <c r="BH269" s="298">
        <f t="shared" si="165"/>
        <v>0</v>
      </c>
      <c r="BI269" s="298">
        <f t="shared" si="155"/>
        <v>0</v>
      </c>
      <c r="BJ269" s="298">
        <f t="shared" si="166"/>
        <v>0</v>
      </c>
      <c r="BK269" s="482">
        <v>15</v>
      </c>
      <c r="BL269" s="482">
        <v>15</v>
      </c>
      <c r="BM269" s="482">
        <f>INDEX('Unit Savings Calculations'!$I$4:$I$421,MATCH('Measure-Level Adjustments Tab'!$A269&amp;"_"&amp;'Measure-Level Adjustments Tab'!$B269,'Unit Savings Calculations'!$A$4:$A$421,0))</f>
        <v>15</v>
      </c>
      <c r="BN269" s="482">
        <f t="shared" si="167"/>
        <v>15</v>
      </c>
      <c r="BO269" s="483">
        <f t="shared" si="168"/>
        <v>0</v>
      </c>
      <c r="BP269" s="483">
        <f t="shared" si="168"/>
        <v>0</v>
      </c>
      <c r="BQ269" s="483">
        <f t="shared" si="168"/>
        <v>0</v>
      </c>
      <c r="BR269" s="483">
        <f t="shared" si="156"/>
        <v>0</v>
      </c>
      <c r="BS269" s="483">
        <f t="shared" si="157"/>
        <v>0</v>
      </c>
    </row>
    <row r="270" spans="1:71" ht="15.75" customHeight="1">
      <c r="A270" s="292" t="str">
        <f>'Unit Savings Calculations'!C266</f>
        <v>Bus - CI Rebates</v>
      </c>
      <c r="B270" s="292" t="str">
        <f>'Unit Savings Calculations'!D266</f>
        <v>Pipe Insulation - Steam Large Fitting</v>
      </c>
      <c r="C270" s="293">
        <f t="shared" si="149"/>
        <v>1</v>
      </c>
      <c r="D270" s="292" t="str">
        <f>'Unit Savings Calculations'!T266</f>
        <v>4.4.14</v>
      </c>
      <c r="E270" s="438">
        <v>15</v>
      </c>
      <c r="F270" s="438">
        <v>15</v>
      </c>
      <c r="G270" s="292" t="str">
        <f>'Unit Savings Calculations'!E266</f>
        <v>each</v>
      </c>
      <c r="H270" s="294">
        <f>'Unit Savings Calculations'!$F266*'Unit Savings Calculations'!J266</f>
        <v>35</v>
      </c>
      <c r="I270" s="294">
        <f>'Unit Savings Calculations'!$F266*'Unit Savings Calculations'!K266</f>
        <v>35</v>
      </c>
      <c r="J270" s="294">
        <f>'Unit Savings Calculations'!$F266*'Unit Savings Calculations'!L266</f>
        <v>35</v>
      </c>
      <c r="K270" s="294">
        <f>'Unit Savings Calculations'!$F266*'Unit Savings Calculations'!M266</f>
        <v>35</v>
      </c>
      <c r="L270" s="292" t="str">
        <f>'Unit Savings Calculations'!U266</f>
        <v>CI-HVC-PINS-V04-160601</v>
      </c>
      <c r="M270" s="383" t="str">
        <f>'Unit Savings Calculations'!R266</f>
        <v>Exhibit 1.5A_R North Shore EEPS_Adjustable_Savings_Goal_Template.xlsx, Pipe Insulation Detail Tab</v>
      </c>
      <c r="N270" s="295">
        <v>51.249515380658096</v>
      </c>
      <c r="O270" s="295">
        <v>51.249515380658096</v>
      </c>
      <c r="P270" s="295">
        <v>51.249515380658096</v>
      </c>
      <c r="Q270" s="295">
        <v>51.249515380658096</v>
      </c>
      <c r="R270" s="296">
        <f>'Unit Savings Calculations'!$G266</f>
        <v>0.79</v>
      </c>
      <c r="S270" s="296">
        <f>'Unit Savings Calculations'!$G266</f>
        <v>0.79</v>
      </c>
      <c r="T270" s="296">
        <f>'Unit Savings Calculations'!$G266</f>
        <v>0.79</v>
      </c>
      <c r="U270" s="296">
        <f>'Unit Savings Calculations'!$G266</f>
        <v>0.79</v>
      </c>
      <c r="V270" s="297">
        <f t="shared" si="150"/>
        <v>1417.0491002751965</v>
      </c>
      <c r="W270" s="297">
        <f t="shared" si="151"/>
        <v>1417.0491002751965</v>
      </c>
      <c r="X270" s="297">
        <f t="shared" si="152"/>
        <v>1417.0491002751965</v>
      </c>
      <c r="Y270" s="297">
        <f t="shared" si="153"/>
        <v>1417.0491002751965</v>
      </c>
      <c r="Z270" s="297">
        <f t="shared" si="154"/>
        <v>5668.1964011007858</v>
      </c>
      <c r="AA270" s="292"/>
      <c r="AB270" s="292"/>
      <c r="AC270" s="295">
        <v>51.249515380658096</v>
      </c>
      <c r="AD270" s="292"/>
      <c r="AE270" s="297">
        <f t="shared" si="169"/>
        <v>1417.0491002751965</v>
      </c>
      <c r="AF270" s="294">
        <f t="shared" si="170"/>
        <v>0</v>
      </c>
      <c r="AG270" s="292"/>
      <c r="AH270" s="292">
        <f t="shared" si="171"/>
        <v>0</v>
      </c>
      <c r="AI270" s="295">
        <v>51.249515380658096</v>
      </c>
      <c r="AJ270" s="383" t="s">
        <v>878</v>
      </c>
      <c r="AK270" s="297">
        <f t="shared" si="172"/>
        <v>1417.0491002751965</v>
      </c>
      <c r="AL270" s="294">
        <f t="shared" si="173"/>
        <v>0</v>
      </c>
      <c r="AM270" s="292"/>
      <c r="AN270" s="292"/>
      <c r="AO270" s="295">
        <f>'Unit Savings Calculations'!P266</f>
        <v>51.249515380658096</v>
      </c>
      <c r="AP270" s="383" t="s">
        <v>763</v>
      </c>
      <c r="AQ270" s="297">
        <f t="shared" si="174"/>
        <v>1417.0491002751965</v>
      </c>
      <c r="AR270" s="294">
        <f t="shared" si="175"/>
        <v>0</v>
      </c>
      <c r="AS270" s="292"/>
      <c r="AT270" s="292"/>
      <c r="AU270" s="295">
        <f>'Unit Savings Calculations'!Q266</f>
        <v>51.249515380658096</v>
      </c>
      <c r="AV270" s="383" t="str">
        <f t="shared" si="158"/>
        <v>n/a</v>
      </c>
      <c r="AW270" s="297">
        <f t="shared" si="176"/>
        <v>1417.0491002751965</v>
      </c>
      <c r="AX270" s="294">
        <f t="shared" si="177"/>
        <v>0</v>
      </c>
      <c r="AY270" s="297">
        <f t="shared" si="159"/>
        <v>1417.0491002751965</v>
      </c>
      <c r="AZ270" s="297">
        <f t="shared" si="160"/>
        <v>1417.0491002751965</v>
      </c>
      <c r="BA270" s="297">
        <f t="shared" si="161"/>
        <v>1417.0491002751965</v>
      </c>
      <c r="BB270" s="297">
        <f t="shared" si="162"/>
        <v>1417.0491002751965</v>
      </c>
      <c r="BC270" s="298">
        <f t="shared" si="163"/>
        <v>5668.1964011007858</v>
      </c>
      <c r="BD270" s="292" t="s">
        <v>763</v>
      </c>
      <c r="BE270" s="299" t="str">
        <f t="shared" si="164"/>
        <v>Exhibit 1.5A_R North Shore EEPS_Adjustable_Savings_Goal_Template.xlsx, Pipe Insulation Detail Tab</v>
      </c>
      <c r="BF270" s="298">
        <f t="shared" si="165"/>
        <v>21255.736504127948</v>
      </c>
      <c r="BG270" s="298">
        <f t="shared" si="165"/>
        <v>21255.736504127948</v>
      </c>
      <c r="BH270" s="298">
        <f t="shared" si="165"/>
        <v>21255.736504127948</v>
      </c>
      <c r="BI270" s="298">
        <f t="shared" si="155"/>
        <v>21255.736504127948</v>
      </c>
      <c r="BJ270" s="298">
        <f t="shared" si="166"/>
        <v>85022.946016511793</v>
      </c>
      <c r="BK270" s="482">
        <v>15</v>
      </c>
      <c r="BL270" s="482">
        <v>15</v>
      </c>
      <c r="BM270" s="482">
        <f>INDEX('Unit Savings Calculations'!$I$4:$I$421,MATCH('Measure-Level Adjustments Tab'!$A270&amp;"_"&amp;'Measure-Level Adjustments Tab'!$B270,'Unit Savings Calculations'!$A$4:$A$421,0))</f>
        <v>15</v>
      </c>
      <c r="BN270" s="482">
        <f t="shared" si="167"/>
        <v>15</v>
      </c>
      <c r="BO270" s="483">
        <f t="shared" si="168"/>
        <v>21255.736504127948</v>
      </c>
      <c r="BP270" s="483">
        <f t="shared" si="168"/>
        <v>21255.736504127948</v>
      </c>
      <c r="BQ270" s="483">
        <f t="shared" si="168"/>
        <v>21255.736504127948</v>
      </c>
      <c r="BR270" s="483">
        <f t="shared" si="156"/>
        <v>21255.736504127948</v>
      </c>
      <c r="BS270" s="483">
        <f t="shared" si="157"/>
        <v>85022.946016511793</v>
      </c>
    </row>
    <row r="271" spans="1:71" ht="15.75" customHeight="1">
      <c r="A271" s="292" t="str">
        <f>'Unit Savings Calculations'!C267</f>
        <v>Bus - CI Rebates</v>
      </c>
      <c r="B271" s="292" t="str">
        <f>'Unit Savings Calculations'!D267</f>
        <v>Pipe Insulation - Steam X-Large Fitting</v>
      </c>
      <c r="C271" s="293">
        <f t="shared" si="149"/>
        <v>1</v>
      </c>
      <c r="D271" s="292" t="str">
        <f>'Unit Savings Calculations'!T267</f>
        <v>4.4.14</v>
      </c>
      <c r="E271" s="438">
        <v>15</v>
      </c>
      <c r="F271" s="438">
        <v>15</v>
      </c>
      <c r="G271" s="292" t="str">
        <f>'Unit Savings Calculations'!E267</f>
        <v>each</v>
      </c>
      <c r="H271" s="294">
        <f>'Unit Savings Calculations'!$F267*'Unit Savings Calculations'!J267</f>
        <v>0</v>
      </c>
      <c r="I271" s="294">
        <f>'Unit Savings Calculations'!$F267*'Unit Savings Calculations'!K267</f>
        <v>0</v>
      </c>
      <c r="J271" s="294">
        <f>'Unit Savings Calculations'!$F267*'Unit Savings Calculations'!L267</f>
        <v>0</v>
      </c>
      <c r="K271" s="294">
        <f>'Unit Savings Calculations'!$F267*'Unit Savings Calculations'!M267</f>
        <v>0</v>
      </c>
      <c r="L271" s="292" t="str">
        <f>'Unit Savings Calculations'!U267</f>
        <v>CI-HVC-PINS-V04-160601</v>
      </c>
      <c r="M271" s="383" t="str">
        <f>'Unit Savings Calculations'!R267</f>
        <v>Exhibit 1.5A_R North Shore EEPS_Adjustable_Savings_Goal_Template.xlsx, Pipe Insulation Detail Tab</v>
      </c>
      <c r="N271" s="295">
        <v>99.138118398437726</v>
      </c>
      <c r="O271" s="295">
        <v>99.138118398437726</v>
      </c>
      <c r="P271" s="295">
        <v>99.138118398437726</v>
      </c>
      <c r="Q271" s="295">
        <v>99.138118398437726</v>
      </c>
      <c r="R271" s="296">
        <f>'Unit Savings Calculations'!$G267</f>
        <v>0.79</v>
      </c>
      <c r="S271" s="296">
        <f>'Unit Savings Calculations'!$G267</f>
        <v>0.79</v>
      </c>
      <c r="T271" s="296">
        <f>'Unit Savings Calculations'!$G267</f>
        <v>0.79</v>
      </c>
      <c r="U271" s="296">
        <f>'Unit Savings Calculations'!$G267</f>
        <v>0.79</v>
      </c>
      <c r="V271" s="297">
        <f t="shared" si="150"/>
        <v>0</v>
      </c>
      <c r="W271" s="297">
        <f t="shared" si="151"/>
        <v>0</v>
      </c>
      <c r="X271" s="297">
        <f t="shared" si="152"/>
        <v>0</v>
      </c>
      <c r="Y271" s="297">
        <f t="shared" si="153"/>
        <v>0</v>
      </c>
      <c r="Z271" s="297">
        <f t="shared" si="154"/>
        <v>0</v>
      </c>
      <c r="AA271" s="292"/>
      <c r="AB271" s="292"/>
      <c r="AC271" s="295">
        <v>99.138118398437726</v>
      </c>
      <c r="AD271" s="292"/>
      <c r="AE271" s="297">
        <f t="shared" si="169"/>
        <v>0</v>
      </c>
      <c r="AF271" s="294">
        <f t="shared" si="170"/>
        <v>0</v>
      </c>
      <c r="AG271" s="292"/>
      <c r="AH271" s="292">
        <f t="shared" si="171"/>
        <v>0</v>
      </c>
      <c r="AI271" s="295">
        <v>99.138118398437726</v>
      </c>
      <c r="AJ271" s="383" t="s">
        <v>878</v>
      </c>
      <c r="AK271" s="297">
        <f t="shared" si="172"/>
        <v>0</v>
      </c>
      <c r="AL271" s="294">
        <f t="shared" si="173"/>
        <v>0</v>
      </c>
      <c r="AM271" s="292"/>
      <c r="AN271" s="292"/>
      <c r="AO271" s="295">
        <f>'Unit Savings Calculations'!P267</f>
        <v>99.138118398437726</v>
      </c>
      <c r="AP271" s="383" t="s">
        <v>763</v>
      </c>
      <c r="AQ271" s="297">
        <f t="shared" si="174"/>
        <v>0</v>
      </c>
      <c r="AR271" s="294">
        <f t="shared" si="175"/>
        <v>0</v>
      </c>
      <c r="AS271" s="292"/>
      <c r="AT271" s="292"/>
      <c r="AU271" s="295">
        <f>'Unit Savings Calculations'!Q267</f>
        <v>99.138118398437726</v>
      </c>
      <c r="AV271" s="383" t="str">
        <f t="shared" si="158"/>
        <v>n/a</v>
      </c>
      <c r="AW271" s="297">
        <f t="shared" si="176"/>
        <v>0</v>
      </c>
      <c r="AX271" s="294">
        <f t="shared" si="177"/>
        <v>0</v>
      </c>
      <c r="AY271" s="297">
        <f t="shared" si="159"/>
        <v>0</v>
      </c>
      <c r="AZ271" s="297">
        <f t="shared" si="160"/>
        <v>0</v>
      </c>
      <c r="BA271" s="297">
        <f t="shared" si="161"/>
        <v>0</v>
      </c>
      <c r="BB271" s="297">
        <f t="shared" si="162"/>
        <v>0</v>
      </c>
      <c r="BC271" s="298">
        <f t="shared" si="163"/>
        <v>0</v>
      </c>
      <c r="BD271" s="292" t="s">
        <v>763</v>
      </c>
      <c r="BE271" s="299" t="str">
        <f t="shared" si="164"/>
        <v>Exhibit 1.5A_R North Shore EEPS_Adjustable_Savings_Goal_Template.xlsx, Pipe Insulation Detail Tab</v>
      </c>
      <c r="BF271" s="298">
        <f t="shared" si="165"/>
        <v>0</v>
      </c>
      <c r="BG271" s="298">
        <f t="shared" si="165"/>
        <v>0</v>
      </c>
      <c r="BH271" s="298">
        <f t="shared" si="165"/>
        <v>0</v>
      </c>
      <c r="BI271" s="298">
        <f t="shared" si="155"/>
        <v>0</v>
      </c>
      <c r="BJ271" s="298">
        <f t="shared" si="166"/>
        <v>0</v>
      </c>
      <c r="BK271" s="482">
        <v>15</v>
      </c>
      <c r="BL271" s="482">
        <v>15</v>
      </c>
      <c r="BM271" s="482">
        <f>INDEX('Unit Savings Calculations'!$I$4:$I$421,MATCH('Measure-Level Adjustments Tab'!$A271&amp;"_"&amp;'Measure-Level Adjustments Tab'!$B271,'Unit Savings Calculations'!$A$4:$A$421,0))</f>
        <v>15</v>
      </c>
      <c r="BN271" s="482">
        <f t="shared" si="167"/>
        <v>15</v>
      </c>
      <c r="BO271" s="483">
        <f t="shared" si="168"/>
        <v>0</v>
      </c>
      <c r="BP271" s="483">
        <f t="shared" si="168"/>
        <v>0</v>
      </c>
      <c r="BQ271" s="483">
        <f t="shared" si="168"/>
        <v>0</v>
      </c>
      <c r="BR271" s="483">
        <f t="shared" si="156"/>
        <v>0</v>
      </c>
      <c r="BS271" s="483">
        <f t="shared" si="157"/>
        <v>0</v>
      </c>
    </row>
    <row r="272" spans="1:71" ht="15.75" customHeight="1">
      <c r="A272" s="292" t="str">
        <f>'Unit Savings Calculations'!C268</f>
        <v>Bus - CI Rebates</v>
      </c>
      <c r="B272" s="292" t="str">
        <f>'Unit Savings Calculations'!D268</f>
        <v>Pipe Insulation - Steam Med Valve</v>
      </c>
      <c r="C272" s="293">
        <f t="shared" si="149"/>
        <v>1</v>
      </c>
      <c r="D272" s="292" t="str">
        <f>'Unit Savings Calculations'!T268</f>
        <v>4.4.14</v>
      </c>
      <c r="E272" s="438">
        <v>15</v>
      </c>
      <c r="F272" s="438">
        <v>15</v>
      </c>
      <c r="G272" s="292" t="str">
        <f>'Unit Savings Calculations'!E268</f>
        <v>each</v>
      </c>
      <c r="H272" s="294">
        <f>'Unit Savings Calculations'!$F268*'Unit Savings Calculations'!J268</f>
        <v>0</v>
      </c>
      <c r="I272" s="294">
        <f>'Unit Savings Calculations'!$F268*'Unit Savings Calculations'!K268</f>
        <v>0</v>
      </c>
      <c r="J272" s="294">
        <f>'Unit Savings Calculations'!$F268*'Unit Savings Calculations'!L268</f>
        <v>0</v>
      </c>
      <c r="K272" s="294">
        <f>'Unit Savings Calculations'!$F268*'Unit Savings Calculations'!M268</f>
        <v>0</v>
      </c>
      <c r="L272" s="292" t="str">
        <f>'Unit Savings Calculations'!U268</f>
        <v>CI-HVC-PINS-V04-160601</v>
      </c>
      <c r="M272" s="383" t="str">
        <f>'Unit Savings Calculations'!R268</f>
        <v>Exhibit 1.5A_R North Shore EEPS_Adjustable_Savings_Goal_Template.xlsx, Pipe Insulation Detail Tab</v>
      </c>
      <c r="N272" s="295">
        <v>37.423389683572815</v>
      </c>
      <c r="O272" s="295">
        <v>37.423389683572815</v>
      </c>
      <c r="P272" s="295">
        <v>37.423389683572815</v>
      </c>
      <c r="Q272" s="295">
        <v>37.423389683572815</v>
      </c>
      <c r="R272" s="296">
        <f>'Unit Savings Calculations'!$G268</f>
        <v>0.79</v>
      </c>
      <c r="S272" s="296">
        <f>'Unit Savings Calculations'!$G268</f>
        <v>0.79</v>
      </c>
      <c r="T272" s="296">
        <f>'Unit Savings Calculations'!$G268</f>
        <v>0.79</v>
      </c>
      <c r="U272" s="296">
        <f>'Unit Savings Calculations'!$G268</f>
        <v>0.79</v>
      </c>
      <c r="V272" s="297">
        <f t="shared" si="150"/>
        <v>0</v>
      </c>
      <c r="W272" s="297">
        <f t="shared" si="151"/>
        <v>0</v>
      </c>
      <c r="X272" s="297">
        <f t="shared" si="152"/>
        <v>0</v>
      </c>
      <c r="Y272" s="297">
        <f t="shared" si="153"/>
        <v>0</v>
      </c>
      <c r="Z272" s="297">
        <f t="shared" si="154"/>
        <v>0</v>
      </c>
      <c r="AA272" s="292"/>
      <c r="AB272" s="292"/>
      <c r="AC272" s="295">
        <v>37.423389683572815</v>
      </c>
      <c r="AD272" s="292"/>
      <c r="AE272" s="297">
        <f t="shared" si="169"/>
        <v>0</v>
      </c>
      <c r="AF272" s="294">
        <f t="shared" si="170"/>
        <v>0</v>
      </c>
      <c r="AG272" s="292"/>
      <c r="AH272" s="292">
        <f t="shared" si="171"/>
        <v>0</v>
      </c>
      <c r="AI272" s="295">
        <v>37.423389683572815</v>
      </c>
      <c r="AJ272" s="383" t="s">
        <v>878</v>
      </c>
      <c r="AK272" s="297">
        <f t="shared" si="172"/>
        <v>0</v>
      </c>
      <c r="AL272" s="294">
        <f t="shared" si="173"/>
        <v>0</v>
      </c>
      <c r="AM272" s="292"/>
      <c r="AN272" s="292"/>
      <c r="AO272" s="295">
        <f>'Unit Savings Calculations'!P268</f>
        <v>37.423389683572815</v>
      </c>
      <c r="AP272" s="383" t="s">
        <v>763</v>
      </c>
      <c r="AQ272" s="297">
        <f t="shared" si="174"/>
        <v>0</v>
      </c>
      <c r="AR272" s="294">
        <f t="shared" si="175"/>
        <v>0</v>
      </c>
      <c r="AS272" s="292"/>
      <c r="AT272" s="292"/>
      <c r="AU272" s="295">
        <f>'Unit Savings Calculations'!Q268</f>
        <v>37.423389683572815</v>
      </c>
      <c r="AV272" s="383" t="str">
        <f t="shared" si="158"/>
        <v>n/a</v>
      </c>
      <c r="AW272" s="297">
        <f t="shared" si="176"/>
        <v>0</v>
      </c>
      <c r="AX272" s="294">
        <f t="shared" si="177"/>
        <v>0</v>
      </c>
      <c r="AY272" s="297">
        <f t="shared" si="159"/>
        <v>0</v>
      </c>
      <c r="AZ272" s="297">
        <f t="shared" si="160"/>
        <v>0</v>
      </c>
      <c r="BA272" s="297">
        <f t="shared" si="161"/>
        <v>0</v>
      </c>
      <c r="BB272" s="297">
        <f t="shared" si="162"/>
        <v>0</v>
      </c>
      <c r="BC272" s="298">
        <f t="shared" si="163"/>
        <v>0</v>
      </c>
      <c r="BD272" s="292" t="s">
        <v>763</v>
      </c>
      <c r="BE272" s="299" t="str">
        <f t="shared" si="164"/>
        <v>Exhibit 1.5A_R North Shore EEPS_Adjustable_Savings_Goal_Template.xlsx, Pipe Insulation Detail Tab</v>
      </c>
      <c r="BF272" s="298">
        <f t="shared" si="165"/>
        <v>0</v>
      </c>
      <c r="BG272" s="298">
        <f t="shared" si="165"/>
        <v>0</v>
      </c>
      <c r="BH272" s="298">
        <f t="shared" si="165"/>
        <v>0</v>
      </c>
      <c r="BI272" s="298">
        <f t="shared" si="155"/>
        <v>0</v>
      </c>
      <c r="BJ272" s="298">
        <f t="shared" si="166"/>
        <v>0</v>
      </c>
      <c r="BK272" s="482">
        <v>15</v>
      </c>
      <c r="BL272" s="482">
        <v>15</v>
      </c>
      <c r="BM272" s="482">
        <f>INDEX('Unit Savings Calculations'!$I$4:$I$421,MATCH('Measure-Level Adjustments Tab'!$A272&amp;"_"&amp;'Measure-Level Adjustments Tab'!$B272,'Unit Savings Calculations'!$A$4:$A$421,0))</f>
        <v>15</v>
      </c>
      <c r="BN272" s="482">
        <f t="shared" si="167"/>
        <v>15</v>
      </c>
      <c r="BO272" s="483">
        <f t="shared" si="168"/>
        <v>0</v>
      </c>
      <c r="BP272" s="483">
        <f t="shared" si="168"/>
        <v>0</v>
      </c>
      <c r="BQ272" s="483">
        <f t="shared" si="168"/>
        <v>0</v>
      </c>
      <c r="BR272" s="483">
        <f t="shared" si="156"/>
        <v>0</v>
      </c>
      <c r="BS272" s="483">
        <f t="shared" si="157"/>
        <v>0</v>
      </c>
    </row>
    <row r="273" spans="1:71" ht="15.75" customHeight="1">
      <c r="A273" s="292" t="str">
        <f>'Unit Savings Calculations'!C269</f>
        <v>Bus - CI Rebates</v>
      </c>
      <c r="B273" s="292" t="str">
        <f>'Unit Savings Calculations'!D269</f>
        <v>Pipe Insulation - Steam Large Valve</v>
      </c>
      <c r="C273" s="293">
        <f t="shared" si="149"/>
        <v>1</v>
      </c>
      <c r="D273" s="292" t="str">
        <f>'Unit Savings Calculations'!T269</f>
        <v>4.4.14</v>
      </c>
      <c r="E273" s="438">
        <v>15</v>
      </c>
      <c r="F273" s="438">
        <v>15</v>
      </c>
      <c r="G273" s="292" t="str">
        <f>'Unit Savings Calculations'!E269</f>
        <v>each</v>
      </c>
      <c r="H273" s="294">
        <f>'Unit Savings Calculations'!$F269*'Unit Savings Calculations'!J269</f>
        <v>12</v>
      </c>
      <c r="I273" s="294">
        <f>'Unit Savings Calculations'!$F269*'Unit Savings Calculations'!K269</f>
        <v>12</v>
      </c>
      <c r="J273" s="294">
        <f>'Unit Savings Calculations'!$F269*'Unit Savings Calculations'!L269</f>
        <v>12</v>
      </c>
      <c r="K273" s="294">
        <f>'Unit Savings Calculations'!$F269*'Unit Savings Calculations'!M269</f>
        <v>12</v>
      </c>
      <c r="L273" s="292" t="str">
        <f>'Unit Savings Calculations'!U269</f>
        <v>CI-HVC-PINS-V04-160601</v>
      </c>
      <c r="M273" s="383" t="str">
        <f>'Unit Savings Calculations'!R269</f>
        <v>Exhibit 1.5A_R North Shore EEPS_Adjustable_Savings_Goal_Template.xlsx, Pipe Insulation Detail Tab</v>
      </c>
      <c r="N273" s="295">
        <v>107.52607289087437</v>
      </c>
      <c r="O273" s="295">
        <v>107.52607289087437</v>
      </c>
      <c r="P273" s="295">
        <v>107.52607289087437</v>
      </c>
      <c r="Q273" s="295">
        <v>107.52607289087437</v>
      </c>
      <c r="R273" s="296">
        <f>'Unit Savings Calculations'!$G269</f>
        <v>0.79</v>
      </c>
      <c r="S273" s="296">
        <f>'Unit Savings Calculations'!$G269</f>
        <v>0.79</v>
      </c>
      <c r="T273" s="296">
        <f>'Unit Savings Calculations'!$G269</f>
        <v>0.79</v>
      </c>
      <c r="U273" s="296">
        <f>'Unit Savings Calculations'!$G269</f>
        <v>0.79</v>
      </c>
      <c r="V273" s="297">
        <f t="shared" si="150"/>
        <v>1019.347171005489</v>
      </c>
      <c r="W273" s="297">
        <f t="shared" si="151"/>
        <v>1019.347171005489</v>
      </c>
      <c r="X273" s="297">
        <f t="shared" si="152"/>
        <v>1019.347171005489</v>
      </c>
      <c r="Y273" s="297">
        <f t="shared" si="153"/>
        <v>1019.347171005489</v>
      </c>
      <c r="Z273" s="297">
        <f t="shared" si="154"/>
        <v>4077.3886840219561</v>
      </c>
      <c r="AA273" s="292"/>
      <c r="AB273" s="292"/>
      <c r="AC273" s="295">
        <v>107.52607289087437</v>
      </c>
      <c r="AD273" s="292"/>
      <c r="AE273" s="297">
        <f t="shared" si="169"/>
        <v>1019.347171005489</v>
      </c>
      <c r="AF273" s="294">
        <f t="shared" si="170"/>
        <v>0</v>
      </c>
      <c r="AG273" s="292"/>
      <c r="AH273" s="292">
        <f t="shared" si="171"/>
        <v>0</v>
      </c>
      <c r="AI273" s="295">
        <v>107.52607289087437</v>
      </c>
      <c r="AJ273" s="383" t="s">
        <v>878</v>
      </c>
      <c r="AK273" s="297">
        <f t="shared" si="172"/>
        <v>1019.347171005489</v>
      </c>
      <c r="AL273" s="294">
        <f t="shared" si="173"/>
        <v>0</v>
      </c>
      <c r="AM273" s="292"/>
      <c r="AN273" s="292"/>
      <c r="AO273" s="295">
        <f>'Unit Savings Calculations'!P269</f>
        <v>107.52607289087437</v>
      </c>
      <c r="AP273" s="383" t="s">
        <v>763</v>
      </c>
      <c r="AQ273" s="297">
        <f t="shared" si="174"/>
        <v>1019.347171005489</v>
      </c>
      <c r="AR273" s="294">
        <f t="shared" si="175"/>
        <v>0</v>
      </c>
      <c r="AS273" s="292"/>
      <c r="AT273" s="292"/>
      <c r="AU273" s="295">
        <f>'Unit Savings Calculations'!Q269</f>
        <v>107.52607289087437</v>
      </c>
      <c r="AV273" s="383" t="str">
        <f t="shared" si="158"/>
        <v>n/a</v>
      </c>
      <c r="AW273" s="297">
        <f t="shared" si="176"/>
        <v>1019.347171005489</v>
      </c>
      <c r="AX273" s="294">
        <f t="shared" si="177"/>
        <v>0</v>
      </c>
      <c r="AY273" s="297">
        <f t="shared" si="159"/>
        <v>1019.347171005489</v>
      </c>
      <c r="AZ273" s="297">
        <f t="shared" si="160"/>
        <v>1019.347171005489</v>
      </c>
      <c r="BA273" s="297">
        <f t="shared" si="161"/>
        <v>1019.347171005489</v>
      </c>
      <c r="BB273" s="297">
        <f t="shared" si="162"/>
        <v>1019.347171005489</v>
      </c>
      <c r="BC273" s="298">
        <f t="shared" si="163"/>
        <v>4077.3886840219561</v>
      </c>
      <c r="BD273" s="292" t="s">
        <v>763</v>
      </c>
      <c r="BE273" s="299" t="str">
        <f t="shared" si="164"/>
        <v>Exhibit 1.5A_R North Shore EEPS_Adjustable_Savings_Goal_Template.xlsx, Pipe Insulation Detail Tab</v>
      </c>
      <c r="BF273" s="298">
        <f t="shared" si="165"/>
        <v>15290.207565082335</v>
      </c>
      <c r="BG273" s="298">
        <f t="shared" si="165"/>
        <v>15290.207565082335</v>
      </c>
      <c r="BH273" s="298">
        <f t="shared" si="165"/>
        <v>15290.207565082335</v>
      </c>
      <c r="BI273" s="298">
        <f t="shared" si="155"/>
        <v>15290.207565082335</v>
      </c>
      <c r="BJ273" s="298">
        <f t="shared" si="166"/>
        <v>61160.830260329341</v>
      </c>
      <c r="BK273" s="482">
        <v>15</v>
      </c>
      <c r="BL273" s="482">
        <v>15</v>
      </c>
      <c r="BM273" s="482">
        <f>INDEX('Unit Savings Calculations'!$I$4:$I$421,MATCH('Measure-Level Adjustments Tab'!$A273&amp;"_"&amp;'Measure-Level Adjustments Tab'!$B273,'Unit Savings Calculations'!$A$4:$A$421,0))</f>
        <v>15</v>
      </c>
      <c r="BN273" s="482">
        <f t="shared" si="167"/>
        <v>15</v>
      </c>
      <c r="BO273" s="483">
        <f t="shared" si="168"/>
        <v>15290.207565082335</v>
      </c>
      <c r="BP273" s="483">
        <f t="shared" si="168"/>
        <v>15290.207565082335</v>
      </c>
      <c r="BQ273" s="483">
        <f t="shared" si="168"/>
        <v>15290.207565082335</v>
      </c>
      <c r="BR273" s="483">
        <f t="shared" si="156"/>
        <v>15290.207565082335</v>
      </c>
      <c r="BS273" s="483">
        <f t="shared" si="157"/>
        <v>61160.830260329341</v>
      </c>
    </row>
    <row r="274" spans="1:71" ht="15.75" customHeight="1">
      <c r="A274" s="292" t="str">
        <f>'Unit Savings Calculations'!C270</f>
        <v>Bus - CI Rebates</v>
      </c>
      <c r="B274" s="292" t="str">
        <f>'Unit Savings Calculations'!D270</f>
        <v>Pipe Insulation - Steam X-Large Valve</v>
      </c>
      <c r="C274" s="293">
        <f t="shared" si="149"/>
        <v>1</v>
      </c>
      <c r="D274" s="292" t="str">
        <f>'Unit Savings Calculations'!T270</f>
        <v>4.4.14</v>
      </c>
      <c r="E274" s="438">
        <v>15</v>
      </c>
      <c r="F274" s="438">
        <v>15</v>
      </c>
      <c r="G274" s="292" t="str">
        <f>'Unit Savings Calculations'!E270</f>
        <v>each</v>
      </c>
      <c r="H274" s="294">
        <f>'Unit Savings Calculations'!$F270*'Unit Savings Calculations'!J270</f>
        <v>0</v>
      </c>
      <c r="I274" s="294">
        <f>'Unit Savings Calculations'!$F270*'Unit Savings Calculations'!K270</f>
        <v>0</v>
      </c>
      <c r="J274" s="294">
        <f>'Unit Savings Calculations'!$F270*'Unit Savings Calculations'!L270</f>
        <v>0</v>
      </c>
      <c r="K274" s="294">
        <f>'Unit Savings Calculations'!$F270*'Unit Savings Calculations'!M270</f>
        <v>0</v>
      </c>
      <c r="L274" s="292" t="str">
        <f>'Unit Savings Calculations'!U270</f>
        <v>CI-HVC-PINS-V04-160601</v>
      </c>
      <c r="M274" s="383" t="str">
        <f>'Unit Savings Calculations'!R270</f>
        <v>Exhibit 1.5A_R North Shore EEPS_Adjustable_Savings_Goal_Template.xlsx, Pipe Insulation Detail Tab</v>
      </c>
      <c r="N274" s="295">
        <v>175.06254164158375</v>
      </c>
      <c r="O274" s="295">
        <v>175.06254164158375</v>
      </c>
      <c r="P274" s="295">
        <v>175.06254164158375</v>
      </c>
      <c r="Q274" s="295">
        <v>175.06254164158375</v>
      </c>
      <c r="R274" s="296">
        <f>'Unit Savings Calculations'!$G270</f>
        <v>0.79</v>
      </c>
      <c r="S274" s="296">
        <f>'Unit Savings Calculations'!$G270</f>
        <v>0.79</v>
      </c>
      <c r="T274" s="296">
        <f>'Unit Savings Calculations'!$G270</f>
        <v>0.79</v>
      </c>
      <c r="U274" s="296">
        <f>'Unit Savings Calculations'!$G270</f>
        <v>0.79</v>
      </c>
      <c r="V274" s="297">
        <f t="shared" si="150"/>
        <v>0</v>
      </c>
      <c r="W274" s="297">
        <f t="shared" si="151"/>
        <v>0</v>
      </c>
      <c r="X274" s="297">
        <f t="shared" si="152"/>
        <v>0</v>
      </c>
      <c r="Y274" s="297">
        <f t="shared" si="153"/>
        <v>0</v>
      </c>
      <c r="Z274" s="297">
        <f t="shared" si="154"/>
        <v>0</v>
      </c>
      <c r="AA274" s="292"/>
      <c r="AB274" s="292"/>
      <c r="AC274" s="295">
        <v>175.06254164158375</v>
      </c>
      <c r="AD274" s="292"/>
      <c r="AE274" s="297">
        <f t="shared" si="169"/>
        <v>0</v>
      </c>
      <c r="AF274" s="294">
        <f t="shared" si="170"/>
        <v>0</v>
      </c>
      <c r="AG274" s="292"/>
      <c r="AH274" s="292">
        <f t="shared" si="171"/>
        <v>0</v>
      </c>
      <c r="AI274" s="295">
        <v>175.06254164158375</v>
      </c>
      <c r="AJ274" s="383" t="s">
        <v>878</v>
      </c>
      <c r="AK274" s="297">
        <f t="shared" si="172"/>
        <v>0</v>
      </c>
      <c r="AL274" s="294">
        <f t="shared" si="173"/>
        <v>0</v>
      </c>
      <c r="AM274" s="292"/>
      <c r="AN274" s="292"/>
      <c r="AO274" s="295">
        <f>'Unit Savings Calculations'!P270</f>
        <v>175.06254164158375</v>
      </c>
      <c r="AP274" s="383" t="s">
        <v>763</v>
      </c>
      <c r="AQ274" s="297">
        <f t="shared" si="174"/>
        <v>0</v>
      </c>
      <c r="AR274" s="294">
        <f t="shared" si="175"/>
        <v>0</v>
      </c>
      <c r="AS274" s="292"/>
      <c r="AT274" s="292"/>
      <c r="AU274" s="295">
        <f>'Unit Savings Calculations'!Q270</f>
        <v>175.06254164158375</v>
      </c>
      <c r="AV274" s="383" t="str">
        <f t="shared" si="158"/>
        <v>n/a</v>
      </c>
      <c r="AW274" s="297">
        <f t="shared" si="176"/>
        <v>0</v>
      </c>
      <c r="AX274" s="294">
        <f t="shared" si="177"/>
        <v>0</v>
      </c>
      <c r="AY274" s="297">
        <f t="shared" si="159"/>
        <v>0</v>
      </c>
      <c r="AZ274" s="297">
        <f t="shared" si="160"/>
        <v>0</v>
      </c>
      <c r="BA274" s="297">
        <f t="shared" si="161"/>
        <v>0</v>
      </c>
      <c r="BB274" s="297">
        <f t="shared" si="162"/>
        <v>0</v>
      </c>
      <c r="BC274" s="298">
        <f t="shared" si="163"/>
        <v>0</v>
      </c>
      <c r="BD274" s="292" t="s">
        <v>763</v>
      </c>
      <c r="BE274" s="299" t="str">
        <f t="shared" si="164"/>
        <v>Exhibit 1.5A_R North Shore EEPS_Adjustable_Savings_Goal_Template.xlsx, Pipe Insulation Detail Tab</v>
      </c>
      <c r="BF274" s="298">
        <f t="shared" si="165"/>
        <v>0</v>
      </c>
      <c r="BG274" s="298">
        <f t="shared" si="165"/>
        <v>0</v>
      </c>
      <c r="BH274" s="298">
        <f t="shared" si="165"/>
        <v>0</v>
      </c>
      <c r="BI274" s="298">
        <f t="shared" si="155"/>
        <v>0</v>
      </c>
      <c r="BJ274" s="298">
        <f t="shared" si="166"/>
        <v>0</v>
      </c>
      <c r="BK274" s="482">
        <v>15</v>
      </c>
      <c r="BL274" s="482">
        <v>15</v>
      </c>
      <c r="BM274" s="482">
        <f>INDEX('Unit Savings Calculations'!$I$4:$I$421,MATCH('Measure-Level Adjustments Tab'!$A274&amp;"_"&amp;'Measure-Level Adjustments Tab'!$B274,'Unit Savings Calculations'!$A$4:$A$421,0))</f>
        <v>15</v>
      </c>
      <c r="BN274" s="482">
        <f t="shared" si="167"/>
        <v>15</v>
      </c>
      <c r="BO274" s="483">
        <f t="shared" si="168"/>
        <v>0</v>
      </c>
      <c r="BP274" s="483">
        <f t="shared" si="168"/>
        <v>0</v>
      </c>
      <c r="BQ274" s="483">
        <f t="shared" si="168"/>
        <v>0</v>
      </c>
      <c r="BR274" s="483">
        <f t="shared" si="156"/>
        <v>0</v>
      </c>
      <c r="BS274" s="483">
        <f t="shared" si="157"/>
        <v>0</v>
      </c>
    </row>
    <row r="275" spans="1:71" ht="15.75" customHeight="1">
      <c r="A275" s="292" t="str">
        <f>'Unit Savings Calculations'!C271</f>
        <v>Bus - CI Rebates</v>
      </c>
      <c r="B275" s="292" t="str">
        <f>'Unit Savings Calculations'!D271</f>
        <v>Pre Rinse Sprayer</v>
      </c>
      <c r="C275" s="293">
        <f t="shared" si="149"/>
        <v>1</v>
      </c>
      <c r="D275" s="292" t="str">
        <f>'Unit Savings Calculations'!T271</f>
        <v>4.2.11</v>
      </c>
      <c r="E275" s="438">
        <v>5</v>
      </c>
      <c r="F275" s="438">
        <v>5</v>
      </c>
      <c r="G275" s="292" t="str">
        <f>'Unit Savings Calculations'!E271</f>
        <v>each</v>
      </c>
      <c r="H275" s="294">
        <f>'Unit Savings Calculations'!$F271*'Unit Savings Calculations'!J271</f>
        <v>0</v>
      </c>
      <c r="I275" s="294">
        <f>'Unit Savings Calculations'!$F271*'Unit Savings Calculations'!K271</f>
        <v>0</v>
      </c>
      <c r="J275" s="294">
        <f>'Unit Savings Calculations'!$F271*'Unit Savings Calculations'!L271</f>
        <v>0</v>
      </c>
      <c r="K275" s="294">
        <f>'Unit Savings Calculations'!$F271*'Unit Savings Calculations'!M271</f>
        <v>0</v>
      </c>
      <c r="L275" s="292" t="str">
        <f>'Unit Savings Calculations'!U271</f>
        <v>CI-FSE-SPRY-V04-180101</v>
      </c>
      <c r="M275" s="383" t="str">
        <f>'Unit Savings Calculations'!R271</f>
        <v>Exhibit 1.5A_R North Shore EEPS_Adjustable_Savings_Goal_Template.xlsx, Unit Savings Calculations Tab</v>
      </c>
      <c r="N275" s="295">
        <v>221.04154800000003</v>
      </c>
      <c r="O275" s="295">
        <v>221.04154800000003</v>
      </c>
      <c r="P275" s="295">
        <v>221.04154800000003</v>
      </c>
      <c r="Q275" s="295">
        <v>221.04154800000003</v>
      </c>
      <c r="R275" s="296">
        <f>'Unit Savings Calculations'!$G271</f>
        <v>0.79</v>
      </c>
      <c r="S275" s="296">
        <f>'Unit Savings Calculations'!$G271</f>
        <v>0.79</v>
      </c>
      <c r="T275" s="296">
        <f>'Unit Savings Calculations'!$G271</f>
        <v>0.79</v>
      </c>
      <c r="U275" s="296">
        <f>'Unit Savings Calculations'!$G271</f>
        <v>0.79</v>
      </c>
      <c r="V275" s="297">
        <f t="shared" si="150"/>
        <v>0</v>
      </c>
      <c r="W275" s="297">
        <f t="shared" si="151"/>
        <v>0</v>
      </c>
      <c r="X275" s="297">
        <f t="shared" si="152"/>
        <v>0</v>
      </c>
      <c r="Y275" s="297">
        <f t="shared" si="153"/>
        <v>0</v>
      </c>
      <c r="Z275" s="297">
        <f t="shared" si="154"/>
        <v>0</v>
      </c>
      <c r="AA275" s="292"/>
      <c r="AB275" s="292"/>
      <c r="AC275" s="295">
        <v>221.04154800000003</v>
      </c>
      <c r="AD275" s="292"/>
      <c r="AE275" s="297">
        <f t="shared" si="169"/>
        <v>0</v>
      </c>
      <c r="AF275" s="294">
        <f t="shared" si="170"/>
        <v>0</v>
      </c>
      <c r="AG275" s="292"/>
      <c r="AH275" s="292">
        <f t="shared" si="171"/>
        <v>0</v>
      </c>
      <c r="AI275" s="295">
        <v>221.04154800000003</v>
      </c>
      <c r="AJ275" s="383" t="s">
        <v>878</v>
      </c>
      <c r="AK275" s="297">
        <f t="shared" si="172"/>
        <v>0</v>
      </c>
      <c r="AL275" s="294">
        <f t="shared" si="173"/>
        <v>0</v>
      </c>
      <c r="AM275" s="292"/>
      <c r="AN275" s="292"/>
      <c r="AO275" s="295">
        <f>'Unit Savings Calculations'!P271</f>
        <v>102.33405</v>
      </c>
      <c r="AP275" s="383" t="s">
        <v>1427</v>
      </c>
      <c r="AQ275" s="297">
        <f t="shared" si="174"/>
        <v>0</v>
      </c>
      <c r="AR275" s="294">
        <f t="shared" si="175"/>
        <v>0</v>
      </c>
      <c r="AS275" s="292"/>
      <c r="AT275" s="292"/>
      <c r="AU275" s="295">
        <f>'Unit Savings Calculations'!Q271</f>
        <v>102.33405</v>
      </c>
      <c r="AV275" s="383" t="str">
        <f t="shared" si="158"/>
        <v>Updated base and EE flow rates</v>
      </c>
      <c r="AW275" s="297">
        <f t="shared" si="176"/>
        <v>0</v>
      </c>
      <c r="AX275" s="294">
        <f t="shared" si="177"/>
        <v>0</v>
      </c>
      <c r="AY275" s="297">
        <f t="shared" si="159"/>
        <v>0</v>
      </c>
      <c r="AZ275" s="297">
        <f t="shared" si="160"/>
        <v>0</v>
      </c>
      <c r="BA275" s="297">
        <f t="shared" si="161"/>
        <v>0</v>
      </c>
      <c r="BB275" s="297">
        <f t="shared" si="162"/>
        <v>0</v>
      </c>
      <c r="BC275" s="298">
        <f t="shared" si="163"/>
        <v>0</v>
      </c>
      <c r="BD275" s="292" t="s">
        <v>763</v>
      </c>
      <c r="BE275" s="299" t="str">
        <f t="shared" si="164"/>
        <v>Exhibit 1.5A_R North Shore EEPS_Adjustable_Savings_Goal_Template.xlsx, Unit Savings Calculations Tab</v>
      </c>
      <c r="BF275" s="298">
        <f t="shared" si="165"/>
        <v>0</v>
      </c>
      <c r="BG275" s="298">
        <f t="shared" si="165"/>
        <v>0</v>
      </c>
      <c r="BH275" s="298">
        <f t="shared" si="165"/>
        <v>0</v>
      </c>
      <c r="BI275" s="298">
        <f t="shared" si="155"/>
        <v>0</v>
      </c>
      <c r="BJ275" s="298">
        <f t="shared" si="166"/>
        <v>0</v>
      </c>
      <c r="BK275" s="482">
        <v>5</v>
      </c>
      <c r="BL275" s="482">
        <v>5</v>
      </c>
      <c r="BM275" s="482">
        <f>INDEX('Unit Savings Calculations'!$I$4:$I$421,MATCH('Measure-Level Adjustments Tab'!$A275&amp;"_"&amp;'Measure-Level Adjustments Tab'!$B275,'Unit Savings Calculations'!$A$4:$A$421,0))</f>
        <v>5</v>
      </c>
      <c r="BN275" s="482">
        <f t="shared" si="167"/>
        <v>5</v>
      </c>
      <c r="BO275" s="483">
        <f t="shared" si="168"/>
        <v>0</v>
      </c>
      <c r="BP275" s="483">
        <f t="shared" si="168"/>
        <v>0</v>
      </c>
      <c r="BQ275" s="483">
        <f t="shared" si="168"/>
        <v>0</v>
      </c>
      <c r="BR275" s="483">
        <f t="shared" si="156"/>
        <v>0</v>
      </c>
      <c r="BS275" s="483">
        <f t="shared" si="157"/>
        <v>0</v>
      </c>
    </row>
    <row r="276" spans="1:71" ht="15.75" customHeight="1">
      <c r="A276" s="292" t="str">
        <f>'Unit Savings Calculations'!C272</f>
        <v>Bus - CI Rebates</v>
      </c>
      <c r="B276" s="292" t="str">
        <f>'Unit Savings Calculations'!D272</f>
        <v>Steam Boiler ≥82% AFUE, &gt;300MBh TE</v>
      </c>
      <c r="C276" s="293">
        <f t="shared" si="149"/>
        <v>1</v>
      </c>
      <c r="D276" s="292" t="str">
        <f>'Unit Savings Calculations'!T272</f>
        <v>4.4.10</v>
      </c>
      <c r="E276" s="438">
        <v>20</v>
      </c>
      <c r="F276" s="438">
        <v>20</v>
      </c>
      <c r="G276" s="292" t="str">
        <f>'Unit Savings Calculations'!E272</f>
        <v>MBH</v>
      </c>
      <c r="H276" s="294">
        <f>'Unit Savings Calculations'!$F272*'Unit Savings Calculations'!J272</f>
        <v>2500</v>
      </c>
      <c r="I276" s="294">
        <f>'Unit Savings Calculations'!$F272*'Unit Savings Calculations'!K272</f>
        <v>2500</v>
      </c>
      <c r="J276" s="294">
        <f>'Unit Savings Calculations'!$F272*'Unit Savings Calculations'!L272</f>
        <v>2500</v>
      </c>
      <c r="K276" s="294">
        <f>'Unit Savings Calculations'!$F272*'Unit Savings Calculations'!M272</f>
        <v>2500</v>
      </c>
      <c r="L276" s="292" t="str">
        <f>'Unit Savings Calculations'!U272</f>
        <v>CI-HVC-BOIL-V05-150601</v>
      </c>
      <c r="M276" s="383" t="str">
        <f>'Unit Savings Calculations'!R272</f>
        <v>Exhibit 1.5A_R North Shore EEPS_Adjustable_Savings_Goal_Template.xlsx, Unit Savings Calculations Tab</v>
      </c>
      <c r="N276" s="295">
        <v>0.58443037974683376</v>
      </c>
      <c r="O276" s="295">
        <v>0.58443037974683376</v>
      </c>
      <c r="P276" s="295">
        <v>0.58443037974683376</v>
      </c>
      <c r="Q276" s="295">
        <v>0.58443037974683376</v>
      </c>
      <c r="R276" s="296">
        <f>'Unit Savings Calculations'!$G272</f>
        <v>0.79</v>
      </c>
      <c r="S276" s="296">
        <f>'Unit Savings Calculations'!$G272</f>
        <v>0.79</v>
      </c>
      <c r="T276" s="296">
        <f>'Unit Savings Calculations'!$G272</f>
        <v>0.79</v>
      </c>
      <c r="U276" s="296">
        <f>'Unit Savings Calculations'!$G272</f>
        <v>0.79</v>
      </c>
      <c r="V276" s="297">
        <f t="shared" si="150"/>
        <v>1154.2499999999968</v>
      </c>
      <c r="W276" s="297">
        <f t="shared" si="151"/>
        <v>1154.2499999999968</v>
      </c>
      <c r="X276" s="297">
        <f t="shared" si="152"/>
        <v>1154.2499999999968</v>
      </c>
      <c r="Y276" s="297">
        <f t="shared" si="153"/>
        <v>1154.2499999999968</v>
      </c>
      <c r="Z276" s="297">
        <f t="shared" si="154"/>
        <v>4616.9999999999873</v>
      </c>
      <c r="AA276" s="292"/>
      <c r="AB276" s="292"/>
      <c r="AC276" s="295">
        <v>0.58443037974683376</v>
      </c>
      <c r="AD276" s="292"/>
      <c r="AE276" s="297">
        <f t="shared" si="169"/>
        <v>1154.2499999999968</v>
      </c>
      <c r="AF276" s="294">
        <f t="shared" si="170"/>
        <v>0</v>
      </c>
      <c r="AG276" s="292"/>
      <c r="AH276" s="292">
        <f t="shared" si="171"/>
        <v>0</v>
      </c>
      <c r="AI276" s="295">
        <v>0.58443037974683376</v>
      </c>
      <c r="AJ276" s="383" t="s">
        <v>878</v>
      </c>
      <c r="AK276" s="297">
        <f t="shared" si="172"/>
        <v>1154.2499999999968</v>
      </c>
      <c r="AL276" s="294">
        <f t="shared" si="173"/>
        <v>0</v>
      </c>
      <c r="AM276" s="292"/>
      <c r="AN276" s="292"/>
      <c r="AO276" s="295">
        <f>'Unit Savings Calculations'!P272</f>
        <v>0.63721518987341585</v>
      </c>
      <c r="AP276" s="383" t="s">
        <v>1441</v>
      </c>
      <c r="AQ276" s="297">
        <f t="shared" si="174"/>
        <v>1258.4999999999964</v>
      </c>
      <c r="AR276" s="294">
        <f t="shared" si="175"/>
        <v>104.24999999999955</v>
      </c>
      <c r="AS276" s="292"/>
      <c r="AT276" s="292"/>
      <c r="AU276" s="295">
        <f>'Unit Savings Calculations'!Q272</f>
        <v>0.63721518987341585</v>
      </c>
      <c r="AV276" s="383" t="str">
        <f t="shared" si="158"/>
        <v>Updated heating EFLH</v>
      </c>
      <c r="AW276" s="297">
        <f t="shared" si="176"/>
        <v>1258.4999999999964</v>
      </c>
      <c r="AX276" s="294">
        <f t="shared" si="177"/>
        <v>104.24999999999955</v>
      </c>
      <c r="AY276" s="297">
        <f t="shared" si="159"/>
        <v>1154.2499999999968</v>
      </c>
      <c r="AZ276" s="297">
        <f t="shared" si="160"/>
        <v>1154.2499999999968</v>
      </c>
      <c r="BA276" s="297">
        <f t="shared" si="161"/>
        <v>1258.4999999999964</v>
      </c>
      <c r="BB276" s="297">
        <f t="shared" si="162"/>
        <v>1258.4999999999964</v>
      </c>
      <c r="BC276" s="298">
        <f t="shared" si="163"/>
        <v>4825.4999999999864</v>
      </c>
      <c r="BD276" s="292" t="s">
        <v>763</v>
      </c>
      <c r="BE276" s="299" t="str">
        <f t="shared" si="164"/>
        <v>Exhibit 1.5A_R North Shore EEPS_Adjustable_Savings_Goal_Template.xlsx, Unit Savings Calculations Tab</v>
      </c>
      <c r="BF276" s="298">
        <f t="shared" si="165"/>
        <v>23084.999999999935</v>
      </c>
      <c r="BG276" s="298">
        <f t="shared" si="165"/>
        <v>23084.999999999935</v>
      </c>
      <c r="BH276" s="298">
        <f t="shared" si="165"/>
        <v>23084.999999999935</v>
      </c>
      <c r="BI276" s="298">
        <f t="shared" si="155"/>
        <v>23084.999999999935</v>
      </c>
      <c r="BJ276" s="298">
        <f t="shared" si="166"/>
        <v>92339.999999999738</v>
      </c>
      <c r="BK276" s="482">
        <v>20</v>
      </c>
      <c r="BL276" s="482">
        <v>20</v>
      </c>
      <c r="BM276" s="482">
        <f>INDEX('Unit Savings Calculations'!$I$4:$I$421,MATCH('Measure-Level Adjustments Tab'!$A276&amp;"_"&amp;'Measure-Level Adjustments Tab'!$B276,'Unit Savings Calculations'!$A$4:$A$421,0))</f>
        <v>25</v>
      </c>
      <c r="BN276" s="482">
        <f t="shared" si="167"/>
        <v>25</v>
      </c>
      <c r="BO276" s="483">
        <f t="shared" si="168"/>
        <v>23084.999999999935</v>
      </c>
      <c r="BP276" s="483">
        <f t="shared" si="168"/>
        <v>23084.999999999935</v>
      </c>
      <c r="BQ276" s="483">
        <f t="shared" si="168"/>
        <v>31462.499999999909</v>
      </c>
      <c r="BR276" s="483">
        <f t="shared" si="156"/>
        <v>31462.499999999909</v>
      </c>
      <c r="BS276" s="483">
        <f t="shared" si="157"/>
        <v>109094.99999999969</v>
      </c>
    </row>
    <row r="277" spans="1:71" ht="15.75" customHeight="1">
      <c r="A277" s="292" t="str">
        <f>'Unit Savings Calculations'!C273</f>
        <v>Bus - CI Rebates</v>
      </c>
      <c r="B277" s="292" t="str">
        <f>'Unit Savings Calculations'!D273</f>
        <v>Steam Traps - Dry Cleaner/Industrial</v>
      </c>
      <c r="C277" s="293">
        <f t="shared" si="149"/>
        <v>1</v>
      </c>
      <c r="D277" s="292" t="str">
        <f>'Unit Savings Calculations'!T273</f>
        <v>4.4.16</v>
      </c>
      <c r="E277" s="438">
        <v>6</v>
      </c>
      <c r="F277" s="438">
        <v>6</v>
      </c>
      <c r="G277" s="292" t="str">
        <f>'Unit Savings Calculations'!E273</f>
        <v>each</v>
      </c>
      <c r="H277" s="294">
        <f>'Unit Savings Calculations'!$F273*'Unit Savings Calculations'!J273</f>
        <v>75</v>
      </c>
      <c r="I277" s="294">
        <f>'Unit Savings Calculations'!$F273*'Unit Savings Calculations'!K273</f>
        <v>75</v>
      </c>
      <c r="J277" s="294">
        <f>'Unit Savings Calculations'!$F273*'Unit Savings Calculations'!L273</f>
        <v>75</v>
      </c>
      <c r="K277" s="294">
        <f>'Unit Savings Calculations'!$F273*'Unit Savings Calculations'!M273</f>
        <v>75</v>
      </c>
      <c r="L277" s="292" t="str">
        <f>'Unit Savings Calculations'!U273</f>
        <v>CI-HVC-STRE-V05-180101</v>
      </c>
      <c r="M277" s="383" t="str">
        <f>'Unit Savings Calculations'!R273</f>
        <v>Exhibit 1.5A_R North Shore EEPS_Adjustable_Savings_Goal_Template.xlsx, Unit Savings Calculations Tab</v>
      </c>
      <c r="N277" s="295">
        <v>137.91939591078068</v>
      </c>
      <c r="O277" s="295">
        <v>137.91939591078068</v>
      </c>
      <c r="P277" s="295">
        <v>137.91939591078068</v>
      </c>
      <c r="Q277" s="295">
        <v>137.91939591078068</v>
      </c>
      <c r="R277" s="296">
        <f>'Unit Savings Calculations'!$G273</f>
        <v>0.79</v>
      </c>
      <c r="S277" s="296">
        <f>'Unit Savings Calculations'!$G273</f>
        <v>0.79</v>
      </c>
      <c r="T277" s="296">
        <f>'Unit Savings Calculations'!$G273</f>
        <v>0.79</v>
      </c>
      <c r="U277" s="296">
        <f>'Unit Savings Calculations'!$G273</f>
        <v>0.79</v>
      </c>
      <c r="V277" s="297">
        <f t="shared" si="150"/>
        <v>8171.7242077137562</v>
      </c>
      <c r="W277" s="297">
        <f t="shared" si="151"/>
        <v>8171.7242077137562</v>
      </c>
      <c r="X277" s="297">
        <f t="shared" si="152"/>
        <v>8171.7242077137562</v>
      </c>
      <c r="Y277" s="297">
        <f t="shared" si="153"/>
        <v>8171.7242077137562</v>
      </c>
      <c r="Z277" s="297">
        <f t="shared" si="154"/>
        <v>32686.896830855025</v>
      </c>
      <c r="AA277" s="292"/>
      <c r="AB277" s="292"/>
      <c r="AC277" s="295">
        <v>137.91939591078068</v>
      </c>
      <c r="AD277" s="292"/>
      <c r="AE277" s="297">
        <f t="shared" si="169"/>
        <v>8171.7242077137562</v>
      </c>
      <c r="AF277" s="294">
        <f t="shared" si="170"/>
        <v>0</v>
      </c>
      <c r="AG277" s="292"/>
      <c r="AH277" s="292">
        <f t="shared" si="171"/>
        <v>0</v>
      </c>
      <c r="AI277" s="295">
        <v>137.91939591078068</v>
      </c>
      <c r="AJ277" s="383" t="s">
        <v>878</v>
      </c>
      <c r="AK277" s="297">
        <f t="shared" si="172"/>
        <v>8171.7242077137562</v>
      </c>
      <c r="AL277" s="294">
        <f t="shared" si="173"/>
        <v>0</v>
      </c>
      <c r="AM277" s="292"/>
      <c r="AN277" s="292"/>
      <c r="AO277" s="295">
        <f>'Unit Savings Calculations'!P273</f>
        <v>137.91939591078068</v>
      </c>
      <c r="AP277" s="383" t="s">
        <v>763</v>
      </c>
      <c r="AQ277" s="297">
        <f t="shared" si="174"/>
        <v>8171.7242077137562</v>
      </c>
      <c r="AR277" s="294">
        <f t="shared" si="175"/>
        <v>0</v>
      </c>
      <c r="AS277" s="292"/>
      <c r="AT277" s="292"/>
      <c r="AU277" s="295">
        <f>'Unit Savings Calculations'!Q273</f>
        <v>137.91939591078068</v>
      </c>
      <c r="AV277" s="383" t="str">
        <f t="shared" si="158"/>
        <v>n/a</v>
      </c>
      <c r="AW277" s="297">
        <f t="shared" si="176"/>
        <v>8171.7242077137562</v>
      </c>
      <c r="AX277" s="294">
        <f t="shared" si="177"/>
        <v>0</v>
      </c>
      <c r="AY277" s="297">
        <f t="shared" si="159"/>
        <v>8171.7242077137562</v>
      </c>
      <c r="AZ277" s="297">
        <f t="shared" si="160"/>
        <v>8171.7242077137562</v>
      </c>
      <c r="BA277" s="297">
        <f t="shared" si="161"/>
        <v>8171.7242077137562</v>
      </c>
      <c r="BB277" s="297">
        <f t="shared" si="162"/>
        <v>8171.7242077137562</v>
      </c>
      <c r="BC277" s="298">
        <f t="shared" si="163"/>
        <v>32686.896830855025</v>
      </c>
      <c r="BD277" s="292" t="s">
        <v>763</v>
      </c>
      <c r="BE277" s="299" t="str">
        <f t="shared" si="164"/>
        <v>Exhibit 1.5A_R North Shore EEPS_Adjustable_Savings_Goal_Template.xlsx, Unit Savings Calculations Tab</v>
      </c>
      <c r="BF277" s="298">
        <f t="shared" si="165"/>
        <v>49030.345246282537</v>
      </c>
      <c r="BG277" s="298">
        <f t="shared" si="165"/>
        <v>49030.345246282537</v>
      </c>
      <c r="BH277" s="298">
        <f t="shared" si="165"/>
        <v>49030.345246282537</v>
      </c>
      <c r="BI277" s="298">
        <f t="shared" si="155"/>
        <v>49030.345246282537</v>
      </c>
      <c r="BJ277" s="298">
        <f t="shared" si="166"/>
        <v>196121.38098513015</v>
      </c>
      <c r="BK277" s="482">
        <v>6</v>
      </c>
      <c r="BL277" s="482">
        <v>6</v>
      </c>
      <c r="BM277" s="482">
        <f>INDEX('Unit Savings Calculations'!$I$4:$I$421,MATCH('Measure-Level Adjustments Tab'!$A277&amp;"_"&amp;'Measure-Level Adjustments Tab'!$B277,'Unit Savings Calculations'!$A$4:$A$421,0))</f>
        <v>6</v>
      </c>
      <c r="BN277" s="482">
        <f t="shared" si="167"/>
        <v>6</v>
      </c>
      <c r="BO277" s="483">
        <f t="shared" si="168"/>
        <v>49030.345246282537</v>
      </c>
      <c r="BP277" s="483">
        <f t="shared" si="168"/>
        <v>49030.345246282537</v>
      </c>
      <c r="BQ277" s="483">
        <f t="shared" si="168"/>
        <v>49030.345246282537</v>
      </c>
      <c r="BR277" s="483">
        <f t="shared" si="156"/>
        <v>49030.345246282537</v>
      </c>
      <c r="BS277" s="483">
        <f t="shared" si="157"/>
        <v>196121.38098513015</v>
      </c>
    </row>
    <row r="278" spans="1:71" ht="15.75" customHeight="1">
      <c r="A278" s="292" t="str">
        <f>'Unit Savings Calculations'!C274</f>
        <v>Bus - CI Rebates</v>
      </c>
      <c r="B278" s="292" t="str">
        <f>'Unit Savings Calculations'!D274</f>
        <v>Steam Traps - HVAC Repair/Rep - Audit</v>
      </c>
      <c r="C278" s="293">
        <f t="shared" si="149"/>
        <v>1</v>
      </c>
      <c r="D278" s="292" t="str">
        <f>'Unit Savings Calculations'!T274</f>
        <v>4.4.16</v>
      </c>
      <c r="E278" s="438">
        <v>6</v>
      </c>
      <c r="F278" s="438">
        <v>6</v>
      </c>
      <c r="G278" s="292" t="str">
        <f>'Unit Savings Calculations'!E274</f>
        <v>each</v>
      </c>
      <c r="H278" s="294">
        <f>'Unit Savings Calculations'!$F274*'Unit Savings Calculations'!J274</f>
        <v>75</v>
      </c>
      <c r="I278" s="294">
        <f>'Unit Savings Calculations'!$F274*'Unit Savings Calculations'!K274</f>
        <v>75</v>
      </c>
      <c r="J278" s="294">
        <f>'Unit Savings Calculations'!$F274*'Unit Savings Calculations'!L274</f>
        <v>75</v>
      </c>
      <c r="K278" s="294">
        <f>'Unit Savings Calculations'!$F274*'Unit Savings Calculations'!M274</f>
        <v>75</v>
      </c>
      <c r="L278" s="292" t="str">
        <f>'Unit Savings Calculations'!U274</f>
        <v>CI-HVC-STRE-V05-180101</v>
      </c>
      <c r="M278" s="383" t="str">
        <f>'Unit Savings Calculations'!R274</f>
        <v>Exhibit 1.5A_R North Shore EEPS_Adjustable_Savings_Goal_Template.xlsx, Unit Savings Calculations Tab</v>
      </c>
      <c r="N278" s="295">
        <v>88.453924126394057</v>
      </c>
      <c r="O278" s="295">
        <v>88.453924126394057</v>
      </c>
      <c r="P278" s="295">
        <v>88.453924126394057</v>
      </c>
      <c r="Q278" s="295">
        <v>88.453924126394057</v>
      </c>
      <c r="R278" s="296">
        <f>'Unit Savings Calculations'!$G274</f>
        <v>0.79</v>
      </c>
      <c r="S278" s="296">
        <f>'Unit Savings Calculations'!$G274</f>
        <v>0.79</v>
      </c>
      <c r="T278" s="296">
        <f>'Unit Savings Calculations'!$G274</f>
        <v>0.79</v>
      </c>
      <c r="U278" s="296">
        <f>'Unit Savings Calculations'!$G274</f>
        <v>0.79</v>
      </c>
      <c r="V278" s="297">
        <f t="shared" si="150"/>
        <v>5240.8950044888488</v>
      </c>
      <c r="W278" s="297">
        <f t="shared" si="151"/>
        <v>5240.8950044888488</v>
      </c>
      <c r="X278" s="297">
        <f t="shared" si="152"/>
        <v>5240.8950044888488</v>
      </c>
      <c r="Y278" s="297">
        <f t="shared" si="153"/>
        <v>5240.8950044888488</v>
      </c>
      <c r="Z278" s="297">
        <f t="shared" si="154"/>
        <v>20963.580017955395</v>
      </c>
      <c r="AA278" s="292"/>
      <c r="AB278" s="292"/>
      <c r="AC278" s="295">
        <v>88.453924126394057</v>
      </c>
      <c r="AD278" s="292"/>
      <c r="AE278" s="297">
        <f t="shared" si="169"/>
        <v>5240.8950044888488</v>
      </c>
      <c r="AF278" s="294">
        <f t="shared" si="170"/>
        <v>0</v>
      </c>
      <c r="AG278" s="292"/>
      <c r="AH278" s="292">
        <f t="shared" si="171"/>
        <v>0</v>
      </c>
      <c r="AI278" s="295">
        <v>88.453924126394057</v>
      </c>
      <c r="AJ278" s="383" t="s">
        <v>878</v>
      </c>
      <c r="AK278" s="297">
        <f t="shared" si="172"/>
        <v>5240.8950044888488</v>
      </c>
      <c r="AL278" s="294">
        <f t="shared" si="173"/>
        <v>0</v>
      </c>
      <c r="AM278" s="292"/>
      <c r="AN278" s="292"/>
      <c r="AO278" s="295">
        <f>'Unit Savings Calculations'!P274</f>
        <v>88.453924126394057</v>
      </c>
      <c r="AP278" s="383" t="s">
        <v>763</v>
      </c>
      <c r="AQ278" s="297">
        <f t="shared" si="174"/>
        <v>5240.8950044888488</v>
      </c>
      <c r="AR278" s="294">
        <f t="shared" si="175"/>
        <v>0</v>
      </c>
      <c r="AS278" s="292"/>
      <c r="AT278" s="292"/>
      <c r="AU278" s="295">
        <f>'Unit Savings Calculations'!Q274</f>
        <v>88.453924126394057</v>
      </c>
      <c r="AV278" s="383" t="str">
        <f t="shared" si="158"/>
        <v>n/a</v>
      </c>
      <c r="AW278" s="297">
        <f t="shared" si="176"/>
        <v>5240.8950044888488</v>
      </c>
      <c r="AX278" s="294">
        <f t="shared" si="177"/>
        <v>0</v>
      </c>
      <c r="AY278" s="297">
        <f t="shared" si="159"/>
        <v>5240.8950044888488</v>
      </c>
      <c r="AZ278" s="297">
        <f t="shared" si="160"/>
        <v>5240.8950044888488</v>
      </c>
      <c r="BA278" s="297">
        <f t="shared" si="161"/>
        <v>5240.8950044888488</v>
      </c>
      <c r="BB278" s="297">
        <f t="shared" si="162"/>
        <v>5240.8950044888488</v>
      </c>
      <c r="BC278" s="298">
        <f t="shared" si="163"/>
        <v>20963.580017955395</v>
      </c>
      <c r="BD278" s="292" t="s">
        <v>763</v>
      </c>
      <c r="BE278" s="299" t="str">
        <f t="shared" si="164"/>
        <v>Exhibit 1.5A_R North Shore EEPS_Adjustable_Savings_Goal_Template.xlsx, Unit Savings Calculations Tab</v>
      </c>
      <c r="BF278" s="298">
        <f t="shared" si="165"/>
        <v>31445.370026933095</v>
      </c>
      <c r="BG278" s="298">
        <f t="shared" si="165"/>
        <v>31445.370026933095</v>
      </c>
      <c r="BH278" s="298">
        <f t="shared" si="165"/>
        <v>31445.370026933095</v>
      </c>
      <c r="BI278" s="298">
        <f t="shared" si="155"/>
        <v>31445.370026933095</v>
      </c>
      <c r="BJ278" s="298">
        <f t="shared" si="166"/>
        <v>125781.48010773238</v>
      </c>
      <c r="BK278" s="482">
        <v>6</v>
      </c>
      <c r="BL278" s="482">
        <v>6</v>
      </c>
      <c r="BM278" s="482">
        <f>INDEX('Unit Savings Calculations'!$I$4:$I$421,MATCH('Measure-Level Adjustments Tab'!$A278&amp;"_"&amp;'Measure-Level Adjustments Tab'!$B278,'Unit Savings Calculations'!$A$4:$A$421,0))</f>
        <v>6</v>
      </c>
      <c r="BN278" s="482">
        <f t="shared" si="167"/>
        <v>6</v>
      </c>
      <c r="BO278" s="483">
        <f t="shared" si="168"/>
        <v>31445.370026933095</v>
      </c>
      <c r="BP278" s="483">
        <f t="shared" si="168"/>
        <v>31445.370026933095</v>
      </c>
      <c r="BQ278" s="483">
        <f t="shared" si="168"/>
        <v>31445.370026933095</v>
      </c>
      <c r="BR278" s="483">
        <f t="shared" si="156"/>
        <v>31445.370026933095</v>
      </c>
      <c r="BS278" s="483">
        <f t="shared" si="157"/>
        <v>125781.48010773238</v>
      </c>
    </row>
    <row r="279" spans="1:71" ht="15.75" customHeight="1">
      <c r="A279" s="292" t="str">
        <f>'Unit Savings Calculations'!C275</f>
        <v>Bus - CI Rebates</v>
      </c>
      <c r="B279" s="292" t="str">
        <f>'Unit Savings Calculations'!D275</f>
        <v>Steam Traps - HVAC Repair/Rep - No Audit</v>
      </c>
      <c r="C279" s="293">
        <f t="shared" si="149"/>
        <v>1</v>
      </c>
      <c r="D279" s="292" t="str">
        <f>'Unit Savings Calculations'!T275</f>
        <v>4.4.16</v>
      </c>
      <c r="E279" s="438">
        <v>6</v>
      </c>
      <c r="F279" s="438">
        <v>6</v>
      </c>
      <c r="G279" s="292" t="str">
        <f>'Unit Savings Calculations'!E275</f>
        <v>each</v>
      </c>
      <c r="H279" s="294">
        <f>'Unit Savings Calculations'!$F275*'Unit Savings Calculations'!J275</f>
        <v>35</v>
      </c>
      <c r="I279" s="294">
        <f>'Unit Savings Calculations'!$F275*'Unit Savings Calculations'!K275</f>
        <v>35</v>
      </c>
      <c r="J279" s="294">
        <f>'Unit Savings Calculations'!$F275*'Unit Savings Calculations'!L275</f>
        <v>35</v>
      </c>
      <c r="K279" s="294">
        <f>'Unit Savings Calculations'!$F275*'Unit Savings Calculations'!M275</f>
        <v>35</v>
      </c>
      <c r="L279" s="292" t="str">
        <f>'Unit Savings Calculations'!U275</f>
        <v>CI-HVC-STRE-V05-180101</v>
      </c>
      <c r="M279" s="383" t="str">
        <f>'Unit Savings Calculations'!R275</f>
        <v>Exhibit 1.5A_R North Shore EEPS_Adjustable_Savings_Goal_Template.xlsx, Unit Savings Calculations Tab</v>
      </c>
      <c r="N279" s="295">
        <v>88.453924126394057</v>
      </c>
      <c r="O279" s="295">
        <v>88.453924126394057</v>
      </c>
      <c r="P279" s="295">
        <v>88.453924126394057</v>
      </c>
      <c r="Q279" s="295">
        <v>88.453924126394057</v>
      </c>
      <c r="R279" s="296">
        <f>'Unit Savings Calculations'!$G275</f>
        <v>0.79</v>
      </c>
      <c r="S279" s="296">
        <f>'Unit Savings Calculations'!$G275</f>
        <v>0.79</v>
      </c>
      <c r="T279" s="296">
        <f>'Unit Savings Calculations'!$G275</f>
        <v>0.79</v>
      </c>
      <c r="U279" s="296">
        <f>'Unit Savings Calculations'!$G275</f>
        <v>0.79</v>
      </c>
      <c r="V279" s="297">
        <f t="shared" si="150"/>
        <v>2445.7510020947957</v>
      </c>
      <c r="W279" s="297">
        <f t="shared" si="151"/>
        <v>2445.7510020947957</v>
      </c>
      <c r="X279" s="297">
        <f t="shared" si="152"/>
        <v>2445.7510020947957</v>
      </c>
      <c r="Y279" s="297">
        <f t="shared" si="153"/>
        <v>2445.7510020947957</v>
      </c>
      <c r="Z279" s="297">
        <f t="shared" si="154"/>
        <v>9783.0040083791828</v>
      </c>
      <c r="AA279" s="292"/>
      <c r="AB279" s="292"/>
      <c r="AC279" s="295">
        <v>88.453924126394057</v>
      </c>
      <c r="AD279" s="292"/>
      <c r="AE279" s="297">
        <f t="shared" si="169"/>
        <v>2445.7510020947957</v>
      </c>
      <c r="AF279" s="294">
        <f t="shared" si="170"/>
        <v>0</v>
      </c>
      <c r="AG279" s="292"/>
      <c r="AH279" s="292">
        <f t="shared" si="171"/>
        <v>0</v>
      </c>
      <c r="AI279" s="295">
        <v>88.453924126394057</v>
      </c>
      <c r="AJ279" s="383" t="s">
        <v>878</v>
      </c>
      <c r="AK279" s="297">
        <f t="shared" si="172"/>
        <v>2445.7510020947957</v>
      </c>
      <c r="AL279" s="294">
        <f t="shared" si="173"/>
        <v>0</v>
      </c>
      <c r="AM279" s="292"/>
      <c r="AN279" s="292"/>
      <c r="AO279" s="295">
        <f>'Unit Savings Calculations'!P275</f>
        <v>88.453924126394057</v>
      </c>
      <c r="AP279" s="383" t="s">
        <v>763</v>
      </c>
      <c r="AQ279" s="297">
        <f t="shared" si="174"/>
        <v>2445.7510020947957</v>
      </c>
      <c r="AR279" s="294">
        <f t="shared" si="175"/>
        <v>0</v>
      </c>
      <c r="AS279" s="292"/>
      <c r="AT279" s="292"/>
      <c r="AU279" s="295">
        <f>'Unit Savings Calculations'!Q275</f>
        <v>88.453924126394057</v>
      </c>
      <c r="AV279" s="383" t="str">
        <f t="shared" si="158"/>
        <v>n/a</v>
      </c>
      <c r="AW279" s="297">
        <f t="shared" si="176"/>
        <v>2445.7510020947957</v>
      </c>
      <c r="AX279" s="294">
        <f t="shared" si="177"/>
        <v>0</v>
      </c>
      <c r="AY279" s="297">
        <f t="shared" si="159"/>
        <v>2445.7510020947957</v>
      </c>
      <c r="AZ279" s="297">
        <f t="shared" si="160"/>
        <v>2445.7510020947957</v>
      </c>
      <c r="BA279" s="297">
        <f t="shared" si="161"/>
        <v>2445.7510020947957</v>
      </c>
      <c r="BB279" s="297">
        <f t="shared" si="162"/>
        <v>2445.7510020947957</v>
      </c>
      <c r="BC279" s="298">
        <f t="shared" si="163"/>
        <v>9783.0040083791828</v>
      </c>
      <c r="BD279" s="292" t="s">
        <v>763</v>
      </c>
      <c r="BE279" s="299" t="str">
        <f t="shared" si="164"/>
        <v>Exhibit 1.5A_R North Shore EEPS_Adjustable_Savings_Goal_Template.xlsx, Unit Savings Calculations Tab</v>
      </c>
      <c r="BF279" s="298">
        <f t="shared" si="165"/>
        <v>14674.506012568774</v>
      </c>
      <c r="BG279" s="298">
        <f t="shared" si="165"/>
        <v>14674.506012568774</v>
      </c>
      <c r="BH279" s="298">
        <f t="shared" si="165"/>
        <v>14674.506012568774</v>
      </c>
      <c r="BI279" s="298">
        <f t="shared" si="155"/>
        <v>14674.506012568774</v>
      </c>
      <c r="BJ279" s="298">
        <f t="shared" si="166"/>
        <v>58698.024050275097</v>
      </c>
      <c r="BK279" s="482">
        <v>6</v>
      </c>
      <c r="BL279" s="482">
        <v>6</v>
      </c>
      <c r="BM279" s="482">
        <f>INDEX('Unit Savings Calculations'!$I$4:$I$421,MATCH('Measure-Level Adjustments Tab'!$A279&amp;"_"&amp;'Measure-Level Adjustments Tab'!$B279,'Unit Savings Calculations'!$A$4:$A$421,0))</f>
        <v>6</v>
      </c>
      <c r="BN279" s="482">
        <f t="shared" si="167"/>
        <v>6</v>
      </c>
      <c r="BO279" s="483">
        <f t="shared" si="168"/>
        <v>14674.506012568774</v>
      </c>
      <c r="BP279" s="483">
        <f t="shared" si="168"/>
        <v>14674.506012568774</v>
      </c>
      <c r="BQ279" s="483">
        <f t="shared" si="168"/>
        <v>14674.506012568774</v>
      </c>
      <c r="BR279" s="483">
        <f t="shared" si="156"/>
        <v>14674.506012568774</v>
      </c>
      <c r="BS279" s="483">
        <f t="shared" si="157"/>
        <v>58698.024050275097</v>
      </c>
    </row>
    <row r="280" spans="1:71" ht="15.75" customHeight="1">
      <c r="A280" s="292" t="str">
        <f>'Unit Savings Calculations'!C276</f>
        <v>Bus - CI Rebates</v>
      </c>
      <c r="B280" s="292" t="str">
        <f>'Unit Savings Calculations'!D276</f>
        <v>Steam Traps - Test</v>
      </c>
      <c r="C280" s="293">
        <f t="shared" ref="C280:C348" si="178">IF(D280="Custom",0,1)</f>
        <v>0</v>
      </c>
      <c r="D280" s="292" t="str">
        <f>'Unit Savings Calculations'!T276</f>
        <v>Custom</v>
      </c>
      <c r="E280" s="438">
        <v>3</v>
      </c>
      <c r="F280" s="438">
        <v>3</v>
      </c>
      <c r="G280" s="292" t="str">
        <f>'Unit Savings Calculations'!E276</f>
        <v>each</v>
      </c>
      <c r="H280" s="294">
        <f>'Unit Savings Calculations'!$F276*'Unit Savings Calculations'!J276</f>
        <v>35</v>
      </c>
      <c r="I280" s="294">
        <f>'Unit Savings Calculations'!$F276*'Unit Savings Calculations'!K276</f>
        <v>35</v>
      </c>
      <c r="J280" s="294">
        <f>'Unit Savings Calculations'!$F276*'Unit Savings Calculations'!L276</f>
        <v>35</v>
      </c>
      <c r="K280" s="294">
        <f>'Unit Savings Calculations'!$F276*'Unit Savings Calculations'!M276</f>
        <v>35</v>
      </c>
      <c r="L280" s="292" t="str">
        <f>'Unit Savings Calculations'!U276</f>
        <v>Custom</v>
      </c>
      <c r="M280" s="383" t="str">
        <f>'Unit Savings Calculations'!R276</f>
        <v>Custom</v>
      </c>
      <c r="N280" s="295">
        <v>0</v>
      </c>
      <c r="O280" s="295">
        <v>0</v>
      </c>
      <c r="P280" s="295">
        <v>0</v>
      </c>
      <c r="Q280" s="295">
        <v>0</v>
      </c>
      <c r="R280" s="296">
        <f>'Unit Savings Calculations'!$G276</f>
        <v>0.79</v>
      </c>
      <c r="S280" s="296">
        <f>'Unit Savings Calculations'!$G276</f>
        <v>0.79</v>
      </c>
      <c r="T280" s="296">
        <f>'Unit Savings Calculations'!$G276</f>
        <v>0.79</v>
      </c>
      <c r="U280" s="296">
        <f>'Unit Savings Calculations'!$G276</f>
        <v>0.79</v>
      </c>
      <c r="V280" s="297">
        <f t="shared" si="150"/>
        <v>0</v>
      </c>
      <c r="W280" s="297">
        <f t="shared" si="151"/>
        <v>0</v>
      </c>
      <c r="X280" s="297">
        <f t="shared" si="152"/>
        <v>0</v>
      </c>
      <c r="Y280" s="297">
        <f t="shared" si="153"/>
        <v>0</v>
      </c>
      <c r="Z280" s="297">
        <f t="shared" si="154"/>
        <v>0</v>
      </c>
      <c r="AA280" s="384"/>
      <c r="AB280" s="384"/>
      <c r="AC280" s="387">
        <v>0</v>
      </c>
      <c r="AD280" s="384"/>
      <c r="AE280" s="385">
        <f t="shared" si="169"/>
        <v>0</v>
      </c>
      <c r="AF280" s="386">
        <f t="shared" si="170"/>
        <v>0</v>
      </c>
      <c r="AG280" s="384"/>
      <c r="AH280" s="384">
        <f t="shared" si="171"/>
        <v>0</v>
      </c>
      <c r="AI280" s="387">
        <v>0</v>
      </c>
      <c r="AJ280" s="435" t="s">
        <v>878</v>
      </c>
      <c r="AK280" s="385">
        <f t="shared" si="172"/>
        <v>0</v>
      </c>
      <c r="AL280" s="386">
        <f t="shared" si="173"/>
        <v>0</v>
      </c>
      <c r="AM280" s="384"/>
      <c r="AN280" s="384"/>
      <c r="AO280" s="387">
        <f>'Unit Savings Calculations'!P276</f>
        <v>0</v>
      </c>
      <c r="AP280" s="435" t="s">
        <v>763</v>
      </c>
      <c r="AQ280" s="385">
        <f t="shared" si="174"/>
        <v>0</v>
      </c>
      <c r="AR280" s="386">
        <f t="shared" si="175"/>
        <v>0</v>
      </c>
      <c r="AS280" s="384"/>
      <c r="AT280" s="384"/>
      <c r="AU280" s="387">
        <f>'Unit Savings Calculations'!Q276</f>
        <v>0</v>
      </c>
      <c r="AV280" s="435" t="str">
        <f t="shared" si="158"/>
        <v>n/a</v>
      </c>
      <c r="AW280" s="385">
        <f t="shared" si="176"/>
        <v>0</v>
      </c>
      <c r="AX280" s="386">
        <f t="shared" si="177"/>
        <v>0</v>
      </c>
      <c r="AY280" s="297">
        <f t="shared" si="159"/>
        <v>0</v>
      </c>
      <c r="AZ280" s="297">
        <f t="shared" si="160"/>
        <v>0</v>
      </c>
      <c r="BA280" s="297">
        <f t="shared" si="161"/>
        <v>0</v>
      </c>
      <c r="BB280" s="297">
        <f t="shared" si="162"/>
        <v>0</v>
      </c>
      <c r="BC280" s="298">
        <f t="shared" si="163"/>
        <v>0</v>
      </c>
      <c r="BD280" s="292" t="s">
        <v>763</v>
      </c>
      <c r="BE280" s="299" t="str">
        <f t="shared" si="164"/>
        <v>Custom</v>
      </c>
      <c r="BF280" s="298">
        <f t="shared" si="165"/>
        <v>0</v>
      </c>
      <c r="BG280" s="298">
        <f t="shared" si="165"/>
        <v>0</v>
      </c>
      <c r="BH280" s="298">
        <f t="shared" si="165"/>
        <v>0</v>
      </c>
      <c r="BI280" s="298">
        <f t="shared" si="155"/>
        <v>0</v>
      </c>
      <c r="BJ280" s="298">
        <f t="shared" si="166"/>
        <v>0</v>
      </c>
      <c r="BK280" s="482">
        <v>3</v>
      </c>
      <c r="BL280" s="482">
        <v>3</v>
      </c>
      <c r="BM280" s="482">
        <f>INDEX('Unit Savings Calculations'!$I$4:$I$421,MATCH('Measure-Level Adjustments Tab'!$A280&amp;"_"&amp;'Measure-Level Adjustments Tab'!$B280,'Unit Savings Calculations'!$A$4:$A$421,0))</f>
        <v>3</v>
      </c>
      <c r="BN280" s="482">
        <f t="shared" si="167"/>
        <v>3</v>
      </c>
      <c r="BO280" s="483">
        <f t="shared" si="168"/>
        <v>0</v>
      </c>
      <c r="BP280" s="483">
        <f t="shared" si="168"/>
        <v>0</v>
      </c>
      <c r="BQ280" s="483">
        <f t="shared" si="168"/>
        <v>0</v>
      </c>
      <c r="BR280" s="483">
        <f t="shared" si="156"/>
        <v>0</v>
      </c>
      <c r="BS280" s="483">
        <f t="shared" si="157"/>
        <v>0</v>
      </c>
    </row>
    <row r="281" spans="1:71" ht="15.75" customHeight="1">
      <c r="A281" s="292" t="str">
        <f>'Unit Savings Calculations'!C277</f>
        <v>Bus - CI Rebates</v>
      </c>
      <c r="B281" s="292" t="str">
        <f>'Unit Savings Calculations'!D277</f>
        <v>Thermostat - Programmable</v>
      </c>
      <c r="C281" s="293">
        <f t="shared" si="178"/>
        <v>1</v>
      </c>
      <c r="D281" s="292" t="str">
        <f>'Unit Savings Calculations'!T277</f>
        <v>4.4.18</v>
      </c>
      <c r="E281" s="438">
        <v>4</v>
      </c>
      <c r="F281" s="438">
        <v>4</v>
      </c>
      <c r="G281" s="292" t="str">
        <f>'Unit Savings Calculations'!E277</f>
        <v>each</v>
      </c>
      <c r="H281" s="294">
        <f>'Unit Savings Calculations'!$F277*'Unit Savings Calculations'!J277</f>
        <v>150</v>
      </c>
      <c r="I281" s="294">
        <f>'Unit Savings Calculations'!$F277*'Unit Savings Calculations'!K277</f>
        <v>150</v>
      </c>
      <c r="J281" s="294">
        <f>'Unit Savings Calculations'!$F277*'Unit Savings Calculations'!L277</f>
        <v>150</v>
      </c>
      <c r="K281" s="294">
        <f>'Unit Savings Calculations'!$F277*'Unit Savings Calculations'!M277</f>
        <v>150</v>
      </c>
      <c r="L281" s="292" t="str">
        <f>'Unit Savings Calculations'!U277</f>
        <v>CI-HVC-PROG-V02-150601</v>
      </c>
      <c r="M281" s="383" t="str">
        <f>'Unit Savings Calculations'!R277</f>
        <v>Exhibit 1.5A_R North Shore EEPS_Adjustable_Savings_Goal_Template.xlsx, Thermostat Detail Tab</v>
      </c>
      <c r="N281" s="295">
        <v>124.68584320000001</v>
      </c>
      <c r="O281" s="295">
        <v>124.68584320000001</v>
      </c>
      <c r="P281" s="295">
        <v>124.68584320000001</v>
      </c>
      <c r="Q281" s="295">
        <v>124.68584320000001</v>
      </c>
      <c r="R281" s="296">
        <f>'Unit Savings Calculations'!$G277</f>
        <v>0.79</v>
      </c>
      <c r="S281" s="296">
        <f>'Unit Savings Calculations'!$G277</f>
        <v>0.79</v>
      </c>
      <c r="T281" s="296">
        <f>'Unit Savings Calculations'!$G277</f>
        <v>0.79</v>
      </c>
      <c r="U281" s="296">
        <f>'Unit Savings Calculations'!$G277</f>
        <v>0.79</v>
      </c>
      <c r="V281" s="297">
        <f t="shared" si="150"/>
        <v>14775.272419200002</v>
      </c>
      <c r="W281" s="297">
        <f t="shared" si="151"/>
        <v>14775.272419200002</v>
      </c>
      <c r="X281" s="297">
        <f t="shared" si="152"/>
        <v>14775.272419200002</v>
      </c>
      <c r="Y281" s="297">
        <f t="shared" si="153"/>
        <v>14775.272419200002</v>
      </c>
      <c r="Z281" s="297">
        <f t="shared" si="154"/>
        <v>59101.089676800009</v>
      </c>
      <c r="AA281" s="292"/>
      <c r="AB281" s="292"/>
      <c r="AC281" s="295">
        <v>124.68584320000001</v>
      </c>
      <c r="AD281" s="292"/>
      <c r="AE281" s="297">
        <f t="shared" si="169"/>
        <v>14775.272419200002</v>
      </c>
      <c r="AF281" s="294">
        <f t="shared" si="170"/>
        <v>0</v>
      </c>
      <c r="AG281" s="292"/>
      <c r="AH281" s="292">
        <f t="shared" si="171"/>
        <v>0</v>
      </c>
      <c r="AI281" s="295">
        <v>124.68584320000001</v>
      </c>
      <c r="AJ281" s="383" t="s">
        <v>878</v>
      </c>
      <c r="AK281" s="297">
        <f t="shared" si="172"/>
        <v>14775.272419200002</v>
      </c>
      <c r="AL281" s="294">
        <f t="shared" si="173"/>
        <v>0</v>
      </c>
      <c r="AM281" s="292"/>
      <c r="AN281" s="292"/>
      <c r="AO281" s="295">
        <f>'Unit Savings Calculations'!P277</f>
        <v>124.68584320000001</v>
      </c>
      <c r="AP281" s="383" t="s">
        <v>763</v>
      </c>
      <c r="AQ281" s="297">
        <f t="shared" si="174"/>
        <v>14775.272419200002</v>
      </c>
      <c r="AR281" s="294">
        <f t="shared" si="175"/>
        <v>0</v>
      </c>
      <c r="AS281" s="292"/>
      <c r="AT281" s="292"/>
      <c r="AU281" s="295">
        <f>'Unit Savings Calculations'!Q277</f>
        <v>124.68584320000001</v>
      </c>
      <c r="AV281" s="383" t="str">
        <f t="shared" si="158"/>
        <v>n/a</v>
      </c>
      <c r="AW281" s="297">
        <f t="shared" si="176"/>
        <v>14775.272419200002</v>
      </c>
      <c r="AX281" s="294">
        <f t="shared" si="177"/>
        <v>0</v>
      </c>
      <c r="AY281" s="297">
        <f t="shared" si="159"/>
        <v>14775.272419200002</v>
      </c>
      <c r="AZ281" s="297">
        <f t="shared" si="160"/>
        <v>14775.272419200002</v>
      </c>
      <c r="BA281" s="297">
        <f t="shared" si="161"/>
        <v>14775.272419200002</v>
      </c>
      <c r="BB281" s="297">
        <f t="shared" si="162"/>
        <v>14775.272419200002</v>
      </c>
      <c r="BC281" s="298">
        <f t="shared" si="163"/>
        <v>59101.089676800009</v>
      </c>
      <c r="BD281" s="292" t="s">
        <v>763</v>
      </c>
      <c r="BE281" s="299" t="str">
        <f t="shared" si="164"/>
        <v>Exhibit 1.5A_R North Shore EEPS_Adjustable_Savings_Goal_Template.xlsx, Thermostat Detail Tab</v>
      </c>
      <c r="BF281" s="298">
        <f t="shared" si="165"/>
        <v>59101.089676800009</v>
      </c>
      <c r="BG281" s="298">
        <f t="shared" si="165"/>
        <v>59101.089676800009</v>
      </c>
      <c r="BH281" s="298">
        <f t="shared" si="165"/>
        <v>59101.089676800009</v>
      </c>
      <c r="BI281" s="298">
        <f t="shared" si="155"/>
        <v>59101.089676800009</v>
      </c>
      <c r="BJ281" s="298">
        <f t="shared" si="166"/>
        <v>236404.35870720004</v>
      </c>
      <c r="BK281" s="482">
        <v>4</v>
      </c>
      <c r="BL281" s="482">
        <v>4</v>
      </c>
      <c r="BM281" s="482">
        <f>INDEX('Unit Savings Calculations'!$I$4:$I$421,MATCH('Measure-Level Adjustments Tab'!$A281&amp;"_"&amp;'Measure-Level Adjustments Tab'!$B281,'Unit Savings Calculations'!$A$4:$A$421,0))</f>
        <v>4</v>
      </c>
      <c r="BN281" s="482">
        <f t="shared" si="167"/>
        <v>4</v>
      </c>
      <c r="BO281" s="483">
        <f t="shared" si="168"/>
        <v>59101.089676800009</v>
      </c>
      <c r="BP281" s="483">
        <f t="shared" si="168"/>
        <v>59101.089676800009</v>
      </c>
      <c r="BQ281" s="483">
        <f t="shared" si="168"/>
        <v>59101.089676800009</v>
      </c>
      <c r="BR281" s="483">
        <f t="shared" si="156"/>
        <v>59101.089676800009</v>
      </c>
      <c r="BS281" s="483">
        <f t="shared" si="157"/>
        <v>236404.35870720004</v>
      </c>
    </row>
    <row r="282" spans="1:71" ht="15.75" customHeight="1">
      <c r="A282" s="292" t="str">
        <f>'Unit Savings Calculations'!C278</f>
        <v>Bus - CI Rebates</v>
      </c>
      <c r="B282" s="292" t="str">
        <f>'Unit Savings Calculations'!D278</f>
        <v>Water Heater - Storage 88% TE ≥75MBh</v>
      </c>
      <c r="C282" s="293">
        <f t="shared" si="178"/>
        <v>1</v>
      </c>
      <c r="D282" s="292" t="str">
        <f>'Unit Savings Calculations'!T278</f>
        <v>4.3.1</v>
      </c>
      <c r="E282" s="438">
        <v>15</v>
      </c>
      <c r="F282" s="438">
        <v>15</v>
      </c>
      <c r="G282" s="292" t="str">
        <f>'Unit Savings Calculations'!E278</f>
        <v>each</v>
      </c>
      <c r="H282" s="294">
        <f>'Unit Savings Calculations'!$F278*'Unit Savings Calculations'!J278</f>
        <v>0</v>
      </c>
      <c r="I282" s="294">
        <f>'Unit Savings Calculations'!$F278*'Unit Savings Calculations'!K278</f>
        <v>0</v>
      </c>
      <c r="J282" s="294">
        <f>'Unit Savings Calculations'!$F278*'Unit Savings Calculations'!L278</f>
        <v>0</v>
      </c>
      <c r="K282" s="294">
        <f>'Unit Savings Calculations'!$F278*'Unit Savings Calculations'!M278</f>
        <v>0</v>
      </c>
      <c r="L282" s="292" t="str">
        <f>'Unit Savings Calculations'!U278</f>
        <v>CI-HW-STWH-V03-180101</v>
      </c>
      <c r="M282" s="383" t="str">
        <f>'Unit Savings Calculations'!R278</f>
        <v>Exhibit 1.5A_R North Shore EEPS_Adjustable_Savings_Goal_Template.xlsx, Unit Savings Calculations Tab</v>
      </c>
      <c r="N282" s="295">
        <v>135.66827090062347</v>
      </c>
      <c r="O282" s="295">
        <v>135.66827090062347</v>
      </c>
      <c r="P282" s="295">
        <v>135.66827090062347</v>
      </c>
      <c r="Q282" s="295">
        <v>135.66827090062347</v>
      </c>
      <c r="R282" s="296">
        <f>'Unit Savings Calculations'!$G278</f>
        <v>0.79</v>
      </c>
      <c r="S282" s="296">
        <f>'Unit Savings Calculations'!$G278</f>
        <v>0.79</v>
      </c>
      <c r="T282" s="296">
        <f>'Unit Savings Calculations'!$G278</f>
        <v>0.79</v>
      </c>
      <c r="U282" s="296">
        <f>'Unit Savings Calculations'!$G278</f>
        <v>0.79</v>
      </c>
      <c r="V282" s="297">
        <f t="shared" si="150"/>
        <v>0</v>
      </c>
      <c r="W282" s="297">
        <f t="shared" si="151"/>
        <v>0</v>
      </c>
      <c r="X282" s="297">
        <f t="shared" si="152"/>
        <v>0</v>
      </c>
      <c r="Y282" s="297">
        <f t="shared" si="153"/>
        <v>0</v>
      </c>
      <c r="Z282" s="297">
        <f t="shared" si="154"/>
        <v>0</v>
      </c>
      <c r="AA282" s="292"/>
      <c r="AB282" s="292"/>
      <c r="AC282" s="295">
        <v>135.66827090062347</v>
      </c>
      <c r="AD282" s="292"/>
      <c r="AE282" s="297">
        <f t="shared" si="169"/>
        <v>0</v>
      </c>
      <c r="AF282" s="294">
        <f t="shared" si="170"/>
        <v>0</v>
      </c>
      <c r="AG282" s="292"/>
      <c r="AH282" s="292">
        <f t="shared" si="171"/>
        <v>0</v>
      </c>
      <c r="AI282" s="295">
        <v>1514.573584976577</v>
      </c>
      <c r="AJ282" s="383" t="s">
        <v>894</v>
      </c>
      <c r="AK282" s="297">
        <f t="shared" si="172"/>
        <v>0</v>
      </c>
      <c r="AL282" s="294">
        <f t="shared" si="173"/>
        <v>0</v>
      </c>
      <c r="AM282" s="292"/>
      <c r="AN282" s="292"/>
      <c r="AO282" s="295">
        <f>'Unit Savings Calculations'!P278</f>
        <v>1514.573584976577</v>
      </c>
      <c r="AP282" s="383" t="s">
        <v>763</v>
      </c>
      <c r="AQ282" s="297">
        <f t="shared" si="174"/>
        <v>0</v>
      </c>
      <c r="AR282" s="294">
        <f t="shared" si="175"/>
        <v>0</v>
      </c>
      <c r="AS282" s="292"/>
      <c r="AT282" s="292"/>
      <c r="AU282" s="295">
        <f>'Unit Savings Calculations'!Q278</f>
        <v>1514.573584976577</v>
      </c>
      <c r="AV282" s="383" t="str">
        <f t="shared" si="158"/>
        <v>n/a</v>
      </c>
      <c r="AW282" s="297">
        <f t="shared" si="176"/>
        <v>0</v>
      </c>
      <c r="AX282" s="294">
        <f t="shared" si="177"/>
        <v>0</v>
      </c>
      <c r="AY282" s="297">
        <f t="shared" si="159"/>
        <v>0</v>
      </c>
      <c r="AZ282" s="297">
        <f t="shared" si="160"/>
        <v>0</v>
      </c>
      <c r="BA282" s="297">
        <f t="shared" si="161"/>
        <v>0</v>
      </c>
      <c r="BB282" s="297">
        <f t="shared" si="162"/>
        <v>0</v>
      </c>
      <c r="BC282" s="298">
        <f t="shared" si="163"/>
        <v>0</v>
      </c>
      <c r="BD282" s="292" t="s">
        <v>763</v>
      </c>
      <c r="BE282" s="299" t="str">
        <f t="shared" si="164"/>
        <v>Exhibit 1.5A_R North Shore EEPS_Adjustable_Savings_Goal_Template.xlsx, Unit Savings Calculations Tab</v>
      </c>
      <c r="BF282" s="298">
        <f t="shared" si="165"/>
        <v>0</v>
      </c>
      <c r="BG282" s="298">
        <f t="shared" si="165"/>
        <v>0</v>
      </c>
      <c r="BH282" s="298">
        <f t="shared" si="165"/>
        <v>0</v>
      </c>
      <c r="BI282" s="298">
        <f t="shared" si="155"/>
        <v>0</v>
      </c>
      <c r="BJ282" s="298">
        <f t="shared" si="166"/>
        <v>0</v>
      </c>
      <c r="BK282" s="482">
        <v>15</v>
      </c>
      <c r="BL282" s="482">
        <v>15</v>
      </c>
      <c r="BM282" s="482">
        <f>INDEX('Unit Savings Calculations'!$I$4:$I$421,MATCH('Measure-Level Adjustments Tab'!$A282&amp;"_"&amp;'Measure-Level Adjustments Tab'!$B282,'Unit Savings Calculations'!$A$4:$A$421,0))</f>
        <v>15</v>
      </c>
      <c r="BN282" s="482">
        <f t="shared" si="167"/>
        <v>15</v>
      </c>
      <c r="BO282" s="483">
        <f t="shared" si="168"/>
        <v>0</v>
      </c>
      <c r="BP282" s="483">
        <f t="shared" si="168"/>
        <v>0</v>
      </c>
      <c r="BQ282" s="483">
        <f t="shared" si="168"/>
        <v>0</v>
      </c>
      <c r="BR282" s="483">
        <f t="shared" si="156"/>
        <v>0</v>
      </c>
      <c r="BS282" s="483">
        <f t="shared" si="157"/>
        <v>0</v>
      </c>
    </row>
    <row r="283" spans="1:71" ht="15.75" customHeight="1">
      <c r="A283" s="292" t="str">
        <f>'Unit Savings Calculations'!C279</f>
        <v>Bus - CI Rebates</v>
      </c>
      <c r="B283" s="292" t="str">
        <f>'Unit Savings Calculations'!D279</f>
        <v>Double Rack Oven</v>
      </c>
      <c r="C283" s="293">
        <f t="shared" si="178"/>
        <v>1</v>
      </c>
      <c r="D283" s="292" t="str">
        <f>'Unit Savings Calculations'!T279</f>
        <v>4.2.18</v>
      </c>
      <c r="E283" s="438">
        <v>12</v>
      </c>
      <c r="F283" s="438">
        <v>12</v>
      </c>
      <c r="G283" s="292" t="str">
        <f>'Unit Savings Calculations'!E279</f>
        <v>each</v>
      </c>
      <c r="H283" s="294">
        <f>'Unit Savings Calculations'!$F279*'Unit Savings Calculations'!J279</f>
        <v>0</v>
      </c>
      <c r="I283" s="294">
        <f>'Unit Savings Calculations'!$F279*'Unit Savings Calculations'!K279</f>
        <v>0</v>
      </c>
      <c r="J283" s="294">
        <f>'Unit Savings Calculations'!$F279*'Unit Savings Calculations'!L279</f>
        <v>0</v>
      </c>
      <c r="K283" s="294">
        <f>'Unit Savings Calculations'!$F279*'Unit Savings Calculations'!M279</f>
        <v>0</v>
      </c>
      <c r="L283" s="292" t="str">
        <f>'Unit Savings Calculations'!U279</f>
        <v>CI-FSE-RKOV-VO2-180101</v>
      </c>
      <c r="M283" s="383" t="str">
        <f>'Unit Savings Calculations'!R279</f>
        <v>Exhibit 1.5A_R North Shore EEPS_Adjustable_Savings_Goal_Template.xlsx, Unit Savings Calculations Tab</v>
      </c>
      <c r="N283" s="295">
        <v>1930</v>
      </c>
      <c r="O283" s="295">
        <v>1930</v>
      </c>
      <c r="P283" s="295">
        <v>1930</v>
      </c>
      <c r="Q283" s="295">
        <v>1930</v>
      </c>
      <c r="R283" s="296">
        <f>'Unit Savings Calculations'!$G279</f>
        <v>0.79</v>
      </c>
      <c r="S283" s="296">
        <f>'Unit Savings Calculations'!$G279</f>
        <v>0.79</v>
      </c>
      <c r="T283" s="296">
        <f>'Unit Savings Calculations'!$G279</f>
        <v>0.79</v>
      </c>
      <c r="U283" s="296">
        <f>'Unit Savings Calculations'!$G279</f>
        <v>0.79</v>
      </c>
      <c r="V283" s="297">
        <f t="shared" si="150"/>
        <v>0</v>
      </c>
      <c r="W283" s="297">
        <f t="shared" si="151"/>
        <v>0</v>
      </c>
      <c r="X283" s="297">
        <f t="shared" si="152"/>
        <v>0</v>
      </c>
      <c r="Y283" s="297">
        <f t="shared" si="153"/>
        <v>0</v>
      </c>
      <c r="Z283" s="297">
        <f t="shared" si="154"/>
        <v>0</v>
      </c>
      <c r="AA283" s="292"/>
      <c r="AB283" s="292"/>
      <c r="AC283" s="295">
        <v>1930</v>
      </c>
      <c r="AD283" s="292"/>
      <c r="AE283" s="297">
        <f t="shared" si="169"/>
        <v>0</v>
      </c>
      <c r="AF283" s="294">
        <f t="shared" si="170"/>
        <v>0</v>
      </c>
      <c r="AG283" s="292"/>
      <c r="AH283" s="292">
        <f t="shared" si="171"/>
        <v>0</v>
      </c>
      <c r="AI283" s="295">
        <v>1930</v>
      </c>
      <c r="AJ283" s="383" t="s">
        <v>878</v>
      </c>
      <c r="AK283" s="297">
        <f t="shared" si="172"/>
        <v>0</v>
      </c>
      <c r="AL283" s="294">
        <f t="shared" si="173"/>
        <v>0</v>
      </c>
      <c r="AM283" s="292"/>
      <c r="AN283" s="292"/>
      <c r="AO283" s="295">
        <f>'Unit Savings Calculations'!P279</f>
        <v>1930</v>
      </c>
      <c r="AP283" s="383" t="s">
        <v>763</v>
      </c>
      <c r="AQ283" s="297">
        <f t="shared" si="174"/>
        <v>0</v>
      </c>
      <c r="AR283" s="294">
        <f t="shared" si="175"/>
        <v>0</v>
      </c>
      <c r="AS283" s="292"/>
      <c r="AT283" s="292"/>
      <c r="AU283" s="295">
        <f>'Unit Savings Calculations'!Q279</f>
        <v>1930</v>
      </c>
      <c r="AV283" s="383" t="str">
        <f t="shared" si="158"/>
        <v>n/a</v>
      </c>
      <c r="AW283" s="297">
        <f t="shared" si="176"/>
        <v>0</v>
      </c>
      <c r="AX283" s="294">
        <f t="shared" si="177"/>
        <v>0</v>
      </c>
      <c r="AY283" s="297">
        <f t="shared" si="159"/>
        <v>0</v>
      </c>
      <c r="AZ283" s="297">
        <f t="shared" si="160"/>
        <v>0</v>
      </c>
      <c r="BA283" s="297">
        <f t="shared" si="161"/>
        <v>0</v>
      </c>
      <c r="BB283" s="297">
        <f t="shared" si="162"/>
        <v>0</v>
      </c>
      <c r="BC283" s="298">
        <f t="shared" si="163"/>
        <v>0</v>
      </c>
      <c r="BD283" s="292" t="s">
        <v>763</v>
      </c>
      <c r="BE283" s="299" t="str">
        <f t="shared" si="164"/>
        <v>Exhibit 1.5A_R North Shore EEPS_Adjustable_Savings_Goal_Template.xlsx, Unit Savings Calculations Tab</v>
      </c>
      <c r="BF283" s="298">
        <f t="shared" si="165"/>
        <v>0</v>
      </c>
      <c r="BG283" s="298">
        <f t="shared" si="165"/>
        <v>0</v>
      </c>
      <c r="BH283" s="298">
        <f t="shared" si="165"/>
        <v>0</v>
      </c>
      <c r="BI283" s="298">
        <f t="shared" si="155"/>
        <v>0</v>
      </c>
      <c r="BJ283" s="298">
        <f t="shared" si="166"/>
        <v>0</v>
      </c>
      <c r="BK283" s="482">
        <v>12</v>
      </c>
      <c r="BL283" s="482">
        <v>12</v>
      </c>
      <c r="BM283" s="482">
        <f>INDEX('Unit Savings Calculations'!$I$4:$I$421,MATCH('Measure-Level Adjustments Tab'!$A283&amp;"_"&amp;'Measure-Level Adjustments Tab'!$B283,'Unit Savings Calculations'!$A$4:$A$421,0))</f>
        <v>12</v>
      </c>
      <c r="BN283" s="482">
        <f t="shared" si="167"/>
        <v>12</v>
      </c>
      <c r="BO283" s="483">
        <f t="shared" si="168"/>
        <v>0</v>
      </c>
      <c r="BP283" s="483">
        <f t="shared" si="168"/>
        <v>0</v>
      </c>
      <c r="BQ283" s="483">
        <f t="shared" si="168"/>
        <v>0</v>
      </c>
      <c r="BR283" s="483">
        <f t="shared" si="156"/>
        <v>0</v>
      </c>
      <c r="BS283" s="483">
        <f t="shared" si="157"/>
        <v>0</v>
      </c>
    </row>
    <row r="284" spans="1:71" ht="15.75" customHeight="1">
      <c r="A284" s="292" t="str">
        <f>'Unit Savings Calculations'!C280</f>
        <v>Bus - CI Rebates</v>
      </c>
      <c r="B284" s="292" t="str">
        <f>'Unit Savings Calculations'!D280</f>
        <v>Energy Star Convection Oven</v>
      </c>
      <c r="C284" s="293">
        <f t="shared" si="178"/>
        <v>1</v>
      </c>
      <c r="D284" s="292" t="str">
        <f>'Unit Savings Calculations'!T280</f>
        <v>4.2.5</v>
      </c>
      <c r="E284" s="438">
        <v>12</v>
      </c>
      <c r="F284" s="438">
        <v>12</v>
      </c>
      <c r="G284" s="292" t="str">
        <f>'Unit Savings Calculations'!E280</f>
        <v>each</v>
      </c>
      <c r="H284" s="294">
        <f>'Unit Savings Calculations'!$F280*'Unit Savings Calculations'!J280</f>
        <v>5</v>
      </c>
      <c r="I284" s="294">
        <f>'Unit Savings Calculations'!$F280*'Unit Savings Calculations'!K280</f>
        <v>5</v>
      </c>
      <c r="J284" s="294">
        <f>'Unit Savings Calculations'!$F280*'Unit Savings Calculations'!L280</f>
        <v>5</v>
      </c>
      <c r="K284" s="294">
        <f>'Unit Savings Calculations'!$F280*'Unit Savings Calculations'!M280</f>
        <v>5</v>
      </c>
      <c r="L284" s="292" t="str">
        <f>'Unit Savings Calculations'!U280</f>
        <v>CI-FSE-ESCV-V02-180101</v>
      </c>
      <c r="M284" s="383" t="str">
        <f>'Unit Savings Calculations'!R280</f>
        <v>Exhibit 1.5A_R North Shore EEPS_Adjustable_Savings_Goal_Template.xlsx, Unit Savings Calculations Tab</v>
      </c>
      <c r="N284" s="295">
        <v>352.14445072463781</v>
      </c>
      <c r="O284" s="295">
        <v>352.14445072463781</v>
      </c>
      <c r="P284" s="295">
        <v>352.14445072463781</v>
      </c>
      <c r="Q284" s="295">
        <v>352.14445072463781</v>
      </c>
      <c r="R284" s="296">
        <f>'Unit Savings Calculations'!$G280</f>
        <v>0.79</v>
      </c>
      <c r="S284" s="296">
        <f>'Unit Savings Calculations'!$G280</f>
        <v>0.79</v>
      </c>
      <c r="T284" s="296">
        <f>'Unit Savings Calculations'!$G280</f>
        <v>0.79</v>
      </c>
      <c r="U284" s="296">
        <f>'Unit Savings Calculations'!$G280</f>
        <v>0.79</v>
      </c>
      <c r="V284" s="297">
        <f t="shared" si="150"/>
        <v>1390.9705803623194</v>
      </c>
      <c r="W284" s="297">
        <f t="shared" si="151"/>
        <v>1390.9705803623194</v>
      </c>
      <c r="X284" s="297">
        <f t="shared" si="152"/>
        <v>1390.9705803623194</v>
      </c>
      <c r="Y284" s="297">
        <f t="shared" si="153"/>
        <v>1390.9705803623194</v>
      </c>
      <c r="Z284" s="297">
        <f t="shared" si="154"/>
        <v>5563.8823214492777</v>
      </c>
      <c r="AA284" s="292"/>
      <c r="AB284" s="292"/>
      <c r="AC284" s="295">
        <v>352.14445072463781</v>
      </c>
      <c r="AD284" s="292"/>
      <c r="AE284" s="297">
        <f t="shared" si="169"/>
        <v>1390.9705803623194</v>
      </c>
      <c r="AF284" s="294">
        <f t="shared" si="170"/>
        <v>0</v>
      </c>
      <c r="AG284" s="292"/>
      <c r="AH284" s="292">
        <f t="shared" si="171"/>
        <v>0</v>
      </c>
      <c r="AI284" s="295">
        <v>352.14445072463781</v>
      </c>
      <c r="AJ284" s="383" t="s">
        <v>878</v>
      </c>
      <c r="AK284" s="297">
        <f t="shared" si="172"/>
        <v>1390.9705803623194</v>
      </c>
      <c r="AL284" s="294">
        <f t="shared" si="173"/>
        <v>0</v>
      </c>
      <c r="AM284" s="292"/>
      <c r="AN284" s="292"/>
      <c r="AO284" s="295">
        <f>'Unit Savings Calculations'!P280</f>
        <v>352.14445072463781</v>
      </c>
      <c r="AP284" s="383" t="s">
        <v>763</v>
      </c>
      <c r="AQ284" s="297">
        <f t="shared" si="174"/>
        <v>1390.9705803623194</v>
      </c>
      <c r="AR284" s="294">
        <f t="shared" si="175"/>
        <v>0</v>
      </c>
      <c r="AS284" s="292"/>
      <c r="AT284" s="292"/>
      <c r="AU284" s="295">
        <f>'Unit Savings Calculations'!Q280</f>
        <v>352.14445072463781</v>
      </c>
      <c r="AV284" s="383" t="str">
        <f t="shared" si="158"/>
        <v>n/a</v>
      </c>
      <c r="AW284" s="297">
        <f t="shared" si="176"/>
        <v>1390.9705803623194</v>
      </c>
      <c r="AX284" s="294">
        <f t="shared" si="177"/>
        <v>0</v>
      </c>
      <c r="AY284" s="297">
        <f t="shared" si="159"/>
        <v>1390.9705803623194</v>
      </c>
      <c r="AZ284" s="297">
        <f t="shared" si="160"/>
        <v>1390.9705803623194</v>
      </c>
      <c r="BA284" s="297">
        <f t="shared" si="161"/>
        <v>1390.9705803623194</v>
      </c>
      <c r="BB284" s="297">
        <f t="shared" si="162"/>
        <v>1390.9705803623194</v>
      </c>
      <c r="BC284" s="298">
        <f t="shared" si="163"/>
        <v>5563.8823214492777</v>
      </c>
      <c r="BD284" s="292" t="s">
        <v>763</v>
      </c>
      <c r="BE284" s="299" t="str">
        <f t="shared" si="164"/>
        <v>Exhibit 1.5A_R North Shore EEPS_Adjustable_Savings_Goal_Template.xlsx, Unit Savings Calculations Tab</v>
      </c>
      <c r="BF284" s="298">
        <f t="shared" si="165"/>
        <v>16691.646964347834</v>
      </c>
      <c r="BG284" s="298">
        <f t="shared" si="165"/>
        <v>16691.646964347834</v>
      </c>
      <c r="BH284" s="298">
        <f t="shared" si="165"/>
        <v>16691.646964347834</v>
      </c>
      <c r="BI284" s="298">
        <f t="shared" si="155"/>
        <v>16691.646964347834</v>
      </c>
      <c r="BJ284" s="298">
        <f t="shared" si="166"/>
        <v>66766.587857391336</v>
      </c>
      <c r="BK284" s="482">
        <v>12</v>
      </c>
      <c r="BL284" s="482">
        <v>12</v>
      </c>
      <c r="BM284" s="482">
        <f>INDEX('Unit Savings Calculations'!$I$4:$I$421,MATCH('Measure-Level Adjustments Tab'!$A284&amp;"_"&amp;'Measure-Level Adjustments Tab'!$B284,'Unit Savings Calculations'!$A$4:$A$421,0))</f>
        <v>12</v>
      </c>
      <c r="BN284" s="482">
        <f t="shared" si="167"/>
        <v>12</v>
      </c>
      <c r="BO284" s="483">
        <f t="shared" si="168"/>
        <v>16691.646964347834</v>
      </c>
      <c r="BP284" s="483">
        <f t="shared" si="168"/>
        <v>16691.646964347834</v>
      </c>
      <c r="BQ284" s="483">
        <f t="shared" si="168"/>
        <v>16691.646964347834</v>
      </c>
      <c r="BR284" s="483">
        <f t="shared" si="156"/>
        <v>16691.646964347834</v>
      </c>
      <c r="BS284" s="483">
        <f t="shared" si="157"/>
        <v>66766.587857391336</v>
      </c>
    </row>
    <row r="285" spans="1:71" ht="15.75" customHeight="1">
      <c r="A285" s="292" t="str">
        <f>'Unit Savings Calculations'!C281</f>
        <v>Bus - CI Rebates</v>
      </c>
      <c r="B285" s="292" t="str">
        <f>'Unit Savings Calculations'!D281</f>
        <v>Energy Star Conveyer Oven</v>
      </c>
      <c r="C285" s="293">
        <f t="shared" si="178"/>
        <v>1</v>
      </c>
      <c r="D285" s="292" t="str">
        <f>'Unit Savings Calculations'!T281</f>
        <v>4.2.4</v>
      </c>
      <c r="E285" s="438">
        <v>17</v>
      </c>
      <c r="F285" s="438">
        <v>17</v>
      </c>
      <c r="G285" s="292" t="str">
        <f>'Unit Savings Calculations'!E281</f>
        <v>each</v>
      </c>
      <c r="H285" s="294">
        <f>'Unit Savings Calculations'!$F281*'Unit Savings Calculations'!J281</f>
        <v>0</v>
      </c>
      <c r="I285" s="294">
        <f>'Unit Savings Calculations'!$F281*'Unit Savings Calculations'!K281</f>
        <v>0</v>
      </c>
      <c r="J285" s="294">
        <f>'Unit Savings Calculations'!$F281*'Unit Savings Calculations'!L281</f>
        <v>0</v>
      </c>
      <c r="K285" s="294">
        <f>'Unit Savings Calculations'!$F281*'Unit Savings Calculations'!M281</f>
        <v>0</v>
      </c>
      <c r="L285" s="292" t="str">
        <f>'Unit Savings Calculations'!U281</f>
        <v>CI-FSE-CVOV-V02-180101</v>
      </c>
      <c r="M285" s="383" t="str">
        <f>'Unit Savings Calculations'!R281</f>
        <v>Exhibit 1.5A_R North Shore EEPS_Adjustable_Savings_Goal_Template.xlsx, Unit Savings Calculations Tab</v>
      </c>
      <c r="N285" s="295">
        <v>884</v>
      </c>
      <c r="O285" s="295">
        <v>884</v>
      </c>
      <c r="P285" s="295">
        <v>884</v>
      </c>
      <c r="Q285" s="295">
        <v>884</v>
      </c>
      <c r="R285" s="296">
        <f>'Unit Savings Calculations'!$G281</f>
        <v>0.79</v>
      </c>
      <c r="S285" s="296">
        <f>'Unit Savings Calculations'!$G281</f>
        <v>0.79</v>
      </c>
      <c r="T285" s="296">
        <f>'Unit Savings Calculations'!$G281</f>
        <v>0.79</v>
      </c>
      <c r="U285" s="296">
        <f>'Unit Savings Calculations'!$G281</f>
        <v>0.79</v>
      </c>
      <c r="V285" s="297">
        <f t="shared" si="150"/>
        <v>0</v>
      </c>
      <c r="W285" s="297">
        <f t="shared" si="151"/>
        <v>0</v>
      </c>
      <c r="X285" s="297">
        <f t="shared" si="152"/>
        <v>0</v>
      </c>
      <c r="Y285" s="297">
        <f t="shared" si="153"/>
        <v>0</v>
      </c>
      <c r="Z285" s="297">
        <f t="shared" si="154"/>
        <v>0</v>
      </c>
      <c r="AA285" s="292"/>
      <c r="AB285" s="292"/>
      <c r="AC285" s="295">
        <v>884</v>
      </c>
      <c r="AD285" s="292"/>
      <c r="AE285" s="297">
        <f t="shared" si="169"/>
        <v>0</v>
      </c>
      <c r="AF285" s="294">
        <f t="shared" si="170"/>
        <v>0</v>
      </c>
      <c r="AG285" s="292"/>
      <c r="AH285" s="292">
        <f t="shared" si="171"/>
        <v>0</v>
      </c>
      <c r="AI285" s="295">
        <v>884</v>
      </c>
      <c r="AJ285" s="383" t="s">
        <v>878</v>
      </c>
      <c r="AK285" s="297">
        <f t="shared" si="172"/>
        <v>0</v>
      </c>
      <c r="AL285" s="294">
        <f t="shared" si="173"/>
        <v>0</v>
      </c>
      <c r="AM285" s="292"/>
      <c r="AN285" s="292"/>
      <c r="AO285" s="295">
        <f>'Unit Savings Calculations'!P281</f>
        <v>884</v>
      </c>
      <c r="AP285" s="383" t="s">
        <v>763</v>
      </c>
      <c r="AQ285" s="297">
        <f t="shared" si="174"/>
        <v>0</v>
      </c>
      <c r="AR285" s="294">
        <f t="shared" si="175"/>
        <v>0</v>
      </c>
      <c r="AS285" s="292"/>
      <c r="AT285" s="292"/>
      <c r="AU285" s="295">
        <f>'Unit Savings Calculations'!Q281</f>
        <v>884</v>
      </c>
      <c r="AV285" s="383" t="str">
        <f t="shared" si="158"/>
        <v>n/a</v>
      </c>
      <c r="AW285" s="297">
        <f t="shared" si="176"/>
        <v>0</v>
      </c>
      <c r="AX285" s="294">
        <f t="shared" si="177"/>
        <v>0</v>
      </c>
      <c r="AY285" s="297">
        <f t="shared" si="159"/>
        <v>0</v>
      </c>
      <c r="AZ285" s="297">
        <f t="shared" si="160"/>
        <v>0</v>
      </c>
      <c r="BA285" s="297">
        <f t="shared" si="161"/>
        <v>0</v>
      </c>
      <c r="BB285" s="297">
        <f t="shared" si="162"/>
        <v>0</v>
      </c>
      <c r="BC285" s="298">
        <f t="shared" si="163"/>
        <v>0</v>
      </c>
      <c r="BD285" s="292" t="s">
        <v>763</v>
      </c>
      <c r="BE285" s="299" t="str">
        <f t="shared" si="164"/>
        <v>Exhibit 1.5A_R North Shore EEPS_Adjustable_Savings_Goal_Template.xlsx, Unit Savings Calculations Tab</v>
      </c>
      <c r="BF285" s="298">
        <f t="shared" si="165"/>
        <v>0</v>
      </c>
      <c r="BG285" s="298">
        <f t="shared" si="165"/>
        <v>0</v>
      </c>
      <c r="BH285" s="298">
        <f t="shared" si="165"/>
        <v>0</v>
      </c>
      <c r="BI285" s="298">
        <f t="shared" si="155"/>
        <v>0</v>
      </c>
      <c r="BJ285" s="298">
        <f t="shared" si="166"/>
        <v>0</v>
      </c>
      <c r="BK285" s="482">
        <v>17</v>
      </c>
      <c r="BL285" s="482">
        <v>17</v>
      </c>
      <c r="BM285" s="482">
        <f>INDEX('Unit Savings Calculations'!$I$4:$I$421,MATCH('Measure-Level Adjustments Tab'!$A285&amp;"_"&amp;'Measure-Level Adjustments Tab'!$B285,'Unit Savings Calculations'!$A$4:$A$421,0))</f>
        <v>17</v>
      </c>
      <c r="BN285" s="482">
        <f t="shared" si="167"/>
        <v>17</v>
      </c>
      <c r="BO285" s="483">
        <f t="shared" si="168"/>
        <v>0</v>
      </c>
      <c r="BP285" s="483">
        <f t="shared" si="168"/>
        <v>0</v>
      </c>
      <c r="BQ285" s="483">
        <f t="shared" si="168"/>
        <v>0</v>
      </c>
      <c r="BR285" s="483">
        <f t="shared" si="156"/>
        <v>0</v>
      </c>
      <c r="BS285" s="483">
        <f t="shared" si="157"/>
        <v>0</v>
      </c>
    </row>
    <row r="286" spans="1:71" ht="15.75" customHeight="1">
      <c r="A286" s="292" t="str">
        <f>'Unit Savings Calculations'!C282</f>
        <v>Bus - CI Rebates</v>
      </c>
      <c r="B286" s="292" t="str">
        <f>'Unit Savings Calculations'!D282</f>
        <v>Energy Star Fryer</v>
      </c>
      <c r="C286" s="293">
        <f t="shared" si="178"/>
        <v>1</v>
      </c>
      <c r="D286" s="292" t="str">
        <f>'Unit Savings Calculations'!T282</f>
        <v>4.2.7</v>
      </c>
      <c r="E286" s="438">
        <v>15</v>
      </c>
      <c r="F286" s="438">
        <v>12</v>
      </c>
      <c r="G286" s="292" t="str">
        <f>'Unit Savings Calculations'!E282</f>
        <v>each</v>
      </c>
      <c r="H286" s="294">
        <f>'Unit Savings Calculations'!$F282*'Unit Savings Calculations'!J282</f>
        <v>0</v>
      </c>
      <c r="I286" s="294">
        <f>'Unit Savings Calculations'!$F282*'Unit Savings Calculations'!K282</f>
        <v>0</v>
      </c>
      <c r="J286" s="294">
        <f>'Unit Savings Calculations'!$F282*'Unit Savings Calculations'!L282</f>
        <v>0</v>
      </c>
      <c r="K286" s="294">
        <f>'Unit Savings Calculations'!$F282*'Unit Savings Calculations'!M282</f>
        <v>0</v>
      </c>
      <c r="L286" s="292" t="str">
        <f>'Unit Savings Calculations'!U282</f>
        <v>CI-FSE-ESFR-V01-120601</v>
      </c>
      <c r="M286" s="383" t="str">
        <f>'Unit Savings Calculations'!R282</f>
        <v>Exhibit 1.5A_R North Shore EEPS_Adjustable_Savings_Goal_Template.xlsx, Unit Savings Calculations Tab</v>
      </c>
      <c r="N286" s="295">
        <v>505.37299714285717</v>
      </c>
      <c r="O286" s="295">
        <v>505.37299714285717</v>
      </c>
      <c r="P286" s="295">
        <v>505.37299714285717</v>
      </c>
      <c r="Q286" s="295">
        <v>505.37299714285717</v>
      </c>
      <c r="R286" s="296">
        <f>'Unit Savings Calculations'!$G282</f>
        <v>0.79</v>
      </c>
      <c r="S286" s="296">
        <f>'Unit Savings Calculations'!$G282</f>
        <v>0.79</v>
      </c>
      <c r="T286" s="296">
        <f>'Unit Savings Calculations'!$G282</f>
        <v>0.79</v>
      </c>
      <c r="U286" s="296">
        <f>'Unit Savings Calculations'!$G282</f>
        <v>0.79</v>
      </c>
      <c r="V286" s="297">
        <f t="shared" ref="V286:V349" si="179">H286*N286*R286</f>
        <v>0</v>
      </c>
      <c r="W286" s="297">
        <f t="shared" ref="W286:W349" si="180">I286*O286*S286</f>
        <v>0</v>
      </c>
      <c r="X286" s="297">
        <f t="shared" ref="X286:X349" si="181">J286*P286*T286</f>
        <v>0</v>
      </c>
      <c r="Y286" s="297">
        <f t="shared" ref="Y286:Y349" si="182">K286*Q286*U286</f>
        <v>0</v>
      </c>
      <c r="Z286" s="297">
        <f t="shared" ref="Z286:Z349" si="183">V286+W286+X286+Y286</f>
        <v>0</v>
      </c>
      <c r="AA286" s="292"/>
      <c r="AB286" s="292"/>
      <c r="AC286" s="295">
        <v>505.37299714285717</v>
      </c>
      <c r="AD286" s="292"/>
      <c r="AE286" s="297">
        <f t="shared" si="169"/>
        <v>0</v>
      </c>
      <c r="AF286" s="294">
        <f t="shared" si="170"/>
        <v>0</v>
      </c>
      <c r="AG286" s="292"/>
      <c r="AH286" s="292">
        <f t="shared" si="171"/>
        <v>0</v>
      </c>
      <c r="AI286" s="295">
        <v>505.37299714285717</v>
      </c>
      <c r="AJ286" s="383" t="s">
        <v>878</v>
      </c>
      <c r="AK286" s="297">
        <f t="shared" si="172"/>
        <v>0</v>
      </c>
      <c r="AL286" s="294">
        <f t="shared" si="173"/>
        <v>0</v>
      </c>
      <c r="AM286" s="292"/>
      <c r="AN286" s="292"/>
      <c r="AO286" s="295">
        <f>'Unit Savings Calculations'!P282</f>
        <v>505.37299714285717</v>
      </c>
      <c r="AP286" s="383" t="s">
        <v>763</v>
      </c>
      <c r="AQ286" s="297">
        <f t="shared" si="174"/>
        <v>0</v>
      </c>
      <c r="AR286" s="294">
        <f t="shared" si="175"/>
        <v>0</v>
      </c>
      <c r="AS286" s="292"/>
      <c r="AT286" s="292"/>
      <c r="AU286" s="295">
        <f>'Unit Savings Calculations'!Q282</f>
        <v>505.37299714285717</v>
      </c>
      <c r="AV286" s="383" t="str">
        <f t="shared" si="158"/>
        <v>n/a</v>
      </c>
      <c r="AW286" s="297">
        <f t="shared" si="176"/>
        <v>0</v>
      </c>
      <c r="AX286" s="294">
        <f t="shared" si="177"/>
        <v>0</v>
      </c>
      <c r="AY286" s="297">
        <f t="shared" si="159"/>
        <v>0</v>
      </c>
      <c r="AZ286" s="297">
        <f t="shared" si="160"/>
        <v>0</v>
      </c>
      <c r="BA286" s="297">
        <f t="shared" si="161"/>
        <v>0</v>
      </c>
      <c r="BB286" s="297">
        <f t="shared" si="162"/>
        <v>0</v>
      </c>
      <c r="BC286" s="298">
        <f t="shared" si="163"/>
        <v>0</v>
      </c>
      <c r="BD286" s="292" t="s">
        <v>763</v>
      </c>
      <c r="BE286" s="299" t="str">
        <f t="shared" si="164"/>
        <v>Exhibit 1.5A_R North Shore EEPS_Adjustable_Savings_Goal_Template.xlsx, Unit Savings Calculations Tab</v>
      </c>
      <c r="BF286" s="298">
        <f t="shared" si="165"/>
        <v>0</v>
      </c>
      <c r="BG286" s="298">
        <f t="shared" si="165"/>
        <v>0</v>
      </c>
      <c r="BH286" s="298">
        <f t="shared" si="165"/>
        <v>0</v>
      </c>
      <c r="BI286" s="298">
        <f t="shared" si="155"/>
        <v>0</v>
      </c>
      <c r="BJ286" s="298">
        <f t="shared" si="166"/>
        <v>0</v>
      </c>
      <c r="BK286" s="482">
        <v>12</v>
      </c>
      <c r="BL286" s="482">
        <v>12</v>
      </c>
      <c r="BM286" s="482">
        <f>INDEX('Unit Savings Calculations'!$I$4:$I$421,MATCH('Measure-Level Adjustments Tab'!$A286&amp;"_"&amp;'Measure-Level Adjustments Tab'!$B286,'Unit Savings Calculations'!$A$4:$A$421,0))</f>
        <v>12</v>
      </c>
      <c r="BN286" s="482">
        <f t="shared" si="167"/>
        <v>12</v>
      </c>
      <c r="BO286" s="483">
        <f t="shared" si="168"/>
        <v>0</v>
      </c>
      <c r="BP286" s="483">
        <f t="shared" si="168"/>
        <v>0</v>
      </c>
      <c r="BQ286" s="483">
        <f t="shared" si="168"/>
        <v>0</v>
      </c>
      <c r="BR286" s="483">
        <f t="shared" si="156"/>
        <v>0</v>
      </c>
      <c r="BS286" s="483">
        <f t="shared" si="157"/>
        <v>0</v>
      </c>
    </row>
    <row r="287" spans="1:71" ht="15.75" customHeight="1">
      <c r="A287" s="292" t="str">
        <f>'Unit Savings Calculations'!C283</f>
        <v>Bus - CI Rebates</v>
      </c>
      <c r="B287" s="292" t="str">
        <f>'Unit Savings Calculations'!D283</f>
        <v>Energy Star Steamer - 3 Pans</v>
      </c>
      <c r="C287" s="293">
        <f t="shared" si="178"/>
        <v>1</v>
      </c>
      <c r="D287" s="292" t="str">
        <f>'Unit Savings Calculations'!T283</f>
        <v>4.2.3</v>
      </c>
      <c r="E287" s="438">
        <v>12</v>
      </c>
      <c r="F287" s="438">
        <v>12</v>
      </c>
      <c r="G287" s="292" t="str">
        <f>'Unit Savings Calculations'!E283</f>
        <v>each</v>
      </c>
      <c r="H287" s="294">
        <f>'Unit Savings Calculations'!$F283*'Unit Savings Calculations'!J283</f>
        <v>0</v>
      </c>
      <c r="I287" s="294">
        <f>'Unit Savings Calculations'!$F283*'Unit Savings Calculations'!K283</f>
        <v>0</v>
      </c>
      <c r="J287" s="294">
        <f>'Unit Savings Calculations'!$F283*'Unit Savings Calculations'!L283</f>
        <v>0</v>
      </c>
      <c r="K287" s="294">
        <f>'Unit Savings Calculations'!$F283*'Unit Savings Calculations'!M283</f>
        <v>0</v>
      </c>
      <c r="L287" s="292" t="str">
        <f>'Unit Savings Calculations'!U283</f>
        <v>CI-FSE-STMC-V04-160601</v>
      </c>
      <c r="M287" s="383" t="str">
        <f>'Unit Savings Calculations'!R283</f>
        <v>Exhibit 1.5A_R North Shore EEPS_Adjustable_Savings_Goal_Template.xlsx, Food Equipment Tab</v>
      </c>
      <c r="N287" s="295">
        <v>752.01231086676478</v>
      </c>
      <c r="O287" s="295">
        <v>752.01231086676478</v>
      </c>
      <c r="P287" s="295">
        <v>752.01231086676478</v>
      </c>
      <c r="Q287" s="295">
        <v>752.01231086676478</v>
      </c>
      <c r="R287" s="296">
        <f>'Unit Savings Calculations'!$G283</f>
        <v>0.79</v>
      </c>
      <c r="S287" s="296">
        <f>'Unit Savings Calculations'!$G283</f>
        <v>0.79</v>
      </c>
      <c r="T287" s="296">
        <f>'Unit Savings Calculations'!$G283</f>
        <v>0.79</v>
      </c>
      <c r="U287" s="296">
        <f>'Unit Savings Calculations'!$G283</f>
        <v>0.79</v>
      </c>
      <c r="V287" s="297">
        <f t="shared" si="179"/>
        <v>0</v>
      </c>
      <c r="W287" s="297">
        <f t="shared" si="180"/>
        <v>0</v>
      </c>
      <c r="X287" s="297">
        <f t="shared" si="181"/>
        <v>0</v>
      </c>
      <c r="Y287" s="297">
        <f t="shared" si="182"/>
        <v>0</v>
      </c>
      <c r="Z287" s="297">
        <f t="shared" si="183"/>
        <v>0</v>
      </c>
      <c r="AA287" s="292"/>
      <c r="AB287" s="292"/>
      <c r="AC287" s="295">
        <v>752.01231086676478</v>
      </c>
      <c r="AD287" s="292"/>
      <c r="AE287" s="297">
        <f t="shared" si="169"/>
        <v>0</v>
      </c>
      <c r="AF287" s="294">
        <f t="shared" si="170"/>
        <v>0</v>
      </c>
      <c r="AG287" s="292"/>
      <c r="AH287" s="292">
        <f t="shared" si="171"/>
        <v>0</v>
      </c>
      <c r="AI287" s="295">
        <v>752.01231086676478</v>
      </c>
      <c r="AJ287" s="383" t="s">
        <v>878</v>
      </c>
      <c r="AK287" s="297">
        <f t="shared" si="172"/>
        <v>0</v>
      </c>
      <c r="AL287" s="294">
        <f t="shared" si="173"/>
        <v>0</v>
      </c>
      <c r="AM287" s="292"/>
      <c r="AN287" s="292"/>
      <c r="AO287" s="295">
        <f>'Unit Savings Calculations'!P283</f>
        <v>752.01231086676478</v>
      </c>
      <c r="AP287" s="383" t="s">
        <v>763</v>
      </c>
      <c r="AQ287" s="297">
        <f t="shared" si="174"/>
        <v>0</v>
      </c>
      <c r="AR287" s="294">
        <f t="shared" si="175"/>
        <v>0</v>
      </c>
      <c r="AS287" s="292"/>
      <c r="AT287" s="292"/>
      <c r="AU287" s="295">
        <f>'Unit Savings Calculations'!Q283</f>
        <v>752.01231086676478</v>
      </c>
      <c r="AV287" s="383" t="str">
        <f t="shared" si="158"/>
        <v>n/a</v>
      </c>
      <c r="AW287" s="297">
        <f t="shared" si="176"/>
        <v>0</v>
      </c>
      <c r="AX287" s="294">
        <f t="shared" si="177"/>
        <v>0</v>
      </c>
      <c r="AY287" s="297">
        <f t="shared" si="159"/>
        <v>0</v>
      </c>
      <c r="AZ287" s="297">
        <f t="shared" si="160"/>
        <v>0</v>
      </c>
      <c r="BA287" s="297">
        <f t="shared" si="161"/>
        <v>0</v>
      </c>
      <c r="BB287" s="297">
        <f t="shared" si="162"/>
        <v>0</v>
      </c>
      <c r="BC287" s="298">
        <f t="shared" si="163"/>
        <v>0</v>
      </c>
      <c r="BD287" s="292" t="s">
        <v>763</v>
      </c>
      <c r="BE287" s="299" t="str">
        <f t="shared" si="164"/>
        <v>Exhibit 1.5A_R North Shore EEPS_Adjustable_Savings_Goal_Template.xlsx, Food Equipment Tab</v>
      </c>
      <c r="BF287" s="298">
        <f t="shared" si="165"/>
        <v>0</v>
      </c>
      <c r="BG287" s="298">
        <f t="shared" si="165"/>
        <v>0</v>
      </c>
      <c r="BH287" s="298">
        <f t="shared" si="165"/>
        <v>0</v>
      </c>
      <c r="BI287" s="298">
        <f t="shared" si="155"/>
        <v>0</v>
      </c>
      <c r="BJ287" s="298">
        <f t="shared" si="166"/>
        <v>0</v>
      </c>
      <c r="BK287" s="482">
        <v>12</v>
      </c>
      <c r="BL287" s="482">
        <v>12</v>
      </c>
      <c r="BM287" s="482">
        <f>INDEX('Unit Savings Calculations'!$I$4:$I$421,MATCH('Measure-Level Adjustments Tab'!$A287&amp;"_"&amp;'Measure-Level Adjustments Tab'!$B287,'Unit Savings Calculations'!$A$4:$A$421,0))</f>
        <v>12</v>
      </c>
      <c r="BN287" s="482">
        <f t="shared" si="167"/>
        <v>12</v>
      </c>
      <c r="BO287" s="483">
        <f t="shared" si="168"/>
        <v>0</v>
      </c>
      <c r="BP287" s="483">
        <f t="shared" si="168"/>
        <v>0</v>
      </c>
      <c r="BQ287" s="483">
        <f t="shared" si="168"/>
        <v>0</v>
      </c>
      <c r="BR287" s="483">
        <f t="shared" si="156"/>
        <v>0</v>
      </c>
      <c r="BS287" s="483">
        <f t="shared" si="157"/>
        <v>0</v>
      </c>
    </row>
    <row r="288" spans="1:71" ht="15.75" customHeight="1">
      <c r="A288" s="292" t="str">
        <f>'Unit Savings Calculations'!C284</f>
        <v>Bus - CI Rebates</v>
      </c>
      <c r="B288" s="292" t="str">
        <f>'Unit Savings Calculations'!D284</f>
        <v>Energy Star Steamer - 4 Pans</v>
      </c>
      <c r="C288" s="293">
        <f t="shared" si="178"/>
        <v>1</v>
      </c>
      <c r="D288" s="292" t="str">
        <f>'Unit Savings Calculations'!T284</f>
        <v>4.2.3</v>
      </c>
      <c r="E288" s="438">
        <v>12</v>
      </c>
      <c r="F288" s="438">
        <v>12</v>
      </c>
      <c r="G288" s="292" t="str">
        <f>'Unit Savings Calculations'!E284</f>
        <v>each</v>
      </c>
      <c r="H288" s="294">
        <f>'Unit Savings Calculations'!$F284*'Unit Savings Calculations'!J284</f>
        <v>10</v>
      </c>
      <c r="I288" s="294">
        <f>'Unit Savings Calculations'!$F284*'Unit Savings Calculations'!K284</f>
        <v>10</v>
      </c>
      <c r="J288" s="294">
        <f>'Unit Savings Calculations'!$F284*'Unit Savings Calculations'!L284</f>
        <v>10</v>
      </c>
      <c r="K288" s="294">
        <f>'Unit Savings Calculations'!$F284*'Unit Savings Calculations'!M284</f>
        <v>10</v>
      </c>
      <c r="L288" s="292" t="str">
        <f>'Unit Savings Calculations'!U284</f>
        <v>CI-FSE-STMC-V04-160601</v>
      </c>
      <c r="M288" s="383" t="str">
        <f>'Unit Savings Calculations'!R284</f>
        <v>Exhibit 1.5A_R North Shore EEPS_Adjustable_Savings_Goal_Template.xlsx, Food Equipment Tab</v>
      </c>
      <c r="N288" s="295">
        <v>1007.2641787965732</v>
      </c>
      <c r="O288" s="295">
        <v>1007.2641787965732</v>
      </c>
      <c r="P288" s="295">
        <v>1007.2641787965732</v>
      </c>
      <c r="Q288" s="295">
        <v>1007.2641787965732</v>
      </c>
      <c r="R288" s="296">
        <f>'Unit Savings Calculations'!$G284</f>
        <v>0.79</v>
      </c>
      <c r="S288" s="296">
        <f>'Unit Savings Calculations'!$G284</f>
        <v>0.79</v>
      </c>
      <c r="T288" s="296">
        <f>'Unit Savings Calculations'!$G284</f>
        <v>0.79</v>
      </c>
      <c r="U288" s="296">
        <f>'Unit Savings Calculations'!$G284</f>
        <v>0.79</v>
      </c>
      <c r="V288" s="297">
        <f t="shared" si="179"/>
        <v>7957.387012492929</v>
      </c>
      <c r="W288" s="297">
        <f t="shared" si="180"/>
        <v>7957.387012492929</v>
      </c>
      <c r="X288" s="297">
        <f t="shared" si="181"/>
        <v>7957.387012492929</v>
      </c>
      <c r="Y288" s="297">
        <f t="shared" si="182"/>
        <v>7957.387012492929</v>
      </c>
      <c r="Z288" s="297">
        <f t="shared" si="183"/>
        <v>31829.548049971716</v>
      </c>
      <c r="AA288" s="292"/>
      <c r="AB288" s="292"/>
      <c r="AC288" s="295">
        <v>1007.2641787965732</v>
      </c>
      <c r="AD288" s="292"/>
      <c r="AE288" s="297">
        <f t="shared" si="169"/>
        <v>7957.387012492929</v>
      </c>
      <c r="AF288" s="294">
        <f t="shared" si="170"/>
        <v>0</v>
      </c>
      <c r="AG288" s="292"/>
      <c r="AH288" s="292">
        <f t="shared" si="171"/>
        <v>0</v>
      </c>
      <c r="AI288" s="295">
        <v>1007.2641787965732</v>
      </c>
      <c r="AJ288" s="383" t="s">
        <v>878</v>
      </c>
      <c r="AK288" s="297">
        <f t="shared" si="172"/>
        <v>7957.387012492929</v>
      </c>
      <c r="AL288" s="294">
        <f t="shared" si="173"/>
        <v>0</v>
      </c>
      <c r="AM288" s="292"/>
      <c r="AN288" s="292"/>
      <c r="AO288" s="295">
        <f>'Unit Savings Calculations'!P284</f>
        <v>1007.2641787965732</v>
      </c>
      <c r="AP288" s="383" t="s">
        <v>763</v>
      </c>
      <c r="AQ288" s="297">
        <f t="shared" si="174"/>
        <v>7957.387012492929</v>
      </c>
      <c r="AR288" s="294">
        <f t="shared" si="175"/>
        <v>0</v>
      </c>
      <c r="AS288" s="292"/>
      <c r="AT288" s="292"/>
      <c r="AU288" s="295">
        <f>'Unit Savings Calculations'!Q284</f>
        <v>1007.2641787965732</v>
      </c>
      <c r="AV288" s="383" t="str">
        <f t="shared" si="158"/>
        <v>n/a</v>
      </c>
      <c r="AW288" s="297">
        <f t="shared" si="176"/>
        <v>7957.387012492929</v>
      </c>
      <c r="AX288" s="294">
        <f t="shared" si="177"/>
        <v>0</v>
      </c>
      <c r="AY288" s="297">
        <f t="shared" si="159"/>
        <v>7957.387012492929</v>
      </c>
      <c r="AZ288" s="297">
        <f t="shared" si="160"/>
        <v>7957.387012492929</v>
      </c>
      <c r="BA288" s="297">
        <f t="shared" si="161"/>
        <v>7957.387012492929</v>
      </c>
      <c r="BB288" s="297">
        <f t="shared" si="162"/>
        <v>7957.387012492929</v>
      </c>
      <c r="BC288" s="298">
        <f t="shared" si="163"/>
        <v>31829.548049971716</v>
      </c>
      <c r="BD288" s="292" t="s">
        <v>763</v>
      </c>
      <c r="BE288" s="299" t="str">
        <f t="shared" si="164"/>
        <v>Exhibit 1.5A_R North Shore EEPS_Adjustable_Savings_Goal_Template.xlsx, Food Equipment Tab</v>
      </c>
      <c r="BF288" s="298">
        <f t="shared" si="165"/>
        <v>95488.644149915141</v>
      </c>
      <c r="BG288" s="298">
        <f t="shared" si="165"/>
        <v>95488.644149915141</v>
      </c>
      <c r="BH288" s="298">
        <f t="shared" si="165"/>
        <v>95488.644149915141</v>
      </c>
      <c r="BI288" s="298">
        <f t="shared" si="155"/>
        <v>95488.644149915141</v>
      </c>
      <c r="BJ288" s="298">
        <f t="shared" si="166"/>
        <v>381954.57659966056</v>
      </c>
      <c r="BK288" s="482">
        <v>12</v>
      </c>
      <c r="BL288" s="482">
        <v>12</v>
      </c>
      <c r="BM288" s="482">
        <f>INDEX('Unit Savings Calculations'!$I$4:$I$421,MATCH('Measure-Level Adjustments Tab'!$A288&amp;"_"&amp;'Measure-Level Adjustments Tab'!$B288,'Unit Savings Calculations'!$A$4:$A$421,0))</f>
        <v>12</v>
      </c>
      <c r="BN288" s="482">
        <f t="shared" si="167"/>
        <v>12</v>
      </c>
      <c r="BO288" s="483">
        <f t="shared" si="168"/>
        <v>95488.644149915141</v>
      </c>
      <c r="BP288" s="483">
        <f t="shared" si="168"/>
        <v>95488.644149915141</v>
      </c>
      <c r="BQ288" s="483">
        <f t="shared" si="168"/>
        <v>95488.644149915141</v>
      </c>
      <c r="BR288" s="483">
        <f t="shared" si="156"/>
        <v>95488.644149915141</v>
      </c>
      <c r="BS288" s="483">
        <f t="shared" si="157"/>
        <v>381954.57659966056</v>
      </c>
    </row>
    <row r="289" spans="1:71" ht="15.75" customHeight="1">
      <c r="A289" s="292" t="str">
        <f>'Unit Savings Calculations'!C285</f>
        <v>Bus - CI Rebates</v>
      </c>
      <c r="B289" s="292" t="str">
        <f>'Unit Savings Calculations'!D285</f>
        <v>Energy Star Steamer - 5 Pans</v>
      </c>
      <c r="C289" s="293">
        <f t="shared" si="178"/>
        <v>1</v>
      </c>
      <c r="D289" s="292" t="str">
        <f>'Unit Savings Calculations'!T285</f>
        <v>4.2.3</v>
      </c>
      <c r="E289" s="438">
        <v>12</v>
      </c>
      <c r="F289" s="438">
        <v>12</v>
      </c>
      <c r="G289" s="292" t="str">
        <f>'Unit Savings Calculations'!E285</f>
        <v>each</v>
      </c>
      <c r="H289" s="294">
        <f>'Unit Savings Calculations'!$F285*'Unit Savings Calculations'!J285</f>
        <v>0</v>
      </c>
      <c r="I289" s="294">
        <f>'Unit Savings Calculations'!$F285*'Unit Savings Calculations'!K285</f>
        <v>0</v>
      </c>
      <c r="J289" s="294">
        <f>'Unit Savings Calculations'!$F285*'Unit Savings Calculations'!L285</f>
        <v>0</v>
      </c>
      <c r="K289" s="294">
        <f>'Unit Savings Calculations'!$F285*'Unit Savings Calculations'!M285</f>
        <v>0</v>
      </c>
      <c r="L289" s="292" t="str">
        <f>'Unit Savings Calculations'!U285</f>
        <v>CI-FSE-STMC-V04-160601</v>
      </c>
      <c r="M289" s="383" t="str">
        <f>'Unit Savings Calculations'!R285</f>
        <v>Exhibit 1.5A_R North Shore EEPS_Adjustable_Savings_Goal_Template.xlsx, Food Equipment Tab</v>
      </c>
      <c r="N289" s="295">
        <v>1248.6709419898457</v>
      </c>
      <c r="O289" s="295">
        <v>1248.6709419898457</v>
      </c>
      <c r="P289" s="295">
        <v>1248.6709419898457</v>
      </c>
      <c r="Q289" s="295">
        <v>1248.6709419898457</v>
      </c>
      <c r="R289" s="296">
        <f>'Unit Savings Calculations'!$G285</f>
        <v>0.79</v>
      </c>
      <c r="S289" s="296">
        <f>'Unit Savings Calculations'!$G285</f>
        <v>0.79</v>
      </c>
      <c r="T289" s="296">
        <f>'Unit Savings Calculations'!$G285</f>
        <v>0.79</v>
      </c>
      <c r="U289" s="296">
        <f>'Unit Savings Calculations'!$G285</f>
        <v>0.79</v>
      </c>
      <c r="V289" s="297">
        <f t="shared" si="179"/>
        <v>0</v>
      </c>
      <c r="W289" s="297">
        <f t="shared" si="180"/>
        <v>0</v>
      </c>
      <c r="X289" s="297">
        <f t="shared" si="181"/>
        <v>0</v>
      </c>
      <c r="Y289" s="297">
        <f t="shared" si="182"/>
        <v>0</v>
      </c>
      <c r="Z289" s="297">
        <f t="shared" si="183"/>
        <v>0</v>
      </c>
      <c r="AA289" s="292"/>
      <c r="AB289" s="292"/>
      <c r="AC289" s="295">
        <v>1248.6709419898457</v>
      </c>
      <c r="AD289" s="292"/>
      <c r="AE289" s="297">
        <f t="shared" si="169"/>
        <v>0</v>
      </c>
      <c r="AF289" s="294">
        <f t="shared" si="170"/>
        <v>0</v>
      </c>
      <c r="AG289" s="292"/>
      <c r="AH289" s="292">
        <f t="shared" si="171"/>
        <v>0</v>
      </c>
      <c r="AI289" s="295">
        <v>1248.6709419898457</v>
      </c>
      <c r="AJ289" s="383" t="s">
        <v>878</v>
      </c>
      <c r="AK289" s="297">
        <f t="shared" si="172"/>
        <v>0</v>
      </c>
      <c r="AL289" s="294">
        <f t="shared" si="173"/>
        <v>0</v>
      </c>
      <c r="AM289" s="292"/>
      <c r="AN289" s="292"/>
      <c r="AO289" s="295">
        <f>'Unit Savings Calculations'!P285</f>
        <v>1248.6709419898457</v>
      </c>
      <c r="AP289" s="383" t="s">
        <v>763</v>
      </c>
      <c r="AQ289" s="297">
        <f t="shared" si="174"/>
        <v>0</v>
      </c>
      <c r="AR289" s="294">
        <f t="shared" si="175"/>
        <v>0</v>
      </c>
      <c r="AS289" s="292"/>
      <c r="AT289" s="292"/>
      <c r="AU289" s="295">
        <f>'Unit Savings Calculations'!Q285</f>
        <v>1248.6709419898457</v>
      </c>
      <c r="AV289" s="383" t="str">
        <f t="shared" si="158"/>
        <v>n/a</v>
      </c>
      <c r="AW289" s="297">
        <f t="shared" si="176"/>
        <v>0</v>
      </c>
      <c r="AX289" s="294">
        <f t="shared" si="177"/>
        <v>0</v>
      </c>
      <c r="AY289" s="297">
        <f t="shared" si="159"/>
        <v>0</v>
      </c>
      <c r="AZ289" s="297">
        <f t="shared" si="160"/>
        <v>0</v>
      </c>
      <c r="BA289" s="297">
        <f t="shared" si="161"/>
        <v>0</v>
      </c>
      <c r="BB289" s="297">
        <f t="shared" si="162"/>
        <v>0</v>
      </c>
      <c r="BC289" s="298">
        <f t="shared" si="163"/>
        <v>0</v>
      </c>
      <c r="BD289" s="292" t="s">
        <v>763</v>
      </c>
      <c r="BE289" s="299" t="str">
        <f t="shared" si="164"/>
        <v>Exhibit 1.5A_R North Shore EEPS_Adjustable_Savings_Goal_Template.xlsx, Food Equipment Tab</v>
      </c>
      <c r="BF289" s="298">
        <f t="shared" si="165"/>
        <v>0</v>
      </c>
      <c r="BG289" s="298">
        <f t="shared" si="165"/>
        <v>0</v>
      </c>
      <c r="BH289" s="298">
        <f t="shared" si="165"/>
        <v>0</v>
      </c>
      <c r="BI289" s="298">
        <f t="shared" si="155"/>
        <v>0</v>
      </c>
      <c r="BJ289" s="298">
        <f t="shared" si="166"/>
        <v>0</v>
      </c>
      <c r="BK289" s="482">
        <v>12</v>
      </c>
      <c r="BL289" s="482">
        <v>12</v>
      </c>
      <c r="BM289" s="482">
        <f>INDEX('Unit Savings Calculations'!$I$4:$I$421,MATCH('Measure-Level Adjustments Tab'!$A289&amp;"_"&amp;'Measure-Level Adjustments Tab'!$B289,'Unit Savings Calculations'!$A$4:$A$421,0))</f>
        <v>12</v>
      </c>
      <c r="BN289" s="482">
        <f t="shared" si="167"/>
        <v>12</v>
      </c>
      <c r="BO289" s="483">
        <f t="shared" si="168"/>
        <v>0</v>
      </c>
      <c r="BP289" s="483">
        <f t="shared" si="168"/>
        <v>0</v>
      </c>
      <c r="BQ289" s="483">
        <f t="shared" si="168"/>
        <v>0</v>
      </c>
      <c r="BR289" s="483">
        <f t="shared" si="156"/>
        <v>0</v>
      </c>
      <c r="BS289" s="483">
        <f t="shared" si="157"/>
        <v>0</v>
      </c>
    </row>
    <row r="290" spans="1:71" ht="15.75" customHeight="1">
      <c r="A290" s="292" t="str">
        <f>'Unit Savings Calculations'!C286</f>
        <v>Bus - CI Rebates</v>
      </c>
      <c r="B290" s="292" t="str">
        <f>'Unit Savings Calculations'!D286</f>
        <v>Energy Star Steamer - 6 Pans</v>
      </c>
      <c r="C290" s="293">
        <f t="shared" si="178"/>
        <v>1</v>
      </c>
      <c r="D290" s="292" t="str">
        <f>'Unit Savings Calculations'!T286</f>
        <v>4.2.3</v>
      </c>
      <c r="E290" s="438">
        <v>12</v>
      </c>
      <c r="F290" s="438">
        <v>12</v>
      </c>
      <c r="G290" s="292" t="str">
        <f>'Unit Savings Calculations'!E286</f>
        <v>each</v>
      </c>
      <c r="H290" s="294">
        <f>'Unit Savings Calculations'!$F286*'Unit Savings Calculations'!J286</f>
        <v>0</v>
      </c>
      <c r="I290" s="294">
        <f>'Unit Savings Calculations'!$F286*'Unit Savings Calculations'!K286</f>
        <v>0</v>
      </c>
      <c r="J290" s="294">
        <f>'Unit Savings Calculations'!$F286*'Unit Savings Calculations'!L286</f>
        <v>0</v>
      </c>
      <c r="K290" s="294">
        <f>'Unit Savings Calculations'!$F286*'Unit Savings Calculations'!M286</f>
        <v>0</v>
      </c>
      <c r="L290" s="292" t="str">
        <f>'Unit Savings Calculations'!U286</f>
        <v>CI-FSE-STMC-V04-160601</v>
      </c>
      <c r="M290" s="383" t="str">
        <f>'Unit Savings Calculations'!R286</f>
        <v>Exhibit 1.5A_R North Shore EEPS_Adjustable_Savings_Goal_Template.xlsx, Food Equipment Tab</v>
      </c>
      <c r="N290" s="295">
        <v>1503.8794358667649</v>
      </c>
      <c r="O290" s="295">
        <v>1503.8794358667649</v>
      </c>
      <c r="P290" s="295">
        <v>1503.8794358667649</v>
      </c>
      <c r="Q290" s="295">
        <v>1503.8794358667649</v>
      </c>
      <c r="R290" s="296">
        <f>'Unit Savings Calculations'!$G286</f>
        <v>0.79</v>
      </c>
      <c r="S290" s="296">
        <f>'Unit Savings Calculations'!$G286</f>
        <v>0.79</v>
      </c>
      <c r="T290" s="296">
        <f>'Unit Savings Calculations'!$G286</f>
        <v>0.79</v>
      </c>
      <c r="U290" s="296">
        <f>'Unit Savings Calculations'!$G286</f>
        <v>0.79</v>
      </c>
      <c r="V290" s="297">
        <f t="shared" si="179"/>
        <v>0</v>
      </c>
      <c r="W290" s="297">
        <f t="shared" si="180"/>
        <v>0</v>
      </c>
      <c r="X290" s="297">
        <f t="shared" si="181"/>
        <v>0</v>
      </c>
      <c r="Y290" s="297">
        <f t="shared" si="182"/>
        <v>0</v>
      </c>
      <c r="Z290" s="297">
        <f t="shared" si="183"/>
        <v>0</v>
      </c>
      <c r="AA290" s="292"/>
      <c r="AB290" s="292"/>
      <c r="AC290" s="295">
        <v>1503.8794358667649</v>
      </c>
      <c r="AD290" s="292"/>
      <c r="AE290" s="297">
        <f t="shared" si="169"/>
        <v>0</v>
      </c>
      <c r="AF290" s="294">
        <f t="shared" si="170"/>
        <v>0</v>
      </c>
      <c r="AG290" s="292"/>
      <c r="AH290" s="292">
        <f t="shared" si="171"/>
        <v>0</v>
      </c>
      <c r="AI290" s="295">
        <v>1503.8794358667649</v>
      </c>
      <c r="AJ290" s="383" t="s">
        <v>878</v>
      </c>
      <c r="AK290" s="297">
        <f t="shared" si="172"/>
        <v>0</v>
      </c>
      <c r="AL290" s="294">
        <f t="shared" si="173"/>
        <v>0</v>
      </c>
      <c r="AM290" s="292"/>
      <c r="AN290" s="292"/>
      <c r="AO290" s="295">
        <f>'Unit Savings Calculations'!P286</f>
        <v>1503.8794358667649</v>
      </c>
      <c r="AP290" s="383" t="s">
        <v>763</v>
      </c>
      <c r="AQ290" s="297">
        <f t="shared" si="174"/>
        <v>0</v>
      </c>
      <c r="AR290" s="294">
        <f t="shared" si="175"/>
        <v>0</v>
      </c>
      <c r="AS290" s="292"/>
      <c r="AT290" s="292"/>
      <c r="AU290" s="295">
        <f>'Unit Savings Calculations'!Q286</f>
        <v>1503.8794358667649</v>
      </c>
      <c r="AV290" s="383" t="str">
        <f t="shared" si="158"/>
        <v>n/a</v>
      </c>
      <c r="AW290" s="297">
        <f t="shared" si="176"/>
        <v>0</v>
      </c>
      <c r="AX290" s="294">
        <f t="shared" si="177"/>
        <v>0</v>
      </c>
      <c r="AY290" s="297">
        <f t="shared" si="159"/>
        <v>0</v>
      </c>
      <c r="AZ290" s="297">
        <f t="shared" si="160"/>
        <v>0</v>
      </c>
      <c r="BA290" s="297">
        <f t="shared" si="161"/>
        <v>0</v>
      </c>
      <c r="BB290" s="297">
        <f t="shared" si="162"/>
        <v>0</v>
      </c>
      <c r="BC290" s="298">
        <f t="shared" si="163"/>
        <v>0</v>
      </c>
      <c r="BD290" s="292" t="s">
        <v>763</v>
      </c>
      <c r="BE290" s="299" t="str">
        <f t="shared" si="164"/>
        <v>Exhibit 1.5A_R North Shore EEPS_Adjustable_Savings_Goal_Template.xlsx, Food Equipment Tab</v>
      </c>
      <c r="BF290" s="298">
        <f t="shared" si="165"/>
        <v>0</v>
      </c>
      <c r="BG290" s="298">
        <f t="shared" si="165"/>
        <v>0</v>
      </c>
      <c r="BH290" s="298">
        <f t="shared" si="165"/>
        <v>0</v>
      </c>
      <c r="BI290" s="298">
        <f t="shared" si="155"/>
        <v>0</v>
      </c>
      <c r="BJ290" s="298">
        <f t="shared" si="166"/>
        <v>0</v>
      </c>
      <c r="BK290" s="482">
        <v>12</v>
      </c>
      <c r="BL290" s="482">
        <v>12</v>
      </c>
      <c r="BM290" s="482">
        <f>INDEX('Unit Savings Calculations'!$I$4:$I$421,MATCH('Measure-Level Adjustments Tab'!$A290&amp;"_"&amp;'Measure-Level Adjustments Tab'!$B290,'Unit Savings Calculations'!$A$4:$A$421,0))</f>
        <v>12</v>
      </c>
      <c r="BN290" s="482">
        <f t="shared" si="167"/>
        <v>12</v>
      </c>
      <c r="BO290" s="483">
        <f t="shared" si="168"/>
        <v>0</v>
      </c>
      <c r="BP290" s="483">
        <f t="shared" si="168"/>
        <v>0</v>
      </c>
      <c r="BQ290" s="483">
        <f t="shared" si="168"/>
        <v>0</v>
      </c>
      <c r="BR290" s="483">
        <f t="shared" si="156"/>
        <v>0</v>
      </c>
      <c r="BS290" s="483">
        <f t="shared" si="157"/>
        <v>0</v>
      </c>
    </row>
    <row r="291" spans="1:71" ht="15.75" customHeight="1">
      <c r="A291" s="292" t="str">
        <f>'Unit Savings Calculations'!C287</f>
        <v>Bus - CI Rebates</v>
      </c>
      <c r="B291" s="292" t="str">
        <f>'Unit Savings Calculations'!D287</f>
        <v>Heat Recovery Grease Trap Filter</v>
      </c>
      <c r="C291" s="293">
        <f t="shared" si="178"/>
        <v>1</v>
      </c>
      <c r="D291" s="292" t="str">
        <f>'Unit Savings Calculations'!T287</f>
        <v>4.3.9</v>
      </c>
      <c r="E291" s="438">
        <v>15</v>
      </c>
      <c r="F291" s="438">
        <v>15</v>
      </c>
      <c r="G291" s="292" t="str">
        <f>'Unit Savings Calculations'!E287</f>
        <v>each</v>
      </c>
      <c r="H291" s="294">
        <f>'Unit Savings Calculations'!$F287*'Unit Savings Calculations'!J287</f>
        <v>2</v>
      </c>
      <c r="I291" s="294">
        <f>'Unit Savings Calculations'!$F287*'Unit Savings Calculations'!K287</f>
        <v>2</v>
      </c>
      <c r="J291" s="294">
        <f>'Unit Savings Calculations'!$F287*'Unit Savings Calculations'!L287</f>
        <v>2</v>
      </c>
      <c r="K291" s="294">
        <f>'Unit Savings Calculations'!$F287*'Unit Savings Calculations'!M287</f>
        <v>2</v>
      </c>
      <c r="L291" s="292" t="str">
        <f>'Unit Savings Calculations'!U287</f>
        <v>CI-HW-GRTF-V01-160601</v>
      </c>
      <c r="M291" s="383" t="str">
        <f>'Unit Savings Calculations'!R287</f>
        <v>Exhibit 1.5A_R North Shore EEPS_Adjustable_Savings_Goal_Template.xlsx, Unit Savings Calculations Tab</v>
      </c>
      <c r="N291" s="295">
        <v>1757.3025600000001</v>
      </c>
      <c r="O291" s="295">
        <v>1757.3025600000001</v>
      </c>
      <c r="P291" s="295">
        <v>1757.3025600000001</v>
      </c>
      <c r="Q291" s="295">
        <v>1757.3025600000001</v>
      </c>
      <c r="R291" s="296">
        <f>'Unit Savings Calculations'!$G287</f>
        <v>0.79</v>
      </c>
      <c r="S291" s="296">
        <f>'Unit Savings Calculations'!$G287</f>
        <v>0.79</v>
      </c>
      <c r="T291" s="296">
        <f>'Unit Savings Calculations'!$G287</f>
        <v>0.79</v>
      </c>
      <c r="U291" s="296">
        <f>'Unit Savings Calculations'!$G287</f>
        <v>0.79</v>
      </c>
      <c r="V291" s="297">
        <f t="shared" si="179"/>
        <v>2776.5380448000001</v>
      </c>
      <c r="W291" s="297">
        <f t="shared" si="180"/>
        <v>2776.5380448000001</v>
      </c>
      <c r="X291" s="297">
        <f t="shared" si="181"/>
        <v>2776.5380448000001</v>
      </c>
      <c r="Y291" s="297">
        <f t="shared" si="182"/>
        <v>2776.5380448000001</v>
      </c>
      <c r="Z291" s="297">
        <f t="shared" si="183"/>
        <v>11106.1521792</v>
      </c>
      <c r="AA291" s="292"/>
      <c r="AB291" s="292"/>
      <c r="AC291" s="295">
        <v>1757.3025600000001</v>
      </c>
      <c r="AD291" s="292"/>
      <c r="AE291" s="297">
        <f t="shared" si="169"/>
        <v>2776.5380448000001</v>
      </c>
      <c r="AF291" s="294">
        <f t="shared" si="170"/>
        <v>0</v>
      </c>
      <c r="AG291" s="292"/>
      <c r="AH291" s="292">
        <f t="shared" si="171"/>
        <v>0</v>
      </c>
      <c r="AI291" s="295">
        <v>1757.3025600000001</v>
      </c>
      <c r="AJ291" s="383" t="s">
        <v>878</v>
      </c>
      <c r="AK291" s="297">
        <f t="shared" si="172"/>
        <v>2776.5380448000001</v>
      </c>
      <c r="AL291" s="294">
        <f t="shared" si="173"/>
        <v>0</v>
      </c>
      <c r="AM291" s="292"/>
      <c r="AN291" s="292"/>
      <c r="AO291" s="295">
        <f>'Unit Savings Calculations'!P287</f>
        <v>1757.3025600000001</v>
      </c>
      <c r="AP291" s="383" t="s">
        <v>763</v>
      </c>
      <c r="AQ291" s="297">
        <f t="shared" si="174"/>
        <v>2776.5380448000001</v>
      </c>
      <c r="AR291" s="294">
        <f t="shared" si="175"/>
        <v>0</v>
      </c>
      <c r="AS291" s="292"/>
      <c r="AT291" s="292"/>
      <c r="AU291" s="295">
        <f>'Unit Savings Calculations'!Q287</f>
        <v>1757.3025600000001</v>
      </c>
      <c r="AV291" s="383" t="str">
        <f t="shared" si="158"/>
        <v>n/a</v>
      </c>
      <c r="AW291" s="297">
        <f t="shared" si="176"/>
        <v>2776.5380448000001</v>
      </c>
      <c r="AX291" s="294">
        <f t="shared" si="177"/>
        <v>0</v>
      </c>
      <c r="AY291" s="297">
        <f t="shared" si="159"/>
        <v>2776.5380448000001</v>
      </c>
      <c r="AZ291" s="297">
        <f t="shared" si="160"/>
        <v>2776.5380448000001</v>
      </c>
      <c r="BA291" s="297">
        <f t="shared" si="161"/>
        <v>2776.5380448000001</v>
      </c>
      <c r="BB291" s="297">
        <f t="shared" si="162"/>
        <v>2776.5380448000001</v>
      </c>
      <c r="BC291" s="298">
        <f t="shared" si="163"/>
        <v>11106.1521792</v>
      </c>
      <c r="BD291" s="292" t="s">
        <v>763</v>
      </c>
      <c r="BE291" s="299" t="str">
        <f t="shared" si="164"/>
        <v>Exhibit 1.5A_R North Shore EEPS_Adjustable_Savings_Goal_Template.xlsx, Unit Savings Calculations Tab</v>
      </c>
      <c r="BF291" s="298">
        <f t="shared" si="165"/>
        <v>41648.070672000002</v>
      </c>
      <c r="BG291" s="298">
        <f t="shared" si="165"/>
        <v>41648.070672000002</v>
      </c>
      <c r="BH291" s="298">
        <f t="shared" si="165"/>
        <v>41648.070672000002</v>
      </c>
      <c r="BI291" s="298">
        <f t="shared" si="155"/>
        <v>41648.070672000002</v>
      </c>
      <c r="BJ291" s="298">
        <f t="shared" si="166"/>
        <v>166592.28268800001</v>
      </c>
      <c r="BK291" s="482">
        <v>15</v>
      </c>
      <c r="BL291" s="482">
        <v>15</v>
      </c>
      <c r="BM291" s="482">
        <f>INDEX('Unit Savings Calculations'!$I$4:$I$421,MATCH('Measure-Level Adjustments Tab'!$A291&amp;"_"&amp;'Measure-Level Adjustments Tab'!$B291,'Unit Savings Calculations'!$A$4:$A$421,0))</f>
        <v>15</v>
      </c>
      <c r="BN291" s="482">
        <f t="shared" si="167"/>
        <v>15</v>
      </c>
      <c r="BO291" s="483">
        <f t="shared" si="168"/>
        <v>41648.070672000002</v>
      </c>
      <c r="BP291" s="483">
        <f t="shared" si="168"/>
        <v>41648.070672000002</v>
      </c>
      <c r="BQ291" s="483">
        <f t="shared" si="168"/>
        <v>41648.070672000002</v>
      </c>
      <c r="BR291" s="483">
        <f t="shared" si="156"/>
        <v>41648.070672000002</v>
      </c>
      <c r="BS291" s="483">
        <f t="shared" si="157"/>
        <v>166592.28268800001</v>
      </c>
    </row>
    <row r="292" spans="1:71" ht="15.75" customHeight="1">
      <c r="A292" s="292" t="str">
        <f>'Unit Savings Calculations'!C288</f>
        <v>Bus - CI Rebates</v>
      </c>
      <c r="B292" s="292" t="str">
        <f>'Unit Savings Calculations'!D288</f>
        <v>Infrared Charbroiler</v>
      </c>
      <c r="C292" s="293">
        <f t="shared" si="178"/>
        <v>1</v>
      </c>
      <c r="D292" s="292" t="str">
        <f>'Unit Savings Calculations'!T288</f>
        <v>4.2.12</v>
      </c>
      <c r="E292" s="438">
        <v>12</v>
      </c>
      <c r="F292" s="438">
        <v>12</v>
      </c>
      <c r="G292" s="292" t="str">
        <f>'Unit Savings Calculations'!E288</f>
        <v>each</v>
      </c>
      <c r="H292" s="294">
        <f>'Unit Savings Calculations'!$F288*'Unit Savings Calculations'!J288</f>
        <v>2</v>
      </c>
      <c r="I292" s="294">
        <f>'Unit Savings Calculations'!$F288*'Unit Savings Calculations'!K288</f>
        <v>2</v>
      </c>
      <c r="J292" s="294">
        <f>'Unit Savings Calculations'!$F288*'Unit Savings Calculations'!L288</f>
        <v>2</v>
      </c>
      <c r="K292" s="294">
        <f>'Unit Savings Calculations'!$F288*'Unit Savings Calculations'!M288</f>
        <v>2</v>
      </c>
      <c r="L292" s="292" t="str">
        <f>'Unit Savings Calculations'!U288</f>
        <v>CI-FSE-IRCB-V02-180101</v>
      </c>
      <c r="M292" s="383" t="str">
        <f>'Unit Savings Calculations'!R288</f>
        <v>Exhibit 1.5A_R North Shore EEPS_Adjustable_Savings_Goal_Template.xlsx, Unit Savings Calculations Tab</v>
      </c>
      <c r="N292" s="295">
        <v>706.68</v>
      </c>
      <c r="O292" s="295">
        <v>706.68</v>
      </c>
      <c r="P292" s="295">
        <v>706.68</v>
      </c>
      <c r="Q292" s="295">
        <v>706.68</v>
      </c>
      <c r="R292" s="296">
        <f>'Unit Savings Calculations'!$G288</f>
        <v>0.79</v>
      </c>
      <c r="S292" s="296">
        <f>'Unit Savings Calculations'!$G288</f>
        <v>0.79</v>
      </c>
      <c r="T292" s="296">
        <f>'Unit Savings Calculations'!$G288</f>
        <v>0.79</v>
      </c>
      <c r="U292" s="296">
        <f>'Unit Savings Calculations'!$G288</f>
        <v>0.79</v>
      </c>
      <c r="V292" s="297">
        <f t="shared" si="179"/>
        <v>1116.5544</v>
      </c>
      <c r="W292" s="297">
        <f t="shared" si="180"/>
        <v>1116.5544</v>
      </c>
      <c r="X292" s="297">
        <f t="shared" si="181"/>
        <v>1116.5544</v>
      </c>
      <c r="Y292" s="297">
        <f t="shared" si="182"/>
        <v>1116.5544</v>
      </c>
      <c r="Z292" s="297">
        <f t="shared" si="183"/>
        <v>4466.2175999999999</v>
      </c>
      <c r="AA292" s="292"/>
      <c r="AB292" s="292"/>
      <c r="AC292" s="295">
        <v>706.68</v>
      </c>
      <c r="AD292" s="292"/>
      <c r="AE292" s="297">
        <f t="shared" si="169"/>
        <v>1116.5544</v>
      </c>
      <c r="AF292" s="294">
        <f t="shared" si="170"/>
        <v>0</v>
      </c>
      <c r="AG292" s="292"/>
      <c r="AH292" s="292">
        <f t="shared" si="171"/>
        <v>0</v>
      </c>
      <c r="AI292" s="295">
        <v>706.68</v>
      </c>
      <c r="AJ292" s="383" t="s">
        <v>878</v>
      </c>
      <c r="AK292" s="297">
        <f t="shared" si="172"/>
        <v>1116.5544</v>
      </c>
      <c r="AL292" s="294">
        <f t="shared" si="173"/>
        <v>0</v>
      </c>
      <c r="AM292" s="292"/>
      <c r="AN292" s="292"/>
      <c r="AO292" s="295">
        <f>'Unit Savings Calculations'!P288</f>
        <v>706.68</v>
      </c>
      <c r="AP292" s="383" t="s">
        <v>763</v>
      </c>
      <c r="AQ292" s="297">
        <f t="shared" si="174"/>
        <v>1116.5544</v>
      </c>
      <c r="AR292" s="294">
        <f t="shared" si="175"/>
        <v>0</v>
      </c>
      <c r="AS292" s="292"/>
      <c r="AT292" s="292"/>
      <c r="AU292" s="295">
        <f>'Unit Savings Calculations'!Q288</f>
        <v>706.68</v>
      </c>
      <c r="AV292" s="383" t="str">
        <f t="shared" si="158"/>
        <v>n/a</v>
      </c>
      <c r="AW292" s="297">
        <f t="shared" si="176"/>
        <v>1116.5544</v>
      </c>
      <c r="AX292" s="294">
        <f t="shared" si="177"/>
        <v>0</v>
      </c>
      <c r="AY292" s="297">
        <f t="shared" si="159"/>
        <v>1116.5544</v>
      </c>
      <c r="AZ292" s="297">
        <f t="shared" si="160"/>
        <v>1116.5544</v>
      </c>
      <c r="BA292" s="297">
        <f t="shared" si="161"/>
        <v>1116.5544</v>
      </c>
      <c r="BB292" s="297">
        <f t="shared" si="162"/>
        <v>1116.5544</v>
      </c>
      <c r="BC292" s="298">
        <f t="shared" si="163"/>
        <v>4466.2175999999999</v>
      </c>
      <c r="BD292" s="292" t="s">
        <v>763</v>
      </c>
      <c r="BE292" s="299" t="str">
        <f t="shared" si="164"/>
        <v>Exhibit 1.5A_R North Shore EEPS_Adjustable_Savings_Goal_Template.xlsx, Unit Savings Calculations Tab</v>
      </c>
      <c r="BF292" s="298">
        <f t="shared" si="165"/>
        <v>13398.6528</v>
      </c>
      <c r="BG292" s="298">
        <f t="shared" si="165"/>
        <v>13398.6528</v>
      </c>
      <c r="BH292" s="298">
        <f t="shared" si="165"/>
        <v>13398.6528</v>
      </c>
      <c r="BI292" s="298">
        <f t="shared" si="155"/>
        <v>13398.6528</v>
      </c>
      <c r="BJ292" s="298">
        <f t="shared" si="166"/>
        <v>53594.611199999999</v>
      </c>
      <c r="BK292" s="482">
        <v>12</v>
      </c>
      <c r="BL292" s="482">
        <v>12</v>
      </c>
      <c r="BM292" s="482">
        <f>INDEX('Unit Savings Calculations'!$I$4:$I$421,MATCH('Measure-Level Adjustments Tab'!$A292&amp;"_"&amp;'Measure-Level Adjustments Tab'!$B292,'Unit Savings Calculations'!$A$4:$A$421,0))</f>
        <v>12</v>
      </c>
      <c r="BN292" s="482">
        <f t="shared" si="167"/>
        <v>12</v>
      </c>
      <c r="BO292" s="483">
        <f t="shared" si="168"/>
        <v>13398.6528</v>
      </c>
      <c r="BP292" s="483">
        <f t="shared" si="168"/>
        <v>13398.6528</v>
      </c>
      <c r="BQ292" s="483">
        <f t="shared" si="168"/>
        <v>13398.6528</v>
      </c>
      <c r="BR292" s="483">
        <f t="shared" si="156"/>
        <v>13398.6528</v>
      </c>
      <c r="BS292" s="483">
        <f t="shared" si="157"/>
        <v>53594.611199999999</v>
      </c>
    </row>
    <row r="293" spans="1:71" ht="15.75" customHeight="1">
      <c r="A293" s="292" t="str">
        <f>'Unit Savings Calculations'!C289</f>
        <v>Bus - CI Rebates</v>
      </c>
      <c r="B293" s="292" t="str">
        <f>'Unit Savings Calculations'!D289</f>
        <v>Infrared Rotisserie Oven</v>
      </c>
      <c r="C293" s="293">
        <f t="shared" si="178"/>
        <v>1</v>
      </c>
      <c r="D293" s="292" t="str">
        <f>'Unit Savings Calculations'!T289</f>
        <v>4.2.13</v>
      </c>
      <c r="E293" s="438">
        <v>12</v>
      </c>
      <c r="F293" s="438">
        <v>12</v>
      </c>
      <c r="G293" s="292" t="str">
        <f>'Unit Savings Calculations'!E289</f>
        <v>each</v>
      </c>
      <c r="H293" s="294">
        <f>'Unit Savings Calculations'!$F289*'Unit Savings Calculations'!J289</f>
        <v>2</v>
      </c>
      <c r="I293" s="294">
        <f>'Unit Savings Calculations'!$F289*'Unit Savings Calculations'!K289</f>
        <v>2</v>
      </c>
      <c r="J293" s="294">
        <f>'Unit Savings Calculations'!$F289*'Unit Savings Calculations'!L289</f>
        <v>2</v>
      </c>
      <c r="K293" s="294">
        <f>'Unit Savings Calculations'!$F289*'Unit Savings Calculations'!M289</f>
        <v>2</v>
      </c>
      <c r="L293" s="292" t="str">
        <f>'Unit Savings Calculations'!U289</f>
        <v>CI-FSE-IROV-V02-180101</v>
      </c>
      <c r="M293" s="383" t="str">
        <f>'Unit Savings Calculations'!R289</f>
        <v>Exhibit 1.5A_R North Shore EEPS_Adjustable_Savings_Goal_Template.xlsx, Unit Savings Calculations Tab</v>
      </c>
      <c r="N293" s="295">
        <v>599.04</v>
      </c>
      <c r="O293" s="295">
        <v>599.04</v>
      </c>
      <c r="P293" s="295">
        <v>599.04</v>
      </c>
      <c r="Q293" s="295">
        <v>599.04</v>
      </c>
      <c r="R293" s="296">
        <f>'Unit Savings Calculations'!$G289</f>
        <v>0.79</v>
      </c>
      <c r="S293" s="296">
        <f>'Unit Savings Calculations'!$G289</f>
        <v>0.79</v>
      </c>
      <c r="T293" s="296">
        <f>'Unit Savings Calculations'!$G289</f>
        <v>0.79</v>
      </c>
      <c r="U293" s="296">
        <f>'Unit Savings Calculations'!$G289</f>
        <v>0.79</v>
      </c>
      <c r="V293" s="297">
        <f t="shared" si="179"/>
        <v>946.48320000000001</v>
      </c>
      <c r="W293" s="297">
        <f t="shared" si="180"/>
        <v>946.48320000000001</v>
      </c>
      <c r="X293" s="297">
        <f t="shared" si="181"/>
        <v>946.48320000000001</v>
      </c>
      <c r="Y293" s="297">
        <f t="shared" si="182"/>
        <v>946.48320000000001</v>
      </c>
      <c r="Z293" s="297">
        <f t="shared" si="183"/>
        <v>3785.9328</v>
      </c>
      <c r="AA293" s="292"/>
      <c r="AB293" s="292"/>
      <c r="AC293" s="295">
        <v>599.04</v>
      </c>
      <c r="AD293" s="292"/>
      <c r="AE293" s="297">
        <f t="shared" si="169"/>
        <v>946.48320000000001</v>
      </c>
      <c r="AF293" s="294">
        <f t="shared" si="170"/>
        <v>0</v>
      </c>
      <c r="AG293" s="292"/>
      <c r="AH293" s="292">
        <f t="shared" si="171"/>
        <v>0</v>
      </c>
      <c r="AI293" s="295">
        <v>599.04</v>
      </c>
      <c r="AJ293" s="383" t="s">
        <v>878</v>
      </c>
      <c r="AK293" s="297">
        <f t="shared" si="172"/>
        <v>946.48320000000001</v>
      </c>
      <c r="AL293" s="294">
        <f t="shared" si="173"/>
        <v>0</v>
      </c>
      <c r="AM293" s="292"/>
      <c r="AN293" s="292"/>
      <c r="AO293" s="295">
        <f>'Unit Savings Calculations'!P289</f>
        <v>599.04</v>
      </c>
      <c r="AP293" s="383" t="s">
        <v>763</v>
      </c>
      <c r="AQ293" s="297">
        <f t="shared" si="174"/>
        <v>946.48320000000001</v>
      </c>
      <c r="AR293" s="294">
        <f t="shared" si="175"/>
        <v>0</v>
      </c>
      <c r="AS293" s="292"/>
      <c r="AT293" s="292"/>
      <c r="AU293" s="295">
        <f>'Unit Savings Calculations'!Q289</f>
        <v>599.04</v>
      </c>
      <c r="AV293" s="383" t="str">
        <f t="shared" si="158"/>
        <v>n/a</v>
      </c>
      <c r="AW293" s="297">
        <f t="shared" si="176"/>
        <v>946.48320000000001</v>
      </c>
      <c r="AX293" s="294">
        <f t="shared" si="177"/>
        <v>0</v>
      </c>
      <c r="AY293" s="297">
        <f t="shared" si="159"/>
        <v>946.48320000000001</v>
      </c>
      <c r="AZ293" s="297">
        <f t="shared" si="160"/>
        <v>946.48320000000001</v>
      </c>
      <c r="BA293" s="297">
        <f t="shared" si="161"/>
        <v>946.48320000000001</v>
      </c>
      <c r="BB293" s="297">
        <f t="shared" si="162"/>
        <v>946.48320000000001</v>
      </c>
      <c r="BC293" s="298">
        <f t="shared" si="163"/>
        <v>3785.9328</v>
      </c>
      <c r="BD293" s="292" t="s">
        <v>763</v>
      </c>
      <c r="BE293" s="299" t="str">
        <f t="shared" si="164"/>
        <v>Exhibit 1.5A_R North Shore EEPS_Adjustable_Savings_Goal_Template.xlsx, Unit Savings Calculations Tab</v>
      </c>
      <c r="BF293" s="298">
        <f t="shared" si="165"/>
        <v>11357.7984</v>
      </c>
      <c r="BG293" s="298">
        <f t="shared" si="165"/>
        <v>11357.7984</v>
      </c>
      <c r="BH293" s="298">
        <f t="shared" si="165"/>
        <v>11357.7984</v>
      </c>
      <c r="BI293" s="298">
        <f t="shared" si="155"/>
        <v>11357.7984</v>
      </c>
      <c r="BJ293" s="298">
        <f t="shared" si="166"/>
        <v>45431.193599999999</v>
      </c>
      <c r="BK293" s="482">
        <v>12</v>
      </c>
      <c r="BL293" s="482">
        <v>12</v>
      </c>
      <c r="BM293" s="482">
        <f>INDEX('Unit Savings Calculations'!$I$4:$I$421,MATCH('Measure-Level Adjustments Tab'!$A293&amp;"_"&amp;'Measure-Level Adjustments Tab'!$B293,'Unit Savings Calculations'!$A$4:$A$421,0))</f>
        <v>12</v>
      </c>
      <c r="BN293" s="482">
        <f t="shared" si="167"/>
        <v>12</v>
      </c>
      <c r="BO293" s="483">
        <f t="shared" si="168"/>
        <v>11357.7984</v>
      </c>
      <c r="BP293" s="483">
        <f t="shared" si="168"/>
        <v>11357.7984</v>
      </c>
      <c r="BQ293" s="483">
        <f t="shared" si="168"/>
        <v>11357.7984</v>
      </c>
      <c r="BR293" s="483">
        <f t="shared" si="156"/>
        <v>11357.7984</v>
      </c>
      <c r="BS293" s="483">
        <f t="shared" si="157"/>
        <v>45431.193599999999</v>
      </c>
    </row>
    <row r="294" spans="1:71" ht="15.75" customHeight="1">
      <c r="A294" s="292" t="str">
        <f>'Unit Savings Calculations'!C290</f>
        <v>Bus - CI Rebates</v>
      </c>
      <c r="B294" s="292" t="str">
        <f>'Unit Savings Calculations'!D290</f>
        <v>Infrared Salamander Broiler</v>
      </c>
      <c r="C294" s="293">
        <f t="shared" si="178"/>
        <v>1</v>
      </c>
      <c r="D294" s="292" t="str">
        <f>'Unit Savings Calculations'!T290</f>
        <v>4.2.14</v>
      </c>
      <c r="E294" s="438">
        <v>12</v>
      </c>
      <c r="F294" s="438">
        <v>12</v>
      </c>
      <c r="G294" s="292" t="str">
        <f>'Unit Savings Calculations'!E290</f>
        <v>each</v>
      </c>
      <c r="H294" s="294">
        <f>'Unit Savings Calculations'!$F290*'Unit Savings Calculations'!J290</f>
        <v>0</v>
      </c>
      <c r="I294" s="294">
        <f>'Unit Savings Calculations'!$F290*'Unit Savings Calculations'!K290</f>
        <v>0</v>
      </c>
      <c r="J294" s="294">
        <f>'Unit Savings Calculations'!$F290*'Unit Savings Calculations'!L290</f>
        <v>0</v>
      </c>
      <c r="K294" s="294">
        <f>'Unit Savings Calculations'!$F290*'Unit Savings Calculations'!M290</f>
        <v>0</v>
      </c>
      <c r="L294" s="292" t="str">
        <f>'Unit Savings Calculations'!U290</f>
        <v>CI-FSE-IRBL-V02-180101</v>
      </c>
      <c r="M294" s="383" t="str">
        <f>'Unit Savings Calculations'!R290</f>
        <v>Exhibit 1.5A_R North Shore EEPS_Adjustable_Savings_Goal_Template.xlsx, Unit Savings Calculations Tab</v>
      </c>
      <c r="N294" s="295">
        <v>240.24</v>
      </c>
      <c r="O294" s="295">
        <v>240.24</v>
      </c>
      <c r="P294" s="295">
        <v>240.24</v>
      </c>
      <c r="Q294" s="295">
        <v>240.24</v>
      </c>
      <c r="R294" s="296">
        <f>'Unit Savings Calculations'!$G290</f>
        <v>0.79</v>
      </c>
      <c r="S294" s="296">
        <f>'Unit Savings Calculations'!$G290</f>
        <v>0.79</v>
      </c>
      <c r="T294" s="296">
        <f>'Unit Savings Calculations'!$G290</f>
        <v>0.79</v>
      </c>
      <c r="U294" s="296">
        <f>'Unit Savings Calculations'!$G290</f>
        <v>0.79</v>
      </c>
      <c r="V294" s="297">
        <f t="shared" si="179"/>
        <v>0</v>
      </c>
      <c r="W294" s="297">
        <f t="shared" si="180"/>
        <v>0</v>
      </c>
      <c r="X294" s="297">
        <f t="shared" si="181"/>
        <v>0</v>
      </c>
      <c r="Y294" s="297">
        <f t="shared" si="182"/>
        <v>0</v>
      </c>
      <c r="Z294" s="297">
        <f t="shared" si="183"/>
        <v>0</v>
      </c>
      <c r="AA294" s="292"/>
      <c r="AB294" s="292"/>
      <c r="AC294" s="295">
        <v>240.24</v>
      </c>
      <c r="AD294" s="292"/>
      <c r="AE294" s="297">
        <f t="shared" si="169"/>
        <v>0</v>
      </c>
      <c r="AF294" s="294">
        <f t="shared" si="170"/>
        <v>0</v>
      </c>
      <c r="AG294" s="292"/>
      <c r="AH294" s="292">
        <f t="shared" si="171"/>
        <v>0</v>
      </c>
      <c r="AI294" s="295">
        <v>240.24</v>
      </c>
      <c r="AJ294" s="383" t="s">
        <v>878</v>
      </c>
      <c r="AK294" s="297">
        <f t="shared" si="172"/>
        <v>0</v>
      </c>
      <c r="AL294" s="294">
        <f t="shared" si="173"/>
        <v>0</v>
      </c>
      <c r="AM294" s="292"/>
      <c r="AN294" s="292"/>
      <c r="AO294" s="295">
        <f>'Unit Savings Calculations'!P290</f>
        <v>240.24</v>
      </c>
      <c r="AP294" s="383" t="s">
        <v>763</v>
      </c>
      <c r="AQ294" s="297">
        <f t="shared" si="174"/>
        <v>0</v>
      </c>
      <c r="AR294" s="294">
        <f t="shared" si="175"/>
        <v>0</v>
      </c>
      <c r="AS294" s="292"/>
      <c r="AT294" s="292"/>
      <c r="AU294" s="295">
        <f>'Unit Savings Calculations'!Q290</f>
        <v>240.24</v>
      </c>
      <c r="AV294" s="383" t="str">
        <f t="shared" si="158"/>
        <v>n/a</v>
      </c>
      <c r="AW294" s="297">
        <f t="shared" si="176"/>
        <v>0</v>
      </c>
      <c r="AX294" s="294">
        <f t="shared" si="177"/>
        <v>0</v>
      </c>
      <c r="AY294" s="297">
        <f t="shared" si="159"/>
        <v>0</v>
      </c>
      <c r="AZ294" s="297">
        <f t="shared" si="160"/>
        <v>0</v>
      </c>
      <c r="BA294" s="297">
        <f t="shared" si="161"/>
        <v>0</v>
      </c>
      <c r="BB294" s="297">
        <f t="shared" si="162"/>
        <v>0</v>
      </c>
      <c r="BC294" s="298">
        <f t="shared" si="163"/>
        <v>0</v>
      </c>
      <c r="BD294" s="292" t="s">
        <v>763</v>
      </c>
      <c r="BE294" s="299" t="str">
        <f t="shared" si="164"/>
        <v>Exhibit 1.5A_R North Shore EEPS_Adjustable_Savings_Goal_Template.xlsx, Unit Savings Calculations Tab</v>
      </c>
      <c r="BF294" s="298">
        <f t="shared" si="165"/>
        <v>0</v>
      </c>
      <c r="BG294" s="298">
        <f t="shared" si="165"/>
        <v>0</v>
      </c>
      <c r="BH294" s="298">
        <f t="shared" si="165"/>
        <v>0</v>
      </c>
      <c r="BI294" s="298">
        <f t="shared" si="155"/>
        <v>0</v>
      </c>
      <c r="BJ294" s="298">
        <f t="shared" si="166"/>
        <v>0</v>
      </c>
      <c r="BK294" s="482">
        <v>12</v>
      </c>
      <c r="BL294" s="482">
        <v>12</v>
      </c>
      <c r="BM294" s="482">
        <f>INDEX('Unit Savings Calculations'!$I$4:$I$421,MATCH('Measure-Level Adjustments Tab'!$A294&amp;"_"&amp;'Measure-Level Adjustments Tab'!$B294,'Unit Savings Calculations'!$A$4:$A$421,0))</f>
        <v>12</v>
      </c>
      <c r="BN294" s="482">
        <f t="shared" si="167"/>
        <v>12</v>
      </c>
      <c r="BO294" s="483">
        <f t="shared" si="168"/>
        <v>0</v>
      </c>
      <c r="BP294" s="483">
        <f t="shared" si="168"/>
        <v>0</v>
      </c>
      <c r="BQ294" s="483">
        <f t="shared" si="168"/>
        <v>0</v>
      </c>
      <c r="BR294" s="483">
        <f t="shared" si="156"/>
        <v>0</v>
      </c>
      <c r="BS294" s="483">
        <f t="shared" si="157"/>
        <v>0</v>
      </c>
    </row>
    <row r="295" spans="1:71" ht="15.75" customHeight="1">
      <c r="A295" s="292" t="str">
        <f>'Unit Savings Calculations'!C291</f>
        <v>Bus - CI Rebates</v>
      </c>
      <c r="B295" s="292" t="str">
        <f>'Unit Savings Calculations'!D291</f>
        <v>Infrared Upright Broiler</v>
      </c>
      <c r="C295" s="293">
        <f t="shared" si="178"/>
        <v>1</v>
      </c>
      <c r="D295" s="292" t="str">
        <f>'Unit Savings Calculations'!T291</f>
        <v>4.2.15</v>
      </c>
      <c r="E295" s="438">
        <v>12</v>
      </c>
      <c r="F295" s="438">
        <v>12</v>
      </c>
      <c r="G295" s="292" t="str">
        <f>'Unit Savings Calculations'!E291</f>
        <v>each</v>
      </c>
      <c r="H295" s="294">
        <f>'Unit Savings Calculations'!$F291*'Unit Savings Calculations'!J291</f>
        <v>0</v>
      </c>
      <c r="I295" s="294">
        <f>'Unit Savings Calculations'!$F291*'Unit Savings Calculations'!K291</f>
        <v>0</v>
      </c>
      <c r="J295" s="294">
        <f>'Unit Savings Calculations'!$F291*'Unit Savings Calculations'!L291</f>
        <v>0</v>
      </c>
      <c r="K295" s="294">
        <f>'Unit Savings Calculations'!$F291*'Unit Savings Calculations'!M291</f>
        <v>0</v>
      </c>
      <c r="L295" s="292" t="str">
        <f>'Unit Savings Calculations'!U291</f>
        <v>CI-FSE-IRUB-V02-180101</v>
      </c>
      <c r="M295" s="383" t="str">
        <f>'Unit Savings Calculations'!R291</f>
        <v>Exhibit 1.5A_R North Shore EEPS_Adjustable_Savings_Goal_Template.xlsx, Unit Savings Calculations Tab</v>
      </c>
      <c r="N295" s="295">
        <v>943.48800000000006</v>
      </c>
      <c r="O295" s="295">
        <v>943.48800000000006</v>
      </c>
      <c r="P295" s="295">
        <v>943.48800000000006</v>
      </c>
      <c r="Q295" s="295">
        <v>943.48800000000006</v>
      </c>
      <c r="R295" s="296">
        <f>'Unit Savings Calculations'!$G291</f>
        <v>0.79</v>
      </c>
      <c r="S295" s="296">
        <f>'Unit Savings Calculations'!$G291</f>
        <v>0.79</v>
      </c>
      <c r="T295" s="296">
        <f>'Unit Savings Calculations'!$G291</f>
        <v>0.79</v>
      </c>
      <c r="U295" s="296">
        <f>'Unit Savings Calculations'!$G291</f>
        <v>0.79</v>
      </c>
      <c r="V295" s="297">
        <f t="shared" si="179"/>
        <v>0</v>
      </c>
      <c r="W295" s="297">
        <f t="shared" si="180"/>
        <v>0</v>
      </c>
      <c r="X295" s="297">
        <f t="shared" si="181"/>
        <v>0</v>
      </c>
      <c r="Y295" s="297">
        <f t="shared" si="182"/>
        <v>0</v>
      </c>
      <c r="Z295" s="297">
        <f t="shared" si="183"/>
        <v>0</v>
      </c>
      <c r="AA295" s="292"/>
      <c r="AB295" s="292"/>
      <c r="AC295" s="295">
        <v>943.48800000000006</v>
      </c>
      <c r="AD295" s="292"/>
      <c r="AE295" s="297">
        <f t="shared" si="169"/>
        <v>0</v>
      </c>
      <c r="AF295" s="294">
        <f t="shared" si="170"/>
        <v>0</v>
      </c>
      <c r="AG295" s="292"/>
      <c r="AH295" s="292">
        <f t="shared" si="171"/>
        <v>0</v>
      </c>
      <c r="AI295" s="295">
        <v>943.48800000000006</v>
      </c>
      <c r="AJ295" s="383" t="s">
        <v>878</v>
      </c>
      <c r="AK295" s="297">
        <f t="shared" si="172"/>
        <v>0</v>
      </c>
      <c r="AL295" s="294">
        <f t="shared" si="173"/>
        <v>0</v>
      </c>
      <c r="AM295" s="292"/>
      <c r="AN295" s="292"/>
      <c r="AO295" s="295">
        <f>'Unit Savings Calculations'!P291</f>
        <v>943.48800000000006</v>
      </c>
      <c r="AP295" s="383" t="s">
        <v>763</v>
      </c>
      <c r="AQ295" s="297">
        <f t="shared" si="174"/>
        <v>0</v>
      </c>
      <c r="AR295" s="294">
        <f t="shared" si="175"/>
        <v>0</v>
      </c>
      <c r="AS295" s="292"/>
      <c r="AT295" s="292"/>
      <c r="AU295" s="295">
        <f>'Unit Savings Calculations'!Q291</f>
        <v>943.48800000000006</v>
      </c>
      <c r="AV295" s="383" t="str">
        <f t="shared" si="158"/>
        <v>n/a</v>
      </c>
      <c r="AW295" s="297">
        <f t="shared" si="176"/>
        <v>0</v>
      </c>
      <c r="AX295" s="294">
        <f t="shared" si="177"/>
        <v>0</v>
      </c>
      <c r="AY295" s="297">
        <f t="shared" si="159"/>
        <v>0</v>
      </c>
      <c r="AZ295" s="297">
        <f t="shared" si="160"/>
        <v>0</v>
      </c>
      <c r="BA295" s="297">
        <f t="shared" si="161"/>
        <v>0</v>
      </c>
      <c r="BB295" s="297">
        <f t="shared" si="162"/>
        <v>0</v>
      </c>
      <c r="BC295" s="298">
        <f t="shared" si="163"/>
        <v>0</v>
      </c>
      <c r="BD295" s="292" t="s">
        <v>763</v>
      </c>
      <c r="BE295" s="299" t="str">
        <f t="shared" si="164"/>
        <v>Exhibit 1.5A_R North Shore EEPS_Adjustable_Savings_Goal_Template.xlsx, Unit Savings Calculations Tab</v>
      </c>
      <c r="BF295" s="298">
        <f t="shared" si="165"/>
        <v>0</v>
      </c>
      <c r="BG295" s="298">
        <f t="shared" si="165"/>
        <v>0</v>
      </c>
      <c r="BH295" s="298">
        <f t="shared" si="165"/>
        <v>0</v>
      </c>
      <c r="BI295" s="298">
        <f t="shared" si="155"/>
        <v>0</v>
      </c>
      <c r="BJ295" s="298">
        <f t="shared" si="166"/>
        <v>0</v>
      </c>
      <c r="BK295" s="482">
        <v>12</v>
      </c>
      <c r="BL295" s="482">
        <v>12</v>
      </c>
      <c r="BM295" s="482">
        <f>INDEX('Unit Savings Calculations'!$I$4:$I$421,MATCH('Measure-Level Adjustments Tab'!$A295&amp;"_"&amp;'Measure-Level Adjustments Tab'!$B295,'Unit Savings Calculations'!$A$4:$A$421,0))</f>
        <v>12</v>
      </c>
      <c r="BN295" s="482">
        <f t="shared" si="167"/>
        <v>12</v>
      </c>
      <c r="BO295" s="483">
        <f t="shared" si="168"/>
        <v>0</v>
      </c>
      <c r="BP295" s="483">
        <f t="shared" si="168"/>
        <v>0</v>
      </c>
      <c r="BQ295" s="483">
        <f t="shared" si="168"/>
        <v>0</v>
      </c>
      <c r="BR295" s="483">
        <f t="shared" si="156"/>
        <v>0</v>
      </c>
      <c r="BS295" s="483">
        <f t="shared" si="157"/>
        <v>0</v>
      </c>
    </row>
    <row r="296" spans="1:71" ht="15.75" customHeight="1">
      <c r="A296" s="292" t="str">
        <f>'Unit Savings Calculations'!C292</f>
        <v>Bus - SB Rebates</v>
      </c>
      <c r="B296" s="292" t="str">
        <f>'Unit Savings Calculations'!D292</f>
        <v>SB Custom</v>
      </c>
      <c r="C296" s="293">
        <f t="shared" si="178"/>
        <v>0</v>
      </c>
      <c r="D296" s="292" t="str">
        <f>'Unit Savings Calculations'!T292</f>
        <v>Custom</v>
      </c>
      <c r="E296" s="438">
        <v>15</v>
      </c>
      <c r="F296" s="438">
        <v>15</v>
      </c>
      <c r="G296" s="292" t="str">
        <f>'Unit Savings Calculations'!E292</f>
        <v>each</v>
      </c>
      <c r="H296" s="294">
        <f>'Unit Savings Calculations'!$F292*'Unit Savings Calculations'!J292</f>
        <v>12</v>
      </c>
      <c r="I296" s="294">
        <f>'Unit Savings Calculations'!$F292*'Unit Savings Calculations'!K292</f>
        <v>12</v>
      </c>
      <c r="J296" s="294">
        <f>'Unit Savings Calculations'!$F292*'Unit Savings Calculations'!L292</f>
        <v>10</v>
      </c>
      <c r="K296" s="294">
        <f>'Unit Savings Calculations'!$F292*'Unit Savings Calculations'!M292</f>
        <v>12</v>
      </c>
      <c r="L296" s="292" t="str">
        <f>'Unit Savings Calculations'!U292</f>
        <v>Custom</v>
      </c>
      <c r="M296" s="383" t="str">
        <f>'Unit Savings Calculations'!R292</f>
        <v>Custom</v>
      </c>
      <c r="N296" s="295">
        <v>2100</v>
      </c>
      <c r="O296" s="295">
        <v>2100</v>
      </c>
      <c r="P296" s="295">
        <v>2100</v>
      </c>
      <c r="Q296" s="295">
        <v>2100</v>
      </c>
      <c r="R296" s="296">
        <f>'Unit Savings Calculations'!$G292</f>
        <v>0.92</v>
      </c>
      <c r="S296" s="296">
        <f>'Unit Savings Calculations'!$G292</f>
        <v>0.92</v>
      </c>
      <c r="T296" s="296">
        <f>'Unit Savings Calculations'!$G292</f>
        <v>0.92</v>
      </c>
      <c r="U296" s="296">
        <f>'Unit Savings Calculations'!$G292</f>
        <v>0.92</v>
      </c>
      <c r="V296" s="297">
        <f t="shared" si="179"/>
        <v>23184</v>
      </c>
      <c r="W296" s="297">
        <f t="shared" si="180"/>
        <v>23184</v>
      </c>
      <c r="X296" s="297">
        <f t="shared" si="181"/>
        <v>19320</v>
      </c>
      <c r="Y296" s="297">
        <f t="shared" si="182"/>
        <v>23184</v>
      </c>
      <c r="Z296" s="297">
        <f t="shared" si="183"/>
        <v>88872</v>
      </c>
      <c r="AA296" s="384"/>
      <c r="AB296" s="384"/>
      <c r="AC296" s="387">
        <v>2100</v>
      </c>
      <c r="AD296" s="384"/>
      <c r="AE296" s="385">
        <f t="shared" si="169"/>
        <v>23184</v>
      </c>
      <c r="AF296" s="386">
        <f t="shared" si="170"/>
        <v>0</v>
      </c>
      <c r="AG296" s="384"/>
      <c r="AH296" s="384">
        <f t="shared" si="171"/>
        <v>0</v>
      </c>
      <c r="AI296" s="387">
        <v>2100</v>
      </c>
      <c r="AJ296" s="435" t="s">
        <v>878</v>
      </c>
      <c r="AK296" s="385">
        <f t="shared" si="172"/>
        <v>23184</v>
      </c>
      <c r="AL296" s="386">
        <f t="shared" si="173"/>
        <v>0</v>
      </c>
      <c r="AM296" s="384"/>
      <c r="AN296" s="384"/>
      <c r="AO296" s="387">
        <f>'Unit Savings Calculations'!P292</f>
        <v>2100</v>
      </c>
      <c r="AP296" s="435" t="s">
        <v>763</v>
      </c>
      <c r="AQ296" s="385">
        <f t="shared" si="174"/>
        <v>19320</v>
      </c>
      <c r="AR296" s="386">
        <f t="shared" si="175"/>
        <v>0</v>
      </c>
      <c r="AS296" s="384"/>
      <c r="AT296" s="384"/>
      <c r="AU296" s="387">
        <f>'Unit Savings Calculations'!Q292</f>
        <v>2100</v>
      </c>
      <c r="AV296" s="435" t="str">
        <f t="shared" si="158"/>
        <v>n/a</v>
      </c>
      <c r="AW296" s="385">
        <f t="shared" si="176"/>
        <v>23184</v>
      </c>
      <c r="AX296" s="386">
        <f t="shared" si="177"/>
        <v>0</v>
      </c>
      <c r="AY296" s="297">
        <f t="shared" si="159"/>
        <v>23184</v>
      </c>
      <c r="AZ296" s="297">
        <f t="shared" si="160"/>
        <v>23184</v>
      </c>
      <c r="BA296" s="297">
        <f t="shared" si="161"/>
        <v>19320</v>
      </c>
      <c r="BB296" s="297">
        <f t="shared" si="162"/>
        <v>23184</v>
      </c>
      <c r="BC296" s="298">
        <f t="shared" si="163"/>
        <v>88872</v>
      </c>
      <c r="BD296" s="292" t="s">
        <v>763</v>
      </c>
      <c r="BE296" s="299" t="str">
        <f t="shared" si="164"/>
        <v>Custom</v>
      </c>
      <c r="BF296" s="298">
        <f t="shared" si="165"/>
        <v>347760</v>
      </c>
      <c r="BG296" s="298">
        <f t="shared" si="165"/>
        <v>347760</v>
      </c>
      <c r="BH296" s="298">
        <f t="shared" si="165"/>
        <v>289800</v>
      </c>
      <c r="BI296" s="298">
        <f t="shared" si="155"/>
        <v>347760</v>
      </c>
      <c r="BJ296" s="298">
        <f t="shared" si="166"/>
        <v>1333080</v>
      </c>
      <c r="BK296" s="482">
        <v>15</v>
      </c>
      <c r="BL296" s="482">
        <v>15</v>
      </c>
      <c r="BM296" s="482">
        <f>INDEX('Unit Savings Calculations'!$I$4:$I$421,MATCH('Measure-Level Adjustments Tab'!$A296&amp;"_"&amp;'Measure-Level Adjustments Tab'!$B296,'Unit Savings Calculations'!$A$4:$A$421,0))</f>
        <v>15</v>
      </c>
      <c r="BN296" s="482">
        <f t="shared" si="167"/>
        <v>15</v>
      </c>
      <c r="BO296" s="483">
        <f t="shared" si="168"/>
        <v>347760</v>
      </c>
      <c r="BP296" s="483">
        <f t="shared" si="168"/>
        <v>347760</v>
      </c>
      <c r="BQ296" s="483">
        <f t="shared" si="168"/>
        <v>289800</v>
      </c>
      <c r="BR296" s="483">
        <f t="shared" si="156"/>
        <v>347760</v>
      </c>
      <c r="BS296" s="483">
        <f t="shared" si="157"/>
        <v>1333080</v>
      </c>
    </row>
    <row r="297" spans="1:71" ht="15.75" customHeight="1">
      <c r="A297" s="292" t="str">
        <f>'Unit Savings Calculations'!C293</f>
        <v>Bus - CI Rebates</v>
      </c>
      <c r="B297" s="292" t="str">
        <f>'Unit Savings Calculations'!D293</f>
        <v>CI Custom</v>
      </c>
      <c r="C297" s="293">
        <f t="shared" si="178"/>
        <v>0</v>
      </c>
      <c r="D297" s="292" t="str">
        <f>'Unit Savings Calculations'!T293</f>
        <v>Custom</v>
      </c>
      <c r="E297" s="438">
        <v>15</v>
      </c>
      <c r="F297" s="438">
        <v>15</v>
      </c>
      <c r="G297" s="292" t="str">
        <f>'Unit Savings Calculations'!E293</f>
        <v>each</v>
      </c>
      <c r="H297" s="294">
        <f>'Unit Savings Calculations'!$F293*'Unit Savings Calculations'!J293</f>
        <v>25</v>
      </c>
      <c r="I297" s="294">
        <f>'Unit Savings Calculations'!$F293*'Unit Savings Calculations'!K293</f>
        <v>25</v>
      </c>
      <c r="J297" s="294">
        <f>'Unit Savings Calculations'!$F293*'Unit Savings Calculations'!L293</f>
        <v>20</v>
      </c>
      <c r="K297" s="294">
        <f>'Unit Savings Calculations'!$F293*'Unit Savings Calculations'!M293</f>
        <v>25</v>
      </c>
      <c r="L297" s="292" t="str">
        <f>'Unit Savings Calculations'!U293</f>
        <v>Custom</v>
      </c>
      <c r="M297" s="383" t="str">
        <f>'Unit Savings Calculations'!R293</f>
        <v>Custom</v>
      </c>
      <c r="N297" s="295">
        <v>19100</v>
      </c>
      <c r="O297" s="295">
        <v>19100</v>
      </c>
      <c r="P297" s="295">
        <v>19100</v>
      </c>
      <c r="Q297" s="295">
        <v>19100</v>
      </c>
      <c r="R297" s="296">
        <f>'Unit Savings Calculations'!$G293</f>
        <v>0.69</v>
      </c>
      <c r="S297" s="296">
        <f>'Unit Savings Calculations'!$G293</f>
        <v>0.69</v>
      </c>
      <c r="T297" s="296">
        <f>'Unit Savings Calculations'!$G293</f>
        <v>0.69</v>
      </c>
      <c r="U297" s="296">
        <f>'Unit Savings Calculations'!$G293</f>
        <v>0.69</v>
      </c>
      <c r="V297" s="297">
        <f t="shared" si="179"/>
        <v>329475</v>
      </c>
      <c r="W297" s="297">
        <f t="shared" si="180"/>
        <v>329475</v>
      </c>
      <c r="X297" s="297">
        <f t="shared" si="181"/>
        <v>263580</v>
      </c>
      <c r="Y297" s="297">
        <f t="shared" si="182"/>
        <v>329475</v>
      </c>
      <c r="Z297" s="297">
        <f t="shared" si="183"/>
        <v>1252005</v>
      </c>
      <c r="AA297" s="384"/>
      <c r="AB297" s="384"/>
      <c r="AC297" s="387">
        <v>19100</v>
      </c>
      <c r="AD297" s="384"/>
      <c r="AE297" s="385">
        <f t="shared" si="169"/>
        <v>329475</v>
      </c>
      <c r="AF297" s="386">
        <f t="shared" si="170"/>
        <v>0</v>
      </c>
      <c r="AG297" s="384"/>
      <c r="AH297" s="384">
        <f t="shared" si="171"/>
        <v>0</v>
      </c>
      <c r="AI297" s="387">
        <v>19100</v>
      </c>
      <c r="AJ297" s="435" t="s">
        <v>878</v>
      </c>
      <c r="AK297" s="385">
        <f t="shared" si="172"/>
        <v>329475</v>
      </c>
      <c r="AL297" s="386">
        <f t="shared" si="173"/>
        <v>0</v>
      </c>
      <c r="AM297" s="384"/>
      <c r="AN297" s="384"/>
      <c r="AO297" s="387">
        <f>'Unit Savings Calculations'!P293</f>
        <v>19100</v>
      </c>
      <c r="AP297" s="435" t="s">
        <v>763</v>
      </c>
      <c r="AQ297" s="385">
        <f t="shared" si="174"/>
        <v>263580</v>
      </c>
      <c r="AR297" s="386">
        <f t="shared" si="175"/>
        <v>0</v>
      </c>
      <c r="AS297" s="384"/>
      <c r="AT297" s="384"/>
      <c r="AU297" s="387">
        <f>'Unit Savings Calculations'!Q293</f>
        <v>19100</v>
      </c>
      <c r="AV297" s="435" t="str">
        <f t="shared" si="158"/>
        <v>n/a</v>
      </c>
      <c r="AW297" s="385">
        <f t="shared" si="176"/>
        <v>329475</v>
      </c>
      <c r="AX297" s="386">
        <f t="shared" si="177"/>
        <v>0</v>
      </c>
      <c r="AY297" s="297">
        <f t="shared" si="159"/>
        <v>329475</v>
      </c>
      <c r="AZ297" s="297">
        <f t="shared" si="160"/>
        <v>329475</v>
      </c>
      <c r="BA297" s="297">
        <f t="shared" si="161"/>
        <v>263580</v>
      </c>
      <c r="BB297" s="297">
        <f t="shared" si="162"/>
        <v>329475</v>
      </c>
      <c r="BC297" s="298">
        <f t="shared" si="163"/>
        <v>1252005</v>
      </c>
      <c r="BD297" s="292" t="s">
        <v>763</v>
      </c>
      <c r="BE297" s="299" t="str">
        <f t="shared" si="164"/>
        <v>Custom</v>
      </c>
      <c r="BF297" s="298">
        <f t="shared" si="165"/>
        <v>4942125</v>
      </c>
      <c r="BG297" s="298">
        <f t="shared" si="165"/>
        <v>4942125</v>
      </c>
      <c r="BH297" s="298">
        <f t="shared" si="165"/>
        <v>3953700</v>
      </c>
      <c r="BI297" s="298">
        <f t="shared" si="155"/>
        <v>4942125</v>
      </c>
      <c r="BJ297" s="298">
        <f t="shared" si="166"/>
        <v>18780075</v>
      </c>
      <c r="BK297" s="482">
        <v>15</v>
      </c>
      <c r="BL297" s="482">
        <v>15</v>
      </c>
      <c r="BM297" s="482">
        <f>INDEX('Unit Savings Calculations'!$I$4:$I$421,MATCH('Measure-Level Adjustments Tab'!$A297&amp;"_"&amp;'Measure-Level Adjustments Tab'!$B297,'Unit Savings Calculations'!$A$4:$A$421,0))</f>
        <v>15</v>
      </c>
      <c r="BN297" s="482">
        <f t="shared" si="167"/>
        <v>15</v>
      </c>
      <c r="BO297" s="483">
        <f t="shared" si="168"/>
        <v>4942125</v>
      </c>
      <c r="BP297" s="483">
        <f t="shared" si="168"/>
        <v>4942125</v>
      </c>
      <c r="BQ297" s="483">
        <f t="shared" si="168"/>
        <v>3953700</v>
      </c>
      <c r="BR297" s="483">
        <f t="shared" si="156"/>
        <v>4942125</v>
      </c>
      <c r="BS297" s="483">
        <f t="shared" si="157"/>
        <v>18780075</v>
      </c>
    </row>
    <row r="298" spans="1:71" ht="15.75" customHeight="1">
      <c r="A298" s="292" t="str">
        <f>'Unit Savings Calculations'!C294</f>
        <v>Bus - CI Rebates</v>
      </c>
      <c r="B298" s="292" t="str">
        <f>'Unit Savings Calculations'!D294</f>
        <v>New Construction</v>
      </c>
      <c r="C298" s="293">
        <f t="shared" si="178"/>
        <v>0</v>
      </c>
      <c r="D298" s="292" t="str">
        <f>'Unit Savings Calculations'!T294</f>
        <v>Custom</v>
      </c>
      <c r="E298" s="438">
        <v>15</v>
      </c>
      <c r="F298" s="438">
        <v>15</v>
      </c>
      <c r="G298" s="292" t="str">
        <f>'Unit Savings Calculations'!E294</f>
        <v>each</v>
      </c>
      <c r="H298" s="294">
        <f>'Unit Savings Calculations'!$F294*'Unit Savings Calculations'!J294</f>
        <v>12</v>
      </c>
      <c r="I298" s="294">
        <f>'Unit Savings Calculations'!$F294*'Unit Savings Calculations'!K294</f>
        <v>12</v>
      </c>
      <c r="J298" s="294">
        <f>'Unit Savings Calculations'!$F294*'Unit Savings Calculations'!L294</f>
        <v>12</v>
      </c>
      <c r="K298" s="294">
        <f>'Unit Savings Calculations'!$F294*'Unit Savings Calculations'!M294</f>
        <v>12</v>
      </c>
      <c r="L298" s="292" t="str">
        <f>'Unit Savings Calculations'!U294</f>
        <v>Custom</v>
      </c>
      <c r="M298" s="383" t="str">
        <f>'Unit Savings Calculations'!R294</f>
        <v>Custom</v>
      </c>
      <c r="N298" s="295">
        <v>2500</v>
      </c>
      <c r="O298" s="295">
        <v>2500</v>
      </c>
      <c r="P298" s="295">
        <v>2500</v>
      </c>
      <c r="Q298" s="295">
        <v>2500</v>
      </c>
      <c r="R298" s="296">
        <f>'Unit Savings Calculations'!$G294</f>
        <v>0.77</v>
      </c>
      <c r="S298" s="296">
        <f>'Unit Savings Calculations'!$G294</f>
        <v>0.77</v>
      </c>
      <c r="T298" s="296">
        <f>'Unit Savings Calculations'!$G294</f>
        <v>0.77</v>
      </c>
      <c r="U298" s="296">
        <f>'Unit Savings Calculations'!$G294</f>
        <v>0.77</v>
      </c>
      <c r="V298" s="297">
        <f t="shared" si="179"/>
        <v>23100</v>
      </c>
      <c r="W298" s="297">
        <f t="shared" si="180"/>
        <v>23100</v>
      </c>
      <c r="X298" s="297">
        <f t="shared" si="181"/>
        <v>23100</v>
      </c>
      <c r="Y298" s="297">
        <f t="shared" si="182"/>
        <v>23100</v>
      </c>
      <c r="Z298" s="297">
        <f t="shared" si="183"/>
        <v>92400</v>
      </c>
      <c r="AA298" s="384"/>
      <c r="AB298" s="384"/>
      <c r="AC298" s="387">
        <v>2500</v>
      </c>
      <c r="AD298" s="384"/>
      <c r="AE298" s="385">
        <f t="shared" si="169"/>
        <v>23100</v>
      </c>
      <c r="AF298" s="386">
        <f t="shared" si="170"/>
        <v>0</v>
      </c>
      <c r="AG298" s="384"/>
      <c r="AH298" s="384">
        <f t="shared" si="171"/>
        <v>0</v>
      </c>
      <c r="AI298" s="387">
        <v>2500</v>
      </c>
      <c r="AJ298" s="435" t="s">
        <v>878</v>
      </c>
      <c r="AK298" s="385">
        <f t="shared" si="172"/>
        <v>23100</v>
      </c>
      <c r="AL298" s="386">
        <f t="shared" si="173"/>
        <v>0</v>
      </c>
      <c r="AM298" s="384"/>
      <c r="AN298" s="384"/>
      <c r="AO298" s="387">
        <f>'Unit Savings Calculations'!P294</f>
        <v>2500</v>
      </c>
      <c r="AP298" s="435" t="s">
        <v>763</v>
      </c>
      <c r="AQ298" s="385">
        <f t="shared" si="174"/>
        <v>23100</v>
      </c>
      <c r="AR298" s="386">
        <f t="shared" si="175"/>
        <v>0</v>
      </c>
      <c r="AS298" s="384"/>
      <c r="AT298" s="384"/>
      <c r="AU298" s="387">
        <f>'Unit Savings Calculations'!Q294</f>
        <v>2500</v>
      </c>
      <c r="AV298" s="435" t="str">
        <f t="shared" si="158"/>
        <v>n/a</v>
      </c>
      <c r="AW298" s="385">
        <f t="shared" si="176"/>
        <v>23100</v>
      </c>
      <c r="AX298" s="386">
        <f t="shared" si="177"/>
        <v>0</v>
      </c>
      <c r="AY298" s="297">
        <f t="shared" si="159"/>
        <v>23100</v>
      </c>
      <c r="AZ298" s="297">
        <f t="shared" si="160"/>
        <v>23100</v>
      </c>
      <c r="BA298" s="297">
        <f t="shared" si="161"/>
        <v>23100</v>
      </c>
      <c r="BB298" s="297">
        <f t="shared" si="162"/>
        <v>23100</v>
      </c>
      <c r="BC298" s="298">
        <f t="shared" si="163"/>
        <v>92400</v>
      </c>
      <c r="BD298" s="292" t="s">
        <v>763</v>
      </c>
      <c r="BE298" s="299" t="str">
        <f t="shared" si="164"/>
        <v>Custom</v>
      </c>
      <c r="BF298" s="298">
        <f t="shared" si="165"/>
        <v>346500</v>
      </c>
      <c r="BG298" s="298">
        <f t="shared" si="165"/>
        <v>346500</v>
      </c>
      <c r="BH298" s="298">
        <f t="shared" si="165"/>
        <v>346500</v>
      </c>
      <c r="BI298" s="298">
        <f t="shared" si="155"/>
        <v>346500</v>
      </c>
      <c r="BJ298" s="298">
        <f t="shared" si="166"/>
        <v>1386000</v>
      </c>
      <c r="BK298" s="482">
        <v>15</v>
      </c>
      <c r="BL298" s="482">
        <v>15</v>
      </c>
      <c r="BM298" s="482">
        <f>INDEX('Unit Savings Calculations'!$I$4:$I$421,MATCH('Measure-Level Adjustments Tab'!$A298&amp;"_"&amp;'Measure-Level Adjustments Tab'!$B298,'Unit Savings Calculations'!$A$4:$A$421,0))</f>
        <v>15</v>
      </c>
      <c r="BN298" s="482">
        <f t="shared" si="167"/>
        <v>15</v>
      </c>
      <c r="BO298" s="483">
        <f t="shared" si="168"/>
        <v>346500</v>
      </c>
      <c r="BP298" s="483">
        <f t="shared" si="168"/>
        <v>346500</v>
      </c>
      <c r="BQ298" s="483">
        <f t="shared" si="168"/>
        <v>346500</v>
      </c>
      <c r="BR298" s="483">
        <f t="shared" si="156"/>
        <v>346500</v>
      </c>
      <c r="BS298" s="483">
        <f t="shared" si="157"/>
        <v>1386000</v>
      </c>
    </row>
    <row r="299" spans="1:71" ht="15.75" customHeight="1">
      <c r="A299" s="292" t="str">
        <f>'Unit Savings Calculations'!C295</f>
        <v>Bus - Public Assessments</v>
      </c>
      <c r="B299" s="292" t="str">
        <f>'Unit Savings Calculations'!D295</f>
        <v>Aerator - Bathroom</v>
      </c>
      <c r="C299" s="293">
        <f t="shared" si="178"/>
        <v>1</v>
      </c>
      <c r="D299" s="292" t="str">
        <f>'Unit Savings Calculations'!T295</f>
        <v>4.3.2</v>
      </c>
      <c r="E299" s="438">
        <v>9</v>
      </c>
      <c r="F299" s="438">
        <v>10</v>
      </c>
      <c r="G299" s="292" t="str">
        <f>'Unit Savings Calculations'!E295</f>
        <v>each</v>
      </c>
      <c r="H299" s="294">
        <f>'Unit Savings Calculations'!$F295*'Unit Savings Calculations'!J295</f>
        <v>81</v>
      </c>
      <c r="I299" s="294">
        <f>'Unit Savings Calculations'!$F295*'Unit Savings Calculations'!K295</f>
        <v>81</v>
      </c>
      <c r="J299" s="294">
        <f>'Unit Savings Calculations'!$F295*'Unit Savings Calculations'!L295</f>
        <v>81</v>
      </c>
      <c r="K299" s="294">
        <f>'Unit Savings Calculations'!$F295*'Unit Savings Calculations'!M295</f>
        <v>81</v>
      </c>
      <c r="L299" s="292" t="str">
        <f>'Unit Savings Calculations'!U295</f>
        <v>CI-HWE-LFFA-V07-180101</v>
      </c>
      <c r="M299" s="383" t="str">
        <f>'Unit Savings Calculations'!R295</f>
        <v>Exhibit 1.5A_R North Shore EEPS_Adjustable_Savings_Goal_Template.xlsx, Unit Savings Calculations Tab</v>
      </c>
      <c r="N299" s="295">
        <v>6.1049460431654667</v>
      </c>
      <c r="O299" s="295">
        <v>6.1049460431654667</v>
      </c>
      <c r="P299" s="295">
        <v>6.1049460431654667</v>
      </c>
      <c r="Q299" s="295">
        <v>6.1049460431654667</v>
      </c>
      <c r="R299" s="296">
        <f>'Unit Savings Calculations'!$G295</f>
        <v>0.79</v>
      </c>
      <c r="S299" s="296">
        <f>'Unit Savings Calculations'!$G295</f>
        <v>0.79</v>
      </c>
      <c r="T299" s="296">
        <f>'Unit Savings Calculations'!$G295</f>
        <v>0.79</v>
      </c>
      <c r="U299" s="296">
        <f>'Unit Savings Calculations'!$G295</f>
        <v>0.79</v>
      </c>
      <c r="V299" s="297">
        <f t="shared" si="179"/>
        <v>390.65549730215821</v>
      </c>
      <c r="W299" s="297">
        <f t="shared" si="180"/>
        <v>390.65549730215821</v>
      </c>
      <c r="X299" s="297">
        <f t="shared" si="181"/>
        <v>390.65549730215821</v>
      </c>
      <c r="Y299" s="297">
        <f t="shared" si="182"/>
        <v>390.65549730215821</v>
      </c>
      <c r="Z299" s="297">
        <f t="shared" si="183"/>
        <v>1562.6219892086328</v>
      </c>
      <c r="AA299" s="292"/>
      <c r="AB299" s="292"/>
      <c r="AC299" s="295">
        <v>6.1049460431654667</v>
      </c>
      <c r="AD299" s="292"/>
      <c r="AE299" s="297">
        <f t="shared" si="169"/>
        <v>390.65549730215821</v>
      </c>
      <c r="AF299" s="294">
        <f t="shared" si="170"/>
        <v>0</v>
      </c>
      <c r="AG299" s="292"/>
      <c r="AH299" s="292">
        <f t="shared" si="171"/>
        <v>0</v>
      </c>
      <c r="AI299" s="295">
        <v>6.1049460431654667</v>
      </c>
      <c r="AJ299" s="383" t="s">
        <v>878</v>
      </c>
      <c r="AK299" s="297">
        <f t="shared" si="172"/>
        <v>390.65549730215821</v>
      </c>
      <c r="AL299" s="294">
        <f t="shared" si="173"/>
        <v>0</v>
      </c>
      <c r="AM299" s="292"/>
      <c r="AN299" s="292"/>
      <c r="AO299" s="295">
        <f>'Unit Savings Calculations'!P295</f>
        <v>6.1049460431654667</v>
      </c>
      <c r="AP299" s="383" t="s">
        <v>763</v>
      </c>
      <c r="AQ299" s="297">
        <f t="shared" si="174"/>
        <v>390.65549730215821</v>
      </c>
      <c r="AR299" s="294">
        <f t="shared" si="175"/>
        <v>0</v>
      </c>
      <c r="AS299" s="292"/>
      <c r="AT299" s="292"/>
      <c r="AU299" s="295">
        <f>'Unit Savings Calculations'!Q295</f>
        <v>6.1049460431654667</v>
      </c>
      <c r="AV299" s="383" t="str">
        <f t="shared" si="158"/>
        <v>n/a</v>
      </c>
      <c r="AW299" s="297">
        <f t="shared" si="176"/>
        <v>390.65549730215821</v>
      </c>
      <c r="AX299" s="294">
        <f t="shared" si="177"/>
        <v>0</v>
      </c>
      <c r="AY299" s="297">
        <f t="shared" si="159"/>
        <v>390.65549730215821</v>
      </c>
      <c r="AZ299" s="297">
        <f t="shared" si="160"/>
        <v>390.65549730215821</v>
      </c>
      <c r="BA299" s="297">
        <f t="shared" si="161"/>
        <v>390.65549730215821</v>
      </c>
      <c r="BB299" s="297">
        <f t="shared" si="162"/>
        <v>390.65549730215821</v>
      </c>
      <c r="BC299" s="298">
        <f t="shared" si="163"/>
        <v>1562.6219892086328</v>
      </c>
      <c r="BD299" s="292" t="s">
        <v>763</v>
      </c>
      <c r="BE299" s="299" t="str">
        <f t="shared" si="164"/>
        <v>Exhibit 1.5A_R North Shore EEPS_Adjustable_Savings_Goal_Template.xlsx, Unit Savings Calculations Tab</v>
      </c>
      <c r="BF299" s="298">
        <f t="shared" si="165"/>
        <v>3906.5549730215821</v>
      </c>
      <c r="BG299" s="298">
        <f t="shared" si="165"/>
        <v>3906.5549730215821</v>
      </c>
      <c r="BH299" s="298">
        <f t="shared" si="165"/>
        <v>3906.5549730215821</v>
      </c>
      <c r="BI299" s="298">
        <f t="shared" si="155"/>
        <v>3906.5549730215821</v>
      </c>
      <c r="BJ299" s="298">
        <f t="shared" si="166"/>
        <v>15626.219892086328</v>
      </c>
      <c r="BK299" s="482">
        <v>10</v>
      </c>
      <c r="BL299" s="482">
        <v>10</v>
      </c>
      <c r="BM299" s="482">
        <f>INDEX('Unit Savings Calculations'!$I$4:$I$421,MATCH('Measure-Level Adjustments Tab'!$A299&amp;"_"&amp;'Measure-Level Adjustments Tab'!$B299,'Unit Savings Calculations'!$A$4:$A$421,0))</f>
        <v>10</v>
      </c>
      <c r="BN299" s="482">
        <f t="shared" si="167"/>
        <v>10</v>
      </c>
      <c r="BO299" s="483">
        <f t="shared" si="168"/>
        <v>3906.5549730215821</v>
      </c>
      <c r="BP299" s="483">
        <f t="shared" si="168"/>
        <v>3906.5549730215821</v>
      </c>
      <c r="BQ299" s="483">
        <f t="shared" si="168"/>
        <v>3906.5549730215821</v>
      </c>
      <c r="BR299" s="483">
        <f t="shared" si="156"/>
        <v>3906.5549730215821</v>
      </c>
      <c r="BS299" s="483">
        <f t="shared" si="157"/>
        <v>15626.219892086328</v>
      </c>
    </row>
    <row r="300" spans="1:71" ht="15.75" customHeight="1">
      <c r="A300" s="292" t="str">
        <f>'Unit Savings Calculations'!C296</f>
        <v>Bus - Public Assessments</v>
      </c>
      <c r="B300" s="292" t="str">
        <f>'Unit Savings Calculations'!D296</f>
        <v>Aerator - Kitchen</v>
      </c>
      <c r="C300" s="293">
        <f t="shared" si="178"/>
        <v>1</v>
      </c>
      <c r="D300" s="292" t="str">
        <f>'Unit Savings Calculations'!T296</f>
        <v>4.3.2</v>
      </c>
      <c r="E300" s="438">
        <v>9</v>
      </c>
      <c r="F300" s="438">
        <v>10</v>
      </c>
      <c r="G300" s="292" t="str">
        <f>'Unit Savings Calculations'!E296</f>
        <v>each</v>
      </c>
      <c r="H300" s="294">
        <f>'Unit Savings Calculations'!$F296*'Unit Savings Calculations'!J296</f>
        <v>81</v>
      </c>
      <c r="I300" s="294">
        <f>'Unit Savings Calculations'!$F296*'Unit Savings Calculations'!K296</f>
        <v>81</v>
      </c>
      <c r="J300" s="294">
        <f>'Unit Savings Calculations'!$F296*'Unit Savings Calculations'!L296</f>
        <v>81</v>
      </c>
      <c r="K300" s="294">
        <f>'Unit Savings Calculations'!$F296*'Unit Savings Calculations'!M296</f>
        <v>81</v>
      </c>
      <c r="L300" s="292" t="str">
        <f>'Unit Savings Calculations'!U296</f>
        <v>CI-HWE-LFFA-V07-180101</v>
      </c>
      <c r="M300" s="383" t="str">
        <f>'Unit Savings Calculations'!R296</f>
        <v>Exhibit 1.5A_R North Shore EEPS_Adjustable_Savings_Goal_Template.xlsx, Unit Savings Calculations Tab</v>
      </c>
      <c r="N300" s="295">
        <v>7.4428057553956819</v>
      </c>
      <c r="O300" s="295">
        <v>7.4428057553956819</v>
      </c>
      <c r="P300" s="295">
        <v>7.4428057553956819</v>
      </c>
      <c r="Q300" s="295">
        <v>7.4428057553956819</v>
      </c>
      <c r="R300" s="296">
        <f>'Unit Savings Calculations'!$G296</f>
        <v>0.79</v>
      </c>
      <c r="S300" s="296">
        <f>'Unit Savings Calculations'!$G296</f>
        <v>0.79</v>
      </c>
      <c r="T300" s="296">
        <f>'Unit Savings Calculations'!$G296</f>
        <v>0.79</v>
      </c>
      <c r="U300" s="296">
        <f>'Unit Savings Calculations'!$G296</f>
        <v>0.79</v>
      </c>
      <c r="V300" s="297">
        <f t="shared" si="179"/>
        <v>476.26514028776973</v>
      </c>
      <c r="W300" s="297">
        <f t="shared" si="180"/>
        <v>476.26514028776973</v>
      </c>
      <c r="X300" s="297">
        <f t="shared" si="181"/>
        <v>476.26514028776973</v>
      </c>
      <c r="Y300" s="297">
        <f t="shared" si="182"/>
        <v>476.26514028776973</v>
      </c>
      <c r="Z300" s="297">
        <f t="shared" si="183"/>
        <v>1905.0605611510789</v>
      </c>
      <c r="AA300" s="292"/>
      <c r="AB300" s="292"/>
      <c r="AC300" s="295">
        <v>7.4428057553956819</v>
      </c>
      <c r="AD300" s="292"/>
      <c r="AE300" s="297">
        <f t="shared" si="169"/>
        <v>476.26514028776973</v>
      </c>
      <c r="AF300" s="294">
        <f t="shared" si="170"/>
        <v>0</v>
      </c>
      <c r="AG300" s="292"/>
      <c r="AH300" s="292">
        <f t="shared" si="171"/>
        <v>0</v>
      </c>
      <c r="AI300" s="295">
        <v>7.4428057553956819</v>
      </c>
      <c r="AJ300" s="383" t="s">
        <v>878</v>
      </c>
      <c r="AK300" s="297">
        <f t="shared" si="172"/>
        <v>476.26514028776973</v>
      </c>
      <c r="AL300" s="294">
        <f t="shared" si="173"/>
        <v>0</v>
      </c>
      <c r="AM300" s="292"/>
      <c r="AN300" s="292"/>
      <c r="AO300" s="295">
        <f>'Unit Savings Calculations'!P296</f>
        <v>7.4428057553956819</v>
      </c>
      <c r="AP300" s="383" t="s">
        <v>763</v>
      </c>
      <c r="AQ300" s="297">
        <f t="shared" si="174"/>
        <v>476.26514028776973</v>
      </c>
      <c r="AR300" s="294">
        <f t="shared" si="175"/>
        <v>0</v>
      </c>
      <c r="AS300" s="292"/>
      <c r="AT300" s="292"/>
      <c r="AU300" s="295">
        <f>'Unit Savings Calculations'!Q296</f>
        <v>7.4428057553956819</v>
      </c>
      <c r="AV300" s="383" t="str">
        <f t="shared" si="158"/>
        <v>n/a</v>
      </c>
      <c r="AW300" s="297">
        <f t="shared" si="176"/>
        <v>476.26514028776973</v>
      </c>
      <c r="AX300" s="294">
        <f t="shared" si="177"/>
        <v>0</v>
      </c>
      <c r="AY300" s="297">
        <f t="shared" si="159"/>
        <v>476.26514028776973</v>
      </c>
      <c r="AZ300" s="297">
        <f t="shared" si="160"/>
        <v>476.26514028776973</v>
      </c>
      <c r="BA300" s="297">
        <f t="shared" si="161"/>
        <v>476.26514028776973</v>
      </c>
      <c r="BB300" s="297">
        <f t="shared" si="162"/>
        <v>476.26514028776973</v>
      </c>
      <c r="BC300" s="298">
        <f t="shared" si="163"/>
        <v>1905.0605611510789</v>
      </c>
      <c r="BD300" s="292" t="s">
        <v>763</v>
      </c>
      <c r="BE300" s="299" t="str">
        <f t="shared" si="164"/>
        <v>Exhibit 1.5A_R North Shore EEPS_Adjustable_Savings_Goal_Template.xlsx, Unit Savings Calculations Tab</v>
      </c>
      <c r="BF300" s="298">
        <f t="shared" si="165"/>
        <v>4762.6514028776974</v>
      </c>
      <c r="BG300" s="298">
        <f t="shared" si="165"/>
        <v>4762.6514028776974</v>
      </c>
      <c r="BH300" s="298">
        <f t="shared" si="165"/>
        <v>4762.6514028776974</v>
      </c>
      <c r="BI300" s="298">
        <f t="shared" si="155"/>
        <v>4762.6514028776974</v>
      </c>
      <c r="BJ300" s="298">
        <f t="shared" si="166"/>
        <v>19050.605611510789</v>
      </c>
      <c r="BK300" s="482">
        <v>10</v>
      </c>
      <c r="BL300" s="482">
        <v>10</v>
      </c>
      <c r="BM300" s="482">
        <f>INDEX('Unit Savings Calculations'!$I$4:$I$421,MATCH('Measure-Level Adjustments Tab'!$A300&amp;"_"&amp;'Measure-Level Adjustments Tab'!$B300,'Unit Savings Calculations'!$A$4:$A$421,0))</f>
        <v>10</v>
      </c>
      <c r="BN300" s="482">
        <f t="shared" si="167"/>
        <v>10</v>
      </c>
      <c r="BO300" s="483">
        <f t="shared" si="168"/>
        <v>4762.6514028776974</v>
      </c>
      <c r="BP300" s="483">
        <f t="shared" si="168"/>
        <v>4762.6514028776974</v>
      </c>
      <c r="BQ300" s="483">
        <f t="shared" si="168"/>
        <v>4762.6514028776974</v>
      </c>
      <c r="BR300" s="483">
        <f t="shared" si="156"/>
        <v>4762.6514028776974</v>
      </c>
      <c r="BS300" s="483">
        <f t="shared" si="157"/>
        <v>19050.605611510789</v>
      </c>
    </row>
    <row r="301" spans="1:71" ht="15.75" customHeight="1">
      <c r="A301" s="292" t="str">
        <f>'Unit Savings Calculations'!C297</f>
        <v>Bus - Public Assessments</v>
      </c>
      <c r="B301" s="292" t="str">
        <f>'Unit Savings Calculations'!D297</f>
        <v>Showerhead</v>
      </c>
      <c r="C301" s="293">
        <f t="shared" si="178"/>
        <v>1</v>
      </c>
      <c r="D301" s="292" t="str">
        <f>'Unit Savings Calculations'!T297</f>
        <v>4.3.3</v>
      </c>
      <c r="E301" s="438">
        <v>10</v>
      </c>
      <c r="F301" s="438">
        <v>10</v>
      </c>
      <c r="G301" s="292" t="str">
        <f>'Unit Savings Calculations'!E297</f>
        <v>each</v>
      </c>
      <c r="H301" s="294">
        <f>'Unit Savings Calculations'!$F297*'Unit Savings Calculations'!J297</f>
        <v>36</v>
      </c>
      <c r="I301" s="294">
        <f>'Unit Savings Calculations'!$F297*'Unit Savings Calculations'!K297</f>
        <v>36</v>
      </c>
      <c r="J301" s="294">
        <f>'Unit Savings Calculations'!$F297*'Unit Savings Calculations'!L297</f>
        <v>36</v>
      </c>
      <c r="K301" s="294">
        <f>'Unit Savings Calculations'!$F297*'Unit Savings Calculations'!M297</f>
        <v>36</v>
      </c>
      <c r="L301" s="292" t="str">
        <f>'Unit Savings Calculations'!U297</f>
        <v>RS-HWE-LFSH-V04-180101</v>
      </c>
      <c r="M301" s="383" t="str">
        <f>'Unit Savings Calculations'!R297</f>
        <v>Exhibit 1.5A_R North Shore EEPS_Adjustable_Savings_Goal_Template.xlsx, Unit Savings Calculations Tab</v>
      </c>
      <c r="N301" s="295">
        <v>21.634983278999997</v>
      </c>
      <c r="O301" s="295">
        <v>21.634983278999997</v>
      </c>
      <c r="P301" s="295">
        <v>21.634983278999997</v>
      </c>
      <c r="Q301" s="295">
        <v>21.634983278999997</v>
      </c>
      <c r="R301" s="296">
        <f>'Unit Savings Calculations'!$G297</f>
        <v>0.79</v>
      </c>
      <c r="S301" s="296">
        <f>'Unit Savings Calculations'!$G297</f>
        <v>0.79</v>
      </c>
      <c r="T301" s="296">
        <f>'Unit Savings Calculations'!$G297</f>
        <v>0.79</v>
      </c>
      <c r="U301" s="296">
        <f>'Unit Savings Calculations'!$G297</f>
        <v>0.79</v>
      </c>
      <c r="V301" s="297">
        <f t="shared" si="179"/>
        <v>615.29892445475991</v>
      </c>
      <c r="W301" s="297">
        <f t="shared" si="180"/>
        <v>615.29892445475991</v>
      </c>
      <c r="X301" s="297">
        <f t="shared" si="181"/>
        <v>615.29892445475991</v>
      </c>
      <c r="Y301" s="297">
        <f t="shared" si="182"/>
        <v>615.29892445475991</v>
      </c>
      <c r="Z301" s="297">
        <f t="shared" si="183"/>
        <v>2461.1956978190397</v>
      </c>
      <c r="AA301" s="292"/>
      <c r="AB301" s="292"/>
      <c r="AC301" s="295">
        <v>21.634983278999997</v>
      </c>
      <c r="AD301" s="292"/>
      <c r="AE301" s="297">
        <f t="shared" si="169"/>
        <v>615.29892445475991</v>
      </c>
      <c r="AF301" s="294">
        <f t="shared" si="170"/>
        <v>0</v>
      </c>
      <c r="AG301" s="292"/>
      <c r="AH301" s="292">
        <f t="shared" si="171"/>
        <v>0</v>
      </c>
      <c r="AI301" s="295">
        <v>21.634983278999997</v>
      </c>
      <c r="AJ301" s="383" t="s">
        <v>878</v>
      </c>
      <c r="AK301" s="297">
        <f t="shared" si="172"/>
        <v>615.29892445475991</v>
      </c>
      <c r="AL301" s="294">
        <f t="shared" si="173"/>
        <v>0</v>
      </c>
      <c r="AM301" s="292"/>
      <c r="AN301" s="292"/>
      <c r="AO301" s="295">
        <f>'Unit Savings Calculations'!P297</f>
        <v>19.917921113999995</v>
      </c>
      <c r="AP301" s="383" t="s">
        <v>1429</v>
      </c>
      <c r="AQ301" s="297">
        <f t="shared" si="174"/>
        <v>566.46567648215989</v>
      </c>
      <c r="AR301" s="294">
        <f t="shared" si="175"/>
        <v>-48.83324797260002</v>
      </c>
      <c r="AS301" s="292"/>
      <c r="AT301" s="292"/>
      <c r="AU301" s="295">
        <f>'Unit Savings Calculations'!Q297</f>
        <v>19.917921113999995</v>
      </c>
      <c r="AV301" s="383" t="str">
        <f t="shared" si="158"/>
        <v>Updated EPG_gas</v>
      </c>
      <c r="AW301" s="297">
        <f t="shared" si="176"/>
        <v>566.46567648215989</v>
      </c>
      <c r="AX301" s="294">
        <f t="shared" si="177"/>
        <v>-48.83324797260002</v>
      </c>
      <c r="AY301" s="297">
        <f t="shared" si="159"/>
        <v>615.29892445475991</v>
      </c>
      <c r="AZ301" s="297">
        <f t="shared" si="160"/>
        <v>615.29892445475991</v>
      </c>
      <c r="BA301" s="297">
        <f t="shared" si="161"/>
        <v>566.46567648215989</v>
      </c>
      <c r="BB301" s="297">
        <f t="shared" si="162"/>
        <v>566.46567648215989</v>
      </c>
      <c r="BC301" s="298">
        <f t="shared" si="163"/>
        <v>2363.5292018738396</v>
      </c>
      <c r="BD301" s="292" t="s">
        <v>763</v>
      </c>
      <c r="BE301" s="299" t="str">
        <f t="shared" si="164"/>
        <v>Exhibit 1.5A_R North Shore EEPS_Adjustable_Savings_Goal_Template.xlsx, Unit Savings Calculations Tab</v>
      </c>
      <c r="BF301" s="298">
        <f t="shared" si="165"/>
        <v>6152.9892445475989</v>
      </c>
      <c r="BG301" s="298">
        <f t="shared" si="165"/>
        <v>6152.9892445475989</v>
      </c>
      <c r="BH301" s="298">
        <f t="shared" si="165"/>
        <v>6152.9892445475989</v>
      </c>
      <c r="BI301" s="298">
        <f t="shared" si="155"/>
        <v>6152.9892445475989</v>
      </c>
      <c r="BJ301" s="298">
        <f t="shared" si="166"/>
        <v>24611.956978190396</v>
      </c>
      <c r="BK301" s="482">
        <v>10</v>
      </c>
      <c r="BL301" s="482">
        <v>10</v>
      </c>
      <c r="BM301" s="482">
        <f>INDEX('Unit Savings Calculations'!$I$4:$I$421,MATCH('Measure-Level Adjustments Tab'!$A301&amp;"_"&amp;'Measure-Level Adjustments Tab'!$B301,'Unit Savings Calculations'!$A$4:$A$421,0))</f>
        <v>10</v>
      </c>
      <c r="BN301" s="482">
        <f t="shared" si="167"/>
        <v>10</v>
      </c>
      <c r="BO301" s="483">
        <f t="shared" si="168"/>
        <v>6152.9892445475989</v>
      </c>
      <c r="BP301" s="483">
        <f t="shared" si="168"/>
        <v>6152.9892445475989</v>
      </c>
      <c r="BQ301" s="483">
        <f t="shared" si="168"/>
        <v>5664.6567648215987</v>
      </c>
      <c r="BR301" s="483">
        <f t="shared" si="156"/>
        <v>5664.6567648215987</v>
      </c>
      <c r="BS301" s="483">
        <f t="shared" si="157"/>
        <v>23635.292018738393</v>
      </c>
    </row>
    <row r="302" spans="1:71" ht="15.75" customHeight="1">
      <c r="A302" s="292" t="str">
        <f>'Unit Savings Calculations'!C298</f>
        <v>Bus - Public Assessments</v>
      </c>
      <c r="B302" s="292" t="str">
        <f>'Unit Savings Calculations'!D298</f>
        <v>Pipe Insulation - DHW</v>
      </c>
      <c r="C302" s="293">
        <f t="shared" si="178"/>
        <v>1</v>
      </c>
      <c r="D302" s="292" t="str">
        <f>'Unit Savings Calculations'!T298</f>
        <v>4.4.14</v>
      </c>
      <c r="E302" s="438">
        <v>15</v>
      </c>
      <c r="F302" s="438">
        <v>15</v>
      </c>
      <c r="G302" s="292" t="str">
        <f>'Unit Savings Calculations'!E298</f>
        <v>each</v>
      </c>
      <c r="H302" s="294">
        <f>'Unit Savings Calculations'!$F298*'Unit Savings Calculations'!J298</f>
        <v>765</v>
      </c>
      <c r="I302" s="294">
        <f>'Unit Savings Calculations'!$F298*'Unit Savings Calculations'!K298</f>
        <v>765</v>
      </c>
      <c r="J302" s="294">
        <f>'Unit Savings Calculations'!$F298*'Unit Savings Calculations'!L298</f>
        <v>765</v>
      </c>
      <c r="K302" s="294">
        <f>'Unit Savings Calculations'!$F298*'Unit Savings Calculations'!M298</f>
        <v>765</v>
      </c>
      <c r="L302" s="292" t="str">
        <f>'Unit Savings Calculations'!U298</f>
        <v>CI-HVC-PINS-V04-160601</v>
      </c>
      <c r="M302" s="383" t="str">
        <f>'Unit Savings Calculations'!R298</f>
        <v>Exhibit 1.5A_R North Shore EEPS_Adjustable_Savings_Goal_Template.xlsx, Pipe Insulation Detail Tab</v>
      </c>
      <c r="N302" s="295">
        <v>5.2492031493764015</v>
      </c>
      <c r="O302" s="295">
        <v>5.2492031493764015</v>
      </c>
      <c r="P302" s="295">
        <v>5.2492031493764015</v>
      </c>
      <c r="Q302" s="295">
        <v>5.2492031493764015</v>
      </c>
      <c r="R302" s="296">
        <f>'Unit Savings Calculations'!$G298</f>
        <v>0.79</v>
      </c>
      <c r="S302" s="296">
        <f>'Unit Savings Calculations'!$G298</f>
        <v>0.79</v>
      </c>
      <c r="T302" s="296">
        <f>'Unit Savings Calculations'!$G298</f>
        <v>0.79</v>
      </c>
      <c r="U302" s="296">
        <f>'Unit Savings Calculations'!$G298</f>
        <v>0.79</v>
      </c>
      <c r="V302" s="297">
        <f t="shared" si="179"/>
        <v>3172.3559233256283</v>
      </c>
      <c r="W302" s="297">
        <f t="shared" si="180"/>
        <v>3172.3559233256283</v>
      </c>
      <c r="X302" s="297">
        <f t="shared" si="181"/>
        <v>3172.3559233256283</v>
      </c>
      <c r="Y302" s="297">
        <f t="shared" si="182"/>
        <v>3172.3559233256283</v>
      </c>
      <c r="Z302" s="297">
        <f t="shared" si="183"/>
        <v>12689.423693302513</v>
      </c>
      <c r="AA302" s="292"/>
      <c r="AB302" s="292"/>
      <c r="AC302" s="295">
        <v>5.2492031493764015</v>
      </c>
      <c r="AD302" s="292"/>
      <c r="AE302" s="297">
        <f t="shared" si="169"/>
        <v>3172.3559233256283</v>
      </c>
      <c r="AF302" s="294">
        <f t="shared" si="170"/>
        <v>0</v>
      </c>
      <c r="AG302" s="292"/>
      <c r="AH302" s="292">
        <f t="shared" si="171"/>
        <v>0</v>
      </c>
      <c r="AI302" s="295">
        <v>5.2492031493764015</v>
      </c>
      <c r="AJ302" s="383" t="s">
        <v>878</v>
      </c>
      <c r="AK302" s="297">
        <f t="shared" si="172"/>
        <v>3172.3559233256283</v>
      </c>
      <c r="AL302" s="294">
        <f t="shared" si="173"/>
        <v>0</v>
      </c>
      <c r="AM302" s="292"/>
      <c r="AN302" s="292"/>
      <c r="AO302" s="295">
        <f>'Unit Savings Calculations'!P298</f>
        <v>5.2492031493764015</v>
      </c>
      <c r="AP302" s="383" t="s">
        <v>763</v>
      </c>
      <c r="AQ302" s="297">
        <f t="shared" si="174"/>
        <v>3172.3559233256283</v>
      </c>
      <c r="AR302" s="294">
        <f t="shared" si="175"/>
        <v>0</v>
      </c>
      <c r="AS302" s="292"/>
      <c r="AT302" s="292"/>
      <c r="AU302" s="295">
        <f>'Unit Savings Calculations'!Q298</f>
        <v>5.2492031493764015</v>
      </c>
      <c r="AV302" s="383" t="str">
        <f t="shared" si="158"/>
        <v>n/a</v>
      </c>
      <c r="AW302" s="297">
        <f t="shared" si="176"/>
        <v>3172.3559233256283</v>
      </c>
      <c r="AX302" s="294">
        <f t="shared" si="177"/>
        <v>0</v>
      </c>
      <c r="AY302" s="297">
        <f t="shared" si="159"/>
        <v>3172.3559233256283</v>
      </c>
      <c r="AZ302" s="297">
        <f t="shared" si="160"/>
        <v>3172.3559233256283</v>
      </c>
      <c r="BA302" s="297">
        <f t="shared" si="161"/>
        <v>3172.3559233256283</v>
      </c>
      <c r="BB302" s="297">
        <f t="shared" si="162"/>
        <v>3172.3559233256283</v>
      </c>
      <c r="BC302" s="298">
        <f t="shared" si="163"/>
        <v>12689.423693302513</v>
      </c>
      <c r="BD302" s="292" t="s">
        <v>763</v>
      </c>
      <c r="BE302" s="299" t="str">
        <f t="shared" si="164"/>
        <v>Exhibit 1.5A_R North Shore EEPS_Adjustable_Savings_Goal_Template.xlsx, Pipe Insulation Detail Tab</v>
      </c>
      <c r="BF302" s="298">
        <f t="shared" si="165"/>
        <v>47585.338849884422</v>
      </c>
      <c r="BG302" s="298">
        <f t="shared" si="165"/>
        <v>47585.338849884422</v>
      </c>
      <c r="BH302" s="298">
        <f t="shared" si="165"/>
        <v>47585.338849884422</v>
      </c>
      <c r="BI302" s="298">
        <f t="shared" si="155"/>
        <v>47585.338849884422</v>
      </c>
      <c r="BJ302" s="298">
        <f t="shared" si="166"/>
        <v>190341.35539953769</v>
      </c>
      <c r="BK302" s="482">
        <v>15</v>
      </c>
      <c r="BL302" s="482">
        <v>15</v>
      </c>
      <c r="BM302" s="482">
        <f>INDEX('Unit Savings Calculations'!$I$4:$I$421,MATCH('Measure-Level Adjustments Tab'!$A302&amp;"_"&amp;'Measure-Level Adjustments Tab'!$B302,'Unit Savings Calculations'!$A$4:$A$421,0))</f>
        <v>15</v>
      </c>
      <c r="BN302" s="482">
        <f t="shared" si="167"/>
        <v>15</v>
      </c>
      <c r="BO302" s="483">
        <f t="shared" si="168"/>
        <v>47585.338849884422</v>
      </c>
      <c r="BP302" s="483">
        <f t="shared" si="168"/>
        <v>47585.338849884422</v>
      </c>
      <c r="BQ302" s="483">
        <f t="shared" si="168"/>
        <v>47585.338849884422</v>
      </c>
      <c r="BR302" s="483">
        <f t="shared" si="156"/>
        <v>47585.338849884422</v>
      </c>
      <c r="BS302" s="483">
        <f t="shared" si="157"/>
        <v>190341.35539953769</v>
      </c>
    </row>
    <row r="303" spans="1:71" ht="15.75" customHeight="1">
      <c r="A303" s="292" t="str">
        <f>'Unit Savings Calculations'!C299</f>
        <v>Bus - Public Assessments</v>
      </c>
      <c r="B303" s="292" t="str">
        <f>'Unit Savings Calculations'!D299</f>
        <v>Pre Rinse Sprayer</v>
      </c>
      <c r="C303" s="293">
        <f t="shared" si="178"/>
        <v>1</v>
      </c>
      <c r="D303" s="292" t="str">
        <f>'Unit Savings Calculations'!T299</f>
        <v>4.2.11</v>
      </c>
      <c r="E303" s="438">
        <v>5</v>
      </c>
      <c r="F303" s="438">
        <v>5</v>
      </c>
      <c r="G303" s="292" t="str">
        <f>'Unit Savings Calculations'!E299</f>
        <v>each</v>
      </c>
      <c r="H303" s="294">
        <f>'Unit Savings Calculations'!$F299*'Unit Savings Calculations'!J299</f>
        <v>17</v>
      </c>
      <c r="I303" s="294">
        <f>'Unit Savings Calculations'!$F299*'Unit Savings Calculations'!K299</f>
        <v>17</v>
      </c>
      <c r="J303" s="294">
        <f>'Unit Savings Calculations'!$F299*'Unit Savings Calculations'!L299</f>
        <v>17</v>
      </c>
      <c r="K303" s="294">
        <f>'Unit Savings Calculations'!$F299*'Unit Savings Calculations'!M299</f>
        <v>17</v>
      </c>
      <c r="L303" s="292" t="str">
        <f>'Unit Savings Calculations'!U299</f>
        <v>CI-FSE-SPRY-V04-180101</v>
      </c>
      <c r="M303" s="383" t="str">
        <f>'Unit Savings Calculations'!R299</f>
        <v>Exhibit 1.5A_R North Shore EEPS_Adjustable_Savings_Goal_Template.xlsx, Unit Savings Calculations Tab</v>
      </c>
      <c r="N303" s="295">
        <v>171.92120399999999</v>
      </c>
      <c r="O303" s="295">
        <v>171.92120399999999</v>
      </c>
      <c r="P303" s="295">
        <v>171.92120399999999</v>
      </c>
      <c r="Q303" s="295">
        <v>171.92120399999999</v>
      </c>
      <c r="R303" s="296">
        <f>'Unit Savings Calculations'!$G299</f>
        <v>0.79</v>
      </c>
      <c r="S303" s="296">
        <f>'Unit Savings Calculations'!$G299</f>
        <v>0.79</v>
      </c>
      <c r="T303" s="296">
        <f>'Unit Savings Calculations'!$G299</f>
        <v>0.79</v>
      </c>
      <c r="U303" s="296">
        <f>'Unit Savings Calculations'!$G299</f>
        <v>0.79</v>
      </c>
      <c r="V303" s="297">
        <f t="shared" si="179"/>
        <v>2308.9017697200002</v>
      </c>
      <c r="W303" s="297">
        <f t="shared" si="180"/>
        <v>2308.9017697200002</v>
      </c>
      <c r="X303" s="297">
        <f t="shared" si="181"/>
        <v>2308.9017697200002</v>
      </c>
      <c r="Y303" s="297">
        <f t="shared" si="182"/>
        <v>2308.9017697200002</v>
      </c>
      <c r="Z303" s="297">
        <f t="shared" si="183"/>
        <v>9235.6070788800007</v>
      </c>
      <c r="AA303" s="292"/>
      <c r="AB303" s="292"/>
      <c r="AC303" s="295">
        <v>171.92120399999999</v>
      </c>
      <c r="AD303" s="292"/>
      <c r="AE303" s="297">
        <f t="shared" si="169"/>
        <v>2308.9017697200002</v>
      </c>
      <c r="AF303" s="294">
        <f t="shared" si="170"/>
        <v>0</v>
      </c>
      <c r="AG303" s="292"/>
      <c r="AH303" s="292">
        <f t="shared" si="171"/>
        <v>0</v>
      </c>
      <c r="AI303" s="295">
        <v>171.92120399999999</v>
      </c>
      <c r="AJ303" s="383" t="s">
        <v>878</v>
      </c>
      <c r="AK303" s="297">
        <f t="shared" si="172"/>
        <v>2308.9017697200002</v>
      </c>
      <c r="AL303" s="294">
        <f t="shared" si="173"/>
        <v>0</v>
      </c>
      <c r="AM303" s="292"/>
      <c r="AN303" s="292"/>
      <c r="AO303" s="295">
        <f>'Unit Savings Calculations'!P299</f>
        <v>237.414996</v>
      </c>
      <c r="AP303" s="383" t="s">
        <v>1427</v>
      </c>
      <c r="AQ303" s="297">
        <f t="shared" si="174"/>
        <v>3188.4833962800003</v>
      </c>
      <c r="AR303" s="294">
        <f t="shared" si="175"/>
        <v>879.58162656000013</v>
      </c>
      <c r="AS303" s="292"/>
      <c r="AT303" s="292"/>
      <c r="AU303" s="295">
        <f>'Unit Savings Calculations'!Q299</f>
        <v>237.414996</v>
      </c>
      <c r="AV303" s="383" t="str">
        <f t="shared" si="158"/>
        <v>Updated base and EE flow rates</v>
      </c>
      <c r="AW303" s="297">
        <f t="shared" si="176"/>
        <v>3188.4833962800003</v>
      </c>
      <c r="AX303" s="294">
        <f t="shared" si="177"/>
        <v>879.58162656000013</v>
      </c>
      <c r="AY303" s="297">
        <f t="shared" si="159"/>
        <v>2308.9017697200002</v>
      </c>
      <c r="AZ303" s="297">
        <f t="shared" si="160"/>
        <v>2308.9017697200002</v>
      </c>
      <c r="BA303" s="297">
        <f t="shared" si="161"/>
        <v>3188.4833962800003</v>
      </c>
      <c r="BB303" s="297">
        <f t="shared" si="162"/>
        <v>3188.4833962800003</v>
      </c>
      <c r="BC303" s="298">
        <f t="shared" si="163"/>
        <v>10994.770332</v>
      </c>
      <c r="BD303" s="292" t="s">
        <v>763</v>
      </c>
      <c r="BE303" s="299" t="str">
        <f t="shared" si="164"/>
        <v>Exhibit 1.5A_R North Shore EEPS_Adjustable_Savings_Goal_Template.xlsx, Unit Savings Calculations Tab</v>
      </c>
      <c r="BF303" s="298">
        <f t="shared" si="165"/>
        <v>11544.5088486</v>
      </c>
      <c r="BG303" s="298">
        <f t="shared" si="165"/>
        <v>11544.5088486</v>
      </c>
      <c r="BH303" s="298">
        <f t="shared" si="165"/>
        <v>11544.5088486</v>
      </c>
      <c r="BI303" s="298">
        <f t="shared" si="155"/>
        <v>11544.5088486</v>
      </c>
      <c r="BJ303" s="298">
        <f t="shared" si="166"/>
        <v>46178.035394400002</v>
      </c>
      <c r="BK303" s="482">
        <v>5</v>
      </c>
      <c r="BL303" s="482">
        <v>5</v>
      </c>
      <c r="BM303" s="482">
        <f>INDEX('Unit Savings Calculations'!$I$4:$I$421,MATCH('Measure-Level Adjustments Tab'!$A303&amp;"_"&amp;'Measure-Level Adjustments Tab'!$B303,'Unit Savings Calculations'!$A$4:$A$421,0))</f>
        <v>5</v>
      </c>
      <c r="BN303" s="482">
        <f t="shared" si="167"/>
        <v>5</v>
      </c>
      <c r="BO303" s="483">
        <f t="shared" si="168"/>
        <v>11544.5088486</v>
      </c>
      <c r="BP303" s="483">
        <f t="shared" si="168"/>
        <v>11544.5088486</v>
      </c>
      <c r="BQ303" s="483">
        <f t="shared" si="168"/>
        <v>15942.416981400002</v>
      </c>
      <c r="BR303" s="483">
        <f t="shared" si="156"/>
        <v>15942.416981400002</v>
      </c>
      <c r="BS303" s="483">
        <f t="shared" si="157"/>
        <v>54973.85166</v>
      </c>
    </row>
    <row r="304" spans="1:71" ht="15.75" customHeight="1">
      <c r="A304" s="292" t="str">
        <f>'Unit Savings Calculations'!C300</f>
        <v>Bus - Public Assessments</v>
      </c>
      <c r="B304" s="292" t="str">
        <f>'Unit Savings Calculations'!D300</f>
        <v>Gas Optimization</v>
      </c>
      <c r="C304" s="293">
        <f t="shared" si="178"/>
        <v>0</v>
      </c>
      <c r="D304" s="292" t="str">
        <f>'Unit Savings Calculations'!T300</f>
        <v>Custom</v>
      </c>
      <c r="E304" s="438">
        <v>15</v>
      </c>
      <c r="F304" s="438">
        <v>15</v>
      </c>
      <c r="G304" s="292" t="str">
        <f>'Unit Savings Calculations'!E300</f>
        <v>each</v>
      </c>
      <c r="H304" s="294">
        <f>'Unit Savings Calculations'!$F300*'Unit Savings Calculations'!J300</f>
        <v>1</v>
      </c>
      <c r="I304" s="294">
        <f>'Unit Savings Calculations'!$F300*'Unit Savings Calculations'!K300</f>
        <v>1</v>
      </c>
      <c r="J304" s="294">
        <f>'Unit Savings Calculations'!$F300*'Unit Savings Calculations'!L300</f>
        <v>1</v>
      </c>
      <c r="K304" s="294">
        <f>'Unit Savings Calculations'!$F300*'Unit Savings Calculations'!M300</f>
        <v>1</v>
      </c>
      <c r="L304" s="292" t="str">
        <f>'Unit Savings Calculations'!U300</f>
        <v>Custom</v>
      </c>
      <c r="M304" s="383" t="str">
        <f>'Unit Savings Calculations'!R300</f>
        <v>Custom</v>
      </c>
      <c r="N304" s="295">
        <v>17650</v>
      </c>
      <c r="O304" s="295">
        <v>17650</v>
      </c>
      <c r="P304" s="295">
        <v>17650</v>
      </c>
      <c r="Q304" s="295">
        <v>17650</v>
      </c>
      <c r="R304" s="296">
        <f>'Unit Savings Calculations'!$G300</f>
        <v>1.02</v>
      </c>
      <c r="S304" s="296">
        <f>'Unit Savings Calculations'!$G300</f>
        <v>1.02</v>
      </c>
      <c r="T304" s="296">
        <f>'Unit Savings Calculations'!$G300</f>
        <v>1.02</v>
      </c>
      <c r="U304" s="296">
        <f>'Unit Savings Calculations'!$G300</f>
        <v>1.02</v>
      </c>
      <c r="V304" s="297">
        <f t="shared" si="179"/>
        <v>18003</v>
      </c>
      <c r="W304" s="297">
        <f t="shared" si="180"/>
        <v>18003</v>
      </c>
      <c r="X304" s="297">
        <f t="shared" si="181"/>
        <v>18003</v>
      </c>
      <c r="Y304" s="297">
        <f t="shared" si="182"/>
        <v>18003</v>
      </c>
      <c r="Z304" s="297">
        <f t="shared" si="183"/>
        <v>72012</v>
      </c>
      <c r="AA304" s="384"/>
      <c r="AB304" s="384"/>
      <c r="AC304" s="387">
        <v>17650</v>
      </c>
      <c r="AD304" s="384"/>
      <c r="AE304" s="385">
        <f t="shared" si="169"/>
        <v>18003</v>
      </c>
      <c r="AF304" s="386">
        <f t="shared" si="170"/>
        <v>0</v>
      </c>
      <c r="AG304" s="384"/>
      <c r="AH304" s="384">
        <f t="shared" si="171"/>
        <v>0</v>
      </c>
      <c r="AI304" s="387">
        <v>17650</v>
      </c>
      <c r="AJ304" s="435" t="s">
        <v>878</v>
      </c>
      <c r="AK304" s="385">
        <f t="shared" si="172"/>
        <v>18003</v>
      </c>
      <c r="AL304" s="386">
        <f t="shared" si="173"/>
        <v>0</v>
      </c>
      <c r="AM304" s="384"/>
      <c r="AN304" s="384"/>
      <c r="AO304" s="387">
        <f>'Unit Savings Calculations'!P300</f>
        <v>17650</v>
      </c>
      <c r="AP304" s="435" t="s">
        <v>763</v>
      </c>
      <c r="AQ304" s="385">
        <f t="shared" si="174"/>
        <v>18003</v>
      </c>
      <c r="AR304" s="386">
        <f t="shared" si="175"/>
        <v>0</v>
      </c>
      <c r="AS304" s="384"/>
      <c r="AT304" s="384"/>
      <c r="AU304" s="387">
        <f>'Unit Savings Calculations'!Q300</f>
        <v>17650</v>
      </c>
      <c r="AV304" s="435" t="str">
        <f t="shared" si="158"/>
        <v>n/a</v>
      </c>
      <c r="AW304" s="385">
        <f t="shared" si="176"/>
        <v>18003</v>
      </c>
      <c r="AX304" s="386">
        <f t="shared" si="177"/>
        <v>0</v>
      </c>
      <c r="AY304" s="297">
        <f t="shared" si="159"/>
        <v>18003</v>
      </c>
      <c r="AZ304" s="297">
        <f t="shared" si="160"/>
        <v>18003</v>
      </c>
      <c r="BA304" s="297">
        <f t="shared" si="161"/>
        <v>18003</v>
      </c>
      <c r="BB304" s="297">
        <f t="shared" si="162"/>
        <v>18003</v>
      </c>
      <c r="BC304" s="298">
        <f t="shared" si="163"/>
        <v>72012</v>
      </c>
      <c r="BD304" s="292" t="s">
        <v>763</v>
      </c>
      <c r="BE304" s="299" t="str">
        <f t="shared" si="164"/>
        <v>Custom</v>
      </c>
      <c r="BF304" s="298">
        <f t="shared" si="165"/>
        <v>270045</v>
      </c>
      <c r="BG304" s="298">
        <f t="shared" si="165"/>
        <v>270045</v>
      </c>
      <c r="BH304" s="298">
        <f t="shared" si="165"/>
        <v>270045</v>
      </c>
      <c r="BI304" s="298">
        <f t="shared" si="155"/>
        <v>270045</v>
      </c>
      <c r="BJ304" s="298">
        <f t="shared" si="166"/>
        <v>1080180</v>
      </c>
      <c r="BK304" s="482">
        <v>15</v>
      </c>
      <c r="BL304" s="482">
        <v>15</v>
      </c>
      <c r="BM304" s="482">
        <f>INDEX('Unit Savings Calculations'!$I$4:$I$421,MATCH('Measure-Level Adjustments Tab'!$A304&amp;"_"&amp;'Measure-Level Adjustments Tab'!$B304,'Unit Savings Calculations'!$A$4:$A$421,0))</f>
        <v>15</v>
      </c>
      <c r="BN304" s="482">
        <f t="shared" si="167"/>
        <v>15</v>
      </c>
      <c r="BO304" s="483">
        <f t="shared" si="168"/>
        <v>270045</v>
      </c>
      <c r="BP304" s="483">
        <f t="shared" si="168"/>
        <v>270045</v>
      </c>
      <c r="BQ304" s="483">
        <f t="shared" si="168"/>
        <v>270045</v>
      </c>
      <c r="BR304" s="483">
        <f t="shared" si="156"/>
        <v>270045</v>
      </c>
      <c r="BS304" s="483">
        <f t="shared" si="157"/>
        <v>1080180</v>
      </c>
    </row>
    <row r="305" spans="1:71" ht="15.75" customHeight="1">
      <c r="A305" s="292" t="str">
        <f>'Unit Savings Calculations'!C301</f>
        <v>Bus - Public Assessments</v>
      </c>
      <c r="B305" s="292" t="str">
        <f>'Unit Savings Calculations'!D301</f>
        <v>Retrocommissioning</v>
      </c>
      <c r="C305" s="293">
        <f t="shared" si="178"/>
        <v>0</v>
      </c>
      <c r="D305" s="292" t="str">
        <f>'Unit Savings Calculations'!T301</f>
        <v>Custom</v>
      </c>
      <c r="E305" s="438">
        <v>15</v>
      </c>
      <c r="F305" s="438">
        <v>15</v>
      </c>
      <c r="G305" s="292" t="str">
        <f>'Unit Savings Calculations'!E301</f>
        <v>each</v>
      </c>
      <c r="H305" s="294">
        <f>'Unit Savings Calculations'!$F301*'Unit Savings Calculations'!J301</f>
        <v>3</v>
      </c>
      <c r="I305" s="294">
        <f>'Unit Savings Calculations'!$F301*'Unit Savings Calculations'!K301</f>
        <v>3</v>
      </c>
      <c r="J305" s="294">
        <f>'Unit Savings Calculations'!$F301*'Unit Savings Calculations'!L301</f>
        <v>3</v>
      </c>
      <c r="K305" s="294">
        <f>'Unit Savings Calculations'!$F301*'Unit Savings Calculations'!M301</f>
        <v>3</v>
      </c>
      <c r="L305" s="292" t="str">
        <f>'Unit Savings Calculations'!U301</f>
        <v>Custom</v>
      </c>
      <c r="M305" s="383" t="str">
        <f>'Unit Savings Calculations'!R301</f>
        <v>Custom</v>
      </c>
      <c r="N305" s="295">
        <v>9850</v>
      </c>
      <c r="O305" s="295">
        <v>9850</v>
      </c>
      <c r="P305" s="295">
        <v>9850</v>
      </c>
      <c r="Q305" s="295">
        <v>9850</v>
      </c>
      <c r="R305" s="296">
        <f>'Unit Savings Calculations'!$G301</f>
        <v>1.02</v>
      </c>
      <c r="S305" s="296">
        <f>'Unit Savings Calculations'!$G301</f>
        <v>1.02</v>
      </c>
      <c r="T305" s="296">
        <f>'Unit Savings Calculations'!$G301</f>
        <v>1.02</v>
      </c>
      <c r="U305" s="296">
        <f>'Unit Savings Calculations'!$G301</f>
        <v>1.02</v>
      </c>
      <c r="V305" s="297">
        <f t="shared" si="179"/>
        <v>30141</v>
      </c>
      <c r="W305" s="297">
        <f t="shared" si="180"/>
        <v>30141</v>
      </c>
      <c r="X305" s="297">
        <f t="shared" si="181"/>
        <v>30141</v>
      </c>
      <c r="Y305" s="297">
        <f t="shared" si="182"/>
        <v>30141</v>
      </c>
      <c r="Z305" s="297">
        <f t="shared" si="183"/>
        <v>120564</v>
      </c>
      <c r="AA305" s="384"/>
      <c r="AB305" s="384"/>
      <c r="AC305" s="387">
        <v>9850</v>
      </c>
      <c r="AD305" s="384"/>
      <c r="AE305" s="385">
        <f t="shared" si="169"/>
        <v>30141</v>
      </c>
      <c r="AF305" s="386">
        <f t="shared" si="170"/>
        <v>0</v>
      </c>
      <c r="AG305" s="384"/>
      <c r="AH305" s="384">
        <f t="shared" si="171"/>
        <v>0</v>
      </c>
      <c r="AI305" s="387">
        <v>9850</v>
      </c>
      <c r="AJ305" s="435" t="s">
        <v>878</v>
      </c>
      <c r="AK305" s="385">
        <f t="shared" si="172"/>
        <v>30141</v>
      </c>
      <c r="AL305" s="386">
        <f t="shared" si="173"/>
        <v>0</v>
      </c>
      <c r="AM305" s="384"/>
      <c r="AN305" s="384"/>
      <c r="AO305" s="387">
        <f>'Unit Savings Calculations'!P301</f>
        <v>9850</v>
      </c>
      <c r="AP305" s="435" t="s">
        <v>763</v>
      </c>
      <c r="AQ305" s="385">
        <f t="shared" si="174"/>
        <v>30141</v>
      </c>
      <c r="AR305" s="386">
        <f t="shared" si="175"/>
        <v>0</v>
      </c>
      <c r="AS305" s="384"/>
      <c r="AT305" s="384"/>
      <c r="AU305" s="387">
        <f>'Unit Savings Calculations'!Q301</f>
        <v>9850</v>
      </c>
      <c r="AV305" s="435" t="str">
        <f t="shared" si="158"/>
        <v>n/a</v>
      </c>
      <c r="AW305" s="385">
        <f t="shared" si="176"/>
        <v>30141</v>
      </c>
      <c r="AX305" s="386">
        <f t="shared" si="177"/>
        <v>0</v>
      </c>
      <c r="AY305" s="297">
        <f t="shared" si="159"/>
        <v>30141</v>
      </c>
      <c r="AZ305" s="297">
        <f t="shared" si="160"/>
        <v>30141</v>
      </c>
      <c r="BA305" s="297">
        <f t="shared" si="161"/>
        <v>30141</v>
      </c>
      <c r="BB305" s="297">
        <f t="shared" si="162"/>
        <v>30141</v>
      </c>
      <c r="BC305" s="298">
        <f t="shared" si="163"/>
        <v>120564</v>
      </c>
      <c r="BD305" s="292" t="s">
        <v>763</v>
      </c>
      <c r="BE305" s="299" t="str">
        <f t="shared" si="164"/>
        <v>Custom</v>
      </c>
      <c r="BF305" s="298">
        <f t="shared" si="165"/>
        <v>452115</v>
      </c>
      <c r="BG305" s="298">
        <f t="shared" si="165"/>
        <v>452115</v>
      </c>
      <c r="BH305" s="298">
        <f t="shared" si="165"/>
        <v>452115</v>
      </c>
      <c r="BI305" s="298">
        <f t="shared" si="155"/>
        <v>452115</v>
      </c>
      <c r="BJ305" s="298">
        <f t="shared" si="166"/>
        <v>1808460</v>
      </c>
      <c r="BK305" s="482">
        <v>15</v>
      </c>
      <c r="BL305" s="482">
        <v>15</v>
      </c>
      <c r="BM305" s="482">
        <f>INDEX('Unit Savings Calculations'!$I$4:$I$421,MATCH('Measure-Level Adjustments Tab'!$A305&amp;"_"&amp;'Measure-Level Adjustments Tab'!$B305,'Unit Savings Calculations'!$A$4:$A$421,0))</f>
        <v>15</v>
      </c>
      <c r="BN305" s="482">
        <f t="shared" si="167"/>
        <v>15</v>
      </c>
      <c r="BO305" s="483">
        <f t="shared" si="168"/>
        <v>452115</v>
      </c>
      <c r="BP305" s="483">
        <f t="shared" si="168"/>
        <v>452115</v>
      </c>
      <c r="BQ305" s="483">
        <f t="shared" si="168"/>
        <v>452115</v>
      </c>
      <c r="BR305" s="483">
        <f t="shared" si="156"/>
        <v>452115</v>
      </c>
      <c r="BS305" s="483">
        <f t="shared" si="157"/>
        <v>1808460</v>
      </c>
    </row>
    <row r="306" spans="1:71" ht="15.75" customHeight="1">
      <c r="A306" s="292" t="str">
        <f>'Unit Savings Calculations'!C302</f>
        <v>Bus - Public Rebates</v>
      </c>
      <c r="B306" s="292" t="str">
        <f>'Unit Savings Calculations'!D302</f>
        <v>Boiler ≥88% AFUE, &lt;300MBh</v>
      </c>
      <c r="C306" s="293">
        <f t="shared" si="178"/>
        <v>1</v>
      </c>
      <c r="D306" s="292" t="str">
        <f>'Unit Savings Calculations'!T302</f>
        <v>4.4.10</v>
      </c>
      <c r="E306" s="438">
        <v>20</v>
      </c>
      <c r="F306" s="438">
        <v>20</v>
      </c>
      <c r="G306" s="292" t="str">
        <f>'Unit Savings Calculations'!E302</f>
        <v>MBH</v>
      </c>
      <c r="H306" s="294">
        <f>'Unit Savings Calculations'!$F302*'Unit Savings Calculations'!J302</f>
        <v>400</v>
      </c>
      <c r="I306" s="294">
        <f>'Unit Savings Calculations'!$F302*'Unit Savings Calculations'!K302</f>
        <v>400</v>
      </c>
      <c r="J306" s="294">
        <f>'Unit Savings Calculations'!$F302*'Unit Savings Calculations'!L302</f>
        <v>400</v>
      </c>
      <c r="K306" s="294">
        <f>'Unit Savings Calculations'!$F302*'Unit Savings Calculations'!M302</f>
        <v>400</v>
      </c>
      <c r="L306" s="292" t="str">
        <f>'Unit Savings Calculations'!U302</f>
        <v>CI-HVC-BOIL-V05-150601</v>
      </c>
      <c r="M306" s="383" t="str">
        <f>'Unit Savings Calculations'!R302</f>
        <v>Exhibit 1.5A_R North Shore EEPS_Adjustable_Savings_Goal_Template.xlsx, Unit Savings Calculations Tab</v>
      </c>
      <c r="N306" s="295">
        <v>1.126097560975611</v>
      </c>
      <c r="O306" s="295">
        <v>1.126097560975611</v>
      </c>
      <c r="P306" s="295">
        <v>1.126097560975611</v>
      </c>
      <c r="Q306" s="295">
        <v>1.126097560975611</v>
      </c>
      <c r="R306" s="296">
        <f>'Unit Savings Calculations'!$G302</f>
        <v>0.79</v>
      </c>
      <c r="S306" s="296">
        <f>'Unit Savings Calculations'!$G302</f>
        <v>0.79</v>
      </c>
      <c r="T306" s="296">
        <f>'Unit Savings Calculations'!$G302</f>
        <v>0.79</v>
      </c>
      <c r="U306" s="296">
        <f>'Unit Savings Calculations'!$G302</f>
        <v>0.79</v>
      </c>
      <c r="V306" s="297">
        <f t="shared" si="179"/>
        <v>355.84682926829311</v>
      </c>
      <c r="W306" s="297">
        <f t="shared" si="180"/>
        <v>355.84682926829311</v>
      </c>
      <c r="X306" s="297">
        <f t="shared" si="181"/>
        <v>355.84682926829311</v>
      </c>
      <c r="Y306" s="297">
        <f t="shared" si="182"/>
        <v>355.84682926829311</v>
      </c>
      <c r="Z306" s="297">
        <f t="shared" si="183"/>
        <v>1423.3873170731724</v>
      </c>
      <c r="AA306" s="292"/>
      <c r="AB306" s="292"/>
      <c r="AC306" s="295">
        <v>1.126097560975611</v>
      </c>
      <c r="AD306" s="292"/>
      <c r="AE306" s="297">
        <f t="shared" si="169"/>
        <v>355.84682926829311</v>
      </c>
      <c r="AF306" s="294">
        <f t="shared" si="170"/>
        <v>0</v>
      </c>
      <c r="AG306" s="292"/>
      <c r="AH306" s="292">
        <f t="shared" si="171"/>
        <v>0</v>
      </c>
      <c r="AI306" s="295">
        <v>1.126097560975611</v>
      </c>
      <c r="AJ306" s="383" t="s">
        <v>878</v>
      </c>
      <c r="AK306" s="297">
        <f t="shared" si="172"/>
        <v>355.84682926829311</v>
      </c>
      <c r="AL306" s="294">
        <f t="shared" si="173"/>
        <v>0</v>
      </c>
      <c r="AM306" s="292"/>
      <c r="AN306" s="292"/>
      <c r="AO306" s="295">
        <f>'Unit Savings Calculations'!P302</f>
        <v>1.2278048780487816</v>
      </c>
      <c r="AP306" s="383" t="s">
        <v>1441</v>
      </c>
      <c r="AQ306" s="297">
        <f t="shared" si="174"/>
        <v>387.98634146341499</v>
      </c>
      <c r="AR306" s="294">
        <f t="shared" si="175"/>
        <v>32.139512195121881</v>
      </c>
      <c r="AS306" s="292"/>
      <c r="AT306" s="292"/>
      <c r="AU306" s="295">
        <f>'Unit Savings Calculations'!Q302</f>
        <v>1.2278048780487816</v>
      </c>
      <c r="AV306" s="383" t="str">
        <f t="shared" si="158"/>
        <v>Updated heating EFLH</v>
      </c>
      <c r="AW306" s="297">
        <f t="shared" si="176"/>
        <v>387.98634146341499</v>
      </c>
      <c r="AX306" s="294">
        <f t="shared" si="177"/>
        <v>32.139512195121881</v>
      </c>
      <c r="AY306" s="297">
        <f t="shared" si="159"/>
        <v>355.84682926829311</v>
      </c>
      <c r="AZ306" s="297">
        <f t="shared" si="160"/>
        <v>355.84682926829311</v>
      </c>
      <c r="BA306" s="297">
        <f t="shared" si="161"/>
        <v>387.98634146341499</v>
      </c>
      <c r="BB306" s="297">
        <f t="shared" si="162"/>
        <v>387.98634146341499</v>
      </c>
      <c r="BC306" s="298">
        <f t="shared" si="163"/>
        <v>1487.6663414634163</v>
      </c>
      <c r="BD306" s="292" t="s">
        <v>763</v>
      </c>
      <c r="BE306" s="299" t="str">
        <f t="shared" si="164"/>
        <v>Exhibit 1.5A_R North Shore EEPS_Adjustable_Savings_Goal_Template.xlsx, Unit Savings Calculations Tab</v>
      </c>
      <c r="BF306" s="298">
        <f t="shared" si="165"/>
        <v>7116.9365853658619</v>
      </c>
      <c r="BG306" s="298">
        <f t="shared" si="165"/>
        <v>7116.9365853658619</v>
      </c>
      <c r="BH306" s="298">
        <f t="shared" si="165"/>
        <v>7116.9365853658619</v>
      </c>
      <c r="BI306" s="298">
        <f t="shared" si="155"/>
        <v>7116.9365853658619</v>
      </c>
      <c r="BJ306" s="298">
        <f t="shared" si="166"/>
        <v>28467.746341463448</v>
      </c>
      <c r="BK306" s="482">
        <v>20</v>
      </c>
      <c r="BL306" s="482">
        <v>20</v>
      </c>
      <c r="BM306" s="482">
        <f>INDEX('Unit Savings Calculations'!$I$4:$I$421,MATCH('Measure-Level Adjustments Tab'!$A306&amp;"_"&amp;'Measure-Level Adjustments Tab'!$B306,'Unit Savings Calculations'!$A$4:$A$421,0))</f>
        <v>25</v>
      </c>
      <c r="BN306" s="482">
        <f t="shared" si="167"/>
        <v>25</v>
      </c>
      <c r="BO306" s="483">
        <f t="shared" si="168"/>
        <v>7116.9365853658619</v>
      </c>
      <c r="BP306" s="483">
        <f t="shared" si="168"/>
        <v>7116.9365853658619</v>
      </c>
      <c r="BQ306" s="483">
        <f t="shared" si="168"/>
        <v>9699.6585365853753</v>
      </c>
      <c r="BR306" s="483">
        <f t="shared" si="156"/>
        <v>9699.6585365853753</v>
      </c>
      <c r="BS306" s="483">
        <f t="shared" si="157"/>
        <v>33633.190243902471</v>
      </c>
    </row>
    <row r="307" spans="1:71" ht="15.75" customHeight="1">
      <c r="A307" s="292" t="str">
        <f>'Unit Savings Calculations'!C303</f>
        <v>Bus - Public Rebates</v>
      </c>
      <c r="B307" s="292" t="str">
        <f>'Unit Savings Calculations'!D303</f>
        <v>Boiler ≥88% AFUE, ≥300MBh TE</v>
      </c>
      <c r="C307" s="293">
        <f t="shared" si="178"/>
        <v>1</v>
      </c>
      <c r="D307" s="292" t="str">
        <f>'Unit Savings Calculations'!T303</f>
        <v>4.4.10</v>
      </c>
      <c r="E307" s="438">
        <v>20</v>
      </c>
      <c r="F307" s="438">
        <v>20</v>
      </c>
      <c r="G307" s="292" t="str">
        <f>'Unit Savings Calculations'!E303</f>
        <v>MBH</v>
      </c>
      <c r="H307" s="294">
        <f>'Unit Savings Calculations'!$F303*'Unit Savings Calculations'!J303</f>
        <v>1200</v>
      </c>
      <c r="I307" s="294">
        <f>'Unit Savings Calculations'!$F303*'Unit Savings Calculations'!K303</f>
        <v>1200</v>
      </c>
      <c r="J307" s="294">
        <f>'Unit Savings Calculations'!$F303*'Unit Savings Calculations'!L303</f>
        <v>1200</v>
      </c>
      <c r="K307" s="294">
        <f>'Unit Savings Calculations'!$F303*'Unit Savings Calculations'!M303</f>
        <v>1200</v>
      </c>
      <c r="L307" s="292" t="str">
        <f>'Unit Savings Calculations'!U303</f>
        <v>CI-HVC-BOIL-V05-150601</v>
      </c>
      <c r="M307" s="383" t="str">
        <f>'Unit Savings Calculations'!R303</f>
        <v>Exhibit 1.5A_R North Shore EEPS_Adjustable_Savings_Goal_Template.xlsx, Unit Savings Calculations Tab</v>
      </c>
      <c r="N307" s="295">
        <v>1.5389999999999993</v>
      </c>
      <c r="O307" s="295">
        <v>1.5389999999999993</v>
      </c>
      <c r="P307" s="295">
        <v>1.5389999999999993</v>
      </c>
      <c r="Q307" s="295">
        <v>1.5389999999999993</v>
      </c>
      <c r="R307" s="296">
        <f>'Unit Savings Calculations'!$G303</f>
        <v>0.79</v>
      </c>
      <c r="S307" s="296">
        <f>'Unit Savings Calculations'!$G303</f>
        <v>0.79</v>
      </c>
      <c r="T307" s="296">
        <f>'Unit Savings Calculations'!$G303</f>
        <v>0.79</v>
      </c>
      <c r="U307" s="296">
        <f>'Unit Savings Calculations'!$G303</f>
        <v>0.79</v>
      </c>
      <c r="V307" s="297">
        <f t="shared" si="179"/>
        <v>1458.9719999999993</v>
      </c>
      <c r="W307" s="297">
        <f t="shared" si="180"/>
        <v>1458.9719999999993</v>
      </c>
      <c r="X307" s="297">
        <f t="shared" si="181"/>
        <v>1458.9719999999993</v>
      </c>
      <c r="Y307" s="297">
        <f t="shared" si="182"/>
        <v>1458.9719999999993</v>
      </c>
      <c r="Z307" s="297">
        <f t="shared" si="183"/>
        <v>5835.8879999999972</v>
      </c>
      <c r="AA307" s="292"/>
      <c r="AB307" s="292"/>
      <c r="AC307" s="295">
        <v>1.5389999999999993</v>
      </c>
      <c r="AD307" s="292"/>
      <c r="AE307" s="297">
        <f t="shared" si="169"/>
        <v>1458.9719999999993</v>
      </c>
      <c r="AF307" s="294">
        <f t="shared" si="170"/>
        <v>0</v>
      </c>
      <c r="AG307" s="292"/>
      <c r="AH307" s="292">
        <f t="shared" si="171"/>
        <v>0</v>
      </c>
      <c r="AI307" s="295">
        <v>1.5389999999999993</v>
      </c>
      <c r="AJ307" s="383" t="s">
        <v>878</v>
      </c>
      <c r="AK307" s="297">
        <f t="shared" si="172"/>
        <v>1458.9719999999993</v>
      </c>
      <c r="AL307" s="294">
        <f t="shared" si="173"/>
        <v>0</v>
      </c>
      <c r="AM307" s="292"/>
      <c r="AN307" s="292"/>
      <c r="AO307" s="295">
        <f>'Unit Savings Calculations'!P303</f>
        <v>1.6779999999999993</v>
      </c>
      <c r="AP307" s="383" t="s">
        <v>1441</v>
      </c>
      <c r="AQ307" s="297">
        <f t="shared" si="174"/>
        <v>1590.7439999999995</v>
      </c>
      <c r="AR307" s="294">
        <f t="shared" si="175"/>
        <v>131.77200000000016</v>
      </c>
      <c r="AS307" s="292"/>
      <c r="AT307" s="292"/>
      <c r="AU307" s="295">
        <f>'Unit Savings Calculations'!Q303</f>
        <v>1.6779999999999993</v>
      </c>
      <c r="AV307" s="383" t="str">
        <f t="shared" si="158"/>
        <v>Updated heating EFLH</v>
      </c>
      <c r="AW307" s="297">
        <f t="shared" si="176"/>
        <v>1590.7439999999995</v>
      </c>
      <c r="AX307" s="294">
        <f t="shared" si="177"/>
        <v>131.77200000000016</v>
      </c>
      <c r="AY307" s="297">
        <f t="shared" si="159"/>
        <v>1458.9719999999993</v>
      </c>
      <c r="AZ307" s="297">
        <f t="shared" si="160"/>
        <v>1458.9719999999993</v>
      </c>
      <c r="BA307" s="297">
        <f t="shared" si="161"/>
        <v>1590.7439999999995</v>
      </c>
      <c r="BB307" s="297">
        <f t="shared" si="162"/>
        <v>1590.7439999999995</v>
      </c>
      <c r="BC307" s="298">
        <f t="shared" si="163"/>
        <v>6099.431999999998</v>
      </c>
      <c r="BD307" s="292" t="s">
        <v>763</v>
      </c>
      <c r="BE307" s="299" t="str">
        <f t="shared" si="164"/>
        <v>Exhibit 1.5A_R North Shore EEPS_Adjustable_Savings_Goal_Template.xlsx, Unit Savings Calculations Tab</v>
      </c>
      <c r="BF307" s="298">
        <f t="shared" si="165"/>
        <v>29179.439999999988</v>
      </c>
      <c r="BG307" s="298">
        <f t="shared" si="165"/>
        <v>29179.439999999988</v>
      </c>
      <c r="BH307" s="298">
        <f t="shared" si="165"/>
        <v>29179.439999999988</v>
      </c>
      <c r="BI307" s="298">
        <f t="shared" si="155"/>
        <v>29179.439999999988</v>
      </c>
      <c r="BJ307" s="298">
        <f t="shared" si="166"/>
        <v>116717.75999999995</v>
      </c>
      <c r="BK307" s="482">
        <v>20</v>
      </c>
      <c r="BL307" s="482">
        <v>20</v>
      </c>
      <c r="BM307" s="482">
        <f>INDEX('Unit Savings Calculations'!$I$4:$I$421,MATCH('Measure-Level Adjustments Tab'!$A307&amp;"_"&amp;'Measure-Level Adjustments Tab'!$B307,'Unit Savings Calculations'!$A$4:$A$421,0))</f>
        <v>25</v>
      </c>
      <c r="BN307" s="482">
        <f t="shared" si="167"/>
        <v>25</v>
      </c>
      <c r="BO307" s="483">
        <f t="shared" si="168"/>
        <v>29179.439999999988</v>
      </c>
      <c r="BP307" s="483">
        <f t="shared" si="168"/>
        <v>29179.439999999988</v>
      </c>
      <c r="BQ307" s="483">
        <f t="shared" si="168"/>
        <v>39768.599999999984</v>
      </c>
      <c r="BR307" s="483">
        <f t="shared" si="156"/>
        <v>39768.599999999984</v>
      </c>
      <c r="BS307" s="483">
        <f t="shared" si="157"/>
        <v>137896.07999999993</v>
      </c>
    </row>
    <row r="308" spans="1:71" ht="15.75" customHeight="1">
      <c r="A308" s="292" t="str">
        <f>'Unit Savings Calculations'!C304</f>
        <v>Bus - Public Rebates</v>
      </c>
      <c r="B308" s="292" t="str">
        <f>'Unit Savings Calculations'!D304</f>
        <v>Boiler Reset Controls</v>
      </c>
      <c r="C308" s="293">
        <f t="shared" si="178"/>
        <v>1</v>
      </c>
      <c r="D308" s="292" t="str">
        <f>'Unit Savings Calculations'!T304</f>
        <v>4.4.4</v>
      </c>
      <c r="E308" s="438">
        <v>20</v>
      </c>
      <c r="F308" s="438">
        <v>20</v>
      </c>
      <c r="G308" s="292" t="str">
        <f>'Unit Savings Calculations'!E304</f>
        <v>each</v>
      </c>
      <c r="H308" s="294">
        <f>'Unit Savings Calculations'!$F304*'Unit Savings Calculations'!J304</f>
        <v>6000</v>
      </c>
      <c r="I308" s="294">
        <f>'Unit Savings Calculations'!$F304*'Unit Savings Calculations'!K304</f>
        <v>6000</v>
      </c>
      <c r="J308" s="294">
        <f>'Unit Savings Calculations'!$F304*'Unit Savings Calculations'!L304</f>
        <v>6000</v>
      </c>
      <c r="K308" s="294">
        <f>'Unit Savings Calculations'!$F304*'Unit Savings Calculations'!M304</f>
        <v>6000</v>
      </c>
      <c r="L308" s="292" t="str">
        <f>'Unit Savings Calculations'!U304</f>
        <v>CI-HVC-BLRC-V03-150601</v>
      </c>
      <c r="M308" s="383" t="str">
        <f>'Unit Savings Calculations'!R304</f>
        <v>Exhibit 1.5A_R North Shore EEPS_Adjustable_Savings_Goal_Template.xlsx, Unit Savings Calculations Tab</v>
      </c>
      <c r="N308" s="295">
        <v>1.2312000000000001</v>
      </c>
      <c r="O308" s="295">
        <v>1.2312000000000001</v>
      </c>
      <c r="P308" s="295">
        <v>1.2312000000000001</v>
      </c>
      <c r="Q308" s="295">
        <v>1.2312000000000001</v>
      </c>
      <c r="R308" s="296">
        <f>'Unit Savings Calculations'!$G304</f>
        <v>0.79</v>
      </c>
      <c r="S308" s="296">
        <f>'Unit Savings Calculations'!$G304</f>
        <v>0.79</v>
      </c>
      <c r="T308" s="296">
        <f>'Unit Savings Calculations'!$G304</f>
        <v>0.79</v>
      </c>
      <c r="U308" s="296">
        <f>'Unit Savings Calculations'!$G304</f>
        <v>0.79</v>
      </c>
      <c r="V308" s="297">
        <f t="shared" si="179"/>
        <v>5835.8880000000008</v>
      </c>
      <c r="W308" s="297">
        <f t="shared" si="180"/>
        <v>5835.8880000000008</v>
      </c>
      <c r="X308" s="297">
        <f t="shared" si="181"/>
        <v>5835.8880000000008</v>
      </c>
      <c r="Y308" s="297">
        <f t="shared" si="182"/>
        <v>5835.8880000000008</v>
      </c>
      <c r="Z308" s="297">
        <f t="shared" si="183"/>
        <v>23343.552000000003</v>
      </c>
      <c r="AA308" s="292"/>
      <c r="AB308" s="292"/>
      <c r="AC308" s="295">
        <v>1.2312000000000001</v>
      </c>
      <c r="AD308" s="292"/>
      <c r="AE308" s="297">
        <f t="shared" si="169"/>
        <v>5835.8880000000008</v>
      </c>
      <c r="AF308" s="294">
        <f t="shared" si="170"/>
        <v>0</v>
      </c>
      <c r="AG308" s="292"/>
      <c r="AH308" s="292">
        <f t="shared" si="171"/>
        <v>0</v>
      </c>
      <c r="AI308" s="295">
        <v>1.2312000000000001</v>
      </c>
      <c r="AJ308" s="383" t="s">
        <v>878</v>
      </c>
      <c r="AK308" s="297">
        <f t="shared" si="172"/>
        <v>5835.8880000000008</v>
      </c>
      <c r="AL308" s="294">
        <f t="shared" si="173"/>
        <v>0</v>
      </c>
      <c r="AM308" s="292"/>
      <c r="AN308" s="292"/>
      <c r="AO308" s="295">
        <f>'Unit Savings Calculations'!P304</f>
        <v>1.3424</v>
      </c>
      <c r="AP308" s="383" t="s">
        <v>1441</v>
      </c>
      <c r="AQ308" s="297">
        <f t="shared" si="174"/>
        <v>6362.9760000000006</v>
      </c>
      <c r="AR308" s="294">
        <f t="shared" si="175"/>
        <v>527.08799999999974</v>
      </c>
      <c r="AS308" s="292"/>
      <c r="AT308" s="292"/>
      <c r="AU308" s="295">
        <f>'Unit Savings Calculations'!Q304</f>
        <v>1.3424</v>
      </c>
      <c r="AV308" s="383" t="str">
        <f t="shared" si="158"/>
        <v>Updated heating EFLH</v>
      </c>
      <c r="AW308" s="297">
        <f t="shared" si="176"/>
        <v>6362.9760000000006</v>
      </c>
      <c r="AX308" s="294">
        <f t="shared" si="177"/>
        <v>527.08799999999974</v>
      </c>
      <c r="AY308" s="297">
        <f t="shared" si="159"/>
        <v>5835.8880000000008</v>
      </c>
      <c r="AZ308" s="297">
        <f t="shared" si="160"/>
        <v>5835.8880000000008</v>
      </c>
      <c r="BA308" s="297">
        <f t="shared" si="161"/>
        <v>6362.9760000000006</v>
      </c>
      <c r="BB308" s="297">
        <f t="shared" si="162"/>
        <v>6362.9760000000006</v>
      </c>
      <c r="BC308" s="298">
        <f t="shared" si="163"/>
        <v>24397.728000000003</v>
      </c>
      <c r="BD308" s="292" t="s">
        <v>763</v>
      </c>
      <c r="BE308" s="299" t="str">
        <f t="shared" si="164"/>
        <v>Exhibit 1.5A_R North Shore EEPS_Adjustable_Savings_Goal_Template.xlsx, Unit Savings Calculations Tab</v>
      </c>
      <c r="BF308" s="298">
        <f t="shared" si="165"/>
        <v>116717.76000000001</v>
      </c>
      <c r="BG308" s="298">
        <f t="shared" si="165"/>
        <v>116717.76000000001</v>
      </c>
      <c r="BH308" s="298">
        <f t="shared" si="165"/>
        <v>116717.76000000001</v>
      </c>
      <c r="BI308" s="298">
        <f t="shared" si="155"/>
        <v>116717.76000000001</v>
      </c>
      <c r="BJ308" s="298">
        <f t="shared" si="166"/>
        <v>466871.04000000004</v>
      </c>
      <c r="BK308" s="482">
        <v>20</v>
      </c>
      <c r="BL308" s="482">
        <v>20</v>
      </c>
      <c r="BM308" s="482">
        <f>INDEX('Unit Savings Calculations'!$I$4:$I$421,MATCH('Measure-Level Adjustments Tab'!$A308&amp;"_"&amp;'Measure-Level Adjustments Tab'!$B308,'Unit Savings Calculations'!$A$4:$A$421,0))</f>
        <v>20</v>
      </c>
      <c r="BN308" s="482">
        <f t="shared" si="167"/>
        <v>20</v>
      </c>
      <c r="BO308" s="483">
        <f t="shared" si="168"/>
        <v>116717.76000000001</v>
      </c>
      <c r="BP308" s="483">
        <f t="shared" si="168"/>
        <v>116717.76000000001</v>
      </c>
      <c r="BQ308" s="483">
        <f t="shared" si="168"/>
        <v>127259.52000000002</v>
      </c>
      <c r="BR308" s="483">
        <f t="shared" si="156"/>
        <v>127259.52000000002</v>
      </c>
      <c r="BS308" s="483">
        <f t="shared" si="157"/>
        <v>487954.56000000006</v>
      </c>
    </row>
    <row r="309" spans="1:71" ht="15.75" customHeight="1">
      <c r="A309" s="292" t="str">
        <f>'Unit Savings Calculations'!C305</f>
        <v>Bus - Public Rebates</v>
      </c>
      <c r="B309" s="292" t="str">
        <f>'Unit Savings Calculations'!D305</f>
        <v>Boiler Tune Up - Process</v>
      </c>
      <c r="C309" s="293">
        <f t="shared" si="178"/>
        <v>1</v>
      </c>
      <c r="D309" s="292" t="str">
        <f>'Unit Savings Calculations'!T305</f>
        <v>4.4.3</v>
      </c>
      <c r="E309" s="438">
        <v>3</v>
      </c>
      <c r="F309" s="438">
        <v>3</v>
      </c>
      <c r="G309" s="292" t="str">
        <f>'Unit Savings Calculations'!E305</f>
        <v>MBH</v>
      </c>
      <c r="H309" s="294">
        <f>'Unit Savings Calculations'!$F305*'Unit Savings Calculations'!J305</f>
        <v>35000</v>
      </c>
      <c r="I309" s="294">
        <f>'Unit Savings Calculations'!$F305*'Unit Savings Calculations'!K305</f>
        <v>35000</v>
      </c>
      <c r="J309" s="294">
        <f>'Unit Savings Calculations'!$F305*'Unit Savings Calculations'!L305</f>
        <v>35000</v>
      </c>
      <c r="K309" s="294">
        <f>'Unit Savings Calculations'!$F305*'Unit Savings Calculations'!M305</f>
        <v>35000</v>
      </c>
      <c r="L309" s="292" t="str">
        <f>'Unit Savings Calculations'!U305</f>
        <v>CI-HVC-PBTU-V05-160601</v>
      </c>
      <c r="M309" s="383" t="str">
        <f>'Unit Savings Calculations'!R305</f>
        <v>Exhibit 1.5A_R North Shore EEPS_Adjustable_Savings_Goal_Template.xlsx, Unit Savings Calculations Tab</v>
      </c>
      <c r="N309" s="295">
        <v>0.83823507428978783</v>
      </c>
      <c r="O309" s="295">
        <v>0.83823507428978783</v>
      </c>
      <c r="P309" s="295">
        <v>0.83823507428978783</v>
      </c>
      <c r="Q309" s="295">
        <v>0.83823507428978783</v>
      </c>
      <c r="R309" s="296">
        <f>'Unit Savings Calculations'!$G305</f>
        <v>0.79</v>
      </c>
      <c r="S309" s="296">
        <f>'Unit Savings Calculations'!$G305</f>
        <v>0.79</v>
      </c>
      <c r="T309" s="296">
        <f>'Unit Savings Calculations'!$G305</f>
        <v>0.79</v>
      </c>
      <c r="U309" s="296">
        <f>'Unit Savings Calculations'!$G305</f>
        <v>0.79</v>
      </c>
      <c r="V309" s="297">
        <f t="shared" si="179"/>
        <v>23177.199804112635</v>
      </c>
      <c r="W309" s="297">
        <f t="shared" si="180"/>
        <v>23177.199804112635</v>
      </c>
      <c r="X309" s="297">
        <f t="shared" si="181"/>
        <v>23177.199804112635</v>
      </c>
      <c r="Y309" s="297">
        <f t="shared" si="182"/>
        <v>23177.199804112635</v>
      </c>
      <c r="Z309" s="297">
        <f t="shared" si="183"/>
        <v>92708.799216450541</v>
      </c>
      <c r="AA309" s="292"/>
      <c r="AB309" s="292"/>
      <c r="AC309" s="295">
        <v>0.83823507428978783</v>
      </c>
      <c r="AD309" s="292"/>
      <c r="AE309" s="297">
        <f t="shared" si="169"/>
        <v>23177.199804112635</v>
      </c>
      <c r="AF309" s="294">
        <f t="shared" si="170"/>
        <v>0</v>
      </c>
      <c r="AG309" s="292"/>
      <c r="AH309" s="292">
        <f t="shared" si="171"/>
        <v>0</v>
      </c>
      <c r="AI309" s="295">
        <v>0.83823507428978783</v>
      </c>
      <c r="AJ309" s="383" t="s">
        <v>878</v>
      </c>
      <c r="AK309" s="297">
        <f t="shared" si="172"/>
        <v>23177.199804112635</v>
      </c>
      <c r="AL309" s="294">
        <f t="shared" si="173"/>
        <v>0</v>
      </c>
      <c r="AM309" s="292"/>
      <c r="AN309" s="292"/>
      <c r="AO309" s="295">
        <f>'Unit Savings Calculations'!P305</f>
        <v>0.83823507428978783</v>
      </c>
      <c r="AP309" s="383" t="s">
        <v>763</v>
      </c>
      <c r="AQ309" s="297">
        <f t="shared" si="174"/>
        <v>23177.199804112635</v>
      </c>
      <c r="AR309" s="294">
        <f t="shared" si="175"/>
        <v>0</v>
      </c>
      <c r="AS309" s="292"/>
      <c r="AT309" s="292"/>
      <c r="AU309" s="295">
        <f>'Unit Savings Calculations'!Q305</f>
        <v>0.83823507428978783</v>
      </c>
      <c r="AV309" s="383" t="str">
        <f t="shared" si="158"/>
        <v>n/a</v>
      </c>
      <c r="AW309" s="297">
        <f t="shared" si="176"/>
        <v>23177.199804112635</v>
      </c>
      <c r="AX309" s="294">
        <f t="shared" si="177"/>
        <v>0</v>
      </c>
      <c r="AY309" s="297">
        <f t="shared" si="159"/>
        <v>23177.199804112635</v>
      </c>
      <c r="AZ309" s="297">
        <f t="shared" si="160"/>
        <v>23177.199804112635</v>
      </c>
      <c r="BA309" s="297">
        <f t="shared" si="161"/>
        <v>23177.199804112635</v>
      </c>
      <c r="BB309" s="297">
        <f t="shared" si="162"/>
        <v>23177.199804112635</v>
      </c>
      <c r="BC309" s="298">
        <f t="shared" si="163"/>
        <v>92708.799216450541</v>
      </c>
      <c r="BD309" s="292" t="s">
        <v>763</v>
      </c>
      <c r="BE309" s="299" t="str">
        <f t="shared" si="164"/>
        <v>Exhibit 1.5A_R North Shore EEPS_Adjustable_Savings_Goal_Template.xlsx, Unit Savings Calculations Tab</v>
      </c>
      <c r="BF309" s="298">
        <f t="shared" si="165"/>
        <v>69531.599412337906</v>
      </c>
      <c r="BG309" s="298">
        <f t="shared" si="165"/>
        <v>69531.599412337906</v>
      </c>
      <c r="BH309" s="298">
        <f t="shared" si="165"/>
        <v>69531.599412337906</v>
      </c>
      <c r="BI309" s="298">
        <f t="shared" si="155"/>
        <v>69531.599412337906</v>
      </c>
      <c r="BJ309" s="298">
        <f t="shared" si="166"/>
        <v>278126.39764935162</v>
      </c>
      <c r="BK309" s="482">
        <v>3</v>
      </c>
      <c r="BL309" s="482">
        <v>3</v>
      </c>
      <c r="BM309" s="482">
        <f>INDEX('Unit Savings Calculations'!$I$4:$I$421,MATCH('Measure-Level Adjustments Tab'!$A309&amp;"_"&amp;'Measure-Level Adjustments Tab'!$B309,'Unit Savings Calculations'!$A$4:$A$421,0))</f>
        <v>3</v>
      </c>
      <c r="BN309" s="482">
        <f t="shared" si="167"/>
        <v>3</v>
      </c>
      <c r="BO309" s="483">
        <f t="shared" si="168"/>
        <v>69531.599412337906</v>
      </c>
      <c r="BP309" s="483">
        <f t="shared" si="168"/>
        <v>69531.599412337906</v>
      </c>
      <c r="BQ309" s="483">
        <f t="shared" si="168"/>
        <v>69531.599412337906</v>
      </c>
      <c r="BR309" s="483">
        <f t="shared" si="156"/>
        <v>69531.599412337906</v>
      </c>
      <c r="BS309" s="483">
        <f t="shared" si="157"/>
        <v>278126.39764935162</v>
      </c>
    </row>
    <row r="310" spans="1:71" ht="15.75" customHeight="1">
      <c r="A310" s="292" t="str">
        <f>'Unit Savings Calculations'!C306</f>
        <v>Bus - Public Rebates</v>
      </c>
      <c r="B310" s="292" t="str">
        <f>'Unit Savings Calculations'!D306</f>
        <v>Boiler Tune Up - Space Heating</v>
      </c>
      <c r="C310" s="293">
        <f t="shared" si="178"/>
        <v>1</v>
      </c>
      <c r="D310" s="292" t="str">
        <f>'Unit Savings Calculations'!T306</f>
        <v>4.4.2</v>
      </c>
      <c r="E310" s="438">
        <v>3</v>
      </c>
      <c r="F310" s="438">
        <v>3</v>
      </c>
      <c r="G310" s="292" t="str">
        <f>'Unit Savings Calculations'!E306</f>
        <v>MBH</v>
      </c>
      <c r="H310" s="294">
        <f>'Unit Savings Calculations'!$F306*'Unit Savings Calculations'!J306</f>
        <v>0</v>
      </c>
      <c r="I310" s="294">
        <f>'Unit Savings Calculations'!$F306*'Unit Savings Calculations'!K306</f>
        <v>0</v>
      </c>
      <c r="J310" s="294">
        <f>'Unit Savings Calculations'!$F306*'Unit Savings Calculations'!L306</f>
        <v>0</v>
      </c>
      <c r="K310" s="294">
        <f>'Unit Savings Calculations'!$F306*'Unit Savings Calculations'!M306</f>
        <v>0</v>
      </c>
      <c r="L310" s="292" t="str">
        <f>'Unit Savings Calculations'!U306</f>
        <v>CI-HVC-BLRT-V06-160601</v>
      </c>
      <c r="M310" s="383" t="str">
        <f>'Unit Savings Calculations'!R306</f>
        <v>Exhibit 1.5A_R North Shore EEPS_Adjustable_Savings_Goal_Template.xlsx, Unit Savings Calculations Tab</v>
      </c>
      <c r="N310" s="295">
        <v>0.35943072618902666</v>
      </c>
      <c r="O310" s="295">
        <v>0.35943072618902666</v>
      </c>
      <c r="P310" s="295">
        <v>0.35943072618902666</v>
      </c>
      <c r="Q310" s="295">
        <v>0.35943072618902666</v>
      </c>
      <c r="R310" s="296">
        <f>'Unit Savings Calculations'!$G306</f>
        <v>0.79</v>
      </c>
      <c r="S310" s="296">
        <f>'Unit Savings Calculations'!$G306</f>
        <v>0.79</v>
      </c>
      <c r="T310" s="296">
        <f>'Unit Savings Calculations'!$G306</f>
        <v>0.79</v>
      </c>
      <c r="U310" s="296">
        <f>'Unit Savings Calculations'!$G306</f>
        <v>0.79</v>
      </c>
      <c r="V310" s="297">
        <f t="shared" si="179"/>
        <v>0</v>
      </c>
      <c r="W310" s="297">
        <f t="shared" si="180"/>
        <v>0</v>
      </c>
      <c r="X310" s="297">
        <f t="shared" si="181"/>
        <v>0</v>
      </c>
      <c r="Y310" s="297">
        <f t="shared" si="182"/>
        <v>0</v>
      </c>
      <c r="Z310" s="297">
        <f t="shared" si="183"/>
        <v>0</v>
      </c>
      <c r="AA310" s="292"/>
      <c r="AB310" s="292"/>
      <c r="AC310" s="295">
        <v>0.35943072618902666</v>
      </c>
      <c r="AD310" s="292"/>
      <c r="AE310" s="297">
        <f t="shared" si="169"/>
        <v>0</v>
      </c>
      <c r="AF310" s="294">
        <f t="shared" si="170"/>
        <v>0</v>
      </c>
      <c r="AG310" s="292"/>
      <c r="AH310" s="292">
        <f t="shared" si="171"/>
        <v>0</v>
      </c>
      <c r="AI310" s="295">
        <v>0.35943072618902666</v>
      </c>
      <c r="AJ310" s="383" t="s">
        <v>878</v>
      </c>
      <c r="AK310" s="297">
        <f t="shared" si="172"/>
        <v>0</v>
      </c>
      <c r="AL310" s="294">
        <f t="shared" si="173"/>
        <v>0</v>
      </c>
      <c r="AM310" s="292"/>
      <c r="AN310" s="292"/>
      <c r="AO310" s="295">
        <f>'Unit Savings Calculations'!P306</f>
        <v>0.3918939301788088</v>
      </c>
      <c r="AP310" s="383" t="s">
        <v>1441</v>
      </c>
      <c r="AQ310" s="297">
        <f t="shared" si="174"/>
        <v>0</v>
      </c>
      <c r="AR310" s="294">
        <f t="shared" si="175"/>
        <v>0</v>
      </c>
      <c r="AS310" s="292"/>
      <c r="AT310" s="292"/>
      <c r="AU310" s="295">
        <f>'Unit Savings Calculations'!Q306</f>
        <v>0.3918939301788088</v>
      </c>
      <c r="AV310" s="383" t="str">
        <f t="shared" si="158"/>
        <v>Updated heating EFLH</v>
      </c>
      <c r="AW310" s="297">
        <f t="shared" si="176"/>
        <v>0</v>
      </c>
      <c r="AX310" s="294">
        <f t="shared" si="177"/>
        <v>0</v>
      </c>
      <c r="AY310" s="297">
        <f t="shared" si="159"/>
        <v>0</v>
      </c>
      <c r="AZ310" s="297">
        <f t="shared" si="160"/>
        <v>0</v>
      </c>
      <c r="BA310" s="297">
        <f t="shared" si="161"/>
        <v>0</v>
      </c>
      <c r="BB310" s="297">
        <f t="shared" si="162"/>
        <v>0</v>
      </c>
      <c r="BC310" s="298">
        <f t="shared" si="163"/>
        <v>0</v>
      </c>
      <c r="BD310" s="292" t="s">
        <v>763</v>
      </c>
      <c r="BE310" s="299" t="str">
        <f t="shared" si="164"/>
        <v>Exhibit 1.5A_R North Shore EEPS_Adjustable_Savings_Goal_Template.xlsx, Unit Savings Calculations Tab</v>
      </c>
      <c r="BF310" s="298">
        <f t="shared" si="165"/>
        <v>0</v>
      </c>
      <c r="BG310" s="298">
        <f t="shared" si="165"/>
        <v>0</v>
      </c>
      <c r="BH310" s="298">
        <f t="shared" si="165"/>
        <v>0</v>
      </c>
      <c r="BI310" s="298">
        <f t="shared" si="155"/>
        <v>0</v>
      </c>
      <c r="BJ310" s="298">
        <f t="shared" si="166"/>
        <v>0</v>
      </c>
      <c r="BK310" s="482">
        <v>3</v>
      </c>
      <c r="BL310" s="482">
        <v>3</v>
      </c>
      <c r="BM310" s="482">
        <f>INDEX('Unit Savings Calculations'!$I$4:$I$421,MATCH('Measure-Level Adjustments Tab'!$A310&amp;"_"&amp;'Measure-Level Adjustments Tab'!$B310,'Unit Savings Calculations'!$A$4:$A$421,0))</f>
        <v>3</v>
      </c>
      <c r="BN310" s="482">
        <f t="shared" si="167"/>
        <v>3</v>
      </c>
      <c r="BO310" s="483">
        <f t="shared" si="168"/>
        <v>0</v>
      </c>
      <c r="BP310" s="483">
        <f t="shared" si="168"/>
        <v>0</v>
      </c>
      <c r="BQ310" s="483">
        <f t="shared" si="168"/>
        <v>0</v>
      </c>
      <c r="BR310" s="483">
        <f t="shared" si="156"/>
        <v>0</v>
      </c>
      <c r="BS310" s="483">
        <f t="shared" si="157"/>
        <v>0</v>
      </c>
    </row>
    <row r="311" spans="1:71" ht="15.75" customHeight="1">
      <c r="A311" s="292" t="str">
        <f>'Unit Savings Calculations'!C307</f>
        <v>Bus - Public Rebates</v>
      </c>
      <c r="B311" s="292" t="str">
        <f>'Unit Savings Calculations'!D307</f>
        <v>Condensing Unit Heater</v>
      </c>
      <c r="C311" s="293">
        <f t="shared" si="178"/>
        <v>1</v>
      </c>
      <c r="D311" s="292" t="str">
        <f>'Unit Savings Calculations'!T307</f>
        <v>4.4.5</v>
      </c>
      <c r="E311" s="438">
        <v>12</v>
      </c>
      <c r="F311" s="438">
        <v>12</v>
      </c>
      <c r="G311" s="292" t="str">
        <f>'Unit Savings Calculations'!E307</f>
        <v>MBH</v>
      </c>
      <c r="H311" s="294">
        <f>'Unit Savings Calculations'!$F307*'Unit Savings Calculations'!J307</f>
        <v>0</v>
      </c>
      <c r="I311" s="294">
        <f>'Unit Savings Calculations'!$F307*'Unit Savings Calculations'!K307</f>
        <v>0</v>
      </c>
      <c r="J311" s="294">
        <f>'Unit Savings Calculations'!$F307*'Unit Savings Calculations'!L307</f>
        <v>0</v>
      </c>
      <c r="K311" s="294">
        <f>'Unit Savings Calculations'!$F307*'Unit Savings Calculations'!M307</f>
        <v>0</v>
      </c>
      <c r="L311" s="292" t="str">
        <f>'Unit Savings Calculations'!U307</f>
        <v>CI-HVC-CUHT-V01-120601</v>
      </c>
      <c r="M311" s="383" t="str">
        <f>'Unit Savings Calculations'!R307</f>
        <v>Exhibit 1.5A_R North Shore EEPS_Adjustable_Savings_Goal_Template.xlsx, Unit Savings Calculations Tab</v>
      </c>
      <c r="N311" s="295">
        <v>1.7733333333333334</v>
      </c>
      <c r="O311" s="295">
        <v>1.7733333333333334</v>
      </c>
      <c r="P311" s="295">
        <v>1.7733333333333334</v>
      </c>
      <c r="Q311" s="295">
        <v>1.7733333333333334</v>
      </c>
      <c r="R311" s="296">
        <f>'Unit Savings Calculations'!$G307</f>
        <v>0.79</v>
      </c>
      <c r="S311" s="296">
        <f>'Unit Savings Calculations'!$G307</f>
        <v>0.79</v>
      </c>
      <c r="T311" s="296">
        <f>'Unit Savings Calculations'!$G307</f>
        <v>0.79</v>
      </c>
      <c r="U311" s="296">
        <f>'Unit Savings Calculations'!$G307</f>
        <v>0.79</v>
      </c>
      <c r="V311" s="297">
        <f t="shared" si="179"/>
        <v>0</v>
      </c>
      <c r="W311" s="297">
        <f t="shared" si="180"/>
        <v>0</v>
      </c>
      <c r="X311" s="297">
        <f t="shared" si="181"/>
        <v>0</v>
      </c>
      <c r="Y311" s="297">
        <f t="shared" si="182"/>
        <v>0</v>
      </c>
      <c r="Z311" s="297">
        <f t="shared" si="183"/>
        <v>0</v>
      </c>
      <c r="AA311" s="292"/>
      <c r="AB311" s="292"/>
      <c r="AC311" s="295">
        <v>1.7733333333333334</v>
      </c>
      <c r="AD311" s="292"/>
      <c r="AE311" s="297">
        <f t="shared" si="169"/>
        <v>0</v>
      </c>
      <c r="AF311" s="294">
        <f t="shared" si="170"/>
        <v>0</v>
      </c>
      <c r="AG311" s="292"/>
      <c r="AH311" s="292">
        <f t="shared" si="171"/>
        <v>0</v>
      </c>
      <c r="AI311" s="295">
        <v>1.7733333333333334</v>
      </c>
      <c r="AJ311" s="383" t="s">
        <v>878</v>
      </c>
      <c r="AK311" s="297">
        <f t="shared" si="172"/>
        <v>0</v>
      </c>
      <c r="AL311" s="294">
        <f t="shared" si="173"/>
        <v>0</v>
      </c>
      <c r="AM311" s="292"/>
      <c r="AN311" s="292"/>
      <c r="AO311" s="295">
        <f>'Unit Savings Calculations'!P307</f>
        <v>1.7733333333333334</v>
      </c>
      <c r="AP311" s="383" t="s">
        <v>763</v>
      </c>
      <c r="AQ311" s="297">
        <f t="shared" si="174"/>
        <v>0</v>
      </c>
      <c r="AR311" s="294">
        <f t="shared" si="175"/>
        <v>0</v>
      </c>
      <c r="AS311" s="292"/>
      <c r="AT311" s="292"/>
      <c r="AU311" s="295">
        <f>'Unit Savings Calculations'!Q307</f>
        <v>1.7733333333333334</v>
      </c>
      <c r="AV311" s="383" t="str">
        <f t="shared" si="158"/>
        <v>n/a</v>
      </c>
      <c r="AW311" s="297">
        <f t="shared" si="176"/>
        <v>0</v>
      </c>
      <c r="AX311" s="294">
        <f t="shared" si="177"/>
        <v>0</v>
      </c>
      <c r="AY311" s="297">
        <f t="shared" si="159"/>
        <v>0</v>
      </c>
      <c r="AZ311" s="297">
        <f t="shared" si="160"/>
        <v>0</v>
      </c>
      <c r="BA311" s="297">
        <f t="shared" si="161"/>
        <v>0</v>
      </c>
      <c r="BB311" s="297">
        <f t="shared" si="162"/>
        <v>0</v>
      </c>
      <c r="BC311" s="298">
        <f t="shared" si="163"/>
        <v>0</v>
      </c>
      <c r="BD311" s="292" t="s">
        <v>763</v>
      </c>
      <c r="BE311" s="299" t="str">
        <f t="shared" si="164"/>
        <v>Exhibit 1.5A_R North Shore EEPS_Adjustable_Savings_Goal_Template.xlsx, Unit Savings Calculations Tab</v>
      </c>
      <c r="BF311" s="298">
        <f t="shared" si="165"/>
        <v>0</v>
      </c>
      <c r="BG311" s="298">
        <f t="shared" si="165"/>
        <v>0</v>
      </c>
      <c r="BH311" s="298">
        <f t="shared" si="165"/>
        <v>0</v>
      </c>
      <c r="BI311" s="298">
        <f t="shared" si="155"/>
        <v>0</v>
      </c>
      <c r="BJ311" s="298">
        <f t="shared" si="166"/>
        <v>0</v>
      </c>
      <c r="BK311" s="482">
        <v>12</v>
      </c>
      <c r="BL311" s="482">
        <v>12</v>
      </c>
      <c r="BM311" s="482">
        <f>INDEX('Unit Savings Calculations'!$I$4:$I$421,MATCH('Measure-Level Adjustments Tab'!$A311&amp;"_"&amp;'Measure-Level Adjustments Tab'!$B311,'Unit Savings Calculations'!$A$4:$A$421,0))</f>
        <v>12</v>
      </c>
      <c r="BN311" s="482">
        <f t="shared" si="167"/>
        <v>12</v>
      </c>
      <c r="BO311" s="483">
        <f t="shared" si="168"/>
        <v>0</v>
      </c>
      <c r="BP311" s="483">
        <f t="shared" si="168"/>
        <v>0</v>
      </c>
      <c r="BQ311" s="483">
        <f t="shared" si="168"/>
        <v>0</v>
      </c>
      <c r="BR311" s="483">
        <f t="shared" si="156"/>
        <v>0</v>
      </c>
      <c r="BS311" s="483">
        <f t="shared" si="157"/>
        <v>0</v>
      </c>
    </row>
    <row r="312" spans="1:71" ht="15.75" customHeight="1">
      <c r="A312" s="292" t="str">
        <f>'Unit Savings Calculations'!C308</f>
        <v>Bus - Public Rebates</v>
      </c>
      <c r="B312" s="292" t="str">
        <f>'Unit Savings Calculations'!D308</f>
        <v>DCV - Kitchen</v>
      </c>
      <c r="C312" s="293">
        <f t="shared" si="178"/>
        <v>1</v>
      </c>
      <c r="D312" s="292" t="str">
        <f>'Unit Savings Calculations'!T308</f>
        <v>4.2.16</v>
      </c>
      <c r="E312" s="438">
        <v>15</v>
      </c>
      <c r="F312" s="438">
        <v>15</v>
      </c>
      <c r="G312" s="292" t="str">
        <f>'Unit Savings Calculations'!E308</f>
        <v>each</v>
      </c>
      <c r="H312" s="294">
        <f>'Unit Savings Calculations'!$F308*'Unit Savings Calculations'!J308</f>
        <v>14</v>
      </c>
      <c r="I312" s="294">
        <f>'Unit Savings Calculations'!$F308*'Unit Savings Calculations'!K308</f>
        <v>14</v>
      </c>
      <c r="J312" s="294">
        <f>'Unit Savings Calculations'!$F308*'Unit Savings Calculations'!L308</f>
        <v>14</v>
      </c>
      <c r="K312" s="294">
        <f>'Unit Savings Calculations'!$F308*'Unit Savings Calculations'!M308</f>
        <v>14</v>
      </c>
      <c r="L312" s="292" t="str">
        <f>'Unit Savings Calculations'!U308</f>
        <v>CI-FSE-VENT-V03-160601</v>
      </c>
      <c r="M312" s="383" t="str">
        <f>'Unit Savings Calculations'!R308</f>
        <v>Exhibit 1.5A_R North Shore EEPS_Adjustable_Savings_Goal_Template.xlsx, Unit Savings Calculations Tab</v>
      </c>
      <c r="N312" s="295">
        <v>5998.5</v>
      </c>
      <c r="O312" s="295">
        <v>5998.5</v>
      </c>
      <c r="P312" s="295">
        <v>5998.5</v>
      </c>
      <c r="Q312" s="295">
        <v>5998.5</v>
      </c>
      <c r="R312" s="296">
        <f>'Unit Savings Calculations'!$G308</f>
        <v>0.79</v>
      </c>
      <c r="S312" s="296">
        <f>'Unit Savings Calculations'!$G308</f>
        <v>0.79</v>
      </c>
      <c r="T312" s="296">
        <f>'Unit Savings Calculations'!$G308</f>
        <v>0.79</v>
      </c>
      <c r="U312" s="296">
        <f>'Unit Savings Calculations'!$G308</f>
        <v>0.79</v>
      </c>
      <c r="V312" s="297">
        <f t="shared" si="179"/>
        <v>66343.41</v>
      </c>
      <c r="W312" s="297">
        <f t="shared" si="180"/>
        <v>66343.41</v>
      </c>
      <c r="X312" s="297">
        <f t="shared" si="181"/>
        <v>66343.41</v>
      </c>
      <c r="Y312" s="297">
        <f t="shared" si="182"/>
        <v>66343.41</v>
      </c>
      <c r="Z312" s="297">
        <f t="shared" si="183"/>
        <v>265373.64</v>
      </c>
      <c r="AA312" s="292"/>
      <c r="AB312" s="292"/>
      <c r="AC312" s="295">
        <v>5998.5</v>
      </c>
      <c r="AD312" s="292"/>
      <c r="AE312" s="297">
        <f t="shared" si="169"/>
        <v>66343.41</v>
      </c>
      <c r="AF312" s="294">
        <f t="shared" si="170"/>
        <v>0</v>
      </c>
      <c r="AG312" s="292"/>
      <c r="AH312" s="292">
        <f t="shared" si="171"/>
        <v>0</v>
      </c>
      <c r="AI312" s="295">
        <v>5998.5</v>
      </c>
      <c r="AJ312" s="383" t="s">
        <v>878</v>
      </c>
      <c r="AK312" s="297">
        <f t="shared" si="172"/>
        <v>66343.41</v>
      </c>
      <c r="AL312" s="294">
        <f t="shared" si="173"/>
        <v>0</v>
      </c>
      <c r="AM312" s="292"/>
      <c r="AN312" s="292"/>
      <c r="AO312" s="295">
        <f>'Unit Savings Calculations'!P308</f>
        <v>5998.5</v>
      </c>
      <c r="AP312" s="383" t="s">
        <v>763</v>
      </c>
      <c r="AQ312" s="297">
        <f t="shared" si="174"/>
        <v>66343.41</v>
      </c>
      <c r="AR312" s="294">
        <f t="shared" si="175"/>
        <v>0</v>
      </c>
      <c r="AS312" s="292"/>
      <c r="AT312" s="292"/>
      <c r="AU312" s="295">
        <f>'Unit Savings Calculations'!Q308</f>
        <v>5998.5</v>
      </c>
      <c r="AV312" s="383" t="str">
        <f t="shared" si="158"/>
        <v>n/a</v>
      </c>
      <c r="AW312" s="297">
        <f t="shared" si="176"/>
        <v>66343.41</v>
      </c>
      <c r="AX312" s="294">
        <f t="shared" si="177"/>
        <v>0</v>
      </c>
      <c r="AY312" s="297">
        <f t="shared" si="159"/>
        <v>66343.41</v>
      </c>
      <c r="AZ312" s="297">
        <f t="shared" si="160"/>
        <v>66343.41</v>
      </c>
      <c r="BA312" s="297">
        <f t="shared" si="161"/>
        <v>66343.41</v>
      </c>
      <c r="BB312" s="297">
        <f t="shared" si="162"/>
        <v>66343.41</v>
      </c>
      <c r="BC312" s="298">
        <f t="shared" si="163"/>
        <v>265373.64</v>
      </c>
      <c r="BD312" s="292" t="s">
        <v>763</v>
      </c>
      <c r="BE312" s="299" t="str">
        <f t="shared" si="164"/>
        <v>Exhibit 1.5A_R North Shore EEPS_Adjustable_Savings_Goal_Template.xlsx, Unit Savings Calculations Tab</v>
      </c>
      <c r="BF312" s="298">
        <f t="shared" si="165"/>
        <v>995151.15</v>
      </c>
      <c r="BG312" s="298">
        <f t="shared" si="165"/>
        <v>995151.15</v>
      </c>
      <c r="BH312" s="298">
        <f t="shared" si="165"/>
        <v>995151.15</v>
      </c>
      <c r="BI312" s="298">
        <f t="shared" si="155"/>
        <v>995151.15</v>
      </c>
      <c r="BJ312" s="298">
        <f t="shared" si="166"/>
        <v>3980604.6</v>
      </c>
      <c r="BK312" s="482">
        <v>15</v>
      </c>
      <c r="BL312" s="482">
        <v>15</v>
      </c>
      <c r="BM312" s="482">
        <f>INDEX('Unit Savings Calculations'!$I$4:$I$421,MATCH('Measure-Level Adjustments Tab'!$A312&amp;"_"&amp;'Measure-Level Adjustments Tab'!$B312,'Unit Savings Calculations'!$A$4:$A$421,0))</f>
        <v>15</v>
      </c>
      <c r="BN312" s="482">
        <f t="shared" si="167"/>
        <v>15</v>
      </c>
      <c r="BO312" s="483">
        <f t="shared" si="168"/>
        <v>995151.15</v>
      </c>
      <c r="BP312" s="483">
        <f t="shared" si="168"/>
        <v>995151.15</v>
      </c>
      <c r="BQ312" s="483">
        <f t="shared" si="168"/>
        <v>995151.15</v>
      </c>
      <c r="BR312" s="483">
        <f t="shared" si="156"/>
        <v>995151.15</v>
      </c>
      <c r="BS312" s="483">
        <f t="shared" si="157"/>
        <v>3980604.6</v>
      </c>
    </row>
    <row r="313" spans="1:71" ht="15.75" customHeight="1">
      <c r="A313" s="292" t="str">
        <f>'Unit Savings Calculations'!C309</f>
        <v>Bus - Public Rebates</v>
      </c>
      <c r="B313" s="292" t="str">
        <f>'Unit Savings Calculations'!D309</f>
        <v>Direct Fired Heaters</v>
      </c>
      <c r="C313" s="293">
        <f t="shared" si="178"/>
        <v>0</v>
      </c>
      <c r="D313" s="292" t="str">
        <f>'Unit Savings Calculations'!T309</f>
        <v>Custom</v>
      </c>
      <c r="E313" s="438">
        <v>20</v>
      </c>
      <c r="F313" s="438">
        <v>20</v>
      </c>
      <c r="G313" s="292" t="str">
        <f>'Unit Savings Calculations'!E309</f>
        <v>MBH</v>
      </c>
      <c r="H313" s="294">
        <f>'Unit Savings Calculations'!$F309*'Unit Savings Calculations'!J309</f>
        <v>0</v>
      </c>
      <c r="I313" s="294">
        <f>'Unit Savings Calculations'!$F309*'Unit Savings Calculations'!K309</f>
        <v>0</v>
      </c>
      <c r="J313" s="294">
        <f>'Unit Savings Calculations'!$F309*'Unit Savings Calculations'!L309</f>
        <v>0</v>
      </c>
      <c r="K313" s="294">
        <f>'Unit Savings Calculations'!$F309*'Unit Savings Calculations'!M309</f>
        <v>0</v>
      </c>
      <c r="L313" s="292" t="str">
        <f>'Unit Savings Calculations'!U309</f>
        <v>Custom</v>
      </c>
      <c r="M313" s="383" t="str">
        <f>'Unit Savings Calculations'!R309</f>
        <v>Custom</v>
      </c>
      <c r="N313" s="295">
        <v>2.3084999999999987</v>
      </c>
      <c r="O313" s="295">
        <v>2.3084999999999987</v>
      </c>
      <c r="P313" s="295">
        <v>2.3084999999999987</v>
      </c>
      <c r="Q313" s="295">
        <v>2.3084999999999987</v>
      </c>
      <c r="R313" s="296">
        <f>'Unit Savings Calculations'!$G309</f>
        <v>0.79</v>
      </c>
      <c r="S313" s="296">
        <f>'Unit Savings Calculations'!$G309</f>
        <v>0.79</v>
      </c>
      <c r="T313" s="296">
        <f>'Unit Savings Calculations'!$G309</f>
        <v>0.79</v>
      </c>
      <c r="U313" s="296">
        <f>'Unit Savings Calculations'!$G309</f>
        <v>0.79</v>
      </c>
      <c r="V313" s="297">
        <f t="shared" si="179"/>
        <v>0</v>
      </c>
      <c r="W313" s="297">
        <f t="shared" si="180"/>
        <v>0</v>
      </c>
      <c r="X313" s="297">
        <f t="shared" si="181"/>
        <v>0</v>
      </c>
      <c r="Y313" s="297">
        <f t="shared" si="182"/>
        <v>0</v>
      </c>
      <c r="Z313" s="297">
        <f t="shared" si="183"/>
        <v>0</v>
      </c>
      <c r="AA313" s="384"/>
      <c r="AB313" s="384"/>
      <c r="AC313" s="387">
        <v>2.3084999999999987</v>
      </c>
      <c r="AD313" s="384"/>
      <c r="AE313" s="385">
        <f t="shared" si="169"/>
        <v>0</v>
      </c>
      <c r="AF313" s="386">
        <f t="shared" si="170"/>
        <v>0</v>
      </c>
      <c r="AG313" s="384"/>
      <c r="AH313" s="384">
        <f t="shared" si="171"/>
        <v>0</v>
      </c>
      <c r="AI313" s="387">
        <v>2.3084999999999987</v>
      </c>
      <c r="AJ313" s="435" t="s">
        <v>878</v>
      </c>
      <c r="AK313" s="385">
        <f t="shared" si="172"/>
        <v>0</v>
      </c>
      <c r="AL313" s="386">
        <f t="shared" si="173"/>
        <v>0</v>
      </c>
      <c r="AM313" s="384"/>
      <c r="AN313" s="384"/>
      <c r="AO313" s="387">
        <f>'Unit Savings Calculations'!P309</f>
        <v>2.5169999999999986</v>
      </c>
      <c r="AP313" s="435" t="s">
        <v>1441</v>
      </c>
      <c r="AQ313" s="385">
        <f t="shared" si="174"/>
        <v>0</v>
      </c>
      <c r="AR313" s="386">
        <f t="shared" si="175"/>
        <v>0</v>
      </c>
      <c r="AS313" s="384"/>
      <c r="AT313" s="384"/>
      <c r="AU313" s="387">
        <f>'Unit Savings Calculations'!Q309</f>
        <v>2.5169999999999986</v>
      </c>
      <c r="AV313" s="435" t="str">
        <f t="shared" si="158"/>
        <v>Updated heating EFLH</v>
      </c>
      <c r="AW313" s="385">
        <f t="shared" si="176"/>
        <v>0</v>
      </c>
      <c r="AX313" s="386">
        <f t="shared" si="177"/>
        <v>0</v>
      </c>
      <c r="AY313" s="297">
        <f t="shared" si="159"/>
        <v>0</v>
      </c>
      <c r="AZ313" s="297">
        <f t="shared" si="160"/>
        <v>0</v>
      </c>
      <c r="BA313" s="297">
        <f t="shared" si="161"/>
        <v>0</v>
      </c>
      <c r="BB313" s="297">
        <f t="shared" si="162"/>
        <v>0</v>
      </c>
      <c r="BC313" s="298">
        <f t="shared" si="163"/>
        <v>0</v>
      </c>
      <c r="BD313" s="292" t="s">
        <v>763</v>
      </c>
      <c r="BE313" s="299" t="str">
        <f t="shared" si="164"/>
        <v>Custom</v>
      </c>
      <c r="BF313" s="298">
        <f t="shared" si="165"/>
        <v>0</v>
      </c>
      <c r="BG313" s="298">
        <f t="shared" si="165"/>
        <v>0</v>
      </c>
      <c r="BH313" s="298">
        <f t="shared" si="165"/>
        <v>0</v>
      </c>
      <c r="BI313" s="298">
        <f t="shared" si="155"/>
        <v>0</v>
      </c>
      <c r="BJ313" s="298">
        <f t="shared" si="166"/>
        <v>0</v>
      </c>
      <c r="BK313" s="482">
        <v>20</v>
      </c>
      <c r="BL313" s="482">
        <v>20</v>
      </c>
      <c r="BM313" s="482">
        <f>INDEX('Unit Savings Calculations'!$I$4:$I$421,MATCH('Measure-Level Adjustments Tab'!$A313&amp;"_"&amp;'Measure-Level Adjustments Tab'!$B313,'Unit Savings Calculations'!$A$4:$A$421,0))</f>
        <v>20</v>
      </c>
      <c r="BN313" s="482">
        <f t="shared" si="167"/>
        <v>20</v>
      </c>
      <c r="BO313" s="483">
        <f t="shared" si="168"/>
        <v>0</v>
      </c>
      <c r="BP313" s="483">
        <f t="shared" si="168"/>
        <v>0</v>
      </c>
      <c r="BQ313" s="483">
        <f t="shared" si="168"/>
        <v>0</v>
      </c>
      <c r="BR313" s="483">
        <f t="shared" si="156"/>
        <v>0</v>
      </c>
      <c r="BS313" s="483">
        <f t="shared" si="157"/>
        <v>0</v>
      </c>
    </row>
    <row r="314" spans="1:71" ht="15.75" customHeight="1">
      <c r="A314" s="292" t="str">
        <f>'Unit Savings Calculations'!C310</f>
        <v>Bus - Public Rebates</v>
      </c>
      <c r="B314" s="292" t="str">
        <f>'Unit Savings Calculations'!D310</f>
        <v>High Speed Washer - Hotel/Motel/Hospital</v>
      </c>
      <c r="C314" s="293">
        <f t="shared" si="178"/>
        <v>1</v>
      </c>
      <c r="D314" s="292" t="str">
        <f>'Unit Savings Calculations'!T310</f>
        <v>4.8.5</v>
      </c>
      <c r="E314" s="438">
        <v>7</v>
      </c>
      <c r="F314" s="438">
        <v>7</v>
      </c>
      <c r="G314" s="292" t="str">
        <f>'Unit Savings Calculations'!E310</f>
        <v>lb-capacity</v>
      </c>
      <c r="H314" s="294">
        <f>'Unit Savings Calculations'!$F310*'Unit Savings Calculations'!J310</f>
        <v>0</v>
      </c>
      <c r="I314" s="294">
        <f>'Unit Savings Calculations'!$F310*'Unit Savings Calculations'!K310</f>
        <v>0</v>
      </c>
      <c r="J314" s="294">
        <f>'Unit Savings Calculations'!$F310*'Unit Savings Calculations'!L310</f>
        <v>0</v>
      </c>
      <c r="K314" s="294">
        <f>'Unit Savings Calculations'!$F310*'Unit Savings Calculations'!M310</f>
        <v>0</v>
      </c>
      <c r="L314" s="292" t="str">
        <f>'Unit Savings Calculations'!U310</f>
        <v>CI-MSC-HSCW-V01-180101</v>
      </c>
      <c r="M314" s="383" t="str">
        <f>'Unit Savings Calculations'!R310</f>
        <v>Exhibit 1.5A_R North Shore EEPS_Adjustable_Savings_Goal_Template.xlsx, Unit Savings Calculations Tab</v>
      </c>
      <c r="N314" s="295">
        <v>11.243232000000003</v>
      </c>
      <c r="O314" s="295">
        <v>11.243232000000003</v>
      </c>
      <c r="P314" s="295">
        <v>11.243232000000003</v>
      </c>
      <c r="Q314" s="295">
        <v>11.243232000000003</v>
      </c>
      <c r="R314" s="296">
        <f>'Unit Savings Calculations'!$G310</f>
        <v>0.79</v>
      </c>
      <c r="S314" s="296">
        <f>'Unit Savings Calculations'!$G310</f>
        <v>0.79</v>
      </c>
      <c r="T314" s="296">
        <f>'Unit Savings Calculations'!$G310</f>
        <v>0.79</v>
      </c>
      <c r="U314" s="296">
        <f>'Unit Savings Calculations'!$G310</f>
        <v>0.79</v>
      </c>
      <c r="V314" s="297">
        <f t="shared" si="179"/>
        <v>0</v>
      </c>
      <c r="W314" s="297">
        <f t="shared" si="180"/>
        <v>0</v>
      </c>
      <c r="X314" s="297">
        <f t="shared" si="181"/>
        <v>0</v>
      </c>
      <c r="Y314" s="297">
        <f t="shared" si="182"/>
        <v>0</v>
      </c>
      <c r="Z314" s="297">
        <f t="shared" si="183"/>
        <v>0</v>
      </c>
      <c r="AA314" s="292"/>
      <c r="AB314" s="292"/>
      <c r="AC314" s="295">
        <v>11.243232000000003</v>
      </c>
      <c r="AD314" s="292"/>
      <c r="AE314" s="297">
        <f t="shared" si="169"/>
        <v>0</v>
      </c>
      <c r="AF314" s="294">
        <f t="shared" si="170"/>
        <v>0</v>
      </c>
      <c r="AG314" s="292"/>
      <c r="AH314" s="292">
        <f t="shared" si="171"/>
        <v>0</v>
      </c>
      <c r="AI314" s="295">
        <v>11.243232000000003</v>
      </c>
      <c r="AJ314" s="383" t="s">
        <v>878</v>
      </c>
      <c r="AK314" s="297">
        <f t="shared" si="172"/>
        <v>0</v>
      </c>
      <c r="AL314" s="294">
        <f t="shared" si="173"/>
        <v>0</v>
      </c>
      <c r="AM314" s="292"/>
      <c r="AN314" s="292"/>
      <c r="AO314" s="295">
        <f>'Unit Savings Calculations'!P310</f>
        <v>11.243232000000003</v>
      </c>
      <c r="AP314" s="383" t="s">
        <v>763</v>
      </c>
      <c r="AQ314" s="297">
        <f t="shared" si="174"/>
        <v>0</v>
      </c>
      <c r="AR314" s="294">
        <f t="shared" si="175"/>
        <v>0</v>
      </c>
      <c r="AS314" s="292"/>
      <c r="AT314" s="292"/>
      <c r="AU314" s="295">
        <f>'Unit Savings Calculations'!Q310</f>
        <v>11.243232000000003</v>
      </c>
      <c r="AV314" s="383" t="str">
        <f t="shared" si="158"/>
        <v>n/a</v>
      </c>
      <c r="AW314" s="297">
        <f t="shared" si="176"/>
        <v>0</v>
      </c>
      <c r="AX314" s="294">
        <f t="shared" si="177"/>
        <v>0</v>
      </c>
      <c r="AY314" s="297">
        <f t="shared" si="159"/>
        <v>0</v>
      </c>
      <c r="AZ314" s="297">
        <f t="shared" si="160"/>
        <v>0</v>
      </c>
      <c r="BA314" s="297">
        <f t="shared" si="161"/>
        <v>0</v>
      </c>
      <c r="BB314" s="297">
        <f t="shared" si="162"/>
        <v>0</v>
      </c>
      <c r="BC314" s="298">
        <f t="shared" si="163"/>
        <v>0</v>
      </c>
      <c r="BD314" s="292" t="s">
        <v>763</v>
      </c>
      <c r="BE314" s="299" t="str">
        <f t="shared" si="164"/>
        <v>Exhibit 1.5A_R North Shore EEPS_Adjustable_Savings_Goal_Template.xlsx, Unit Savings Calculations Tab</v>
      </c>
      <c r="BF314" s="298">
        <f t="shared" si="165"/>
        <v>0</v>
      </c>
      <c r="BG314" s="298">
        <f t="shared" si="165"/>
        <v>0</v>
      </c>
      <c r="BH314" s="298">
        <f t="shared" si="165"/>
        <v>0</v>
      </c>
      <c r="BI314" s="298">
        <f t="shared" si="155"/>
        <v>0</v>
      </c>
      <c r="BJ314" s="298">
        <f t="shared" si="166"/>
        <v>0</v>
      </c>
      <c r="BK314" s="482">
        <v>7</v>
      </c>
      <c r="BL314" s="482">
        <v>7</v>
      </c>
      <c r="BM314" s="482">
        <f>INDEX('Unit Savings Calculations'!$I$4:$I$421,MATCH('Measure-Level Adjustments Tab'!$A314&amp;"_"&amp;'Measure-Level Adjustments Tab'!$B314,'Unit Savings Calculations'!$A$4:$A$421,0))</f>
        <v>7</v>
      </c>
      <c r="BN314" s="482">
        <f t="shared" si="167"/>
        <v>7</v>
      </c>
      <c r="BO314" s="483">
        <f t="shared" si="168"/>
        <v>0</v>
      </c>
      <c r="BP314" s="483">
        <f t="shared" si="168"/>
        <v>0</v>
      </c>
      <c r="BQ314" s="483">
        <f t="shared" si="168"/>
        <v>0</v>
      </c>
      <c r="BR314" s="483">
        <f t="shared" si="156"/>
        <v>0</v>
      </c>
      <c r="BS314" s="483">
        <f t="shared" si="157"/>
        <v>0</v>
      </c>
    </row>
    <row r="315" spans="1:71" ht="15.75" customHeight="1">
      <c r="A315" s="292" t="str">
        <f>'Unit Savings Calculations'!C311</f>
        <v>Bus - Public Rebates</v>
      </c>
      <c r="B315" s="292" t="str">
        <f>'Unit Savings Calculations'!D311</f>
        <v>Infrared Heater</v>
      </c>
      <c r="C315" s="293">
        <f t="shared" si="178"/>
        <v>1</v>
      </c>
      <c r="D315" s="292" t="str">
        <f>'Unit Savings Calculations'!T311</f>
        <v>4.4.12</v>
      </c>
      <c r="E315" s="438">
        <v>12</v>
      </c>
      <c r="F315" s="438">
        <v>12</v>
      </c>
      <c r="G315" s="292" t="str">
        <f>'Unit Savings Calculations'!E311</f>
        <v>MBH</v>
      </c>
      <c r="H315" s="294">
        <f>'Unit Savings Calculations'!$F311*'Unit Savings Calculations'!J311</f>
        <v>0</v>
      </c>
      <c r="I315" s="294">
        <f>'Unit Savings Calculations'!$F311*'Unit Savings Calculations'!K311</f>
        <v>0</v>
      </c>
      <c r="J315" s="294">
        <f>'Unit Savings Calculations'!$F311*'Unit Savings Calculations'!L311</f>
        <v>0</v>
      </c>
      <c r="K315" s="294">
        <f>'Unit Savings Calculations'!$F311*'Unit Savings Calculations'!M311</f>
        <v>0</v>
      </c>
      <c r="L315" s="292" t="str">
        <f>'Unit Savings Calculations'!U311</f>
        <v>CI-HVC-IRHT-V01-120601</v>
      </c>
      <c r="M315" s="383" t="str">
        <f>'Unit Savings Calculations'!R311</f>
        <v>Exhibit 1.5A_R North Shore EEPS_Adjustable_Savings_Goal_Template.xlsx, Unit Savings Calculations Tab</v>
      </c>
      <c r="N315" s="295">
        <v>3.0066666666666668</v>
      </c>
      <c r="O315" s="295">
        <v>3.0066666666666668</v>
      </c>
      <c r="P315" s="295">
        <v>3.0066666666666668</v>
      </c>
      <c r="Q315" s="295">
        <v>3.0066666666666668</v>
      </c>
      <c r="R315" s="296">
        <f>'Unit Savings Calculations'!$G311</f>
        <v>0.79</v>
      </c>
      <c r="S315" s="296">
        <f>'Unit Savings Calculations'!$G311</f>
        <v>0.79</v>
      </c>
      <c r="T315" s="296">
        <f>'Unit Savings Calculations'!$G311</f>
        <v>0.79</v>
      </c>
      <c r="U315" s="296">
        <f>'Unit Savings Calculations'!$G311</f>
        <v>0.79</v>
      </c>
      <c r="V315" s="297">
        <f t="shared" si="179"/>
        <v>0</v>
      </c>
      <c r="W315" s="297">
        <f t="shared" si="180"/>
        <v>0</v>
      </c>
      <c r="X315" s="297">
        <f t="shared" si="181"/>
        <v>0</v>
      </c>
      <c r="Y315" s="297">
        <f t="shared" si="182"/>
        <v>0</v>
      </c>
      <c r="Z315" s="297">
        <f t="shared" si="183"/>
        <v>0</v>
      </c>
      <c r="AA315" s="292"/>
      <c r="AB315" s="292"/>
      <c r="AC315" s="295">
        <v>3.0066666666666668</v>
      </c>
      <c r="AD315" s="292"/>
      <c r="AE315" s="297">
        <f t="shared" si="169"/>
        <v>0</v>
      </c>
      <c r="AF315" s="294">
        <f t="shared" si="170"/>
        <v>0</v>
      </c>
      <c r="AG315" s="292"/>
      <c r="AH315" s="292">
        <f t="shared" si="171"/>
        <v>0</v>
      </c>
      <c r="AI315" s="295">
        <v>3.0066666666666668</v>
      </c>
      <c r="AJ315" s="383" t="s">
        <v>878</v>
      </c>
      <c r="AK315" s="297">
        <f t="shared" si="172"/>
        <v>0</v>
      </c>
      <c r="AL315" s="294">
        <f t="shared" si="173"/>
        <v>0</v>
      </c>
      <c r="AM315" s="292"/>
      <c r="AN315" s="292"/>
      <c r="AO315" s="295">
        <f>'Unit Savings Calculations'!P311</f>
        <v>3.0066666666666668</v>
      </c>
      <c r="AP315" s="383" t="s">
        <v>763</v>
      </c>
      <c r="AQ315" s="297">
        <f t="shared" si="174"/>
        <v>0</v>
      </c>
      <c r="AR315" s="294">
        <f t="shared" si="175"/>
        <v>0</v>
      </c>
      <c r="AS315" s="292"/>
      <c r="AT315" s="292"/>
      <c r="AU315" s="295">
        <f>'Unit Savings Calculations'!Q311</f>
        <v>3.0066666666666668</v>
      </c>
      <c r="AV315" s="383" t="str">
        <f t="shared" si="158"/>
        <v>n/a</v>
      </c>
      <c r="AW315" s="297">
        <f t="shared" si="176"/>
        <v>0</v>
      </c>
      <c r="AX315" s="294">
        <f t="shared" si="177"/>
        <v>0</v>
      </c>
      <c r="AY315" s="297">
        <f t="shared" si="159"/>
        <v>0</v>
      </c>
      <c r="AZ315" s="297">
        <f t="shared" si="160"/>
        <v>0</v>
      </c>
      <c r="BA315" s="297">
        <f t="shared" si="161"/>
        <v>0</v>
      </c>
      <c r="BB315" s="297">
        <f t="shared" si="162"/>
        <v>0</v>
      </c>
      <c r="BC315" s="298">
        <f t="shared" si="163"/>
        <v>0</v>
      </c>
      <c r="BD315" s="292" t="s">
        <v>763</v>
      </c>
      <c r="BE315" s="299" t="str">
        <f t="shared" si="164"/>
        <v>Exhibit 1.5A_R North Shore EEPS_Adjustable_Savings_Goal_Template.xlsx, Unit Savings Calculations Tab</v>
      </c>
      <c r="BF315" s="298">
        <f t="shared" si="165"/>
        <v>0</v>
      </c>
      <c r="BG315" s="298">
        <f t="shared" si="165"/>
        <v>0</v>
      </c>
      <c r="BH315" s="298">
        <f t="shared" si="165"/>
        <v>0</v>
      </c>
      <c r="BI315" s="298">
        <f t="shared" si="155"/>
        <v>0</v>
      </c>
      <c r="BJ315" s="298">
        <f t="shared" si="166"/>
        <v>0</v>
      </c>
      <c r="BK315" s="482">
        <v>12</v>
      </c>
      <c r="BL315" s="482">
        <v>12</v>
      </c>
      <c r="BM315" s="482">
        <f>INDEX('Unit Savings Calculations'!$I$4:$I$421,MATCH('Measure-Level Adjustments Tab'!$A315&amp;"_"&amp;'Measure-Level Adjustments Tab'!$B315,'Unit Savings Calculations'!$A$4:$A$421,0))</f>
        <v>12</v>
      </c>
      <c r="BN315" s="482">
        <f t="shared" si="167"/>
        <v>12</v>
      </c>
      <c r="BO315" s="483">
        <f t="shared" si="168"/>
        <v>0</v>
      </c>
      <c r="BP315" s="483">
        <f t="shared" si="168"/>
        <v>0</v>
      </c>
      <c r="BQ315" s="483">
        <f t="shared" si="168"/>
        <v>0</v>
      </c>
      <c r="BR315" s="483">
        <f t="shared" si="156"/>
        <v>0</v>
      </c>
      <c r="BS315" s="483">
        <f t="shared" si="157"/>
        <v>0</v>
      </c>
    </row>
    <row r="316" spans="1:71" ht="15.75" customHeight="1">
      <c r="A316" s="292" t="str">
        <f>'Unit Savings Calculations'!C312</f>
        <v>Bus - Public Rebates</v>
      </c>
      <c r="B316" s="292" t="str">
        <f>'Unit Savings Calculations'!D312</f>
        <v>Modulating Commercial Gas Clothes Dryer</v>
      </c>
      <c r="C316" s="293">
        <f t="shared" si="178"/>
        <v>1</v>
      </c>
      <c r="D316" s="292" t="str">
        <f>'Unit Savings Calculations'!T312</f>
        <v>4.8.4</v>
      </c>
      <c r="E316" s="438">
        <v>14</v>
      </c>
      <c r="F316" s="438">
        <v>14</v>
      </c>
      <c r="G316" s="292" t="str">
        <f>'Unit Savings Calculations'!E312</f>
        <v>each</v>
      </c>
      <c r="H316" s="294">
        <f>'Unit Savings Calculations'!$F312*'Unit Savings Calculations'!J312</f>
        <v>0</v>
      </c>
      <c r="I316" s="294">
        <f>'Unit Savings Calculations'!$F312*'Unit Savings Calculations'!K312</f>
        <v>0</v>
      </c>
      <c r="J316" s="294">
        <f>'Unit Savings Calculations'!$F312*'Unit Savings Calculations'!L312</f>
        <v>0</v>
      </c>
      <c r="K316" s="294">
        <f>'Unit Savings Calculations'!$F312*'Unit Savings Calculations'!M312</f>
        <v>0</v>
      </c>
      <c r="L316" s="292" t="str">
        <f>'Unit Savings Calculations'!U312</f>
        <v>CI-MSC-MODD-V01-160601</v>
      </c>
      <c r="M316" s="383" t="str">
        <f>'Unit Savings Calculations'!R312</f>
        <v>Exhibit 1.5A_R North Shore EEPS_Adjustable_Savings_Goal_Template.xlsx, Unit Savings Calculations Tab</v>
      </c>
      <c r="N316" s="295">
        <v>266.94</v>
      </c>
      <c r="O316" s="295">
        <v>266.94</v>
      </c>
      <c r="P316" s="295">
        <v>266.94</v>
      </c>
      <c r="Q316" s="295">
        <v>266.94</v>
      </c>
      <c r="R316" s="296">
        <f>'Unit Savings Calculations'!$G312</f>
        <v>0.79</v>
      </c>
      <c r="S316" s="296">
        <f>'Unit Savings Calculations'!$G312</f>
        <v>0.79</v>
      </c>
      <c r="T316" s="296">
        <f>'Unit Savings Calculations'!$G312</f>
        <v>0.79</v>
      </c>
      <c r="U316" s="296">
        <f>'Unit Savings Calculations'!$G312</f>
        <v>0.79</v>
      </c>
      <c r="V316" s="297">
        <f t="shared" si="179"/>
        <v>0</v>
      </c>
      <c r="W316" s="297">
        <f t="shared" si="180"/>
        <v>0</v>
      </c>
      <c r="X316" s="297">
        <f t="shared" si="181"/>
        <v>0</v>
      </c>
      <c r="Y316" s="297">
        <f t="shared" si="182"/>
        <v>0</v>
      </c>
      <c r="Z316" s="297">
        <f t="shared" si="183"/>
        <v>0</v>
      </c>
      <c r="AA316" s="292"/>
      <c r="AB316" s="292"/>
      <c r="AC316" s="295">
        <v>266.94</v>
      </c>
      <c r="AD316" s="292"/>
      <c r="AE316" s="297">
        <f t="shared" si="169"/>
        <v>0</v>
      </c>
      <c r="AF316" s="294">
        <f t="shared" si="170"/>
        <v>0</v>
      </c>
      <c r="AG316" s="292"/>
      <c r="AH316" s="292">
        <f t="shared" si="171"/>
        <v>0</v>
      </c>
      <c r="AI316" s="295">
        <v>266.94</v>
      </c>
      <c r="AJ316" s="383" t="s">
        <v>878</v>
      </c>
      <c r="AK316" s="297">
        <f t="shared" si="172"/>
        <v>0</v>
      </c>
      <c r="AL316" s="294">
        <f t="shared" si="173"/>
        <v>0</v>
      </c>
      <c r="AM316" s="292"/>
      <c r="AN316" s="292"/>
      <c r="AO316" s="295">
        <f>'Unit Savings Calculations'!P312</f>
        <v>266.94</v>
      </c>
      <c r="AP316" s="383" t="s">
        <v>763</v>
      </c>
      <c r="AQ316" s="297">
        <f t="shared" si="174"/>
        <v>0</v>
      </c>
      <c r="AR316" s="294">
        <f t="shared" si="175"/>
        <v>0</v>
      </c>
      <c r="AS316" s="292"/>
      <c r="AT316" s="292"/>
      <c r="AU316" s="295">
        <f>'Unit Savings Calculations'!Q312</f>
        <v>266.94</v>
      </c>
      <c r="AV316" s="383" t="str">
        <f t="shared" si="158"/>
        <v>n/a</v>
      </c>
      <c r="AW316" s="297">
        <f t="shared" si="176"/>
        <v>0</v>
      </c>
      <c r="AX316" s="294">
        <f t="shared" si="177"/>
        <v>0</v>
      </c>
      <c r="AY316" s="297">
        <f t="shared" si="159"/>
        <v>0</v>
      </c>
      <c r="AZ316" s="297">
        <f t="shared" si="160"/>
        <v>0</v>
      </c>
      <c r="BA316" s="297">
        <f t="shared" si="161"/>
        <v>0</v>
      </c>
      <c r="BB316" s="297">
        <f t="shared" si="162"/>
        <v>0</v>
      </c>
      <c r="BC316" s="298">
        <f t="shared" si="163"/>
        <v>0</v>
      </c>
      <c r="BD316" s="292" t="s">
        <v>763</v>
      </c>
      <c r="BE316" s="299" t="str">
        <f t="shared" si="164"/>
        <v>Exhibit 1.5A_R North Shore EEPS_Adjustable_Savings_Goal_Template.xlsx, Unit Savings Calculations Tab</v>
      </c>
      <c r="BF316" s="298">
        <f t="shared" si="165"/>
        <v>0</v>
      </c>
      <c r="BG316" s="298">
        <f t="shared" si="165"/>
        <v>0</v>
      </c>
      <c r="BH316" s="298">
        <f t="shared" si="165"/>
        <v>0</v>
      </c>
      <c r="BI316" s="298">
        <f t="shared" si="155"/>
        <v>0</v>
      </c>
      <c r="BJ316" s="298">
        <f t="shared" si="166"/>
        <v>0</v>
      </c>
      <c r="BK316" s="482">
        <v>14</v>
      </c>
      <c r="BL316" s="482">
        <v>14</v>
      </c>
      <c r="BM316" s="482">
        <f>INDEX('Unit Savings Calculations'!$I$4:$I$421,MATCH('Measure-Level Adjustments Tab'!$A316&amp;"_"&amp;'Measure-Level Adjustments Tab'!$B316,'Unit Savings Calculations'!$A$4:$A$421,0))</f>
        <v>14</v>
      </c>
      <c r="BN316" s="482">
        <f t="shared" si="167"/>
        <v>14</v>
      </c>
      <c r="BO316" s="483">
        <f t="shared" si="168"/>
        <v>0</v>
      </c>
      <c r="BP316" s="483">
        <f t="shared" si="168"/>
        <v>0</v>
      </c>
      <c r="BQ316" s="483">
        <f t="shared" si="168"/>
        <v>0</v>
      </c>
      <c r="BR316" s="483">
        <f t="shared" si="156"/>
        <v>0</v>
      </c>
      <c r="BS316" s="483">
        <f t="shared" si="157"/>
        <v>0</v>
      </c>
    </row>
    <row r="317" spans="1:71" ht="15.75" customHeight="1">
      <c r="A317" s="292" t="str">
        <f>'Unit Savings Calculations'!C313</f>
        <v>Bus - Public Rebates</v>
      </c>
      <c r="B317" s="292" t="str">
        <f>'Unit Savings Calculations'!D313</f>
        <v>Ozone Laundry</v>
      </c>
      <c r="C317" s="293">
        <f t="shared" si="178"/>
        <v>1</v>
      </c>
      <c r="D317" s="292" t="str">
        <f>'Unit Savings Calculations'!T313</f>
        <v>4.3.6</v>
      </c>
      <c r="E317" s="438">
        <v>10</v>
      </c>
      <c r="F317" s="438">
        <v>10</v>
      </c>
      <c r="G317" s="292" t="str">
        <f>'Unit Savings Calculations'!E313</f>
        <v>lb-capacity</v>
      </c>
      <c r="H317" s="294">
        <f>'Unit Savings Calculations'!$F313*'Unit Savings Calculations'!J313</f>
        <v>0</v>
      </c>
      <c r="I317" s="294">
        <f>'Unit Savings Calculations'!$F313*'Unit Savings Calculations'!K313</f>
        <v>0</v>
      </c>
      <c r="J317" s="294">
        <f>'Unit Savings Calculations'!$F313*'Unit Savings Calculations'!L313</f>
        <v>0</v>
      </c>
      <c r="K317" s="294">
        <f>'Unit Savings Calculations'!$F313*'Unit Savings Calculations'!M313</f>
        <v>0</v>
      </c>
      <c r="L317" s="292" t="str">
        <f>'Unit Savings Calculations'!U313</f>
        <v>CI-HW-OZLD-VO1-140601</v>
      </c>
      <c r="M317" s="383" t="str">
        <f>'Unit Savings Calculations'!R313</f>
        <v>Exhibit 1.5A_R North Shore EEPS_Adjustable_Savings_Goal_Template.xlsx, Unit Savings Calculations Tab</v>
      </c>
      <c r="N317" s="295">
        <v>30.722664192350027</v>
      </c>
      <c r="O317" s="295">
        <v>30.722664192350027</v>
      </c>
      <c r="P317" s="295">
        <v>30.722664192350027</v>
      </c>
      <c r="Q317" s="295">
        <v>30.722664192350027</v>
      </c>
      <c r="R317" s="296">
        <f>'Unit Savings Calculations'!$G313</f>
        <v>0.79</v>
      </c>
      <c r="S317" s="296">
        <f>'Unit Savings Calculations'!$G313</f>
        <v>0.79</v>
      </c>
      <c r="T317" s="296">
        <f>'Unit Savings Calculations'!$G313</f>
        <v>0.79</v>
      </c>
      <c r="U317" s="296">
        <f>'Unit Savings Calculations'!$G313</f>
        <v>0.79</v>
      </c>
      <c r="V317" s="297">
        <f t="shared" si="179"/>
        <v>0</v>
      </c>
      <c r="W317" s="297">
        <f t="shared" si="180"/>
        <v>0</v>
      </c>
      <c r="X317" s="297">
        <f t="shared" si="181"/>
        <v>0</v>
      </c>
      <c r="Y317" s="297">
        <f t="shared" si="182"/>
        <v>0</v>
      </c>
      <c r="Z317" s="297">
        <f t="shared" si="183"/>
        <v>0</v>
      </c>
      <c r="AA317" s="292"/>
      <c r="AB317" s="292"/>
      <c r="AC317" s="295">
        <v>30.722664192350027</v>
      </c>
      <c r="AD317" s="292"/>
      <c r="AE317" s="297">
        <f t="shared" si="169"/>
        <v>0</v>
      </c>
      <c r="AF317" s="294">
        <f t="shared" si="170"/>
        <v>0</v>
      </c>
      <c r="AG317" s="292"/>
      <c r="AH317" s="292">
        <f t="shared" si="171"/>
        <v>0</v>
      </c>
      <c r="AI317" s="295">
        <v>30.722664192350027</v>
      </c>
      <c r="AJ317" s="383" t="s">
        <v>878</v>
      </c>
      <c r="AK317" s="297">
        <f t="shared" si="172"/>
        <v>0</v>
      </c>
      <c r="AL317" s="294">
        <f t="shared" si="173"/>
        <v>0</v>
      </c>
      <c r="AM317" s="292"/>
      <c r="AN317" s="292"/>
      <c r="AO317" s="295">
        <f>'Unit Savings Calculations'!P313</f>
        <v>30.722664192350027</v>
      </c>
      <c r="AP317" s="383" t="s">
        <v>763</v>
      </c>
      <c r="AQ317" s="297">
        <f t="shared" si="174"/>
        <v>0</v>
      </c>
      <c r="AR317" s="294">
        <f t="shared" si="175"/>
        <v>0</v>
      </c>
      <c r="AS317" s="292"/>
      <c r="AT317" s="292"/>
      <c r="AU317" s="295">
        <f>'Unit Savings Calculations'!Q313</f>
        <v>30.722664192350027</v>
      </c>
      <c r="AV317" s="383" t="str">
        <f t="shared" si="158"/>
        <v>n/a</v>
      </c>
      <c r="AW317" s="297">
        <f t="shared" si="176"/>
        <v>0</v>
      </c>
      <c r="AX317" s="294">
        <f t="shared" si="177"/>
        <v>0</v>
      </c>
      <c r="AY317" s="297">
        <f t="shared" si="159"/>
        <v>0</v>
      </c>
      <c r="AZ317" s="297">
        <f t="shared" si="160"/>
        <v>0</v>
      </c>
      <c r="BA317" s="297">
        <f t="shared" si="161"/>
        <v>0</v>
      </c>
      <c r="BB317" s="297">
        <f t="shared" si="162"/>
        <v>0</v>
      </c>
      <c r="BC317" s="298">
        <f t="shared" si="163"/>
        <v>0</v>
      </c>
      <c r="BD317" s="292" t="s">
        <v>763</v>
      </c>
      <c r="BE317" s="299" t="str">
        <f t="shared" si="164"/>
        <v>Exhibit 1.5A_R North Shore EEPS_Adjustable_Savings_Goal_Template.xlsx, Unit Savings Calculations Tab</v>
      </c>
      <c r="BF317" s="298">
        <f t="shared" si="165"/>
        <v>0</v>
      </c>
      <c r="BG317" s="298">
        <f t="shared" si="165"/>
        <v>0</v>
      </c>
      <c r="BH317" s="298">
        <f t="shared" si="165"/>
        <v>0</v>
      </c>
      <c r="BI317" s="298">
        <f t="shared" si="155"/>
        <v>0</v>
      </c>
      <c r="BJ317" s="298">
        <f t="shared" si="166"/>
        <v>0</v>
      </c>
      <c r="BK317" s="482">
        <v>10</v>
      </c>
      <c r="BL317" s="482">
        <v>10</v>
      </c>
      <c r="BM317" s="482">
        <f>INDEX('Unit Savings Calculations'!$I$4:$I$421,MATCH('Measure-Level Adjustments Tab'!$A317&amp;"_"&amp;'Measure-Level Adjustments Tab'!$B317,'Unit Savings Calculations'!$A$4:$A$421,0))</f>
        <v>10</v>
      </c>
      <c r="BN317" s="482">
        <f t="shared" si="167"/>
        <v>10</v>
      </c>
      <c r="BO317" s="483">
        <f t="shared" si="168"/>
        <v>0</v>
      </c>
      <c r="BP317" s="483">
        <f t="shared" si="168"/>
        <v>0</v>
      </c>
      <c r="BQ317" s="483">
        <f t="shared" si="168"/>
        <v>0</v>
      </c>
      <c r="BR317" s="483">
        <f t="shared" si="156"/>
        <v>0</v>
      </c>
      <c r="BS317" s="483">
        <f t="shared" si="157"/>
        <v>0</v>
      </c>
    </row>
    <row r="318" spans="1:71" ht="15.75" customHeight="1">
      <c r="A318" s="292" t="str">
        <f>'Unit Savings Calculations'!C314</f>
        <v>Bus - Public Rebates</v>
      </c>
      <c r="B318" s="292" t="str">
        <f>'Unit Savings Calculations'!D314</f>
        <v>Pipe Insulation - HW Small 1" to 2"</v>
      </c>
      <c r="C318" s="293">
        <f t="shared" si="178"/>
        <v>1</v>
      </c>
      <c r="D318" s="292" t="str">
        <f>'Unit Savings Calculations'!T314</f>
        <v>4.4.14</v>
      </c>
      <c r="E318" s="438">
        <v>15</v>
      </c>
      <c r="F318" s="438">
        <v>15</v>
      </c>
      <c r="G318" s="292" t="str">
        <f>'Unit Savings Calculations'!E314</f>
        <v>ft</v>
      </c>
      <c r="H318" s="294">
        <f>'Unit Savings Calculations'!$F314*'Unit Savings Calculations'!J314</f>
        <v>2325</v>
      </c>
      <c r="I318" s="294">
        <f>'Unit Savings Calculations'!$F314*'Unit Savings Calculations'!K314</f>
        <v>2325</v>
      </c>
      <c r="J318" s="294">
        <f>'Unit Savings Calculations'!$F314*'Unit Savings Calculations'!L314</f>
        <v>2325</v>
      </c>
      <c r="K318" s="294">
        <f>'Unit Savings Calculations'!$F314*'Unit Savings Calculations'!M314</f>
        <v>2325</v>
      </c>
      <c r="L318" s="292" t="str">
        <f>'Unit Savings Calculations'!U314</f>
        <v>CI-HVC-PINS-V04-160601</v>
      </c>
      <c r="M318" s="383" t="str">
        <f>'Unit Savings Calculations'!R314</f>
        <v>Exhibit 1.5A_R North Shore EEPS_Adjustable_Savings_Goal_Template.xlsx, Pipe Insulation Detail Tab</v>
      </c>
      <c r="N318" s="295">
        <v>2.6588140926267867</v>
      </c>
      <c r="O318" s="295">
        <v>2.6588140926267867</v>
      </c>
      <c r="P318" s="295">
        <v>2.6588140926267867</v>
      </c>
      <c r="Q318" s="295">
        <v>2.6588140926267867</v>
      </c>
      <c r="R318" s="296">
        <f>'Unit Savings Calculations'!$G314</f>
        <v>0.79</v>
      </c>
      <c r="S318" s="296">
        <f>'Unit Savings Calculations'!$G314</f>
        <v>0.79</v>
      </c>
      <c r="T318" s="296">
        <f>'Unit Savings Calculations'!$G314</f>
        <v>0.79</v>
      </c>
      <c r="U318" s="296">
        <f>'Unit Savings Calculations'!$G314</f>
        <v>0.79</v>
      </c>
      <c r="V318" s="297">
        <f t="shared" si="179"/>
        <v>4883.5767846322515</v>
      </c>
      <c r="W318" s="297">
        <f t="shared" si="180"/>
        <v>4883.5767846322515</v>
      </c>
      <c r="X318" s="297">
        <f t="shared" si="181"/>
        <v>4883.5767846322515</v>
      </c>
      <c r="Y318" s="297">
        <f t="shared" si="182"/>
        <v>4883.5767846322515</v>
      </c>
      <c r="Z318" s="297">
        <f t="shared" si="183"/>
        <v>19534.307138529006</v>
      </c>
      <c r="AA318" s="292"/>
      <c r="AB318" s="292"/>
      <c r="AC318" s="295">
        <v>2.6588140926267867</v>
      </c>
      <c r="AD318" s="292"/>
      <c r="AE318" s="297">
        <f t="shared" si="169"/>
        <v>4883.5767846322515</v>
      </c>
      <c r="AF318" s="294">
        <f t="shared" si="170"/>
        <v>0</v>
      </c>
      <c r="AG318" s="292"/>
      <c r="AH318" s="292">
        <f t="shared" si="171"/>
        <v>0</v>
      </c>
      <c r="AI318" s="295">
        <v>2.6588140926267867</v>
      </c>
      <c r="AJ318" s="383" t="s">
        <v>878</v>
      </c>
      <c r="AK318" s="297">
        <f t="shared" si="172"/>
        <v>4883.5767846322515</v>
      </c>
      <c r="AL318" s="294">
        <f t="shared" si="173"/>
        <v>0</v>
      </c>
      <c r="AM318" s="292"/>
      <c r="AN318" s="292"/>
      <c r="AO318" s="295">
        <f>'Unit Savings Calculations'!P314</f>
        <v>2.6588140926267867</v>
      </c>
      <c r="AP318" s="383" t="s">
        <v>763</v>
      </c>
      <c r="AQ318" s="297">
        <f t="shared" si="174"/>
        <v>4883.5767846322515</v>
      </c>
      <c r="AR318" s="294">
        <f t="shared" si="175"/>
        <v>0</v>
      </c>
      <c r="AS318" s="292"/>
      <c r="AT318" s="292"/>
      <c r="AU318" s="295">
        <f>'Unit Savings Calculations'!Q314</f>
        <v>2.6588140926267867</v>
      </c>
      <c r="AV318" s="383" t="str">
        <f t="shared" si="158"/>
        <v>n/a</v>
      </c>
      <c r="AW318" s="297">
        <f t="shared" si="176"/>
        <v>4883.5767846322515</v>
      </c>
      <c r="AX318" s="294">
        <f t="shared" si="177"/>
        <v>0</v>
      </c>
      <c r="AY318" s="297">
        <f t="shared" si="159"/>
        <v>4883.5767846322515</v>
      </c>
      <c r="AZ318" s="297">
        <f t="shared" si="160"/>
        <v>4883.5767846322515</v>
      </c>
      <c r="BA318" s="297">
        <f t="shared" si="161"/>
        <v>4883.5767846322515</v>
      </c>
      <c r="BB318" s="297">
        <f t="shared" si="162"/>
        <v>4883.5767846322515</v>
      </c>
      <c r="BC318" s="298">
        <f t="shared" si="163"/>
        <v>19534.307138529006</v>
      </c>
      <c r="BD318" s="292" t="s">
        <v>763</v>
      </c>
      <c r="BE318" s="299" t="str">
        <f t="shared" si="164"/>
        <v>Exhibit 1.5A_R North Shore EEPS_Adjustable_Savings_Goal_Template.xlsx, Pipe Insulation Detail Tab</v>
      </c>
      <c r="BF318" s="298">
        <f t="shared" si="165"/>
        <v>73253.651769483768</v>
      </c>
      <c r="BG318" s="298">
        <f t="shared" si="165"/>
        <v>73253.651769483768</v>
      </c>
      <c r="BH318" s="298">
        <f t="shared" si="165"/>
        <v>73253.651769483768</v>
      </c>
      <c r="BI318" s="298">
        <f t="shared" si="155"/>
        <v>73253.651769483768</v>
      </c>
      <c r="BJ318" s="298">
        <f t="shared" si="166"/>
        <v>293014.60707793507</v>
      </c>
      <c r="BK318" s="482">
        <v>15</v>
      </c>
      <c r="BL318" s="482">
        <v>15</v>
      </c>
      <c r="BM318" s="482">
        <f>INDEX('Unit Savings Calculations'!$I$4:$I$421,MATCH('Measure-Level Adjustments Tab'!$A318&amp;"_"&amp;'Measure-Level Adjustments Tab'!$B318,'Unit Savings Calculations'!$A$4:$A$421,0))</f>
        <v>15</v>
      </c>
      <c r="BN318" s="482">
        <f t="shared" si="167"/>
        <v>15</v>
      </c>
      <c r="BO318" s="483">
        <f t="shared" si="168"/>
        <v>73253.651769483768</v>
      </c>
      <c r="BP318" s="483">
        <f t="shared" si="168"/>
        <v>73253.651769483768</v>
      </c>
      <c r="BQ318" s="483">
        <f t="shared" si="168"/>
        <v>73253.651769483768</v>
      </c>
      <c r="BR318" s="483">
        <f t="shared" si="156"/>
        <v>73253.651769483768</v>
      </c>
      <c r="BS318" s="483">
        <f t="shared" si="157"/>
        <v>293014.60707793507</v>
      </c>
    </row>
    <row r="319" spans="1:71" ht="15.75" customHeight="1">
      <c r="A319" s="292" t="str">
        <f>'Unit Savings Calculations'!C315</f>
        <v>Bus - Public Rebates</v>
      </c>
      <c r="B319" s="292" t="str">
        <f>'Unit Savings Calculations'!D315</f>
        <v>Pipe Insulation - HW Medium 2.1" to 4"</v>
      </c>
      <c r="C319" s="293">
        <f t="shared" si="178"/>
        <v>1</v>
      </c>
      <c r="D319" s="292" t="str">
        <f>'Unit Savings Calculations'!T315</f>
        <v>4.4.14</v>
      </c>
      <c r="E319" s="438">
        <v>15</v>
      </c>
      <c r="F319" s="438">
        <v>15</v>
      </c>
      <c r="G319" s="292" t="str">
        <f>'Unit Savings Calculations'!E315</f>
        <v>ft</v>
      </c>
      <c r="H319" s="294">
        <f>'Unit Savings Calculations'!$F315*'Unit Savings Calculations'!J315</f>
        <v>2250</v>
      </c>
      <c r="I319" s="294">
        <f>'Unit Savings Calculations'!$F315*'Unit Savings Calculations'!K315</f>
        <v>2250</v>
      </c>
      <c r="J319" s="294">
        <f>'Unit Savings Calculations'!$F315*'Unit Savings Calculations'!L315</f>
        <v>2250</v>
      </c>
      <c r="K319" s="294">
        <f>'Unit Savings Calculations'!$F315*'Unit Savings Calculations'!M315</f>
        <v>2250</v>
      </c>
      <c r="L319" s="292" t="str">
        <f>'Unit Savings Calculations'!U315</f>
        <v>CI-HVC-PINS-V04-160601</v>
      </c>
      <c r="M319" s="383" t="str">
        <f>'Unit Savings Calculations'!R315</f>
        <v>Exhibit 1.5A_R North Shore EEPS_Adjustable_Savings_Goal_Template.xlsx, Pipe Insulation Detail Tab</v>
      </c>
      <c r="N319" s="295">
        <v>5.2492031493764015</v>
      </c>
      <c r="O319" s="295">
        <v>5.2492031493764015</v>
      </c>
      <c r="P319" s="295">
        <v>5.2492031493764015</v>
      </c>
      <c r="Q319" s="295">
        <v>5.2492031493764015</v>
      </c>
      <c r="R319" s="296">
        <f>'Unit Savings Calculations'!$G315</f>
        <v>0.79</v>
      </c>
      <c r="S319" s="296">
        <f>'Unit Savings Calculations'!$G315</f>
        <v>0.79</v>
      </c>
      <c r="T319" s="296">
        <f>'Unit Savings Calculations'!$G315</f>
        <v>0.79</v>
      </c>
      <c r="U319" s="296">
        <f>'Unit Savings Calculations'!$G315</f>
        <v>0.79</v>
      </c>
      <c r="V319" s="297">
        <f t="shared" si="179"/>
        <v>9330.4585980165539</v>
      </c>
      <c r="W319" s="297">
        <f t="shared" si="180"/>
        <v>9330.4585980165539</v>
      </c>
      <c r="X319" s="297">
        <f t="shared" si="181"/>
        <v>9330.4585980165539</v>
      </c>
      <c r="Y319" s="297">
        <f t="shared" si="182"/>
        <v>9330.4585980165539</v>
      </c>
      <c r="Z319" s="297">
        <f t="shared" si="183"/>
        <v>37321.834392066216</v>
      </c>
      <c r="AA319" s="292"/>
      <c r="AB319" s="292"/>
      <c r="AC319" s="295">
        <v>5.2492031493764015</v>
      </c>
      <c r="AD319" s="292"/>
      <c r="AE319" s="297">
        <f t="shared" si="169"/>
        <v>9330.4585980165539</v>
      </c>
      <c r="AF319" s="294">
        <f t="shared" si="170"/>
        <v>0</v>
      </c>
      <c r="AG319" s="292"/>
      <c r="AH319" s="292">
        <f t="shared" si="171"/>
        <v>0</v>
      </c>
      <c r="AI319" s="295">
        <v>5.2492031493764015</v>
      </c>
      <c r="AJ319" s="383" t="s">
        <v>878</v>
      </c>
      <c r="AK319" s="297">
        <f t="shared" si="172"/>
        <v>9330.4585980165539</v>
      </c>
      <c r="AL319" s="294">
        <f t="shared" si="173"/>
        <v>0</v>
      </c>
      <c r="AM319" s="292"/>
      <c r="AN319" s="292"/>
      <c r="AO319" s="295">
        <f>'Unit Savings Calculations'!P315</f>
        <v>5.2492031493764015</v>
      </c>
      <c r="AP319" s="383" t="s">
        <v>763</v>
      </c>
      <c r="AQ319" s="297">
        <f t="shared" si="174"/>
        <v>9330.4585980165539</v>
      </c>
      <c r="AR319" s="294">
        <f t="shared" si="175"/>
        <v>0</v>
      </c>
      <c r="AS319" s="292"/>
      <c r="AT319" s="292"/>
      <c r="AU319" s="295">
        <f>'Unit Savings Calculations'!Q315</f>
        <v>5.2492031493764015</v>
      </c>
      <c r="AV319" s="383" t="str">
        <f t="shared" si="158"/>
        <v>n/a</v>
      </c>
      <c r="AW319" s="297">
        <f t="shared" si="176"/>
        <v>9330.4585980165539</v>
      </c>
      <c r="AX319" s="294">
        <f t="shared" si="177"/>
        <v>0</v>
      </c>
      <c r="AY319" s="297">
        <f t="shared" si="159"/>
        <v>9330.4585980165539</v>
      </c>
      <c r="AZ319" s="297">
        <f t="shared" si="160"/>
        <v>9330.4585980165539</v>
      </c>
      <c r="BA319" s="297">
        <f t="shared" si="161"/>
        <v>9330.4585980165539</v>
      </c>
      <c r="BB319" s="297">
        <f t="shared" si="162"/>
        <v>9330.4585980165539</v>
      </c>
      <c r="BC319" s="298">
        <f t="shared" si="163"/>
        <v>37321.834392066216</v>
      </c>
      <c r="BD319" s="292" t="s">
        <v>763</v>
      </c>
      <c r="BE319" s="299" t="str">
        <f t="shared" si="164"/>
        <v>Exhibit 1.5A_R North Shore EEPS_Adjustable_Savings_Goal_Template.xlsx, Pipe Insulation Detail Tab</v>
      </c>
      <c r="BF319" s="298">
        <f t="shared" si="165"/>
        <v>139956.8789702483</v>
      </c>
      <c r="BG319" s="298">
        <f t="shared" si="165"/>
        <v>139956.8789702483</v>
      </c>
      <c r="BH319" s="298">
        <f t="shared" si="165"/>
        <v>139956.8789702483</v>
      </c>
      <c r="BI319" s="298">
        <f t="shared" si="155"/>
        <v>139956.8789702483</v>
      </c>
      <c r="BJ319" s="298">
        <f t="shared" si="166"/>
        <v>559827.51588099322</v>
      </c>
      <c r="BK319" s="482">
        <v>15</v>
      </c>
      <c r="BL319" s="482">
        <v>15</v>
      </c>
      <c r="BM319" s="482">
        <f>INDEX('Unit Savings Calculations'!$I$4:$I$421,MATCH('Measure-Level Adjustments Tab'!$A319&amp;"_"&amp;'Measure-Level Adjustments Tab'!$B319,'Unit Savings Calculations'!$A$4:$A$421,0))</f>
        <v>15</v>
      </c>
      <c r="BN319" s="482">
        <f t="shared" si="167"/>
        <v>15</v>
      </c>
      <c r="BO319" s="483">
        <f t="shared" si="168"/>
        <v>139956.8789702483</v>
      </c>
      <c r="BP319" s="483">
        <f t="shared" si="168"/>
        <v>139956.8789702483</v>
      </c>
      <c r="BQ319" s="483">
        <f t="shared" si="168"/>
        <v>139956.8789702483</v>
      </c>
      <c r="BR319" s="483">
        <f t="shared" si="156"/>
        <v>139956.8789702483</v>
      </c>
      <c r="BS319" s="483">
        <f t="shared" si="157"/>
        <v>559827.51588099322</v>
      </c>
    </row>
    <row r="320" spans="1:71" ht="15.75" customHeight="1">
      <c r="A320" s="292" t="str">
        <f>'Unit Savings Calculations'!C316</f>
        <v>Bus - Public Rebates</v>
      </c>
      <c r="B320" s="292" t="str">
        <f>'Unit Savings Calculations'!D316</f>
        <v>Pipe Insulation - HW Large &gt;4"</v>
      </c>
      <c r="C320" s="293">
        <f t="shared" si="178"/>
        <v>1</v>
      </c>
      <c r="D320" s="292" t="str">
        <f>'Unit Savings Calculations'!T316</f>
        <v>4.4.14</v>
      </c>
      <c r="E320" s="438">
        <v>15</v>
      </c>
      <c r="F320" s="438">
        <v>15</v>
      </c>
      <c r="G320" s="292" t="str">
        <f>'Unit Savings Calculations'!E316</f>
        <v>ft</v>
      </c>
      <c r="H320" s="294">
        <f>'Unit Savings Calculations'!$F316*'Unit Savings Calculations'!J316</f>
        <v>1875</v>
      </c>
      <c r="I320" s="294">
        <f>'Unit Savings Calculations'!$F316*'Unit Savings Calculations'!K316</f>
        <v>1875</v>
      </c>
      <c r="J320" s="294">
        <f>'Unit Savings Calculations'!$F316*'Unit Savings Calculations'!L316</f>
        <v>1875</v>
      </c>
      <c r="K320" s="294">
        <f>'Unit Savings Calculations'!$F316*'Unit Savings Calculations'!M316</f>
        <v>1875</v>
      </c>
      <c r="L320" s="292" t="str">
        <f>'Unit Savings Calculations'!U316</f>
        <v>CI-HVC-PINS-V04-160601</v>
      </c>
      <c r="M320" s="383" t="str">
        <f>'Unit Savings Calculations'!R316</f>
        <v>Exhibit 1.5A_R North Shore EEPS_Adjustable_Savings_Goal_Template.xlsx, Pipe Insulation Detail Tab</v>
      </c>
      <c r="N320" s="295">
        <v>9.0407613085908682</v>
      </c>
      <c r="O320" s="295">
        <v>9.0407613085908682</v>
      </c>
      <c r="P320" s="295">
        <v>9.0407613085908682</v>
      </c>
      <c r="Q320" s="295">
        <v>9.0407613085908682</v>
      </c>
      <c r="R320" s="296">
        <f>'Unit Savings Calculations'!$G316</f>
        <v>0.79</v>
      </c>
      <c r="S320" s="296">
        <f>'Unit Savings Calculations'!$G316</f>
        <v>0.79</v>
      </c>
      <c r="T320" s="296">
        <f>'Unit Savings Calculations'!$G316</f>
        <v>0.79</v>
      </c>
      <c r="U320" s="296">
        <f>'Unit Savings Calculations'!$G316</f>
        <v>0.79</v>
      </c>
      <c r="V320" s="297">
        <f t="shared" si="179"/>
        <v>13391.627688350223</v>
      </c>
      <c r="W320" s="297">
        <f t="shared" si="180"/>
        <v>13391.627688350223</v>
      </c>
      <c r="X320" s="297">
        <f t="shared" si="181"/>
        <v>13391.627688350223</v>
      </c>
      <c r="Y320" s="297">
        <f t="shared" si="182"/>
        <v>13391.627688350223</v>
      </c>
      <c r="Z320" s="297">
        <f t="shared" si="183"/>
        <v>53566.510753400893</v>
      </c>
      <c r="AA320" s="292"/>
      <c r="AB320" s="292"/>
      <c r="AC320" s="295">
        <v>9.0407613085908682</v>
      </c>
      <c r="AD320" s="292"/>
      <c r="AE320" s="297">
        <f t="shared" si="169"/>
        <v>13391.627688350223</v>
      </c>
      <c r="AF320" s="294">
        <f t="shared" si="170"/>
        <v>0</v>
      </c>
      <c r="AG320" s="292"/>
      <c r="AH320" s="292">
        <f t="shared" si="171"/>
        <v>0</v>
      </c>
      <c r="AI320" s="295">
        <v>9.0407613085908682</v>
      </c>
      <c r="AJ320" s="383" t="s">
        <v>878</v>
      </c>
      <c r="AK320" s="297">
        <f t="shared" si="172"/>
        <v>13391.627688350223</v>
      </c>
      <c r="AL320" s="294">
        <f t="shared" si="173"/>
        <v>0</v>
      </c>
      <c r="AM320" s="292"/>
      <c r="AN320" s="292"/>
      <c r="AO320" s="295">
        <f>'Unit Savings Calculations'!P316</f>
        <v>9.0407613085908682</v>
      </c>
      <c r="AP320" s="383" t="s">
        <v>763</v>
      </c>
      <c r="AQ320" s="297">
        <f t="shared" si="174"/>
        <v>13391.627688350223</v>
      </c>
      <c r="AR320" s="294">
        <f t="shared" si="175"/>
        <v>0</v>
      </c>
      <c r="AS320" s="292"/>
      <c r="AT320" s="292"/>
      <c r="AU320" s="295">
        <f>'Unit Savings Calculations'!Q316</f>
        <v>9.0407613085908682</v>
      </c>
      <c r="AV320" s="383" t="str">
        <f t="shared" si="158"/>
        <v>n/a</v>
      </c>
      <c r="AW320" s="297">
        <f t="shared" si="176"/>
        <v>13391.627688350223</v>
      </c>
      <c r="AX320" s="294">
        <f t="shared" si="177"/>
        <v>0</v>
      </c>
      <c r="AY320" s="297">
        <f t="shared" si="159"/>
        <v>13391.627688350223</v>
      </c>
      <c r="AZ320" s="297">
        <f t="shared" si="160"/>
        <v>13391.627688350223</v>
      </c>
      <c r="BA320" s="297">
        <f t="shared" si="161"/>
        <v>13391.627688350223</v>
      </c>
      <c r="BB320" s="297">
        <f t="shared" si="162"/>
        <v>13391.627688350223</v>
      </c>
      <c r="BC320" s="298">
        <f t="shared" si="163"/>
        <v>53566.510753400893</v>
      </c>
      <c r="BD320" s="292" t="s">
        <v>763</v>
      </c>
      <c r="BE320" s="299" t="str">
        <f t="shared" si="164"/>
        <v>Exhibit 1.5A_R North Shore EEPS_Adjustable_Savings_Goal_Template.xlsx, Pipe Insulation Detail Tab</v>
      </c>
      <c r="BF320" s="298">
        <f t="shared" si="165"/>
        <v>200874.41532525336</v>
      </c>
      <c r="BG320" s="298">
        <f t="shared" si="165"/>
        <v>200874.41532525336</v>
      </c>
      <c r="BH320" s="298">
        <f t="shared" si="165"/>
        <v>200874.41532525336</v>
      </c>
      <c r="BI320" s="298">
        <f t="shared" si="155"/>
        <v>200874.41532525336</v>
      </c>
      <c r="BJ320" s="298">
        <f t="shared" si="166"/>
        <v>803497.66130101343</v>
      </c>
      <c r="BK320" s="482">
        <v>15</v>
      </c>
      <c r="BL320" s="482">
        <v>15</v>
      </c>
      <c r="BM320" s="482">
        <f>INDEX('Unit Savings Calculations'!$I$4:$I$421,MATCH('Measure-Level Adjustments Tab'!$A320&amp;"_"&amp;'Measure-Level Adjustments Tab'!$B320,'Unit Savings Calculations'!$A$4:$A$421,0))</f>
        <v>15</v>
      </c>
      <c r="BN320" s="482">
        <f t="shared" si="167"/>
        <v>15</v>
      </c>
      <c r="BO320" s="483">
        <f t="shared" si="168"/>
        <v>200874.41532525336</v>
      </c>
      <c r="BP320" s="483">
        <f t="shared" si="168"/>
        <v>200874.41532525336</v>
      </c>
      <c r="BQ320" s="483">
        <f t="shared" si="168"/>
        <v>200874.41532525336</v>
      </c>
      <c r="BR320" s="483">
        <f t="shared" si="156"/>
        <v>200874.41532525336</v>
      </c>
      <c r="BS320" s="483">
        <f t="shared" si="157"/>
        <v>803497.66130101343</v>
      </c>
    </row>
    <row r="321" spans="1:71" ht="15.75" customHeight="1">
      <c r="A321" s="292" t="str">
        <f>'Unit Savings Calculations'!C317</f>
        <v>Bus - Public Rebates</v>
      </c>
      <c r="B321" s="292" t="str">
        <f>'Unit Savings Calculations'!D317</f>
        <v>Pipe Insulation - Steam - Small 1" to 2"</v>
      </c>
      <c r="C321" s="293">
        <f t="shared" si="178"/>
        <v>1</v>
      </c>
      <c r="D321" s="292" t="str">
        <f>'Unit Savings Calculations'!T317</f>
        <v>4.4.14</v>
      </c>
      <c r="E321" s="438">
        <v>15</v>
      </c>
      <c r="F321" s="438">
        <v>15</v>
      </c>
      <c r="G321" s="292" t="str">
        <f>'Unit Savings Calculations'!E317</f>
        <v>ft</v>
      </c>
      <c r="H321" s="294">
        <f>'Unit Savings Calculations'!$F317*'Unit Savings Calculations'!J317</f>
        <v>0</v>
      </c>
      <c r="I321" s="294">
        <f>'Unit Savings Calculations'!$F317*'Unit Savings Calculations'!K317</f>
        <v>0</v>
      </c>
      <c r="J321" s="294">
        <f>'Unit Savings Calculations'!$F317*'Unit Savings Calculations'!L317</f>
        <v>0</v>
      </c>
      <c r="K321" s="294">
        <f>'Unit Savings Calculations'!$F317*'Unit Savings Calculations'!M317</f>
        <v>0</v>
      </c>
      <c r="L321" s="292" t="str">
        <f>'Unit Savings Calculations'!U317</f>
        <v>CI-HVC-PINS-V04-160601</v>
      </c>
      <c r="M321" s="383" t="str">
        <f>'Unit Savings Calculations'!R317</f>
        <v>Exhibit 1.5A_R North Shore EEPS_Adjustable_Savings_Goal_Template.xlsx, Pipe Insulation Detail Tab</v>
      </c>
      <c r="N321" s="295">
        <v>3.1854757047967208</v>
      </c>
      <c r="O321" s="295">
        <v>3.1854757047967208</v>
      </c>
      <c r="P321" s="295">
        <v>3.1854757047967208</v>
      </c>
      <c r="Q321" s="295">
        <v>3.1854757047967208</v>
      </c>
      <c r="R321" s="296">
        <f>'Unit Savings Calculations'!$G317</f>
        <v>0.79</v>
      </c>
      <c r="S321" s="296">
        <f>'Unit Savings Calculations'!$G317</f>
        <v>0.79</v>
      </c>
      <c r="T321" s="296">
        <f>'Unit Savings Calculations'!$G317</f>
        <v>0.79</v>
      </c>
      <c r="U321" s="296">
        <f>'Unit Savings Calculations'!$G317</f>
        <v>0.79</v>
      </c>
      <c r="V321" s="297">
        <f t="shared" si="179"/>
        <v>0</v>
      </c>
      <c r="W321" s="297">
        <f t="shared" si="180"/>
        <v>0</v>
      </c>
      <c r="X321" s="297">
        <f t="shared" si="181"/>
        <v>0</v>
      </c>
      <c r="Y321" s="297">
        <f t="shared" si="182"/>
        <v>0</v>
      </c>
      <c r="Z321" s="297">
        <f t="shared" si="183"/>
        <v>0</v>
      </c>
      <c r="AA321" s="292"/>
      <c r="AB321" s="292"/>
      <c r="AC321" s="295">
        <v>3.1854757047967208</v>
      </c>
      <c r="AD321" s="292"/>
      <c r="AE321" s="297">
        <f t="shared" si="169"/>
        <v>0</v>
      </c>
      <c r="AF321" s="294">
        <f t="shared" si="170"/>
        <v>0</v>
      </c>
      <c r="AG321" s="292"/>
      <c r="AH321" s="292">
        <f t="shared" si="171"/>
        <v>0</v>
      </c>
      <c r="AI321" s="295">
        <v>3.1854757047967208</v>
      </c>
      <c r="AJ321" s="383" t="s">
        <v>878</v>
      </c>
      <c r="AK321" s="297">
        <f t="shared" si="172"/>
        <v>0</v>
      </c>
      <c r="AL321" s="294">
        <f t="shared" si="173"/>
        <v>0</v>
      </c>
      <c r="AM321" s="292"/>
      <c r="AN321" s="292"/>
      <c r="AO321" s="295">
        <f>'Unit Savings Calculations'!P317</f>
        <v>3.1854757047967208</v>
      </c>
      <c r="AP321" s="383" t="s">
        <v>763</v>
      </c>
      <c r="AQ321" s="297">
        <f t="shared" si="174"/>
        <v>0</v>
      </c>
      <c r="AR321" s="294">
        <f t="shared" si="175"/>
        <v>0</v>
      </c>
      <c r="AS321" s="292"/>
      <c r="AT321" s="292"/>
      <c r="AU321" s="295">
        <f>'Unit Savings Calculations'!Q317</f>
        <v>3.1854757047967208</v>
      </c>
      <c r="AV321" s="383" t="str">
        <f t="shared" si="158"/>
        <v>n/a</v>
      </c>
      <c r="AW321" s="297">
        <f t="shared" si="176"/>
        <v>0</v>
      </c>
      <c r="AX321" s="294">
        <f t="shared" si="177"/>
        <v>0</v>
      </c>
      <c r="AY321" s="297">
        <f t="shared" si="159"/>
        <v>0</v>
      </c>
      <c r="AZ321" s="297">
        <f t="shared" si="160"/>
        <v>0</v>
      </c>
      <c r="BA321" s="297">
        <f t="shared" si="161"/>
        <v>0</v>
      </c>
      <c r="BB321" s="297">
        <f t="shared" si="162"/>
        <v>0</v>
      </c>
      <c r="BC321" s="298">
        <f t="shared" si="163"/>
        <v>0</v>
      </c>
      <c r="BD321" s="292" t="s">
        <v>763</v>
      </c>
      <c r="BE321" s="299" t="str">
        <f t="shared" si="164"/>
        <v>Exhibit 1.5A_R North Shore EEPS_Adjustable_Savings_Goal_Template.xlsx, Pipe Insulation Detail Tab</v>
      </c>
      <c r="BF321" s="298">
        <f t="shared" si="165"/>
        <v>0</v>
      </c>
      <c r="BG321" s="298">
        <f t="shared" si="165"/>
        <v>0</v>
      </c>
      <c r="BH321" s="298">
        <f t="shared" si="165"/>
        <v>0</v>
      </c>
      <c r="BI321" s="298">
        <f t="shared" si="155"/>
        <v>0</v>
      </c>
      <c r="BJ321" s="298">
        <f t="shared" si="166"/>
        <v>0</v>
      </c>
      <c r="BK321" s="482">
        <v>15</v>
      </c>
      <c r="BL321" s="482">
        <v>15</v>
      </c>
      <c r="BM321" s="482">
        <f>INDEX('Unit Savings Calculations'!$I$4:$I$421,MATCH('Measure-Level Adjustments Tab'!$A321&amp;"_"&amp;'Measure-Level Adjustments Tab'!$B321,'Unit Savings Calculations'!$A$4:$A$421,0))</f>
        <v>15</v>
      </c>
      <c r="BN321" s="482">
        <f t="shared" si="167"/>
        <v>15</v>
      </c>
      <c r="BO321" s="483">
        <f t="shared" si="168"/>
        <v>0</v>
      </c>
      <c r="BP321" s="483">
        <f t="shared" si="168"/>
        <v>0</v>
      </c>
      <c r="BQ321" s="483">
        <f t="shared" si="168"/>
        <v>0</v>
      </c>
      <c r="BR321" s="483">
        <f t="shared" si="156"/>
        <v>0</v>
      </c>
      <c r="BS321" s="483">
        <f t="shared" si="157"/>
        <v>0</v>
      </c>
    </row>
    <row r="322" spans="1:71" ht="15.75" customHeight="1">
      <c r="A322" s="292" t="str">
        <f>'Unit Savings Calculations'!C318</f>
        <v>Bus - Public Rebates</v>
      </c>
      <c r="B322" s="292" t="str">
        <f>'Unit Savings Calculations'!D318</f>
        <v>Pipe Insulation - Steam - Med 2.1" to 5"</v>
      </c>
      <c r="C322" s="293">
        <f t="shared" si="178"/>
        <v>1</v>
      </c>
      <c r="D322" s="292" t="str">
        <f>'Unit Savings Calculations'!T318</f>
        <v>4.4.14</v>
      </c>
      <c r="E322" s="438">
        <v>15</v>
      </c>
      <c r="F322" s="438">
        <v>15</v>
      </c>
      <c r="G322" s="292" t="str">
        <f>'Unit Savings Calculations'!E318</f>
        <v>ft</v>
      </c>
      <c r="H322" s="294">
        <f>'Unit Savings Calculations'!$F318*'Unit Savings Calculations'!J318</f>
        <v>2250</v>
      </c>
      <c r="I322" s="294">
        <f>'Unit Savings Calculations'!$F318*'Unit Savings Calculations'!K318</f>
        <v>2250</v>
      </c>
      <c r="J322" s="294">
        <f>'Unit Savings Calculations'!$F318*'Unit Savings Calculations'!L318</f>
        <v>2250</v>
      </c>
      <c r="K322" s="294">
        <f>'Unit Savings Calculations'!$F318*'Unit Savings Calculations'!M318</f>
        <v>2250</v>
      </c>
      <c r="L322" s="292" t="str">
        <f>'Unit Savings Calculations'!U318</f>
        <v>CI-HVC-PINS-V04-160601</v>
      </c>
      <c r="M322" s="383" t="str">
        <f>'Unit Savings Calculations'!R318</f>
        <v>Exhibit 1.5A_R North Shore EEPS_Adjustable_Savings_Goal_Template.xlsx, Pipe Insulation Detail Tab</v>
      </c>
      <c r="N322" s="295">
        <v>13.148126788517139</v>
      </c>
      <c r="O322" s="295">
        <v>13.148126788517139</v>
      </c>
      <c r="P322" s="295">
        <v>13.148126788517139</v>
      </c>
      <c r="Q322" s="295">
        <v>13.148126788517139</v>
      </c>
      <c r="R322" s="296">
        <f>'Unit Savings Calculations'!$G318</f>
        <v>0.79</v>
      </c>
      <c r="S322" s="296">
        <f>'Unit Savings Calculations'!$G318</f>
        <v>0.79</v>
      </c>
      <c r="T322" s="296">
        <f>'Unit Savings Calculations'!$G318</f>
        <v>0.79</v>
      </c>
      <c r="U322" s="296">
        <f>'Unit Savings Calculations'!$G318</f>
        <v>0.79</v>
      </c>
      <c r="V322" s="297">
        <f t="shared" si="179"/>
        <v>23370.795366589216</v>
      </c>
      <c r="W322" s="297">
        <f t="shared" si="180"/>
        <v>23370.795366589216</v>
      </c>
      <c r="X322" s="297">
        <f t="shared" si="181"/>
        <v>23370.795366589216</v>
      </c>
      <c r="Y322" s="297">
        <f t="shared" si="182"/>
        <v>23370.795366589216</v>
      </c>
      <c r="Z322" s="297">
        <f t="shared" si="183"/>
        <v>93483.181466356866</v>
      </c>
      <c r="AA322" s="292"/>
      <c r="AB322" s="292"/>
      <c r="AC322" s="295">
        <v>13.148126788517139</v>
      </c>
      <c r="AD322" s="292"/>
      <c r="AE322" s="297">
        <f t="shared" si="169"/>
        <v>23370.795366589216</v>
      </c>
      <c r="AF322" s="294">
        <f t="shared" si="170"/>
        <v>0</v>
      </c>
      <c r="AG322" s="292"/>
      <c r="AH322" s="292">
        <f t="shared" si="171"/>
        <v>0</v>
      </c>
      <c r="AI322" s="295">
        <v>13.148126788517139</v>
      </c>
      <c r="AJ322" s="383" t="s">
        <v>878</v>
      </c>
      <c r="AK322" s="297">
        <f t="shared" si="172"/>
        <v>23370.795366589216</v>
      </c>
      <c r="AL322" s="294">
        <f t="shared" si="173"/>
        <v>0</v>
      </c>
      <c r="AM322" s="292"/>
      <c r="AN322" s="292"/>
      <c r="AO322" s="295">
        <f>'Unit Savings Calculations'!P318</f>
        <v>13.148126788517139</v>
      </c>
      <c r="AP322" s="383" t="s">
        <v>763</v>
      </c>
      <c r="AQ322" s="297">
        <f t="shared" si="174"/>
        <v>23370.795366589216</v>
      </c>
      <c r="AR322" s="294">
        <f t="shared" si="175"/>
        <v>0</v>
      </c>
      <c r="AS322" s="292"/>
      <c r="AT322" s="292"/>
      <c r="AU322" s="295">
        <f>'Unit Savings Calculations'!Q318</f>
        <v>13.148126788517139</v>
      </c>
      <c r="AV322" s="383" t="str">
        <f t="shared" si="158"/>
        <v>n/a</v>
      </c>
      <c r="AW322" s="297">
        <f t="shared" si="176"/>
        <v>23370.795366589216</v>
      </c>
      <c r="AX322" s="294">
        <f t="shared" si="177"/>
        <v>0</v>
      </c>
      <c r="AY322" s="297">
        <f t="shared" si="159"/>
        <v>23370.795366589216</v>
      </c>
      <c r="AZ322" s="297">
        <f t="shared" si="160"/>
        <v>23370.795366589216</v>
      </c>
      <c r="BA322" s="297">
        <f t="shared" si="161"/>
        <v>23370.795366589216</v>
      </c>
      <c r="BB322" s="297">
        <f t="shared" si="162"/>
        <v>23370.795366589216</v>
      </c>
      <c r="BC322" s="298">
        <f t="shared" si="163"/>
        <v>93483.181466356866</v>
      </c>
      <c r="BD322" s="292" t="s">
        <v>763</v>
      </c>
      <c r="BE322" s="299" t="str">
        <f t="shared" si="164"/>
        <v>Exhibit 1.5A_R North Shore EEPS_Adjustable_Savings_Goal_Template.xlsx, Pipe Insulation Detail Tab</v>
      </c>
      <c r="BF322" s="298">
        <f t="shared" si="165"/>
        <v>350561.93049883825</v>
      </c>
      <c r="BG322" s="298">
        <f t="shared" si="165"/>
        <v>350561.93049883825</v>
      </c>
      <c r="BH322" s="298">
        <f t="shared" si="165"/>
        <v>350561.93049883825</v>
      </c>
      <c r="BI322" s="298">
        <f t="shared" si="155"/>
        <v>350561.93049883825</v>
      </c>
      <c r="BJ322" s="298">
        <f t="shared" si="166"/>
        <v>1402247.721995353</v>
      </c>
      <c r="BK322" s="482">
        <v>15</v>
      </c>
      <c r="BL322" s="482">
        <v>15</v>
      </c>
      <c r="BM322" s="482">
        <f>INDEX('Unit Savings Calculations'!$I$4:$I$421,MATCH('Measure-Level Adjustments Tab'!$A322&amp;"_"&amp;'Measure-Level Adjustments Tab'!$B322,'Unit Savings Calculations'!$A$4:$A$421,0))</f>
        <v>15</v>
      </c>
      <c r="BN322" s="482">
        <f t="shared" si="167"/>
        <v>15</v>
      </c>
      <c r="BO322" s="483">
        <f t="shared" si="168"/>
        <v>350561.93049883825</v>
      </c>
      <c r="BP322" s="483">
        <f t="shared" si="168"/>
        <v>350561.93049883825</v>
      </c>
      <c r="BQ322" s="483">
        <f t="shared" si="168"/>
        <v>350561.93049883825</v>
      </c>
      <c r="BR322" s="483">
        <f t="shared" si="156"/>
        <v>350561.93049883825</v>
      </c>
      <c r="BS322" s="483">
        <f t="shared" si="157"/>
        <v>1402247.721995353</v>
      </c>
    </row>
    <row r="323" spans="1:71" ht="15.75" customHeight="1">
      <c r="A323" s="292" t="str">
        <f>'Unit Savings Calculations'!C319</f>
        <v>Bus - Public Rebates</v>
      </c>
      <c r="B323" s="292" t="str">
        <f>'Unit Savings Calculations'!D319</f>
        <v>Pipe Insulation - Steam - Large 5.1" to 8"</v>
      </c>
      <c r="C323" s="293">
        <f t="shared" si="178"/>
        <v>1</v>
      </c>
      <c r="D323" s="292" t="str">
        <f>'Unit Savings Calculations'!T319</f>
        <v>4.4.14</v>
      </c>
      <c r="E323" s="438">
        <v>15</v>
      </c>
      <c r="F323" s="438">
        <v>15</v>
      </c>
      <c r="G323" s="292" t="str">
        <f>'Unit Savings Calculations'!E319</f>
        <v>ft</v>
      </c>
      <c r="H323" s="294">
        <f>'Unit Savings Calculations'!$F319*'Unit Savings Calculations'!J319</f>
        <v>0</v>
      </c>
      <c r="I323" s="294">
        <f>'Unit Savings Calculations'!$F319*'Unit Savings Calculations'!K319</f>
        <v>0</v>
      </c>
      <c r="J323" s="294">
        <f>'Unit Savings Calculations'!$F319*'Unit Savings Calculations'!L319</f>
        <v>0</v>
      </c>
      <c r="K323" s="294">
        <f>'Unit Savings Calculations'!$F319*'Unit Savings Calculations'!M319</f>
        <v>0</v>
      </c>
      <c r="L323" s="292" t="str">
        <f>'Unit Savings Calculations'!U319</f>
        <v>CI-HVC-PINS-V04-160601</v>
      </c>
      <c r="M323" s="383" t="str">
        <f>'Unit Savings Calculations'!R319</f>
        <v>Exhibit 1.5A_R North Shore EEPS_Adjustable_Savings_Goal_Template.xlsx, Pipe Insulation Detail Tab</v>
      </c>
      <c r="N323" s="295">
        <v>24.25563238537794</v>
      </c>
      <c r="O323" s="295">
        <v>24.25563238537794</v>
      </c>
      <c r="P323" s="295">
        <v>24.25563238537794</v>
      </c>
      <c r="Q323" s="295">
        <v>24.25563238537794</v>
      </c>
      <c r="R323" s="296">
        <f>'Unit Savings Calculations'!$G319</f>
        <v>0.79</v>
      </c>
      <c r="S323" s="296">
        <f>'Unit Savings Calculations'!$G319</f>
        <v>0.79</v>
      </c>
      <c r="T323" s="296">
        <f>'Unit Savings Calculations'!$G319</f>
        <v>0.79</v>
      </c>
      <c r="U323" s="296">
        <f>'Unit Savings Calculations'!$G319</f>
        <v>0.79</v>
      </c>
      <c r="V323" s="297">
        <f t="shared" si="179"/>
        <v>0</v>
      </c>
      <c r="W323" s="297">
        <f t="shared" si="180"/>
        <v>0</v>
      </c>
      <c r="X323" s="297">
        <f t="shared" si="181"/>
        <v>0</v>
      </c>
      <c r="Y323" s="297">
        <f t="shared" si="182"/>
        <v>0</v>
      </c>
      <c r="Z323" s="297">
        <f t="shared" si="183"/>
        <v>0</v>
      </c>
      <c r="AA323" s="292"/>
      <c r="AB323" s="292"/>
      <c r="AC323" s="295">
        <v>24.25563238537794</v>
      </c>
      <c r="AD323" s="292"/>
      <c r="AE323" s="297">
        <f t="shared" si="169"/>
        <v>0</v>
      </c>
      <c r="AF323" s="294">
        <f t="shared" si="170"/>
        <v>0</v>
      </c>
      <c r="AG323" s="292"/>
      <c r="AH323" s="292">
        <f t="shared" si="171"/>
        <v>0</v>
      </c>
      <c r="AI323" s="295">
        <v>24.25563238537794</v>
      </c>
      <c r="AJ323" s="383" t="s">
        <v>878</v>
      </c>
      <c r="AK323" s="297">
        <f t="shared" si="172"/>
        <v>0</v>
      </c>
      <c r="AL323" s="294">
        <f t="shared" si="173"/>
        <v>0</v>
      </c>
      <c r="AM323" s="292"/>
      <c r="AN323" s="292"/>
      <c r="AO323" s="295">
        <f>'Unit Savings Calculations'!P319</f>
        <v>24.25563238537794</v>
      </c>
      <c r="AP323" s="383" t="s">
        <v>763</v>
      </c>
      <c r="AQ323" s="297">
        <f t="shared" si="174"/>
        <v>0</v>
      </c>
      <c r="AR323" s="294">
        <f t="shared" si="175"/>
        <v>0</v>
      </c>
      <c r="AS323" s="292"/>
      <c r="AT323" s="292"/>
      <c r="AU323" s="295">
        <f>'Unit Savings Calculations'!Q319</f>
        <v>24.25563238537794</v>
      </c>
      <c r="AV323" s="383" t="str">
        <f t="shared" si="158"/>
        <v>n/a</v>
      </c>
      <c r="AW323" s="297">
        <f t="shared" si="176"/>
        <v>0</v>
      </c>
      <c r="AX323" s="294">
        <f t="shared" si="177"/>
        <v>0</v>
      </c>
      <c r="AY323" s="297">
        <f t="shared" si="159"/>
        <v>0</v>
      </c>
      <c r="AZ323" s="297">
        <f t="shared" si="160"/>
        <v>0</v>
      </c>
      <c r="BA323" s="297">
        <f t="shared" si="161"/>
        <v>0</v>
      </c>
      <c r="BB323" s="297">
        <f t="shared" si="162"/>
        <v>0</v>
      </c>
      <c r="BC323" s="298">
        <f t="shared" si="163"/>
        <v>0</v>
      </c>
      <c r="BD323" s="292" t="s">
        <v>763</v>
      </c>
      <c r="BE323" s="299" t="str">
        <f t="shared" si="164"/>
        <v>Exhibit 1.5A_R North Shore EEPS_Adjustable_Savings_Goal_Template.xlsx, Pipe Insulation Detail Tab</v>
      </c>
      <c r="BF323" s="298">
        <f t="shared" si="165"/>
        <v>0</v>
      </c>
      <c r="BG323" s="298">
        <f t="shared" si="165"/>
        <v>0</v>
      </c>
      <c r="BH323" s="298">
        <f t="shared" si="165"/>
        <v>0</v>
      </c>
      <c r="BI323" s="298">
        <f t="shared" si="155"/>
        <v>0</v>
      </c>
      <c r="BJ323" s="298">
        <f t="shared" si="166"/>
        <v>0</v>
      </c>
      <c r="BK323" s="482">
        <v>15</v>
      </c>
      <c r="BL323" s="482">
        <v>15</v>
      </c>
      <c r="BM323" s="482">
        <f>INDEX('Unit Savings Calculations'!$I$4:$I$421,MATCH('Measure-Level Adjustments Tab'!$A323&amp;"_"&amp;'Measure-Level Adjustments Tab'!$B323,'Unit Savings Calculations'!$A$4:$A$421,0))</f>
        <v>15</v>
      </c>
      <c r="BN323" s="482">
        <f t="shared" si="167"/>
        <v>15</v>
      </c>
      <c r="BO323" s="483">
        <f t="shared" si="168"/>
        <v>0</v>
      </c>
      <c r="BP323" s="483">
        <f t="shared" si="168"/>
        <v>0</v>
      </c>
      <c r="BQ323" s="483">
        <f t="shared" si="168"/>
        <v>0</v>
      </c>
      <c r="BR323" s="483">
        <f t="shared" si="156"/>
        <v>0</v>
      </c>
      <c r="BS323" s="483">
        <f t="shared" si="157"/>
        <v>0</v>
      </c>
    </row>
    <row r="324" spans="1:71" ht="15.75" customHeight="1">
      <c r="A324" s="292" t="str">
        <f>'Unit Savings Calculations'!C320</f>
        <v>Bus - Public Rebates</v>
      </c>
      <c r="B324" s="292" t="str">
        <f>'Unit Savings Calculations'!D320</f>
        <v>Pipe Insulation - Steam - X-Large &gt;8"</v>
      </c>
      <c r="C324" s="293">
        <f t="shared" si="178"/>
        <v>1</v>
      </c>
      <c r="D324" s="292" t="str">
        <f>'Unit Savings Calculations'!T320</f>
        <v>4.4.14</v>
      </c>
      <c r="E324" s="438">
        <v>15</v>
      </c>
      <c r="F324" s="438">
        <v>15</v>
      </c>
      <c r="G324" s="292" t="str">
        <f>'Unit Savings Calculations'!E320</f>
        <v>ft</v>
      </c>
      <c r="H324" s="294">
        <f>'Unit Savings Calculations'!$F320*'Unit Savings Calculations'!J320</f>
        <v>0</v>
      </c>
      <c r="I324" s="294">
        <f>'Unit Savings Calculations'!$F320*'Unit Savings Calculations'!K320</f>
        <v>0</v>
      </c>
      <c r="J324" s="294">
        <f>'Unit Savings Calculations'!$F320*'Unit Savings Calculations'!L320</f>
        <v>0</v>
      </c>
      <c r="K324" s="294">
        <f>'Unit Savings Calculations'!$F320*'Unit Savings Calculations'!M320</f>
        <v>0</v>
      </c>
      <c r="L324" s="292" t="str">
        <f>'Unit Savings Calculations'!U320</f>
        <v>CI-HVC-PINS-V04-160601</v>
      </c>
      <c r="M324" s="383" t="str">
        <f>'Unit Savings Calculations'!R320</f>
        <v>Exhibit 1.5A_R North Shore EEPS_Adjustable_Savings_Goal_Template.xlsx, Pipe Insulation Detail Tab</v>
      </c>
      <c r="N324" s="295">
        <v>35.984797966765058</v>
      </c>
      <c r="O324" s="295">
        <v>35.984797966765058</v>
      </c>
      <c r="P324" s="295">
        <v>35.984797966765058</v>
      </c>
      <c r="Q324" s="295">
        <v>35.984797966765058</v>
      </c>
      <c r="R324" s="296">
        <f>'Unit Savings Calculations'!$G320</f>
        <v>0.79</v>
      </c>
      <c r="S324" s="296">
        <f>'Unit Savings Calculations'!$G320</f>
        <v>0.79</v>
      </c>
      <c r="T324" s="296">
        <f>'Unit Savings Calculations'!$G320</f>
        <v>0.79</v>
      </c>
      <c r="U324" s="296">
        <f>'Unit Savings Calculations'!$G320</f>
        <v>0.79</v>
      </c>
      <c r="V324" s="297">
        <f t="shared" si="179"/>
        <v>0</v>
      </c>
      <c r="W324" s="297">
        <f t="shared" si="180"/>
        <v>0</v>
      </c>
      <c r="X324" s="297">
        <f t="shared" si="181"/>
        <v>0</v>
      </c>
      <c r="Y324" s="297">
        <f t="shared" si="182"/>
        <v>0</v>
      </c>
      <c r="Z324" s="297">
        <f t="shared" si="183"/>
        <v>0</v>
      </c>
      <c r="AA324" s="292"/>
      <c r="AB324" s="292"/>
      <c r="AC324" s="295">
        <v>35.984797966765058</v>
      </c>
      <c r="AD324" s="292"/>
      <c r="AE324" s="297">
        <f t="shared" si="169"/>
        <v>0</v>
      </c>
      <c r="AF324" s="294">
        <f t="shared" si="170"/>
        <v>0</v>
      </c>
      <c r="AG324" s="292"/>
      <c r="AH324" s="292">
        <f t="shared" si="171"/>
        <v>0</v>
      </c>
      <c r="AI324" s="295">
        <v>35.984797966765058</v>
      </c>
      <c r="AJ324" s="383" t="s">
        <v>878</v>
      </c>
      <c r="AK324" s="297">
        <f t="shared" si="172"/>
        <v>0</v>
      </c>
      <c r="AL324" s="294">
        <f t="shared" si="173"/>
        <v>0</v>
      </c>
      <c r="AM324" s="292"/>
      <c r="AN324" s="292"/>
      <c r="AO324" s="295">
        <f>'Unit Savings Calculations'!P320</f>
        <v>35.984797966765058</v>
      </c>
      <c r="AP324" s="383" t="s">
        <v>763</v>
      </c>
      <c r="AQ324" s="297">
        <f t="shared" si="174"/>
        <v>0</v>
      </c>
      <c r="AR324" s="294">
        <f t="shared" si="175"/>
        <v>0</v>
      </c>
      <c r="AS324" s="292"/>
      <c r="AT324" s="292"/>
      <c r="AU324" s="295">
        <f>'Unit Savings Calculations'!Q320</f>
        <v>35.984797966765058</v>
      </c>
      <c r="AV324" s="383" t="str">
        <f t="shared" si="158"/>
        <v>n/a</v>
      </c>
      <c r="AW324" s="297">
        <f t="shared" si="176"/>
        <v>0</v>
      </c>
      <c r="AX324" s="294">
        <f t="shared" si="177"/>
        <v>0</v>
      </c>
      <c r="AY324" s="297">
        <f t="shared" si="159"/>
        <v>0</v>
      </c>
      <c r="AZ324" s="297">
        <f t="shared" si="160"/>
        <v>0</v>
      </c>
      <c r="BA324" s="297">
        <f t="shared" si="161"/>
        <v>0</v>
      </c>
      <c r="BB324" s="297">
        <f t="shared" si="162"/>
        <v>0</v>
      </c>
      <c r="BC324" s="298">
        <f t="shared" si="163"/>
        <v>0</v>
      </c>
      <c r="BD324" s="292" t="s">
        <v>763</v>
      </c>
      <c r="BE324" s="299" t="str">
        <f t="shared" si="164"/>
        <v>Exhibit 1.5A_R North Shore EEPS_Adjustable_Savings_Goal_Template.xlsx, Pipe Insulation Detail Tab</v>
      </c>
      <c r="BF324" s="298">
        <f t="shared" si="165"/>
        <v>0</v>
      </c>
      <c r="BG324" s="298">
        <f t="shared" si="165"/>
        <v>0</v>
      </c>
      <c r="BH324" s="298">
        <f t="shared" si="165"/>
        <v>0</v>
      </c>
      <c r="BI324" s="298">
        <f t="shared" si="155"/>
        <v>0</v>
      </c>
      <c r="BJ324" s="298">
        <f t="shared" si="166"/>
        <v>0</v>
      </c>
      <c r="BK324" s="482">
        <v>15</v>
      </c>
      <c r="BL324" s="482">
        <v>15</v>
      </c>
      <c r="BM324" s="482">
        <f>INDEX('Unit Savings Calculations'!$I$4:$I$421,MATCH('Measure-Level Adjustments Tab'!$A324&amp;"_"&amp;'Measure-Level Adjustments Tab'!$B324,'Unit Savings Calculations'!$A$4:$A$421,0))</f>
        <v>15</v>
      </c>
      <c r="BN324" s="482">
        <f t="shared" si="167"/>
        <v>15</v>
      </c>
      <c r="BO324" s="483">
        <f t="shared" si="168"/>
        <v>0</v>
      </c>
      <c r="BP324" s="483">
        <f t="shared" si="168"/>
        <v>0</v>
      </c>
      <c r="BQ324" s="483">
        <f t="shared" si="168"/>
        <v>0</v>
      </c>
      <c r="BR324" s="483">
        <f t="shared" si="156"/>
        <v>0</v>
      </c>
      <c r="BS324" s="483">
        <f t="shared" si="157"/>
        <v>0</v>
      </c>
    </row>
    <row r="325" spans="1:71" ht="15.75" customHeight="1">
      <c r="A325" s="292" t="str">
        <f>'Unit Savings Calculations'!C321</f>
        <v>Bus - Public Rebates</v>
      </c>
      <c r="B325" s="292" t="str">
        <f>'Unit Savings Calculations'!D321</f>
        <v>Pipe Insulation - Steam Med Fitting</v>
      </c>
      <c r="C325" s="293">
        <f t="shared" ref="C325:C330" si="184">IF(D325="Custom",0,1)</f>
        <v>1</v>
      </c>
      <c r="D325" s="292" t="str">
        <f>'Unit Savings Calculations'!T321</f>
        <v>4.4.14</v>
      </c>
      <c r="E325" s="438">
        <v>15</v>
      </c>
      <c r="F325" s="438">
        <v>15</v>
      </c>
      <c r="G325" s="292" t="str">
        <f>'Unit Savings Calculations'!E321</f>
        <v>each</v>
      </c>
      <c r="H325" s="294">
        <f>'Unit Savings Calculations'!$F321*'Unit Savings Calculations'!J321</f>
        <v>0</v>
      </c>
      <c r="I325" s="294">
        <f>'Unit Savings Calculations'!$F321*'Unit Savings Calculations'!K321</f>
        <v>0</v>
      </c>
      <c r="J325" s="294">
        <f>'Unit Savings Calculations'!$F321*'Unit Savings Calculations'!L321</f>
        <v>0</v>
      </c>
      <c r="K325" s="294">
        <f>'Unit Savings Calculations'!$F321*'Unit Savings Calculations'!M321</f>
        <v>0</v>
      </c>
      <c r="L325" s="292" t="str">
        <f>'Unit Savings Calculations'!U321</f>
        <v>CI-HVC-PINS-V04-160601</v>
      </c>
      <c r="M325" s="383" t="str">
        <f>'Unit Savings Calculations'!R321</f>
        <v>Exhibit 1.5A_R North Shore EEPS_Adjustable_Savings_Goal_Template.xlsx, Pipe Insulation Detail Tab</v>
      </c>
      <c r="N325" s="295">
        <v>12.515179237984789</v>
      </c>
      <c r="O325" s="295">
        <v>12.515179237984789</v>
      </c>
      <c r="P325" s="295">
        <v>12.515179237984789</v>
      </c>
      <c r="Q325" s="295">
        <v>12.515179237984789</v>
      </c>
      <c r="R325" s="296">
        <f>'Unit Savings Calculations'!$G321</f>
        <v>0.79</v>
      </c>
      <c r="S325" s="296">
        <f>'Unit Savings Calculations'!$G321</f>
        <v>0.79</v>
      </c>
      <c r="T325" s="296">
        <f>'Unit Savings Calculations'!$G321</f>
        <v>0.79</v>
      </c>
      <c r="U325" s="296">
        <f>'Unit Savings Calculations'!$G321</f>
        <v>0.79</v>
      </c>
      <c r="V325" s="297">
        <f t="shared" si="179"/>
        <v>0</v>
      </c>
      <c r="W325" s="297">
        <f t="shared" si="180"/>
        <v>0</v>
      </c>
      <c r="X325" s="297">
        <f t="shared" si="181"/>
        <v>0</v>
      </c>
      <c r="Y325" s="297">
        <f t="shared" si="182"/>
        <v>0</v>
      </c>
      <c r="Z325" s="297">
        <f t="shared" si="183"/>
        <v>0</v>
      </c>
      <c r="AA325" s="292"/>
      <c r="AB325" s="292"/>
      <c r="AC325" s="295">
        <v>12.515179237984789</v>
      </c>
      <c r="AD325" s="292"/>
      <c r="AE325" s="297">
        <f t="shared" si="169"/>
        <v>0</v>
      </c>
      <c r="AF325" s="294">
        <f t="shared" si="170"/>
        <v>0</v>
      </c>
      <c r="AG325" s="292"/>
      <c r="AH325" s="292">
        <f t="shared" si="171"/>
        <v>0</v>
      </c>
      <c r="AI325" s="295">
        <v>12.515179237984789</v>
      </c>
      <c r="AJ325" s="383" t="s">
        <v>878</v>
      </c>
      <c r="AK325" s="297">
        <f t="shared" si="172"/>
        <v>0</v>
      </c>
      <c r="AL325" s="294">
        <f t="shared" si="173"/>
        <v>0</v>
      </c>
      <c r="AM325" s="292"/>
      <c r="AN325" s="292"/>
      <c r="AO325" s="295">
        <f>'Unit Savings Calculations'!P321</f>
        <v>12.515179237984789</v>
      </c>
      <c r="AP325" s="383" t="s">
        <v>763</v>
      </c>
      <c r="AQ325" s="297">
        <f t="shared" si="174"/>
        <v>0</v>
      </c>
      <c r="AR325" s="294">
        <f t="shared" si="175"/>
        <v>0</v>
      </c>
      <c r="AS325" s="292"/>
      <c r="AT325" s="292"/>
      <c r="AU325" s="295">
        <f>'Unit Savings Calculations'!Q321</f>
        <v>12.515179237984789</v>
      </c>
      <c r="AV325" s="383" t="str">
        <f t="shared" si="158"/>
        <v>n/a</v>
      </c>
      <c r="AW325" s="297">
        <f t="shared" si="176"/>
        <v>0</v>
      </c>
      <c r="AX325" s="294">
        <f t="shared" si="177"/>
        <v>0</v>
      </c>
      <c r="AY325" s="297">
        <f t="shared" si="159"/>
        <v>0</v>
      </c>
      <c r="AZ325" s="297">
        <f t="shared" si="160"/>
        <v>0</v>
      </c>
      <c r="BA325" s="297">
        <f t="shared" si="161"/>
        <v>0</v>
      </c>
      <c r="BB325" s="297">
        <f t="shared" si="162"/>
        <v>0</v>
      </c>
      <c r="BC325" s="298">
        <f t="shared" si="163"/>
        <v>0</v>
      </c>
      <c r="BD325" s="292" t="s">
        <v>763</v>
      </c>
      <c r="BE325" s="299" t="str">
        <f t="shared" si="164"/>
        <v>Exhibit 1.5A_R North Shore EEPS_Adjustable_Savings_Goal_Template.xlsx, Pipe Insulation Detail Tab</v>
      </c>
      <c r="BF325" s="298">
        <f t="shared" si="165"/>
        <v>0</v>
      </c>
      <c r="BG325" s="298">
        <f t="shared" si="165"/>
        <v>0</v>
      </c>
      <c r="BH325" s="298">
        <f t="shared" si="165"/>
        <v>0</v>
      </c>
      <c r="BI325" s="298">
        <f t="shared" si="155"/>
        <v>0</v>
      </c>
      <c r="BJ325" s="298">
        <f t="shared" si="166"/>
        <v>0</v>
      </c>
      <c r="BK325" s="482">
        <v>15</v>
      </c>
      <c r="BL325" s="482">
        <v>15</v>
      </c>
      <c r="BM325" s="482">
        <f>INDEX('Unit Savings Calculations'!$I$4:$I$421,MATCH('Measure-Level Adjustments Tab'!$A325&amp;"_"&amp;'Measure-Level Adjustments Tab'!$B325,'Unit Savings Calculations'!$A$4:$A$421,0))</f>
        <v>15</v>
      </c>
      <c r="BN325" s="482">
        <f t="shared" si="167"/>
        <v>15</v>
      </c>
      <c r="BO325" s="483">
        <f t="shared" si="168"/>
        <v>0</v>
      </c>
      <c r="BP325" s="483">
        <f t="shared" si="168"/>
        <v>0</v>
      </c>
      <c r="BQ325" s="483">
        <f t="shared" si="168"/>
        <v>0</v>
      </c>
      <c r="BR325" s="483">
        <f t="shared" si="156"/>
        <v>0</v>
      </c>
      <c r="BS325" s="483">
        <f t="shared" si="157"/>
        <v>0</v>
      </c>
    </row>
    <row r="326" spans="1:71" ht="15.75" customHeight="1">
      <c r="A326" s="292" t="str">
        <f>'Unit Savings Calculations'!C322</f>
        <v>Bus - Public Rebates</v>
      </c>
      <c r="B326" s="292" t="str">
        <f>'Unit Savings Calculations'!D322</f>
        <v>Pipe Insulation - Steam Large Fitting</v>
      </c>
      <c r="C326" s="293">
        <f t="shared" si="184"/>
        <v>1</v>
      </c>
      <c r="D326" s="292" t="str">
        <f>'Unit Savings Calculations'!T322</f>
        <v>4.4.14</v>
      </c>
      <c r="E326" s="438">
        <v>15</v>
      </c>
      <c r="F326" s="438">
        <v>15</v>
      </c>
      <c r="G326" s="292" t="str">
        <f>'Unit Savings Calculations'!E322</f>
        <v>each</v>
      </c>
      <c r="H326" s="294">
        <f>'Unit Savings Calculations'!$F322*'Unit Savings Calculations'!J322</f>
        <v>30</v>
      </c>
      <c r="I326" s="294">
        <f>'Unit Savings Calculations'!$F322*'Unit Savings Calculations'!K322</f>
        <v>30</v>
      </c>
      <c r="J326" s="294">
        <f>'Unit Savings Calculations'!$F322*'Unit Savings Calculations'!L322</f>
        <v>30</v>
      </c>
      <c r="K326" s="294">
        <f>'Unit Savings Calculations'!$F322*'Unit Savings Calculations'!M322</f>
        <v>30</v>
      </c>
      <c r="L326" s="292" t="str">
        <f>'Unit Savings Calculations'!U322</f>
        <v>CI-HVC-PINS-V04-160601</v>
      </c>
      <c r="M326" s="383" t="str">
        <f>'Unit Savings Calculations'!R322</f>
        <v>Exhibit 1.5A_R North Shore EEPS_Adjustable_Savings_Goal_Template.xlsx, Pipe Insulation Detail Tab</v>
      </c>
      <c r="N326" s="295">
        <v>51.249515380658096</v>
      </c>
      <c r="O326" s="295">
        <v>51.249515380658096</v>
      </c>
      <c r="P326" s="295">
        <v>51.249515380658096</v>
      </c>
      <c r="Q326" s="295">
        <v>51.249515380658096</v>
      </c>
      <c r="R326" s="296">
        <f>'Unit Savings Calculations'!$G322</f>
        <v>0.79</v>
      </c>
      <c r="S326" s="296">
        <f>'Unit Savings Calculations'!$G322</f>
        <v>0.79</v>
      </c>
      <c r="T326" s="296">
        <f>'Unit Savings Calculations'!$G322</f>
        <v>0.79</v>
      </c>
      <c r="U326" s="296">
        <f>'Unit Savings Calculations'!$G322</f>
        <v>0.79</v>
      </c>
      <c r="V326" s="297">
        <f t="shared" si="179"/>
        <v>1214.6135145215969</v>
      </c>
      <c r="W326" s="297">
        <f t="shared" si="180"/>
        <v>1214.6135145215969</v>
      </c>
      <c r="X326" s="297">
        <f t="shared" si="181"/>
        <v>1214.6135145215969</v>
      </c>
      <c r="Y326" s="297">
        <f t="shared" si="182"/>
        <v>1214.6135145215969</v>
      </c>
      <c r="Z326" s="297">
        <f t="shared" si="183"/>
        <v>4858.4540580863877</v>
      </c>
      <c r="AA326" s="292"/>
      <c r="AB326" s="292"/>
      <c r="AC326" s="295">
        <v>51.249515380658096</v>
      </c>
      <c r="AD326" s="292"/>
      <c r="AE326" s="297">
        <f t="shared" si="169"/>
        <v>1214.6135145215969</v>
      </c>
      <c r="AF326" s="294">
        <f t="shared" si="170"/>
        <v>0</v>
      </c>
      <c r="AG326" s="292"/>
      <c r="AH326" s="292">
        <f t="shared" si="171"/>
        <v>0</v>
      </c>
      <c r="AI326" s="295">
        <v>51.249515380658096</v>
      </c>
      <c r="AJ326" s="383" t="s">
        <v>878</v>
      </c>
      <c r="AK326" s="297">
        <f t="shared" si="172"/>
        <v>1214.6135145215969</v>
      </c>
      <c r="AL326" s="294">
        <f t="shared" si="173"/>
        <v>0</v>
      </c>
      <c r="AM326" s="292"/>
      <c r="AN326" s="292"/>
      <c r="AO326" s="295">
        <f>'Unit Savings Calculations'!P322</f>
        <v>51.249515380658096</v>
      </c>
      <c r="AP326" s="383" t="s">
        <v>763</v>
      </c>
      <c r="AQ326" s="297">
        <f t="shared" si="174"/>
        <v>1214.6135145215969</v>
      </c>
      <c r="AR326" s="294">
        <f t="shared" si="175"/>
        <v>0</v>
      </c>
      <c r="AS326" s="292"/>
      <c r="AT326" s="292"/>
      <c r="AU326" s="295">
        <f>'Unit Savings Calculations'!Q322</f>
        <v>51.249515380658096</v>
      </c>
      <c r="AV326" s="383" t="str">
        <f t="shared" si="158"/>
        <v>n/a</v>
      </c>
      <c r="AW326" s="297">
        <f t="shared" si="176"/>
        <v>1214.6135145215969</v>
      </c>
      <c r="AX326" s="294">
        <f t="shared" si="177"/>
        <v>0</v>
      </c>
      <c r="AY326" s="297">
        <f t="shared" si="159"/>
        <v>1214.6135145215969</v>
      </c>
      <c r="AZ326" s="297">
        <f t="shared" si="160"/>
        <v>1214.6135145215969</v>
      </c>
      <c r="BA326" s="297">
        <f t="shared" si="161"/>
        <v>1214.6135145215969</v>
      </c>
      <c r="BB326" s="297">
        <f t="shared" si="162"/>
        <v>1214.6135145215969</v>
      </c>
      <c r="BC326" s="298">
        <f t="shared" si="163"/>
        <v>4858.4540580863877</v>
      </c>
      <c r="BD326" s="292" t="s">
        <v>763</v>
      </c>
      <c r="BE326" s="299" t="str">
        <f t="shared" si="164"/>
        <v>Exhibit 1.5A_R North Shore EEPS_Adjustable_Savings_Goal_Template.xlsx, Pipe Insulation Detail Tab</v>
      </c>
      <c r="BF326" s="298">
        <f t="shared" si="165"/>
        <v>18219.202717823955</v>
      </c>
      <c r="BG326" s="298">
        <f t="shared" si="165"/>
        <v>18219.202717823955</v>
      </c>
      <c r="BH326" s="298">
        <f t="shared" si="165"/>
        <v>18219.202717823955</v>
      </c>
      <c r="BI326" s="298">
        <f t="shared" si="155"/>
        <v>18219.202717823955</v>
      </c>
      <c r="BJ326" s="298">
        <f t="shared" si="166"/>
        <v>72876.81087129582</v>
      </c>
      <c r="BK326" s="482">
        <v>15</v>
      </c>
      <c r="BL326" s="482">
        <v>15</v>
      </c>
      <c r="BM326" s="482">
        <f>INDEX('Unit Savings Calculations'!$I$4:$I$421,MATCH('Measure-Level Adjustments Tab'!$A326&amp;"_"&amp;'Measure-Level Adjustments Tab'!$B326,'Unit Savings Calculations'!$A$4:$A$421,0))</f>
        <v>15</v>
      </c>
      <c r="BN326" s="482">
        <f t="shared" si="167"/>
        <v>15</v>
      </c>
      <c r="BO326" s="483">
        <f t="shared" si="168"/>
        <v>18219.202717823955</v>
      </c>
      <c r="BP326" s="483">
        <f t="shared" si="168"/>
        <v>18219.202717823955</v>
      </c>
      <c r="BQ326" s="483">
        <f t="shared" si="168"/>
        <v>18219.202717823955</v>
      </c>
      <c r="BR326" s="483">
        <f t="shared" si="156"/>
        <v>18219.202717823955</v>
      </c>
      <c r="BS326" s="483">
        <f t="shared" si="157"/>
        <v>72876.81087129582</v>
      </c>
    </row>
    <row r="327" spans="1:71" ht="15.75" customHeight="1">
      <c r="A327" s="292" t="str">
        <f>'Unit Savings Calculations'!C323</f>
        <v>Bus - Public Rebates</v>
      </c>
      <c r="B327" s="292" t="str">
        <f>'Unit Savings Calculations'!D323</f>
        <v>Pipe Insulation - Steam X-Large Fitting</v>
      </c>
      <c r="C327" s="293">
        <f t="shared" si="184"/>
        <v>1</v>
      </c>
      <c r="D327" s="292" t="str">
        <f>'Unit Savings Calculations'!T323</f>
        <v>4.4.14</v>
      </c>
      <c r="E327" s="438">
        <v>15</v>
      </c>
      <c r="F327" s="438">
        <v>15</v>
      </c>
      <c r="G327" s="292" t="str">
        <f>'Unit Savings Calculations'!E323</f>
        <v>each</v>
      </c>
      <c r="H327" s="294">
        <f>'Unit Savings Calculations'!$F323*'Unit Savings Calculations'!J323</f>
        <v>0</v>
      </c>
      <c r="I327" s="294">
        <f>'Unit Savings Calculations'!$F323*'Unit Savings Calculations'!K323</f>
        <v>0</v>
      </c>
      <c r="J327" s="294">
        <f>'Unit Savings Calculations'!$F323*'Unit Savings Calculations'!L323</f>
        <v>0</v>
      </c>
      <c r="K327" s="294">
        <f>'Unit Savings Calculations'!$F323*'Unit Savings Calculations'!M323</f>
        <v>0</v>
      </c>
      <c r="L327" s="292" t="str">
        <f>'Unit Savings Calculations'!U323</f>
        <v>CI-HVC-PINS-V04-160601</v>
      </c>
      <c r="M327" s="383" t="str">
        <f>'Unit Savings Calculations'!R323</f>
        <v>Exhibit 1.5A_R North Shore EEPS_Adjustable_Savings_Goal_Template.xlsx, Pipe Insulation Detail Tab</v>
      </c>
      <c r="N327" s="295">
        <v>99.138118398437726</v>
      </c>
      <c r="O327" s="295">
        <v>99.138118398437726</v>
      </c>
      <c r="P327" s="295">
        <v>99.138118398437726</v>
      </c>
      <c r="Q327" s="295">
        <v>99.138118398437726</v>
      </c>
      <c r="R327" s="296">
        <f>'Unit Savings Calculations'!$G323</f>
        <v>0.79</v>
      </c>
      <c r="S327" s="296">
        <f>'Unit Savings Calculations'!$G323</f>
        <v>0.79</v>
      </c>
      <c r="T327" s="296">
        <f>'Unit Savings Calculations'!$G323</f>
        <v>0.79</v>
      </c>
      <c r="U327" s="296">
        <f>'Unit Savings Calculations'!$G323</f>
        <v>0.79</v>
      </c>
      <c r="V327" s="297">
        <f t="shared" si="179"/>
        <v>0</v>
      </c>
      <c r="W327" s="297">
        <f t="shared" si="180"/>
        <v>0</v>
      </c>
      <c r="X327" s="297">
        <f t="shared" si="181"/>
        <v>0</v>
      </c>
      <c r="Y327" s="297">
        <f t="shared" si="182"/>
        <v>0</v>
      </c>
      <c r="Z327" s="297">
        <f t="shared" si="183"/>
        <v>0</v>
      </c>
      <c r="AA327" s="292"/>
      <c r="AB327" s="292"/>
      <c r="AC327" s="295">
        <v>99.138118398437726</v>
      </c>
      <c r="AD327" s="292"/>
      <c r="AE327" s="297">
        <f t="shared" si="169"/>
        <v>0</v>
      </c>
      <c r="AF327" s="294">
        <f t="shared" si="170"/>
        <v>0</v>
      </c>
      <c r="AG327" s="292"/>
      <c r="AH327" s="292">
        <f t="shared" si="171"/>
        <v>0</v>
      </c>
      <c r="AI327" s="295">
        <v>99.138118398437726</v>
      </c>
      <c r="AJ327" s="383" t="s">
        <v>878</v>
      </c>
      <c r="AK327" s="297">
        <f t="shared" si="172"/>
        <v>0</v>
      </c>
      <c r="AL327" s="294">
        <f t="shared" si="173"/>
        <v>0</v>
      </c>
      <c r="AM327" s="292"/>
      <c r="AN327" s="292"/>
      <c r="AO327" s="295">
        <f>'Unit Savings Calculations'!P323</f>
        <v>99.138118398437726</v>
      </c>
      <c r="AP327" s="383" t="s">
        <v>763</v>
      </c>
      <c r="AQ327" s="297">
        <f t="shared" si="174"/>
        <v>0</v>
      </c>
      <c r="AR327" s="294">
        <f t="shared" si="175"/>
        <v>0</v>
      </c>
      <c r="AS327" s="292"/>
      <c r="AT327" s="292"/>
      <c r="AU327" s="295">
        <f>'Unit Savings Calculations'!Q323</f>
        <v>99.138118398437726</v>
      </c>
      <c r="AV327" s="383" t="str">
        <f t="shared" si="158"/>
        <v>n/a</v>
      </c>
      <c r="AW327" s="297">
        <f t="shared" si="176"/>
        <v>0</v>
      </c>
      <c r="AX327" s="294">
        <f t="shared" si="177"/>
        <v>0</v>
      </c>
      <c r="AY327" s="297">
        <f t="shared" si="159"/>
        <v>0</v>
      </c>
      <c r="AZ327" s="297">
        <f t="shared" si="160"/>
        <v>0</v>
      </c>
      <c r="BA327" s="297">
        <f t="shared" si="161"/>
        <v>0</v>
      </c>
      <c r="BB327" s="297">
        <f t="shared" si="162"/>
        <v>0</v>
      </c>
      <c r="BC327" s="298">
        <f t="shared" si="163"/>
        <v>0</v>
      </c>
      <c r="BD327" s="292" t="s">
        <v>763</v>
      </c>
      <c r="BE327" s="299" t="str">
        <f t="shared" si="164"/>
        <v>Exhibit 1.5A_R North Shore EEPS_Adjustable_Savings_Goal_Template.xlsx, Pipe Insulation Detail Tab</v>
      </c>
      <c r="BF327" s="298">
        <f t="shared" si="165"/>
        <v>0</v>
      </c>
      <c r="BG327" s="298">
        <f t="shared" si="165"/>
        <v>0</v>
      </c>
      <c r="BH327" s="298">
        <f t="shared" si="165"/>
        <v>0</v>
      </c>
      <c r="BI327" s="298">
        <f t="shared" si="155"/>
        <v>0</v>
      </c>
      <c r="BJ327" s="298">
        <f t="shared" si="166"/>
        <v>0</v>
      </c>
      <c r="BK327" s="482">
        <v>15</v>
      </c>
      <c r="BL327" s="482">
        <v>15</v>
      </c>
      <c r="BM327" s="482">
        <f>INDEX('Unit Savings Calculations'!$I$4:$I$421,MATCH('Measure-Level Adjustments Tab'!$A327&amp;"_"&amp;'Measure-Level Adjustments Tab'!$B327,'Unit Savings Calculations'!$A$4:$A$421,0))</f>
        <v>15</v>
      </c>
      <c r="BN327" s="482">
        <f t="shared" si="167"/>
        <v>15</v>
      </c>
      <c r="BO327" s="483">
        <f t="shared" si="168"/>
        <v>0</v>
      </c>
      <c r="BP327" s="483">
        <f t="shared" si="168"/>
        <v>0</v>
      </c>
      <c r="BQ327" s="483">
        <f t="shared" si="168"/>
        <v>0</v>
      </c>
      <c r="BR327" s="483">
        <f t="shared" si="156"/>
        <v>0</v>
      </c>
      <c r="BS327" s="483">
        <f t="shared" si="157"/>
        <v>0</v>
      </c>
    </row>
    <row r="328" spans="1:71" ht="15.75" customHeight="1">
      <c r="A328" s="292" t="str">
        <f>'Unit Savings Calculations'!C324</f>
        <v>Bus - Public Rebates</v>
      </c>
      <c r="B328" s="292" t="str">
        <f>'Unit Savings Calculations'!D324</f>
        <v>Pipe Insulation - Steam Med Valve</v>
      </c>
      <c r="C328" s="293">
        <f t="shared" si="184"/>
        <v>1</v>
      </c>
      <c r="D328" s="292" t="str">
        <f>'Unit Savings Calculations'!T324</f>
        <v>4.4.14</v>
      </c>
      <c r="E328" s="438">
        <v>15</v>
      </c>
      <c r="F328" s="438">
        <v>15</v>
      </c>
      <c r="G328" s="292" t="str">
        <f>'Unit Savings Calculations'!E324</f>
        <v>each</v>
      </c>
      <c r="H328" s="294">
        <f>'Unit Savings Calculations'!$F324*'Unit Savings Calculations'!J324</f>
        <v>0</v>
      </c>
      <c r="I328" s="294">
        <f>'Unit Savings Calculations'!$F324*'Unit Savings Calculations'!K324</f>
        <v>0</v>
      </c>
      <c r="J328" s="294">
        <f>'Unit Savings Calculations'!$F324*'Unit Savings Calculations'!L324</f>
        <v>0</v>
      </c>
      <c r="K328" s="294">
        <f>'Unit Savings Calculations'!$F324*'Unit Savings Calculations'!M324</f>
        <v>0</v>
      </c>
      <c r="L328" s="292" t="str">
        <f>'Unit Savings Calculations'!U324</f>
        <v>CI-HVC-PINS-V04-160601</v>
      </c>
      <c r="M328" s="383" t="str">
        <f>'Unit Savings Calculations'!R324</f>
        <v>Exhibit 1.5A_R North Shore EEPS_Adjustable_Savings_Goal_Template.xlsx, Pipe Insulation Detail Tab</v>
      </c>
      <c r="N328" s="295">
        <v>37.423389683572815</v>
      </c>
      <c r="O328" s="295">
        <v>37.423389683572815</v>
      </c>
      <c r="P328" s="295">
        <v>37.423389683572815</v>
      </c>
      <c r="Q328" s="295">
        <v>37.423389683572815</v>
      </c>
      <c r="R328" s="296">
        <f>'Unit Savings Calculations'!$G324</f>
        <v>0.79</v>
      </c>
      <c r="S328" s="296">
        <f>'Unit Savings Calculations'!$G324</f>
        <v>0.79</v>
      </c>
      <c r="T328" s="296">
        <f>'Unit Savings Calculations'!$G324</f>
        <v>0.79</v>
      </c>
      <c r="U328" s="296">
        <f>'Unit Savings Calculations'!$G324</f>
        <v>0.79</v>
      </c>
      <c r="V328" s="297">
        <f t="shared" si="179"/>
        <v>0</v>
      </c>
      <c r="W328" s="297">
        <f t="shared" si="180"/>
        <v>0</v>
      </c>
      <c r="X328" s="297">
        <f t="shared" si="181"/>
        <v>0</v>
      </c>
      <c r="Y328" s="297">
        <f t="shared" si="182"/>
        <v>0</v>
      </c>
      <c r="Z328" s="297">
        <f t="shared" si="183"/>
        <v>0</v>
      </c>
      <c r="AA328" s="292"/>
      <c r="AB328" s="292"/>
      <c r="AC328" s="295">
        <v>37.423389683572815</v>
      </c>
      <c r="AD328" s="292"/>
      <c r="AE328" s="297">
        <f t="shared" si="169"/>
        <v>0</v>
      </c>
      <c r="AF328" s="294">
        <f t="shared" si="170"/>
        <v>0</v>
      </c>
      <c r="AG328" s="292"/>
      <c r="AH328" s="292">
        <f t="shared" si="171"/>
        <v>0</v>
      </c>
      <c r="AI328" s="295">
        <v>37.423389683572815</v>
      </c>
      <c r="AJ328" s="383" t="s">
        <v>878</v>
      </c>
      <c r="AK328" s="297">
        <f t="shared" si="172"/>
        <v>0</v>
      </c>
      <c r="AL328" s="294">
        <f t="shared" si="173"/>
        <v>0</v>
      </c>
      <c r="AM328" s="292"/>
      <c r="AN328" s="292"/>
      <c r="AO328" s="295">
        <f>'Unit Savings Calculations'!P324</f>
        <v>37.423389683572815</v>
      </c>
      <c r="AP328" s="383" t="s">
        <v>763</v>
      </c>
      <c r="AQ328" s="297">
        <f t="shared" si="174"/>
        <v>0</v>
      </c>
      <c r="AR328" s="294">
        <f t="shared" si="175"/>
        <v>0</v>
      </c>
      <c r="AS328" s="292"/>
      <c r="AT328" s="292"/>
      <c r="AU328" s="295">
        <f>'Unit Savings Calculations'!Q324</f>
        <v>37.423389683572815</v>
      </c>
      <c r="AV328" s="383" t="str">
        <f t="shared" si="158"/>
        <v>n/a</v>
      </c>
      <c r="AW328" s="297">
        <f t="shared" si="176"/>
        <v>0</v>
      </c>
      <c r="AX328" s="294">
        <f t="shared" si="177"/>
        <v>0</v>
      </c>
      <c r="AY328" s="297">
        <f t="shared" si="159"/>
        <v>0</v>
      </c>
      <c r="AZ328" s="297">
        <f t="shared" si="160"/>
        <v>0</v>
      </c>
      <c r="BA328" s="297">
        <f t="shared" si="161"/>
        <v>0</v>
      </c>
      <c r="BB328" s="297">
        <f t="shared" si="162"/>
        <v>0</v>
      </c>
      <c r="BC328" s="298">
        <f t="shared" si="163"/>
        <v>0</v>
      </c>
      <c r="BD328" s="292" t="s">
        <v>763</v>
      </c>
      <c r="BE328" s="299" t="str">
        <f t="shared" si="164"/>
        <v>Exhibit 1.5A_R North Shore EEPS_Adjustable_Savings_Goal_Template.xlsx, Pipe Insulation Detail Tab</v>
      </c>
      <c r="BF328" s="298">
        <f t="shared" si="165"/>
        <v>0</v>
      </c>
      <c r="BG328" s="298">
        <f t="shared" si="165"/>
        <v>0</v>
      </c>
      <c r="BH328" s="298">
        <f t="shared" si="165"/>
        <v>0</v>
      </c>
      <c r="BI328" s="298">
        <f t="shared" si="165"/>
        <v>0</v>
      </c>
      <c r="BJ328" s="298">
        <f t="shared" si="166"/>
        <v>0</v>
      </c>
      <c r="BK328" s="482">
        <v>15</v>
      </c>
      <c r="BL328" s="482">
        <v>15</v>
      </c>
      <c r="BM328" s="482">
        <f>INDEX('Unit Savings Calculations'!$I$4:$I$421,MATCH('Measure-Level Adjustments Tab'!$A328&amp;"_"&amp;'Measure-Level Adjustments Tab'!$B328,'Unit Savings Calculations'!$A$4:$A$421,0))</f>
        <v>15</v>
      </c>
      <c r="BN328" s="482">
        <f t="shared" si="167"/>
        <v>15</v>
      </c>
      <c r="BO328" s="483">
        <f t="shared" si="168"/>
        <v>0</v>
      </c>
      <c r="BP328" s="483">
        <f t="shared" si="168"/>
        <v>0</v>
      </c>
      <c r="BQ328" s="483">
        <f t="shared" si="168"/>
        <v>0</v>
      </c>
      <c r="BR328" s="483">
        <f t="shared" si="168"/>
        <v>0</v>
      </c>
      <c r="BS328" s="483">
        <f t="shared" ref="BS328:BS391" si="185">SUM(BO328:BR328)</f>
        <v>0</v>
      </c>
    </row>
    <row r="329" spans="1:71" ht="15.75" customHeight="1">
      <c r="A329" s="292" t="str">
        <f>'Unit Savings Calculations'!C325</f>
        <v>Bus - Public Rebates</v>
      </c>
      <c r="B329" s="292" t="str">
        <f>'Unit Savings Calculations'!D325</f>
        <v>Pipe Insulation - Steam Large Valve</v>
      </c>
      <c r="C329" s="293">
        <f t="shared" si="184"/>
        <v>1</v>
      </c>
      <c r="D329" s="292" t="str">
        <f>'Unit Savings Calculations'!T325</f>
        <v>4.4.14</v>
      </c>
      <c r="E329" s="438">
        <v>15</v>
      </c>
      <c r="F329" s="438">
        <v>15</v>
      </c>
      <c r="G329" s="292" t="str">
        <f>'Unit Savings Calculations'!E325</f>
        <v>each</v>
      </c>
      <c r="H329" s="294">
        <f>'Unit Savings Calculations'!$F325*'Unit Savings Calculations'!J325</f>
        <v>0</v>
      </c>
      <c r="I329" s="294">
        <f>'Unit Savings Calculations'!$F325*'Unit Savings Calculations'!K325</f>
        <v>0</v>
      </c>
      <c r="J329" s="294">
        <f>'Unit Savings Calculations'!$F325*'Unit Savings Calculations'!L325</f>
        <v>0</v>
      </c>
      <c r="K329" s="294">
        <f>'Unit Savings Calculations'!$F325*'Unit Savings Calculations'!M325</f>
        <v>0</v>
      </c>
      <c r="L329" s="292" t="str">
        <f>'Unit Savings Calculations'!U325</f>
        <v>CI-HVC-PINS-V04-160601</v>
      </c>
      <c r="M329" s="383" t="str">
        <f>'Unit Savings Calculations'!R325</f>
        <v>Exhibit 1.5A_R North Shore EEPS_Adjustable_Savings_Goal_Template.xlsx, Pipe Insulation Detail Tab</v>
      </c>
      <c r="N329" s="295">
        <v>107.52607289087437</v>
      </c>
      <c r="O329" s="295">
        <v>107.52607289087437</v>
      </c>
      <c r="P329" s="295">
        <v>107.52607289087437</v>
      </c>
      <c r="Q329" s="295">
        <v>107.52607289087437</v>
      </c>
      <c r="R329" s="296">
        <f>'Unit Savings Calculations'!$G325</f>
        <v>0.79</v>
      </c>
      <c r="S329" s="296">
        <f>'Unit Savings Calculations'!$G325</f>
        <v>0.79</v>
      </c>
      <c r="T329" s="296">
        <f>'Unit Savings Calculations'!$G325</f>
        <v>0.79</v>
      </c>
      <c r="U329" s="296">
        <f>'Unit Savings Calculations'!$G325</f>
        <v>0.79</v>
      </c>
      <c r="V329" s="297">
        <f t="shared" si="179"/>
        <v>0</v>
      </c>
      <c r="W329" s="297">
        <f t="shared" si="180"/>
        <v>0</v>
      </c>
      <c r="X329" s="297">
        <f t="shared" si="181"/>
        <v>0</v>
      </c>
      <c r="Y329" s="297">
        <f t="shared" si="182"/>
        <v>0</v>
      </c>
      <c r="Z329" s="297">
        <f t="shared" si="183"/>
        <v>0</v>
      </c>
      <c r="AA329" s="292"/>
      <c r="AB329" s="292"/>
      <c r="AC329" s="295">
        <v>107.52607289087437</v>
      </c>
      <c r="AD329" s="292"/>
      <c r="AE329" s="297">
        <f t="shared" si="169"/>
        <v>0</v>
      </c>
      <c r="AF329" s="294">
        <f t="shared" si="170"/>
        <v>0</v>
      </c>
      <c r="AG329" s="292"/>
      <c r="AH329" s="292">
        <f t="shared" si="171"/>
        <v>0</v>
      </c>
      <c r="AI329" s="295">
        <v>107.52607289087437</v>
      </c>
      <c r="AJ329" s="383" t="s">
        <v>878</v>
      </c>
      <c r="AK329" s="297">
        <f t="shared" si="172"/>
        <v>0</v>
      </c>
      <c r="AL329" s="294">
        <f t="shared" si="173"/>
        <v>0</v>
      </c>
      <c r="AM329" s="292"/>
      <c r="AN329" s="292"/>
      <c r="AO329" s="295">
        <f>'Unit Savings Calculations'!P325</f>
        <v>107.52607289087437</v>
      </c>
      <c r="AP329" s="383" t="s">
        <v>763</v>
      </c>
      <c r="AQ329" s="297">
        <f t="shared" si="174"/>
        <v>0</v>
      </c>
      <c r="AR329" s="294">
        <f t="shared" si="175"/>
        <v>0</v>
      </c>
      <c r="AS329" s="292"/>
      <c r="AT329" s="292"/>
      <c r="AU329" s="295">
        <f>'Unit Savings Calculations'!Q325</f>
        <v>107.52607289087437</v>
      </c>
      <c r="AV329" s="383" t="str">
        <f t="shared" ref="AV329:AV392" si="186">AP329</f>
        <v>n/a</v>
      </c>
      <c r="AW329" s="297">
        <f t="shared" si="176"/>
        <v>0</v>
      </c>
      <c r="AX329" s="294">
        <f t="shared" si="177"/>
        <v>0</v>
      </c>
      <c r="AY329" s="297">
        <f t="shared" ref="AY329:AY392" si="187">IF(C329=1,AE329,V329)</f>
        <v>0</v>
      </c>
      <c r="AZ329" s="297">
        <f t="shared" ref="AZ329:AZ392" si="188">IF(C329=1,AK329,W329)</f>
        <v>0</v>
      </c>
      <c r="BA329" s="297">
        <f t="shared" ref="BA329:BA392" si="189">IF(C329=1,AQ329,X329)</f>
        <v>0</v>
      </c>
      <c r="BB329" s="297">
        <f t="shared" ref="BB329:BB392" si="190">IF(C329=1,AW329,Y329)</f>
        <v>0</v>
      </c>
      <c r="BC329" s="298">
        <f t="shared" ref="BC329:BC392" si="191">AY329+AZ329+BA329+BB329</f>
        <v>0</v>
      </c>
      <c r="BD329" s="292" t="s">
        <v>763</v>
      </c>
      <c r="BE329" s="299" t="str">
        <f t="shared" ref="BE329:BE392" si="192">M329</f>
        <v>Exhibit 1.5A_R North Shore EEPS_Adjustable_Savings_Goal_Template.xlsx, Pipe Insulation Detail Tab</v>
      </c>
      <c r="BF329" s="298">
        <f t="shared" ref="BF329:BI392" si="193">$F329*V329</f>
        <v>0</v>
      </c>
      <c r="BG329" s="298">
        <f t="shared" si="193"/>
        <v>0</v>
      </c>
      <c r="BH329" s="298">
        <f t="shared" si="193"/>
        <v>0</v>
      </c>
      <c r="BI329" s="298">
        <f t="shared" si="193"/>
        <v>0</v>
      </c>
      <c r="BJ329" s="298">
        <f t="shared" ref="BJ329:BJ392" si="194">SUM(BF329:BI329)</f>
        <v>0</v>
      </c>
      <c r="BK329" s="482">
        <v>15</v>
      </c>
      <c r="BL329" s="482">
        <v>15</v>
      </c>
      <c r="BM329" s="482">
        <f>INDEX('Unit Savings Calculations'!$I$4:$I$421,MATCH('Measure-Level Adjustments Tab'!$A329&amp;"_"&amp;'Measure-Level Adjustments Tab'!$B329,'Unit Savings Calculations'!$A$4:$A$421,0))</f>
        <v>15</v>
      </c>
      <c r="BN329" s="482">
        <f t="shared" ref="BN329:BN392" si="195">BM329</f>
        <v>15</v>
      </c>
      <c r="BO329" s="483">
        <f t="shared" ref="BO329:BR392" si="196">AY329*BK329</f>
        <v>0</v>
      </c>
      <c r="BP329" s="483">
        <f t="shared" si="196"/>
        <v>0</v>
      </c>
      <c r="BQ329" s="483">
        <f t="shared" si="196"/>
        <v>0</v>
      </c>
      <c r="BR329" s="483">
        <f t="shared" si="196"/>
        <v>0</v>
      </c>
      <c r="BS329" s="483">
        <f t="shared" si="185"/>
        <v>0</v>
      </c>
    </row>
    <row r="330" spans="1:71" ht="15.75" customHeight="1">
      <c r="A330" s="292" t="str">
        <f>'Unit Savings Calculations'!C326</f>
        <v>Bus - Public Rebates</v>
      </c>
      <c r="B330" s="292" t="str">
        <f>'Unit Savings Calculations'!D326</f>
        <v>Pipe Insulation - Steam X-Large Valve</v>
      </c>
      <c r="C330" s="293">
        <f t="shared" si="184"/>
        <v>1</v>
      </c>
      <c r="D330" s="292" t="str">
        <f>'Unit Savings Calculations'!T326</f>
        <v>4.4.14</v>
      </c>
      <c r="E330" s="438">
        <v>15</v>
      </c>
      <c r="F330" s="438">
        <v>15</v>
      </c>
      <c r="G330" s="292" t="str">
        <f>'Unit Savings Calculations'!E326</f>
        <v>each</v>
      </c>
      <c r="H330" s="294">
        <f>'Unit Savings Calculations'!$F326*'Unit Savings Calculations'!J326</f>
        <v>0</v>
      </c>
      <c r="I330" s="294">
        <f>'Unit Savings Calculations'!$F326*'Unit Savings Calculations'!K326</f>
        <v>0</v>
      </c>
      <c r="J330" s="294">
        <f>'Unit Savings Calculations'!$F326*'Unit Savings Calculations'!L326</f>
        <v>0</v>
      </c>
      <c r="K330" s="294">
        <f>'Unit Savings Calculations'!$F326*'Unit Savings Calculations'!M326</f>
        <v>0</v>
      </c>
      <c r="L330" s="292" t="str">
        <f>'Unit Savings Calculations'!U326</f>
        <v>CI-HVC-PINS-V04-160601</v>
      </c>
      <c r="M330" s="383" t="str">
        <f>'Unit Savings Calculations'!R326</f>
        <v>Exhibit 1.5A_R North Shore EEPS_Adjustable_Savings_Goal_Template.xlsx, Pipe Insulation Detail Tab</v>
      </c>
      <c r="N330" s="295">
        <v>175.06254164158375</v>
      </c>
      <c r="O330" s="295">
        <v>175.06254164158375</v>
      </c>
      <c r="P330" s="295">
        <v>175.06254164158375</v>
      </c>
      <c r="Q330" s="295">
        <v>175.06254164158375</v>
      </c>
      <c r="R330" s="296">
        <f>'Unit Savings Calculations'!$G326</f>
        <v>0.79</v>
      </c>
      <c r="S330" s="296">
        <f>'Unit Savings Calculations'!$G326</f>
        <v>0.79</v>
      </c>
      <c r="T330" s="296">
        <f>'Unit Savings Calculations'!$G326</f>
        <v>0.79</v>
      </c>
      <c r="U330" s="296">
        <f>'Unit Savings Calculations'!$G326</f>
        <v>0.79</v>
      </c>
      <c r="V330" s="297">
        <f t="shared" si="179"/>
        <v>0</v>
      </c>
      <c r="W330" s="297">
        <f t="shared" si="180"/>
        <v>0</v>
      </c>
      <c r="X330" s="297">
        <f t="shared" si="181"/>
        <v>0</v>
      </c>
      <c r="Y330" s="297">
        <f t="shared" si="182"/>
        <v>0</v>
      </c>
      <c r="Z330" s="297">
        <f t="shared" si="183"/>
        <v>0</v>
      </c>
      <c r="AA330" s="292"/>
      <c r="AB330" s="292"/>
      <c r="AC330" s="295">
        <v>175.06254164158375</v>
      </c>
      <c r="AD330" s="292"/>
      <c r="AE330" s="297">
        <f t="shared" ref="AE330:AE393" si="197">H330*AC330*R330</f>
        <v>0</v>
      </c>
      <c r="AF330" s="294">
        <f t="shared" ref="AF330:AF393" si="198">AE330-V330</f>
        <v>0</v>
      </c>
      <c r="AG330" s="292"/>
      <c r="AH330" s="292">
        <f t="shared" ref="AH330:AH393" si="199">AB330</f>
        <v>0</v>
      </c>
      <c r="AI330" s="295">
        <v>175.06254164158375</v>
      </c>
      <c r="AJ330" s="383" t="s">
        <v>878</v>
      </c>
      <c r="AK330" s="297">
        <f t="shared" ref="AK330:AK393" si="200">I330*AI330*S330</f>
        <v>0</v>
      </c>
      <c r="AL330" s="294">
        <f t="shared" ref="AL330:AL393" si="201">AK330-W330</f>
        <v>0</v>
      </c>
      <c r="AM330" s="292"/>
      <c r="AN330" s="292"/>
      <c r="AO330" s="295">
        <f>'Unit Savings Calculations'!P326</f>
        <v>175.06254164158375</v>
      </c>
      <c r="AP330" s="383" t="s">
        <v>763</v>
      </c>
      <c r="AQ330" s="297">
        <f t="shared" ref="AQ330:AQ393" si="202">J330*AO330*T330</f>
        <v>0</v>
      </c>
      <c r="AR330" s="294">
        <f t="shared" ref="AR330:AR393" si="203">AQ330-X330</f>
        <v>0</v>
      </c>
      <c r="AS330" s="292"/>
      <c r="AT330" s="292"/>
      <c r="AU330" s="295">
        <f>'Unit Savings Calculations'!Q326</f>
        <v>175.06254164158375</v>
      </c>
      <c r="AV330" s="383" t="str">
        <f t="shared" si="186"/>
        <v>n/a</v>
      </c>
      <c r="AW330" s="297">
        <f t="shared" ref="AW330:AW393" si="204">K330*AU330*U330</f>
        <v>0</v>
      </c>
      <c r="AX330" s="294">
        <f t="shared" ref="AX330:AX393" si="205">AW330-Y330</f>
        <v>0</v>
      </c>
      <c r="AY330" s="297">
        <f t="shared" si="187"/>
        <v>0</v>
      </c>
      <c r="AZ330" s="297">
        <f t="shared" si="188"/>
        <v>0</v>
      </c>
      <c r="BA330" s="297">
        <f t="shared" si="189"/>
        <v>0</v>
      </c>
      <c r="BB330" s="297">
        <f t="shared" si="190"/>
        <v>0</v>
      </c>
      <c r="BC330" s="298">
        <f t="shared" si="191"/>
        <v>0</v>
      </c>
      <c r="BD330" s="292" t="s">
        <v>763</v>
      </c>
      <c r="BE330" s="299" t="str">
        <f t="shared" si="192"/>
        <v>Exhibit 1.5A_R North Shore EEPS_Adjustable_Savings_Goal_Template.xlsx, Pipe Insulation Detail Tab</v>
      </c>
      <c r="BF330" s="298">
        <f t="shared" si="193"/>
        <v>0</v>
      </c>
      <c r="BG330" s="298">
        <f t="shared" si="193"/>
        <v>0</v>
      </c>
      <c r="BH330" s="298">
        <f t="shared" si="193"/>
        <v>0</v>
      </c>
      <c r="BI330" s="298">
        <f t="shared" si="193"/>
        <v>0</v>
      </c>
      <c r="BJ330" s="298">
        <f t="shared" si="194"/>
        <v>0</v>
      </c>
      <c r="BK330" s="482">
        <v>15</v>
      </c>
      <c r="BL330" s="482">
        <v>15</v>
      </c>
      <c r="BM330" s="482">
        <f>INDEX('Unit Savings Calculations'!$I$4:$I$421,MATCH('Measure-Level Adjustments Tab'!$A330&amp;"_"&amp;'Measure-Level Adjustments Tab'!$B330,'Unit Savings Calculations'!$A$4:$A$421,0))</f>
        <v>15</v>
      </c>
      <c r="BN330" s="482">
        <f t="shared" si="195"/>
        <v>15</v>
      </c>
      <c r="BO330" s="483">
        <f t="shared" si="196"/>
        <v>0</v>
      </c>
      <c r="BP330" s="483">
        <f t="shared" si="196"/>
        <v>0</v>
      </c>
      <c r="BQ330" s="483">
        <f t="shared" si="196"/>
        <v>0</v>
      </c>
      <c r="BR330" s="483">
        <f t="shared" si="196"/>
        <v>0</v>
      </c>
      <c r="BS330" s="483">
        <f t="shared" si="185"/>
        <v>0</v>
      </c>
    </row>
    <row r="331" spans="1:71" ht="15.75" customHeight="1">
      <c r="A331" s="292" t="str">
        <f>'Unit Savings Calculations'!C327</f>
        <v>Bus - Public Rebates</v>
      </c>
      <c r="B331" s="292" t="str">
        <f>'Unit Savings Calculations'!D327</f>
        <v>Pre Rinse Sprayer</v>
      </c>
      <c r="C331" s="293">
        <f t="shared" si="178"/>
        <v>1</v>
      </c>
      <c r="D331" s="292" t="str">
        <f>'Unit Savings Calculations'!T327</f>
        <v>4.2.11</v>
      </c>
      <c r="E331" s="438">
        <v>5</v>
      </c>
      <c r="F331" s="438">
        <v>5</v>
      </c>
      <c r="G331" s="292" t="str">
        <f>'Unit Savings Calculations'!E327</f>
        <v>each</v>
      </c>
      <c r="H331" s="294">
        <f>'Unit Savings Calculations'!$F327*'Unit Savings Calculations'!J327</f>
        <v>0</v>
      </c>
      <c r="I331" s="294">
        <f>'Unit Savings Calculations'!$F327*'Unit Savings Calculations'!K327</f>
        <v>0</v>
      </c>
      <c r="J331" s="294">
        <f>'Unit Savings Calculations'!$F327*'Unit Savings Calculations'!L327</f>
        <v>0</v>
      </c>
      <c r="K331" s="294">
        <f>'Unit Savings Calculations'!$F327*'Unit Savings Calculations'!M327</f>
        <v>0</v>
      </c>
      <c r="L331" s="292" t="str">
        <f>'Unit Savings Calculations'!U327</f>
        <v>CI-FSE-SPRY-V04-180101</v>
      </c>
      <c r="M331" s="383" t="str">
        <f>'Unit Savings Calculations'!R327</f>
        <v>Exhibit 1.5A_R North Shore EEPS_Adjustable_Savings_Goal_Template.xlsx, Unit Savings Calculations Tab</v>
      </c>
      <c r="N331" s="295">
        <v>221.04154800000003</v>
      </c>
      <c r="O331" s="295">
        <v>221.04154800000003</v>
      </c>
      <c r="P331" s="295">
        <v>221.04154800000003</v>
      </c>
      <c r="Q331" s="295">
        <v>221.04154800000003</v>
      </c>
      <c r="R331" s="296">
        <f>'Unit Savings Calculations'!$G327</f>
        <v>0.79</v>
      </c>
      <c r="S331" s="296">
        <f>'Unit Savings Calculations'!$G327</f>
        <v>0.79</v>
      </c>
      <c r="T331" s="296">
        <f>'Unit Savings Calculations'!$G327</f>
        <v>0.79</v>
      </c>
      <c r="U331" s="296">
        <f>'Unit Savings Calculations'!$G327</f>
        <v>0.79</v>
      </c>
      <c r="V331" s="297">
        <f t="shared" si="179"/>
        <v>0</v>
      </c>
      <c r="W331" s="297">
        <f t="shared" si="180"/>
        <v>0</v>
      </c>
      <c r="X331" s="297">
        <f t="shared" si="181"/>
        <v>0</v>
      </c>
      <c r="Y331" s="297">
        <f t="shared" si="182"/>
        <v>0</v>
      </c>
      <c r="Z331" s="297">
        <f t="shared" si="183"/>
        <v>0</v>
      </c>
      <c r="AA331" s="292"/>
      <c r="AB331" s="292"/>
      <c r="AC331" s="295">
        <v>221.04154800000003</v>
      </c>
      <c r="AD331" s="292"/>
      <c r="AE331" s="297">
        <f t="shared" si="197"/>
        <v>0</v>
      </c>
      <c r="AF331" s="294">
        <f t="shared" si="198"/>
        <v>0</v>
      </c>
      <c r="AG331" s="292"/>
      <c r="AH331" s="292">
        <f t="shared" si="199"/>
        <v>0</v>
      </c>
      <c r="AI331" s="295">
        <v>221.04154800000003</v>
      </c>
      <c r="AJ331" s="383" t="s">
        <v>878</v>
      </c>
      <c r="AK331" s="297">
        <f t="shared" si="200"/>
        <v>0</v>
      </c>
      <c r="AL331" s="294">
        <f t="shared" si="201"/>
        <v>0</v>
      </c>
      <c r="AM331" s="292"/>
      <c r="AN331" s="292"/>
      <c r="AO331" s="295">
        <f>'Unit Savings Calculations'!P327</f>
        <v>102.33405</v>
      </c>
      <c r="AP331" s="383" t="s">
        <v>1427</v>
      </c>
      <c r="AQ331" s="297">
        <f t="shared" si="202"/>
        <v>0</v>
      </c>
      <c r="AR331" s="294">
        <f t="shared" si="203"/>
        <v>0</v>
      </c>
      <c r="AS331" s="292"/>
      <c r="AT331" s="292"/>
      <c r="AU331" s="295">
        <f>'Unit Savings Calculations'!Q327</f>
        <v>102.33405</v>
      </c>
      <c r="AV331" s="383" t="str">
        <f t="shared" si="186"/>
        <v>Updated base and EE flow rates</v>
      </c>
      <c r="AW331" s="297">
        <f t="shared" si="204"/>
        <v>0</v>
      </c>
      <c r="AX331" s="294">
        <f t="shared" si="205"/>
        <v>0</v>
      </c>
      <c r="AY331" s="297">
        <f t="shared" si="187"/>
        <v>0</v>
      </c>
      <c r="AZ331" s="297">
        <f t="shared" si="188"/>
        <v>0</v>
      </c>
      <c r="BA331" s="297">
        <f t="shared" si="189"/>
        <v>0</v>
      </c>
      <c r="BB331" s="297">
        <f t="shared" si="190"/>
        <v>0</v>
      </c>
      <c r="BC331" s="298">
        <f t="shared" si="191"/>
        <v>0</v>
      </c>
      <c r="BD331" s="292" t="s">
        <v>763</v>
      </c>
      <c r="BE331" s="299" t="str">
        <f t="shared" si="192"/>
        <v>Exhibit 1.5A_R North Shore EEPS_Adjustable_Savings_Goal_Template.xlsx, Unit Savings Calculations Tab</v>
      </c>
      <c r="BF331" s="298">
        <f t="shared" si="193"/>
        <v>0</v>
      </c>
      <c r="BG331" s="298">
        <f t="shared" si="193"/>
        <v>0</v>
      </c>
      <c r="BH331" s="298">
        <f t="shared" si="193"/>
        <v>0</v>
      </c>
      <c r="BI331" s="298">
        <f t="shared" si="193"/>
        <v>0</v>
      </c>
      <c r="BJ331" s="298">
        <f t="shared" si="194"/>
        <v>0</v>
      </c>
      <c r="BK331" s="482">
        <v>5</v>
      </c>
      <c r="BL331" s="482">
        <v>5</v>
      </c>
      <c r="BM331" s="482">
        <f>INDEX('Unit Savings Calculations'!$I$4:$I$421,MATCH('Measure-Level Adjustments Tab'!$A331&amp;"_"&amp;'Measure-Level Adjustments Tab'!$B331,'Unit Savings Calculations'!$A$4:$A$421,0))</f>
        <v>5</v>
      </c>
      <c r="BN331" s="482">
        <f t="shared" si="195"/>
        <v>5</v>
      </c>
      <c r="BO331" s="483">
        <f t="shared" si="196"/>
        <v>0</v>
      </c>
      <c r="BP331" s="483">
        <f t="shared" si="196"/>
        <v>0</v>
      </c>
      <c r="BQ331" s="483">
        <f t="shared" si="196"/>
        <v>0</v>
      </c>
      <c r="BR331" s="483">
        <f t="shared" si="196"/>
        <v>0</v>
      </c>
      <c r="BS331" s="483">
        <f t="shared" si="185"/>
        <v>0</v>
      </c>
    </row>
    <row r="332" spans="1:71" ht="15.75" customHeight="1">
      <c r="A332" s="292" t="str">
        <f>'Unit Savings Calculations'!C328</f>
        <v>Bus - Public Rebates</v>
      </c>
      <c r="B332" s="292" t="str">
        <f>'Unit Savings Calculations'!D328</f>
        <v>Steam Boiler ≥82% AFUE, &gt;300MBh TE</v>
      </c>
      <c r="C332" s="293">
        <f t="shared" si="178"/>
        <v>1</v>
      </c>
      <c r="D332" s="292" t="str">
        <f>'Unit Savings Calculations'!T328</f>
        <v>4.4.10</v>
      </c>
      <c r="E332" s="438">
        <v>20</v>
      </c>
      <c r="F332" s="438">
        <v>20</v>
      </c>
      <c r="G332" s="292" t="str">
        <f>'Unit Savings Calculations'!E328</f>
        <v>MBH</v>
      </c>
      <c r="H332" s="294">
        <f>'Unit Savings Calculations'!$F328*'Unit Savings Calculations'!J328</f>
        <v>7000</v>
      </c>
      <c r="I332" s="294">
        <f>'Unit Savings Calculations'!$F328*'Unit Savings Calculations'!K328</f>
        <v>7000</v>
      </c>
      <c r="J332" s="294">
        <f>'Unit Savings Calculations'!$F328*'Unit Savings Calculations'!L328</f>
        <v>7000</v>
      </c>
      <c r="K332" s="294">
        <f>'Unit Savings Calculations'!$F328*'Unit Savings Calculations'!M328</f>
        <v>7000</v>
      </c>
      <c r="L332" s="292" t="str">
        <f>'Unit Savings Calculations'!U328</f>
        <v>CI-HVC-BOIL-V05-150601</v>
      </c>
      <c r="M332" s="383" t="str">
        <f>'Unit Savings Calculations'!R328</f>
        <v>Exhibit 1.5A_R North Shore EEPS_Adjustable_Savings_Goal_Template.xlsx, Unit Savings Calculations Tab</v>
      </c>
      <c r="N332" s="295">
        <v>0.58443037974683376</v>
      </c>
      <c r="O332" s="295">
        <v>0.58443037974683376</v>
      </c>
      <c r="P332" s="295">
        <v>0.58443037974683376</v>
      </c>
      <c r="Q332" s="295">
        <v>0.58443037974683376</v>
      </c>
      <c r="R332" s="296">
        <f>'Unit Savings Calculations'!$G328</f>
        <v>0.79</v>
      </c>
      <c r="S332" s="296">
        <f>'Unit Savings Calculations'!$G328</f>
        <v>0.79</v>
      </c>
      <c r="T332" s="296">
        <f>'Unit Savings Calculations'!$G328</f>
        <v>0.79</v>
      </c>
      <c r="U332" s="296">
        <f>'Unit Savings Calculations'!$G328</f>
        <v>0.79</v>
      </c>
      <c r="V332" s="297">
        <f t="shared" si="179"/>
        <v>3231.899999999991</v>
      </c>
      <c r="W332" s="297">
        <f t="shared" si="180"/>
        <v>3231.899999999991</v>
      </c>
      <c r="X332" s="297">
        <f t="shared" si="181"/>
        <v>3231.899999999991</v>
      </c>
      <c r="Y332" s="297">
        <f t="shared" si="182"/>
        <v>3231.899999999991</v>
      </c>
      <c r="Z332" s="297">
        <f t="shared" si="183"/>
        <v>12927.599999999964</v>
      </c>
      <c r="AA332" s="292"/>
      <c r="AB332" s="292"/>
      <c r="AC332" s="295">
        <v>0.58443037974683376</v>
      </c>
      <c r="AD332" s="292"/>
      <c r="AE332" s="297">
        <f t="shared" si="197"/>
        <v>3231.899999999991</v>
      </c>
      <c r="AF332" s="294">
        <f t="shared" si="198"/>
        <v>0</v>
      </c>
      <c r="AG332" s="292"/>
      <c r="AH332" s="292">
        <f t="shared" si="199"/>
        <v>0</v>
      </c>
      <c r="AI332" s="295">
        <v>0.58443037974683376</v>
      </c>
      <c r="AJ332" s="383" t="s">
        <v>878</v>
      </c>
      <c r="AK332" s="297">
        <f t="shared" si="200"/>
        <v>3231.899999999991</v>
      </c>
      <c r="AL332" s="294">
        <f t="shared" si="201"/>
        <v>0</v>
      </c>
      <c r="AM332" s="292"/>
      <c r="AN332" s="292"/>
      <c r="AO332" s="295">
        <f>'Unit Savings Calculations'!P328</f>
        <v>0.63721518987341585</v>
      </c>
      <c r="AP332" s="383" t="s">
        <v>1441</v>
      </c>
      <c r="AQ332" s="297">
        <f t="shared" si="202"/>
        <v>3523.7999999999902</v>
      </c>
      <c r="AR332" s="294">
        <f t="shared" si="203"/>
        <v>291.89999999999918</v>
      </c>
      <c r="AS332" s="292"/>
      <c r="AT332" s="292"/>
      <c r="AU332" s="295">
        <f>'Unit Savings Calculations'!Q328</f>
        <v>0.63721518987341585</v>
      </c>
      <c r="AV332" s="383" t="str">
        <f t="shared" si="186"/>
        <v>Updated heating EFLH</v>
      </c>
      <c r="AW332" s="297">
        <f t="shared" si="204"/>
        <v>3523.7999999999902</v>
      </c>
      <c r="AX332" s="294">
        <f t="shared" si="205"/>
        <v>291.89999999999918</v>
      </c>
      <c r="AY332" s="297">
        <f t="shared" si="187"/>
        <v>3231.899999999991</v>
      </c>
      <c r="AZ332" s="297">
        <f t="shared" si="188"/>
        <v>3231.899999999991</v>
      </c>
      <c r="BA332" s="297">
        <f t="shared" si="189"/>
        <v>3523.7999999999902</v>
      </c>
      <c r="BB332" s="297">
        <f t="shared" si="190"/>
        <v>3523.7999999999902</v>
      </c>
      <c r="BC332" s="298">
        <f t="shared" si="191"/>
        <v>13511.399999999963</v>
      </c>
      <c r="BD332" s="292" t="s">
        <v>763</v>
      </c>
      <c r="BE332" s="299" t="str">
        <f t="shared" si="192"/>
        <v>Exhibit 1.5A_R North Shore EEPS_Adjustable_Savings_Goal_Template.xlsx, Unit Savings Calculations Tab</v>
      </c>
      <c r="BF332" s="298">
        <f t="shared" si="193"/>
        <v>64637.999999999818</v>
      </c>
      <c r="BG332" s="298">
        <f t="shared" si="193"/>
        <v>64637.999999999818</v>
      </c>
      <c r="BH332" s="298">
        <f t="shared" si="193"/>
        <v>64637.999999999818</v>
      </c>
      <c r="BI332" s="298">
        <f t="shared" si="193"/>
        <v>64637.999999999818</v>
      </c>
      <c r="BJ332" s="298">
        <f t="shared" si="194"/>
        <v>258551.99999999927</v>
      </c>
      <c r="BK332" s="482">
        <v>20</v>
      </c>
      <c r="BL332" s="482">
        <v>20</v>
      </c>
      <c r="BM332" s="482">
        <f>INDEX('Unit Savings Calculations'!$I$4:$I$421,MATCH('Measure-Level Adjustments Tab'!$A332&amp;"_"&amp;'Measure-Level Adjustments Tab'!$B332,'Unit Savings Calculations'!$A$4:$A$421,0))</f>
        <v>25</v>
      </c>
      <c r="BN332" s="482">
        <f t="shared" si="195"/>
        <v>25</v>
      </c>
      <c r="BO332" s="483">
        <f t="shared" si="196"/>
        <v>64637.999999999818</v>
      </c>
      <c r="BP332" s="483">
        <f t="shared" si="196"/>
        <v>64637.999999999818</v>
      </c>
      <c r="BQ332" s="483">
        <f t="shared" si="196"/>
        <v>88094.999999999753</v>
      </c>
      <c r="BR332" s="483">
        <f t="shared" si="196"/>
        <v>88094.999999999753</v>
      </c>
      <c r="BS332" s="483">
        <f t="shared" si="185"/>
        <v>305465.99999999913</v>
      </c>
    </row>
    <row r="333" spans="1:71" ht="15.75" customHeight="1">
      <c r="A333" s="292" t="str">
        <f>'Unit Savings Calculations'!C329</f>
        <v>Bus - Public Rebates</v>
      </c>
      <c r="B333" s="292" t="str">
        <f>'Unit Savings Calculations'!D329</f>
        <v>Steam Traps - Dry Cleaner/Industrial</v>
      </c>
      <c r="C333" s="293">
        <f t="shared" si="178"/>
        <v>1</v>
      </c>
      <c r="D333" s="292" t="str">
        <f>'Unit Savings Calculations'!T329</f>
        <v>4.4.16</v>
      </c>
      <c r="E333" s="438">
        <v>6</v>
      </c>
      <c r="F333" s="438">
        <v>6</v>
      </c>
      <c r="G333" s="292" t="str">
        <f>'Unit Savings Calculations'!E329</f>
        <v>each</v>
      </c>
      <c r="H333" s="294">
        <f>'Unit Savings Calculations'!$F329*'Unit Savings Calculations'!J329</f>
        <v>61</v>
      </c>
      <c r="I333" s="294">
        <f>'Unit Savings Calculations'!$F329*'Unit Savings Calculations'!K329</f>
        <v>61</v>
      </c>
      <c r="J333" s="294">
        <f>'Unit Savings Calculations'!$F329*'Unit Savings Calculations'!L329</f>
        <v>61</v>
      </c>
      <c r="K333" s="294">
        <f>'Unit Savings Calculations'!$F329*'Unit Savings Calculations'!M329</f>
        <v>61</v>
      </c>
      <c r="L333" s="292" t="str">
        <f>'Unit Savings Calculations'!U329</f>
        <v>CI-HVC-STRE-V05-180101</v>
      </c>
      <c r="M333" s="383" t="str">
        <f>'Unit Savings Calculations'!R329</f>
        <v>Exhibit 1.5A_R North Shore EEPS_Adjustable_Savings_Goal_Template.xlsx, Unit Savings Calculations Tab</v>
      </c>
      <c r="N333" s="295">
        <v>137.91939591078068</v>
      </c>
      <c r="O333" s="295">
        <v>137.91939591078068</v>
      </c>
      <c r="P333" s="295">
        <v>137.91939591078068</v>
      </c>
      <c r="Q333" s="295">
        <v>137.91939591078068</v>
      </c>
      <c r="R333" s="296">
        <f>'Unit Savings Calculations'!$G329</f>
        <v>0.79</v>
      </c>
      <c r="S333" s="296">
        <f>'Unit Savings Calculations'!$G329</f>
        <v>0.79</v>
      </c>
      <c r="T333" s="296">
        <f>'Unit Savings Calculations'!$G329</f>
        <v>0.79</v>
      </c>
      <c r="U333" s="296">
        <f>'Unit Savings Calculations'!$G329</f>
        <v>0.79</v>
      </c>
      <c r="V333" s="297">
        <f t="shared" si="179"/>
        <v>6646.3356889405204</v>
      </c>
      <c r="W333" s="297">
        <f t="shared" si="180"/>
        <v>6646.3356889405204</v>
      </c>
      <c r="X333" s="297">
        <f t="shared" si="181"/>
        <v>6646.3356889405204</v>
      </c>
      <c r="Y333" s="297">
        <f t="shared" si="182"/>
        <v>6646.3356889405204</v>
      </c>
      <c r="Z333" s="297">
        <f t="shared" si="183"/>
        <v>26585.342755762082</v>
      </c>
      <c r="AA333" s="292"/>
      <c r="AB333" s="292"/>
      <c r="AC333" s="295">
        <v>137.91939591078068</v>
      </c>
      <c r="AD333" s="292"/>
      <c r="AE333" s="297">
        <f t="shared" si="197"/>
        <v>6646.3356889405204</v>
      </c>
      <c r="AF333" s="294">
        <f t="shared" si="198"/>
        <v>0</v>
      </c>
      <c r="AG333" s="292"/>
      <c r="AH333" s="292">
        <f t="shared" si="199"/>
        <v>0</v>
      </c>
      <c r="AI333" s="295">
        <v>137.91939591078068</v>
      </c>
      <c r="AJ333" s="383" t="s">
        <v>878</v>
      </c>
      <c r="AK333" s="297">
        <f t="shared" si="200"/>
        <v>6646.3356889405204</v>
      </c>
      <c r="AL333" s="294">
        <f t="shared" si="201"/>
        <v>0</v>
      </c>
      <c r="AM333" s="292"/>
      <c r="AN333" s="292"/>
      <c r="AO333" s="295">
        <f>'Unit Savings Calculations'!P329</f>
        <v>137.91939591078068</v>
      </c>
      <c r="AP333" s="383" t="s">
        <v>763</v>
      </c>
      <c r="AQ333" s="297">
        <f t="shared" si="202"/>
        <v>6646.3356889405204</v>
      </c>
      <c r="AR333" s="294">
        <f t="shared" si="203"/>
        <v>0</v>
      </c>
      <c r="AS333" s="292"/>
      <c r="AT333" s="292"/>
      <c r="AU333" s="295">
        <f>'Unit Savings Calculations'!Q329</f>
        <v>137.91939591078068</v>
      </c>
      <c r="AV333" s="383" t="str">
        <f t="shared" si="186"/>
        <v>n/a</v>
      </c>
      <c r="AW333" s="297">
        <f t="shared" si="204"/>
        <v>6646.3356889405204</v>
      </c>
      <c r="AX333" s="294">
        <f t="shared" si="205"/>
        <v>0</v>
      </c>
      <c r="AY333" s="297">
        <f t="shared" si="187"/>
        <v>6646.3356889405204</v>
      </c>
      <c r="AZ333" s="297">
        <f t="shared" si="188"/>
        <v>6646.3356889405204</v>
      </c>
      <c r="BA333" s="297">
        <f t="shared" si="189"/>
        <v>6646.3356889405204</v>
      </c>
      <c r="BB333" s="297">
        <f t="shared" si="190"/>
        <v>6646.3356889405204</v>
      </c>
      <c r="BC333" s="298">
        <f t="shared" si="191"/>
        <v>26585.342755762082</v>
      </c>
      <c r="BD333" s="292" t="s">
        <v>763</v>
      </c>
      <c r="BE333" s="299" t="str">
        <f t="shared" si="192"/>
        <v>Exhibit 1.5A_R North Shore EEPS_Adjustable_Savings_Goal_Template.xlsx, Unit Savings Calculations Tab</v>
      </c>
      <c r="BF333" s="298">
        <f t="shared" si="193"/>
        <v>39878.014133643126</v>
      </c>
      <c r="BG333" s="298">
        <f t="shared" si="193"/>
        <v>39878.014133643126</v>
      </c>
      <c r="BH333" s="298">
        <f t="shared" si="193"/>
        <v>39878.014133643126</v>
      </c>
      <c r="BI333" s="298">
        <f t="shared" si="193"/>
        <v>39878.014133643126</v>
      </c>
      <c r="BJ333" s="298">
        <f t="shared" si="194"/>
        <v>159512.0565345725</v>
      </c>
      <c r="BK333" s="482">
        <v>6</v>
      </c>
      <c r="BL333" s="482">
        <v>6</v>
      </c>
      <c r="BM333" s="482">
        <f>INDEX('Unit Savings Calculations'!$I$4:$I$421,MATCH('Measure-Level Adjustments Tab'!$A333&amp;"_"&amp;'Measure-Level Adjustments Tab'!$B333,'Unit Savings Calculations'!$A$4:$A$421,0))</f>
        <v>6</v>
      </c>
      <c r="BN333" s="482">
        <f t="shared" si="195"/>
        <v>6</v>
      </c>
      <c r="BO333" s="483">
        <f t="shared" si="196"/>
        <v>39878.014133643126</v>
      </c>
      <c r="BP333" s="483">
        <f t="shared" si="196"/>
        <v>39878.014133643126</v>
      </c>
      <c r="BQ333" s="483">
        <f t="shared" si="196"/>
        <v>39878.014133643126</v>
      </c>
      <c r="BR333" s="483">
        <f t="shared" si="196"/>
        <v>39878.014133643126</v>
      </c>
      <c r="BS333" s="483">
        <f t="shared" si="185"/>
        <v>159512.0565345725</v>
      </c>
    </row>
    <row r="334" spans="1:71" ht="15.75" customHeight="1">
      <c r="A334" s="292" t="str">
        <f>'Unit Savings Calculations'!C330</f>
        <v>Bus - Public Rebates</v>
      </c>
      <c r="B334" s="292" t="str">
        <f>'Unit Savings Calculations'!D330</f>
        <v>Steam Traps - HVAC Repair/Rep - Audit</v>
      </c>
      <c r="C334" s="293">
        <f t="shared" si="178"/>
        <v>1</v>
      </c>
      <c r="D334" s="292" t="str">
        <f>'Unit Savings Calculations'!T330</f>
        <v>4.4.16</v>
      </c>
      <c r="E334" s="438">
        <v>6</v>
      </c>
      <c r="F334" s="438">
        <v>6</v>
      </c>
      <c r="G334" s="292" t="str">
        <f>'Unit Savings Calculations'!E330</f>
        <v>each</v>
      </c>
      <c r="H334" s="294">
        <f>'Unit Savings Calculations'!$F330*'Unit Savings Calculations'!J330</f>
        <v>61</v>
      </c>
      <c r="I334" s="294">
        <f>'Unit Savings Calculations'!$F330*'Unit Savings Calculations'!K330</f>
        <v>61</v>
      </c>
      <c r="J334" s="294">
        <f>'Unit Savings Calculations'!$F330*'Unit Savings Calculations'!L330</f>
        <v>61</v>
      </c>
      <c r="K334" s="294">
        <f>'Unit Savings Calculations'!$F330*'Unit Savings Calculations'!M330</f>
        <v>61</v>
      </c>
      <c r="L334" s="292" t="str">
        <f>'Unit Savings Calculations'!U330</f>
        <v>CI-HVC-STRE-V05-180101</v>
      </c>
      <c r="M334" s="383" t="str">
        <f>'Unit Savings Calculations'!R330</f>
        <v>Exhibit 1.5A_R North Shore EEPS_Adjustable_Savings_Goal_Template.xlsx, Unit Savings Calculations Tab</v>
      </c>
      <c r="N334" s="295">
        <v>88.453924126394057</v>
      </c>
      <c r="O334" s="295">
        <v>88.453924126394057</v>
      </c>
      <c r="P334" s="295">
        <v>88.453924126394057</v>
      </c>
      <c r="Q334" s="295">
        <v>88.453924126394057</v>
      </c>
      <c r="R334" s="296">
        <f>'Unit Savings Calculations'!$G330</f>
        <v>0.79</v>
      </c>
      <c r="S334" s="296">
        <f>'Unit Savings Calculations'!$G330</f>
        <v>0.79</v>
      </c>
      <c r="T334" s="296">
        <f>'Unit Savings Calculations'!$G330</f>
        <v>0.79</v>
      </c>
      <c r="U334" s="296">
        <f>'Unit Savings Calculations'!$G330</f>
        <v>0.79</v>
      </c>
      <c r="V334" s="297">
        <f t="shared" si="179"/>
        <v>4262.5946036509295</v>
      </c>
      <c r="W334" s="297">
        <f t="shared" si="180"/>
        <v>4262.5946036509295</v>
      </c>
      <c r="X334" s="297">
        <f t="shared" si="181"/>
        <v>4262.5946036509295</v>
      </c>
      <c r="Y334" s="297">
        <f t="shared" si="182"/>
        <v>4262.5946036509295</v>
      </c>
      <c r="Z334" s="297">
        <f t="shared" si="183"/>
        <v>17050.378414603718</v>
      </c>
      <c r="AA334" s="292"/>
      <c r="AB334" s="292"/>
      <c r="AC334" s="295">
        <v>88.453924126394057</v>
      </c>
      <c r="AD334" s="292"/>
      <c r="AE334" s="297">
        <f t="shared" si="197"/>
        <v>4262.5946036509295</v>
      </c>
      <c r="AF334" s="294">
        <f t="shared" si="198"/>
        <v>0</v>
      </c>
      <c r="AG334" s="292"/>
      <c r="AH334" s="292">
        <f t="shared" si="199"/>
        <v>0</v>
      </c>
      <c r="AI334" s="295">
        <v>88.453924126394057</v>
      </c>
      <c r="AJ334" s="383" t="s">
        <v>878</v>
      </c>
      <c r="AK334" s="297">
        <f t="shared" si="200"/>
        <v>4262.5946036509295</v>
      </c>
      <c r="AL334" s="294">
        <f t="shared" si="201"/>
        <v>0</v>
      </c>
      <c r="AM334" s="292"/>
      <c r="AN334" s="292"/>
      <c r="AO334" s="295">
        <f>'Unit Savings Calculations'!P330</f>
        <v>88.453924126394057</v>
      </c>
      <c r="AP334" s="383" t="s">
        <v>763</v>
      </c>
      <c r="AQ334" s="297">
        <f t="shared" si="202"/>
        <v>4262.5946036509295</v>
      </c>
      <c r="AR334" s="294">
        <f t="shared" si="203"/>
        <v>0</v>
      </c>
      <c r="AS334" s="292"/>
      <c r="AT334" s="292"/>
      <c r="AU334" s="295">
        <f>'Unit Savings Calculations'!Q330</f>
        <v>88.453924126394057</v>
      </c>
      <c r="AV334" s="383" t="str">
        <f t="shared" si="186"/>
        <v>n/a</v>
      </c>
      <c r="AW334" s="297">
        <f t="shared" si="204"/>
        <v>4262.5946036509295</v>
      </c>
      <c r="AX334" s="294">
        <f t="shared" si="205"/>
        <v>0</v>
      </c>
      <c r="AY334" s="297">
        <f t="shared" si="187"/>
        <v>4262.5946036509295</v>
      </c>
      <c r="AZ334" s="297">
        <f t="shared" si="188"/>
        <v>4262.5946036509295</v>
      </c>
      <c r="BA334" s="297">
        <f t="shared" si="189"/>
        <v>4262.5946036509295</v>
      </c>
      <c r="BB334" s="297">
        <f t="shared" si="190"/>
        <v>4262.5946036509295</v>
      </c>
      <c r="BC334" s="298">
        <f t="shared" si="191"/>
        <v>17050.378414603718</v>
      </c>
      <c r="BD334" s="292" t="s">
        <v>763</v>
      </c>
      <c r="BE334" s="299" t="str">
        <f t="shared" si="192"/>
        <v>Exhibit 1.5A_R North Shore EEPS_Adjustable_Savings_Goal_Template.xlsx, Unit Savings Calculations Tab</v>
      </c>
      <c r="BF334" s="298">
        <f t="shared" si="193"/>
        <v>25575.567621905575</v>
      </c>
      <c r="BG334" s="298">
        <f t="shared" si="193"/>
        <v>25575.567621905575</v>
      </c>
      <c r="BH334" s="298">
        <f t="shared" si="193"/>
        <v>25575.567621905575</v>
      </c>
      <c r="BI334" s="298">
        <f t="shared" si="193"/>
        <v>25575.567621905575</v>
      </c>
      <c r="BJ334" s="298">
        <f t="shared" si="194"/>
        <v>102302.2704876223</v>
      </c>
      <c r="BK334" s="482">
        <v>6</v>
      </c>
      <c r="BL334" s="482">
        <v>6</v>
      </c>
      <c r="BM334" s="482">
        <f>INDEX('Unit Savings Calculations'!$I$4:$I$421,MATCH('Measure-Level Adjustments Tab'!$A334&amp;"_"&amp;'Measure-Level Adjustments Tab'!$B334,'Unit Savings Calculations'!$A$4:$A$421,0))</f>
        <v>6</v>
      </c>
      <c r="BN334" s="482">
        <f t="shared" si="195"/>
        <v>6</v>
      </c>
      <c r="BO334" s="483">
        <f t="shared" si="196"/>
        <v>25575.567621905575</v>
      </c>
      <c r="BP334" s="483">
        <f t="shared" si="196"/>
        <v>25575.567621905575</v>
      </c>
      <c r="BQ334" s="483">
        <f t="shared" si="196"/>
        <v>25575.567621905575</v>
      </c>
      <c r="BR334" s="483">
        <f t="shared" si="196"/>
        <v>25575.567621905575</v>
      </c>
      <c r="BS334" s="483">
        <f t="shared" si="185"/>
        <v>102302.2704876223</v>
      </c>
    </row>
    <row r="335" spans="1:71" ht="15.75" customHeight="1">
      <c r="A335" s="292" t="str">
        <f>'Unit Savings Calculations'!C331</f>
        <v>Bus - Public Rebates</v>
      </c>
      <c r="B335" s="292" t="str">
        <f>'Unit Savings Calculations'!D331</f>
        <v>Steam Traps - HVAC Repair/Rep - No Audit</v>
      </c>
      <c r="C335" s="293">
        <f t="shared" si="178"/>
        <v>1</v>
      </c>
      <c r="D335" s="292" t="str">
        <f>'Unit Savings Calculations'!T331</f>
        <v>4.4.16</v>
      </c>
      <c r="E335" s="438">
        <v>6</v>
      </c>
      <c r="F335" s="438">
        <v>6</v>
      </c>
      <c r="G335" s="292" t="str">
        <f>'Unit Savings Calculations'!E331</f>
        <v>each</v>
      </c>
      <c r="H335" s="294">
        <f>'Unit Savings Calculations'!$F331*'Unit Savings Calculations'!J331</f>
        <v>19</v>
      </c>
      <c r="I335" s="294">
        <f>'Unit Savings Calculations'!$F331*'Unit Savings Calculations'!K331</f>
        <v>19</v>
      </c>
      <c r="J335" s="294">
        <f>'Unit Savings Calculations'!$F331*'Unit Savings Calculations'!L331</f>
        <v>19</v>
      </c>
      <c r="K335" s="294">
        <f>'Unit Savings Calculations'!$F331*'Unit Savings Calculations'!M331</f>
        <v>19</v>
      </c>
      <c r="L335" s="292" t="str">
        <f>'Unit Savings Calculations'!U331</f>
        <v>CI-HVC-STRE-V05-180101</v>
      </c>
      <c r="M335" s="383" t="str">
        <f>'Unit Savings Calculations'!R331</f>
        <v>Exhibit 1.5A_R North Shore EEPS_Adjustable_Savings_Goal_Template.xlsx, Unit Savings Calculations Tab</v>
      </c>
      <c r="N335" s="295">
        <v>88.453924126394057</v>
      </c>
      <c r="O335" s="295">
        <v>88.453924126394057</v>
      </c>
      <c r="P335" s="295">
        <v>88.453924126394057</v>
      </c>
      <c r="Q335" s="295">
        <v>88.453924126394057</v>
      </c>
      <c r="R335" s="296">
        <f>'Unit Savings Calculations'!$G331</f>
        <v>0.79</v>
      </c>
      <c r="S335" s="296">
        <f>'Unit Savings Calculations'!$G331</f>
        <v>0.79</v>
      </c>
      <c r="T335" s="296">
        <f>'Unit Savings Calculations'!$G331</f>
        <v>0.79</v>
      </c>
      <c r="U335" s="296">
        <f>'Unit Savings Calculations'!$G331</f>
        <v>0.79</v>
      </c>
      <c r="V335" s="297">
        <f t="shared" si="179"/>
        <v>1327.6934011371748</v>
      </c>
      <c r="W335" s="297">
        <f t="shared" si="180"/>
        <v>1327.6934011371748</v>
      </c>
      <c r="X335" s="297">
        <f t="shared" si="181"/>
        <v>1327.6934011371748</v>
      </c>
      <c r="Y335" s="297">
        <f t="shared" si="182"/>
        <v>1327.6934011371748</v>
      </c>
      <c r="Z335" s="297">
        <f t="shared" si="183"/>
        <v>5310.773604548699</v>
      </c>
      <c r="AA335" s="292"/>
      <c r="AB335" s="292"/>
      <c r="AC335" s="295">
        <v>88.453924126394057</v>
      </c>
      <c r="AD335" s="292"/>
      <c r="AE335" s="297">
        <f t="shared" si="197"/>
        <v>1327.6934011371748</v>
      </c>
      <c r="AF335" s="294">
        <f t="shared" si="198"/>
        <v>0</v>
      </c>
      <c r="AG335" s="292"/>
      <c r="AH335" s="292">
        <f t="shared" si="199"/>
        <v>0</v>
      </c>
      <c r="AI335" s="295">
        <v>88.453924126394057</v>
      </c>
      <c r="AJ335" s="383" t="s">
        <v>878</v>
      </c>
      <c r="AK335" s="297">
        <f t="shared" si="200"/>
        <v>1327.6934011371748</v>
      </c>
      <c r="AL335" s="294">
        <f t="shared" si="201"/>
        <v>0</v>
      </c>
      <c r="AM335" s="292"/>
      <c r="AN335" s="292"/>
      <c r="AO335" s="295">
        <f>'Unit Savings Calculations'!P331</f>
        <v>88.453924126394057</v>
      </c>
      <c r="AP335" s="383" t="s">
        <v>763</v>
      </c>
      <c r="AQ335" s="297">
        <f t="shared" si="202"/>
        <v>1327.6934011371748</v>
      </c>
      <c r="AR335" s="294">
        <f t="shared" si="203"/>
        <v>0</v>
      </c>
      <c r="AS335" s="292"/>
      <c r="AT335" s="292"/>
      <c r="AU335" s="295">
        <f>'Unit Savings Calculations'!Q331</f>
        <v>88.453924126394057</v>
      </c>
      <c r="AV335" s="383" t="str">
        <f t="shared" si="186"/>
        <v>n/a</v>
      </c>
      <c r="AW335" s="297">
        <f t="shared" si="204"/>
        <v>1327.6934011371748</v>
      </c>
      <c r="AX335" s="294">
        <f t="shared" si="205"/>
        <v>0</v>
      </c>
      <c r="AY335" s="297">
        <f t="shared" si="187"/>
        <v>1327.6934011371748</v>
      </c>
      <c r="AZ335" s="297">
        <f t="shared" si="188"/>
        <v>1327.6934011371748</v>
      </c>
      <c r="BA335" s="297">
        <f t="shared" si="189"/>
        <v>1327.6934011371748</v>
      </c>
      <c r="BB335" s="297">
        <f t="shared" si="190"/>
        <v>1327.6934011371748</v>
      </c>
      <c r="BC335" s="298">
        <f t="shared" si="191"/>
        <v>5310.773604548699</v>
      </c>
      <c r="BD335" s="292" t="s">
        <v>763</v>
      </c>
      <c r="BE335" s="299" t="str">
        <f t="shared" si="192"/>
        <v>Exhibit 1.5A_R North Shore EEPS_Adjustable_Savings_Goal_Template.xlsx, Unit Savings Calculations Tab</v>
      </c>
      <c r="BF335" s="298">
        <f t="shared" si="193"/>
        <v>7966.1604068230481</v>
      </c>
      <c r="BG335" s="298">
        <f t="shared" si="193"/>
        <v>7966.1604068230481</v>
      </c>
      <c r="BH335" s="298">
        <f t="shared" si="193"/>
        <v>7966.1604068230481</v>
      </c>
      <c r="BI335" s="298">
        <f t="shared" si="193"/>
        <v>7966.1604068230481</v>
      </c>
      <c r="BJ335" s="298">
        <f t="shared" si="194"/>
        <v>31864.641627292192</v>
      </c>
      <c r="BK335" s="482">
        <v>6</v>
      </c>
      <c r="BL335" s="482">
        <v>6</v>
      </c>
      <c r="BM335" s="482">
        <f>INDEX('Unit Savings Calculations'!$I$4:$I$421,MATCH('Measure-Level Adjustments Tab'!$A335&amp;"_"&amp;'Measure-Level Adjustments Tab'!$B335,'Unit Savings Calculations'!$A$4:$A$421,0))</f>
        <v>6</v>
      </c>
      <c r="BN335" s="482">
        <f t="shared" si="195"/>
        <v>6</v>
      </c>
      <c r="BO335" s="483">
        <f t="shared" si="196"/>
        <v>7966.1604068230481</v>
      </c>
      <c r="BP335" s="483">
        <f t="shared" si="196"/>
        <v>7966.1604068230481</v>
      </c>
      <c r="BQ335" s="483">
        <f t="shared" si="196"/>
        <v>7966.1604068230481</v>
      </c>
      <c r="BR335" s="483">
        <f t="shared" si="196"/>
        <v>7966.1604068230481</v>
      </c>
      <c r="BS335" s="483">
        <f t="shared" si="185"/>
        <v>31864.641627292192</v>
      </c>
    </row>
    <row r="336" spans="1:71" ht="15.75" customHeight="1">
      <c r="A336" s="292" t="str">
        <f>'Unit Savings Calculations'!C332</f>
        <v>Bus - Public Rebates</v>
      </c>
      <c r="B336" s="292" t="str">
        <f>'Unit Savings Calculations'!D332</f>
        <v>Steam Traps - Test</v>
      </c>
      <c r="C336" s="293">
        <f t="shared" si="178"/>
        <v>0</v>
      </c>
      <c r="D336" s="292" t="str">
        <f>'Unit Savings Calculations'!T332</f>
        <v>Custom</v>
      </c>
      <c r="E336" s="438">
        <v>3</v>
      </c>
      <c r="F336" s="438">
        <v>3</v>
      </c>
      <c r="G336" s="292" t="str">
        <f>'Unit Savings Calculations'!E332</f>
        <v>each</v>
      </c>
      <c r="H336" s="294">
        <f>'Unit Savings Calculations'!$F332*'Unit Savings Calculations'!J332</f>
        <v>19</v>
      </c>
      <c r="I336" s="294">
        <f>'Unit Savings Calculations'!$F332*'Unit Savings Calculations'!K332</f>
        <v>19</v>
      </c>
      <c r="J336" s="294">
        <f>'Unit Savings Calculations'!$F332*'Unit Savings Calculations'!L332</f>
        <v>19</v>
      </c>
      <c r="K336" s="294">
        <f>'Unit Savings Calculations'!$F332*'Unit Savings Calculations'!M332</f>
        <v>19</v>
      </c>
      <c r="L336" s="292" t="str">
        <f>'Unit Savings Calculations'!U332</f>
        <v>Custom</v>
      </c>
      <c r="M336" s="383" t="str">
        <f>'Unit Savings Calculations'!R332</f>
        <v>Custom</v>
      </c>
      <c r="N336" s="295">
        <v>0</v>
      </c>
      <c r="O336" s="295">
        <v>0</v>
      </c>
      <c r="P336" s="295">
        <v>0</v>
      </c>
      <c r="Q336" s="295">
        <v>0</v>
      </c>
      <c r="R336" s="296">
        <f>'Unit Savings Calculations'!$G332</f>
        <v>0.79</v>
      </c>
      <c r="S336" s="296">
        <f>'Unit Savings Calculations'!$G332</f>
        <v>0.79</v>
      </c>
      <c r="T336" s="296">
        <f>'Unit Savings Calculations'!$G332</f>
        <v>0.79</v>
      </c>
      <c r="U336" s="296">
        <f>'Unit Savings Calculations'!$G332</f>
        <v>0.79</v>
      </c>
      <c r="V336" s="297">
        <f t="shared" si="179"/>
        <v>0</v>
      </c>
      <c r="W336" s="297">
        <f t="shared" si="180"/>
        <v>0</v>
      </c>
      <c r="X336" s="297">
        <f t="shared" si="181"/>
        <v>0</v>
      </c>
      <c r="Y336" s="297">
        <f t="shared" si="182"/>
        <v>0</v>
      </c>
      <c r="Z336" s="297">
        <f t="shared" si="183"/>
        <v>0</v>
      </c>
      <c r="AA336" s="384"/>
      <c r="AB336" s="384"/>
      <c r="AC336" s="387">
        <v>0</v>
      </c>
      <c r="AD336" s="384"/>
      <c r="AE336" s="385">
        <f t="shared" si="197"/>
        <v>0</v>
      </c>
      <c r="AF336" s="386">
        <f t="shared" si="198"/>
        <v>0</v>
      </c>
      <c r="AG336" s="384"/>
      <c r="AH336" s="384">
        <f t="shared" si="199"/>
        <v>0</v>
      </c>
      <c r="AI336" s="387">
        <v>0</v>
      </c>
      <c r="AJ336" s="435" t="s">
        <v>878</v>
      </c>
      <c r="AK336" s="385">
        <f t="shared" si="200"/>
        <v>0</v>
      </c>
      <c r="AL336" s="386">
        <f t="shared" si="201"/>
        <v>0</v>
      </c>
      <c r="AM336" s="384"/>
      <c r="AN336" s="384"/>
      <c r="AO336" s="387">
        <f>'Unit Savings Calculations'!P332</f>
        <v>0</v>
      </c>
      <c r="AP336" s="435" t="s">
        <v>763</v>
      </c>
      <c r="AQ336" s="385">
        <f t="shared" si="202"/>
        <v>0</v>
      </c>
      <c r="AR336" s="386">
        <f t="shared" si="203"/>
        <v>0</v>
      </c>
      <c r="AS336" s="384"/>
      <c r="AT336" s="384"/>
      <c r="AU336" s="387">
        <f>'Unit Savings Calculations'!Q332</f>
        <v>0</v>
      </c>
      <c r="AV336" s="435" t="str">
        <f t="shared" si="186"/>
        <v>n/a</v>
      </c>
      <c r="AW336" s="385">
        <f t="shared" si="204"/>
        <v>0</v>
      </c>
      <c r="AX336" s="386">
        <f t="shared" si="205"/>
        <v>0</v>
      </c>
      <c r="AY336" s="297">
        <f t="shared" si="187"/>
        <v>0</v>
      </c>
      <c r="AZ336" s="297">
        <f t="shared" si="188"/>
        <v>0</v>
      </c>
      <c r="BA336" s="297">
        <f t="shared" si="189"/>
        <v>0</v>
      </c>
      <c r="BB336" s="297">
        <f t="shared" si="190"/>
        <v>0</v>
      </c>
      <c r="BC336" s="298">
        <f t="shared" si="191"/>
        <v>0</v>
      </c>
      <c r="BD336" s="292" t="s">
        <v>763</v>
      </c>
      <c r="BE336" s="299" t="str">
        <f t="shared" si="192"/>
        <v>Custom</v>
      </c>
      <c r="BF336" s="298">
        <f t="shared" si="193"/>
        <v>0</v>
      </c>
      <c r="BG336" s="298">
        <f t="shared" si="193"/>
        <v>0</v>
      </c>
      <c r="BH336" s="298">
        <f t="shared" si="193"/>
        <v>0</v>
      </c>
      <c r="BI336" s="298">
        <f t="shared" si="193"/>
        <v>0</v>
      </c>
      <c r="BJ336" s="298">
        <f t="shared" si="194"/>
        <v>0</v>
      </c>
      <c r="BK336" s="482">
        <v>3</v>
      </c>
      <c r="BL336" s="482">
        <v>3</v>
      </c>
      <c r="BM336" s="482">
        <f>INDEX('Unit Savings Calculations'!$I$4:$I$421,MATCH('Measure-Level Adjustments Tab'!$A336&amp;"_"&amp;'Measure-Level Adjustments Tab'!$B336,'Unit Savings Calculations'!$A$4:$A$421,0))</f>
        <v>3</v>
      </c>
      <c r="BN336" s="482">
        <f t="shared" si="195"/>
        <v>3</v>
      </c>
      <c r="BO336" s="483">
        <f t="shared" si="196"/>
        <v>0</v>
      </c>
      <c r="BP336" s="483">
        <f t="shared" si="196"/>
        <v>0</v>
      </c>
      <c r="BQ336" s="483">
        <f t="shared" si="196"/>
        <v>0</v>
      </c>
      <c r="BR336" s="483">
        <f t="shared" si="196"/>
        <v>0</v>
      </c>
      <c r="BS336" s="483">
        <f t="shared" si="185"/>
        <v>0</v>
      </c>
    </row>
    <row r="337" spans="1:71" ht="15.75" customHeight="1">
      <c r="A337" s="292" t="str">
        <f>'Unit Savings Calculations'!C333</f>
        <v>Bus - Public Rebates</v>
      </c>
      <c r="B337" s="292" t="str">
        <f>'Unit Savings Calculations'!D333</f>
        <v>Thermostat - Programmable</v>
      </c>
      <c r="C337" s="293">
        <f t="shared" si="178"/>
        <v>1</v>
      </c>
      <c r="D337" s="292" t="str">
        <f>'Unit Savings Calculations'!T333</f>
        <v>4.4.18</v>
      </c>
      <c r="E337" s="438">
        <v>4</v>
      </c>
      <c r="F337" s="438">
        <v>4</v>
      </c>
      <c r="G337" s="292" t="str">
        <f>'Unit Savings Calculations'!E333</f>
        <v>each</v>
      </c>
      <c r="H337" s="294">
        <f>'Unit Savings Calculations'!$F333*'Unit Savings Calculations'!J333</f>
        <v>300</v>
      </c>
      <c r="I337" s="294">
        <f>'Unit Savings Calculations'!$F333*'Unit Savings Calculations'!K333</f>
        <v>300</v>
      </c>
      <c r="J337" s="294">
        <f>'Unit Savings Calculations'!$F333*'Unit Savings Calculations'!L333</f>
        <v>300</v>
      </c>
      <c r="K337" s="294">
        <f>'Unit Savings Calculations'!$F333*'Unit Savings Calculations'!M333</f>
        <v>300</v>
      </c>
      <c r="L337" s="292" t="str">
        <f>'Unit Savings Calculations'!U333</f>
        <v>CI-HVC-PROG-V02-150601</v>
      </c>
      <c r="M337" s="383" t="str">
        <f>'Unit Savings Calculations'!R333</f>
        <v>Exhibit 1.5A_R North Shore EEPS_Adjustable_Savings_Goal_Template.xlsx, Thermostat Detail Tab</v>
      </c>
      <c r="N337" s="295">
        <v>124.68584320000001</v>
      </c>
      <c r="O337" s="295">
        <v>124.68584320000001</v>
      </c>
      <c r="P337" s="295">
        <v>124.68584320000001</v>
      </c>
      <c r="Q337" s="295">
        <v>124.68584320000001</v>
      </c>
      <c r="R337" s="296">
        <f>'Unit Savings Calculations'!$G333</f>
        <v>0.79</v>
      </c>
      <c r="S337" s="296">
        <f>'Unit Savings Calculations'!$G333</f>
        <v>0.79</v>
      </c>
      <c r="T337" s="296">
        <f>'Unit Savings Calculations'!$G333</f>
        <v>0.79</v>
      </c>
      <c r="U337" s="296">
        <f>'Unit Savings Calculations'!$G333</f>
        <v>0.79</v>
      </c>
      <c r="V337" s="297">
        <f t="shared" si="179"/>
        <v>29550.544838400005</v>
      </c>
      <c r="W337" s="297">
        <f t="shared" si="180"/>
        <v>29550.544838400005</v>
      </c>
      <c r="X337" s="297">
        <f t="shared" si="181"/>
        <v>29550.544838400005</v>
      </c>
      <c r="Y337" s="297">
        <f t="shared" si="182"/>
        <v>29550.544838400005</v>
      </c>
      <c r="Z337" s="297">
        <f t="shared" si="183"/>
        <v>118202.17935360002</v>
      </c>
      <c r="AA337" s="292"/>
      <c r="AB337" s="292"/>
      <c r="AC337" s="295">
        <v>124.68584320000001</v>
      </c>
      <c r="AD337" s="292"/>
      <c r="AE337" s="297">
        <f t="shared" si="197"/>
        <v>29550.544838400005</v>
      </c>
      <c r="AF337" s="294">
        <f t="shared" si="198"/>
        <v>0</v>
      </c>
      <c r="AG337" s="292"/>
      <c r="AH337" s="292">
        <f t="shared" si="199"/>
        <v>0</v>
      </c>
      <c r="AI337" s="295">
        <v>124.68584320000001</v>
      </c>
      <c r="AJ337" s="383" t="s">
        <v>878</v>
      </c>
      <c r="AK337" s="297">
        <f t="shared" si="200"/>
        <v>29550.544838400005</v>
      </c>
      <c r="AL337" s="294">
        <f t="shared" si="201"/>
        <v>0</v>
      </c>
      <c r="AM337" s="292"/>
      <c r="AN337" s="292"/>
      <c r="AO337" s="295">
        <f>'Unit Savings Calculations'!P333</f>
        <v>124.68584320000001</v>
      </c>
      <c r="AP337" s="383" t="s">
        <v>763</v>
      </c>
      <c r="AQ337" s="297">
        <f t="shared" si="202"/>
        <v>29550.544838400005</v>
      </c>
      <c r="AR337" s="294">
        <f t="shared" si="203"/>
        <v>0</v>
      </c>
      <c r="AS337" s="292"/>
      <c r="AT337" s="292"/>
      <c r="AU337" s="295">
        <f>'Unit Savings Calculations'!Q333</f>
        <v>124.68584320000001</v>
      </c>
      <c r="AV337" s="383" t="str">
        <f t="shared" si="186"/>
        <v>n/a</v>
      </c>
      <c r="AW337" s="297">
        <f t="shared" si="204"/>
        <v>29550.544838400005</v>
      </c>
      <c r="AX337" s="294">
        <f t="shared" si="205"/>
        <v>0</v>
      </c>
      <c r="AY337" s="297">
        <f t="shared" si="187"/>
        <v>29550.544838400005</v>
      </c>
      <c r="AZ337" s="297">
        <f t="shared" si="188"/>
        <v>29550.544838400005</v>
      </c>
      <c r="BA337" s="297">
        <f t="shared" si="189"/>
        <v>29550.544838400005</v>
      </c>
      <c r="BB337" s="297">
        <f t="shared" si="190"/>
        <v>29550.544838400005</v>
      </c>
      <c r="BC337" s="298">
        <f t="shared" si="191"/>
        <v>118202.17935360002</v>
      </c>
      <c r="BD337" s="292" t="s">
        <v>763</v>
      </c>
      <c r="BE337" s="299" t="str">
        <f t="shared" si="192"/>
        <v>Exhibit 1.5A_R North Shore EEPS_Adjustable_Savings_Goal_Template.xlsx, Thermostat Detail Tab</v>
      </c>
      <c r="BF337" s="298">
        <f t="shared" si="193"/>
        <v>118202.17935360002</v>
      </c>
      <c r="BG337" s="298">
        <f t="shared" si="193"/>
        <v>118202.17935360002</v>
      </c>
      <c r="BH337" s="298">
        <f t="shared" si="193"/>
        <v>118202.17935360002</v>
      </c>
      <c r="BI337" s="298">
        <f t="shared" si="193"/>
        <v>118202.17935360002</v>
      </c>
      <c r="BJ337" s="298">
        <f t="shared" si="194"/>
        <v>472808.71741440007</v>
      </c>
      <c r="BK337" s="482">
        <v>4</v>
      </c>
      <c r="BL337" s="482">
        <v>4</v>
      </c>
      <c r="BM337" s="482">
        <f>INDEX('Unit Savings Calculations'!$I$4:$I$421,MATCH('Measure-Level Adjustments Tab'!$A337&amp;"_"&amp;'Measure-Level Adjustments Tab'!$B337,'Unit Savings Calculations'!$A$4:$A$421,0))</f>
        <v>4</v>
      </c>
      <c r="BN337" s="482">
        <f t="shared" si="195"/>
        <v>4</v>
      </c>
      <c r="BO337" s="483">
        <f t="shared" si="196"/>
        <v>118202.17935360002</v>
      </c>
      <c r="BP337" s="483">
        <f t="shared" si="196"/>
        <v>118202.17935360002</v>
      </c>
      <c r="BQ337" s="483">
        <f t="shared" si="196"/>
        <v>118202.17935360002</v>
      </c>
      <c r="BR337" s="483">
        <f t="shared" si="196"/>
        <v>118202.17935360002</v>
      </c>
      <c r="BS337" s="483">
        <f t="shared" si="185"/>
        <v>472808.71741440007</v>
      </c>
    </row>
    <row r="338" spans="1:71" ht="15.75" customHeight="1">
      <c r="A338" s="292" t="str">
        <f>'Unit Savings Calculations'!C334</f>
        <v>Bus - Public Rebates</v>
      </c>
      <c r="B338" s="292" t="str">
        <f>'Unit Savings Calculations'!D334</f>
        <v>Water Heater - Storage 88% TE ≥75MBh</v>
      </c>
      <c r="C338" s="293">
        <f t="shared" si="178"/>
        <v>1</v>
      </c>
      <c r="D338" s="292" t="str">
        <f>'Unit Savings Calculations'!T334</f>
        <v>4.3.1</v>
      </c>
      <c r="E338" s="438">
        <v>15</v>
      </c>
      <c r="F338" s="438">
        <v>15</v>
      </c>
      <c r="G338" s="292" t="str">
        <f>'Unit Savings Calculations'!E334</f>
        <v>each</v>
      </c>
      <c r="H338" s="294">
        <f>'Unit Savings Calculations'!$F334*'Unit Savings Calculations'!J334</f>
        <v>0</v>
      </c>
      <c r="I338" s="294">
        <f>'Unit Savings Calculations'!$F334*'Unit Savings Calculations'!K334</f>
        <v>0</v>
      </c>
      <c r="J338" s="294">
        <f>'Unit Savings Calculations'!$F334*'Unit Savings Calculations'!L334</f>
        <v>0</v>
      </c>
      <c r="K338" s="294">
        <f>'Unit Savings Calculations'!$F334*'Unit Savings Calculations'!M334</f>
        <v>0</v>
      </c>
      <c r="L338" s="292" t="str">
        <f>'Unit Savings Calculations'!U334</f>
        <v>CI-HW-STWH-V03-180101</v>
      </c>
      <c r="M338" s="383" t="str">
        <f>'Unit Savings Calculations'!R334</f>
        <v>Exhibit 1.5A_R North Shore EEPS_Adjustable_Savings_Goal_Template.xlsx, Unit Savings Calculations Tab</v>
      </c>
      <c r="N338" s="295">
        <v>135.66827090062347</v>
      </c>
      <c r="O338" s="295">
        <v>135.66827090062347</v>
      </c>
      <c r="P338" s="295">
        <v>135.66827090062347</v>
      </c>
      <c r="Q338" s="295">
        <v>135.66827090062347</v>
      </c>
      <c r="R338" s="296">
        <f>'Unit Savings Calculations'!$G334</f>
        <v>0.79</v>
      </c>
      <c r="S338" s="296">
        <f>'Unit Savings Calculations'!$G334</f>
        <v>0.79</v>
      </c>
      <c r="T338" s="296">
        <f>'Unit Savings Calculations'!$G334</f>
        <v>0.79</v>
      </c>
      <c r="U338" s="296">
        <f>'Unit Savings Calculations'!$G334</f>
        <v>0.79</v>
      </c>
      <c r="V338" s="297">
        <f t="shared" si="179"/>
        <v>0</v>
      </c>
      <c r="W338" s="297">
        <f t="shared" si="180"/>
        <v>0</v>
      </c>
      <c r="X338" s="297">
        <f t="shared" si="181"/>
        <v>0</v>
      </c>
      <c r="Y338" s="297">
        <f t="shared" si="182"/>
        <v>0</v>
      </c>
      <c r="Z338" s="297">
        <f t="shared" si="183"/>
        <v>0</v>
      </c>
      <c r="AA338" s="292"/>
      <c r="AB338" s="292"/>
      <c r="AC338" s="295">
        <v>135.66827090062347</v>
      </c>
      <c r="AD338" s="292"/>
      <c r="AE338" s="297">
        <f t="shared" si="197"/>
        <v>0</v>
      </c>
      <c r="AF338" s="294">
        <f t="shared" si="198"/>
        <v>0</v>
      </c>
      <c r="AG338" s="292"/>
      <c r="AH338" s="292">
        <f t="shared" si="199"/>
        <v>0</v>
      </c>
      <c r="AI338" s="295">
        <v>1514.573584976577</v>
      </c>
      <c r="AJ338" s="383" t="s">
        <v>894</v>
      </c>
      <c r="AK338" s="297">
        <f t="shared" si="200"/>
        <v>0</v>
      </c>
      <c r="AL338" s="294">
        <f t="shared" si="201"/>
        <v>0</v>
      </c>
      <c r="AM338" s="292"/>
      <c r="AN338" s="292"/>
      <c r="AO338" s="295">
        <f>'Unit Savings Calculations'!P334</f>
        <v>1514.573584976577</v>
      </c>
      <c r="AP338" s="383" t="s">
        <v>763</v>
      </c>
      <c r="AQ338" s="297">
        <f t="shared" si="202"/>
        <v>0</v>
      </c>
      <c r="AR338" s="294">
        <f t="shared" si="203"/>
        <v>0</v>
      </c>
      <c r="AS338" s="292"/>
      <c r="AT338" s="292"/>
      <c r="AU338" s="295">
        <f>'Unit Savings Calculations'!Q334</f>
        <v>1514.573584976577</v>
      </c>
      <c r="AV338" s="383" t="str">
        <f t="shared" si="186"/>
        <v>n/a</v>
      </c>
      <c r="AW338" s="297">
        <f t="shared" si="204"/>
        <v>0</v>
      </c>
      <c r="AX338" s="294">
        <f t="shared" si="205"/>
        <v>0</v>
      </c>
      <c r="AY338" s="297">
        <f t="shared" si="187"/>
        <v>0</v>
      </c>
      <c r="AZ338" s="297">
        <f t="shared" si="188"/>
        <v>0</v>
      </c>
      <c r="BA338" s="297">
        <f t="shared" si="189"/>
        <v>0</v>
      </c>
      <c r="BB338" s="297">
        <f t="shared" si="190"/>
        <v>0</v>
      </c>
      <c r="BC338" s="298">
        <f t="shared" si="191"/>
        <v>0</v>
      </c>
      <c r="BD338" s="292" t="s">
        <v>763</v>
      </c>
      <c r="BE338" s="299" t="str">
        <f t="shared" si="192"/>
        <v>Exhibit 1.5A_R North Shore EEPS_Adjustable_Savings_Goal_Template.xlsx, Unit Savings Calculations Tab</v>
      </c>
      <c r="BF338" s="298">
        <f t="shared" si="193"/>
        <v>0</v>
      </c>
      <c r="BG338" s="298">
        <f t="shared" si="193"/>
        <v>0</v>
      </c>
      <c r="BH338" s="298">
        <f t="shared" si="193"/>
        <v>0</v>
      </c>
      <c r="BI338" s="298">
        <f t="shared" si="193"/>
        <v>0</v>
      </c>
      <c r="BJ338" s="298">
        <f t="shared" si="194"/>
        <v>0</v>
      </c>
      <c r="BK338" s="482">
        <v>15</v>
      </c>
      <c r="BL338" s="482">
        <v>15</v>
      </c>
      <c r="BM338" s="482">
        <f>INDEX('Unit Savings Calculations'!$I$4:$I$421,MATCH('Measure-Level Adjustments Tab'!$A338&amp;"_"&amp;'Measure-Level Adjustments Tab'!$B338,'Unit Savings Calculations'!$A$4:$A$421,0))</f>
        <v>15</v>
      </c>
      <c r="BN338" s="482">
        <f t="shared" si="195"/>
        <v>15</v>
      </c>
      <c r="BO338" s="483">
        <f t="shared" si="196"/>
        <v>0</v>
      </c>
      <c r="BP338" s="483">
        <f t="shared" si="196"/>
        <v>0</v>
      </c>
      <c r="BQ338" s="483">
        <f t="shared" si="196"/>
        <v>0</v>
      </c>
      <c r="BR338" s="483">
        <f t="shared" si="196"/>
        <v>0</v>
      </c>
      <c r="BS338" s="483">
        <f t="shared" si="185"/>
        <v>0</v>
      </c>
    </row>
    <row r="339" spans="1:71" ht="15.75" customHeight="1">
      <c r="A339" s="292" t="str">
        <f>'Unit Savings Calculations'!C335</f>
        <v>Bus - Public Rebates</v>
      </c>
      <c r="B339" s="292" t="str">
        <f>'Unit Savings Calculations'!D335</f>
        <v>Double Rack Oven</v>
      </c>
      <c r="C339" s="293">
        <f t="shared" si="178"/>
        <v>1</v>
      </c>
      <c r="D339" s="292" t="str">
        <f>'Unit Savings Calculations'!T335</f>
        <v>4.2.18</v>
      </c>
      <c r="E339" s="438">
        <v>12</v>
      </c>
      <c r="F339" s="438">
        <v>12</v>
      </c>
      <c r="G339" s="292" t="str">
        <f>'Unit Savings Calculations'!E335</f>
        <v>each</v>
      </c>
      <c r="H339" s="294">
        <f>'Unit Savings Calculations'!$F335*'Unit Savings Calculations'!J335</f>
        <v>0</v>
      </c>
      <c r="I339" s="294">
        <f>'Unit Savings Calculations'!$F335*'Unit Savings Calculations'!K335</f>
        <v>0</v>
      </c>
      <c r="J339" s="294">
        <f>'Unit Savings Calculations'!$F335*'Unit Savings Calculations'!L335</f>
        <v>0</v>
      </c>
      <c r="K339" s="294">
        <f>'Unit Savings Calculations'!$F335*'Unit Savings Calculations'!M335</f>
        <v>0</v>
      </c>
      <c r="L339" s="292" t="str">
        <f>'Unit Savings Calculations'!U335</f>
        <v>CI-FSE-RKOV-VO2-180101</v>
      </c>
      <c r="M339" s="383" t="str">
        <f>'Unit Savings Calculations'!R335</f>
        <v>Exhibit 1.5A_R North Shore EEPS_Adjustable_Savings_Goal_Template.xlsx, Unit Savings Calculations Tab</v>
      </c>
      <c r="N339" s="295">
        <v>1930</v>
      </c>
      <c r="O339" s="295">
        <v>1930</v>
      </c>
      <c r="P339" s="295">
        <v>1930</v>
      </c>
      <c r="Q339" s="295">
        <v>1930</v>
      </c>
      <c r="R339" s="296">
        <f>'Unit Savings Calculations'!$G335</f>
        <v>0.79</v>
      </c>
      <c r="S339" s="296">
        <f>'Unit Savings Calculations'!$G335</f>
        <v>0.79</v>
      </c>
      <c r="T339" s="296">
        <f>'Unit Savings Calculations'!$G335</f>
        <v>0.79</v>
      </c>
      <c r="U339" s="296">
        <f>'Unit Savings Calculations'!$G335</f>
        <v>0.79</v>
      </c>
      <c r="V339" s="297">
        <f t="shared" si="179"/>
        <v>0</v>
      </c>
      <c r="W339" s="297">
        <f t="shared" si="180"/>
        <v>0</v>
      </c>
      <c r="X339" s="297">
        <f t="shared" si="181"/>
        <v>0</v>
      </c>
      <c r="Y339" s="297">
        <f t="shared" si="182"/>
        <v>0</v>
      </c>
      <c r="Z339" s="297">
        <f t="shared" si="183"/>
        <v>0</v>
      </c>
      <c r="AA339" s="292"/>
      <c r="AB339" s="292"/>
      <c r="AC339" s="295">
        <v>1930</v>
      </c>
      <c r="AD339" s="292"/>
      <c r="AE339" s="297">
        <f t="shared" si="197"/>
        <v>0</v>
      </c>
      <c r="AF339" s="294">
        <f t="shared" si="198"/>
        <v>0</v>
      </c>
      <c r="AG339" s="292"/>
      <c r="AH339" s="292">
        <f t="shared" si="199"/>
        <v>0</v>
      </c>
      <c r="AI339" s="295">
        <v>1930</v>
      </c>
      <c r="AJ339" s="383" t="s">
        <v>878</v>
      </c>
      <c r="AK339" s="297">
        <f t="shared" si="200"/>
        <v>0</v>
      </c>
      <c r="AL339" s="294">
        <f t="shared" si="201"/>
        <v>0</v>
      </c>
      <c r="AM339" s="292"/>
      <c r="AN339" s="292"/>
      <c r="AO339" s="295">
        <f>'Unit Savings Calculations'!P335</f>
        <v>1930</v>
      </c>
      <c r="AP339" s="383" t="s">
        <v>763</v>
      </c>
      <c r="AQ339" s="297">
        <f t="shared" si="202"/>
        <v>0</v>
      </c>
      <c r="AR339" s="294">
        <f t="shared" si="203"/>
        <v>0</v>
      </c>
      <c r="AS339" s="292"/>
      <c r="AT339" s="292"/>
      <c r="AU339" s="295">
        <f>'Unit Savings Calculations'!Q335</f>
        <v>1930</v>
      </c>
      <c r="AV339" s="383" t="str">
        <f t="shared" si="186"/>
        <v>n/a</v>
      </c>
      <c r="AW339" s="297">
        <f t="shared" si="204"/>
        <v>0</v>
      </c>
      <c r="AX339" s="294">
        <f t="shared" si="205"/>
        <v>0</v>
      </c>
      <c r="AY339" s="297">
        <f t="shared" si="187"/>
        <v>0</v>
      </c>
      <c r="AZ339" s="297">
        <f t="shared" si="188"/>
        <v>0</v>
      </c>
      <c r="BA339" s="297">
        <f t="shared" si="189"/>
        <v>0</v>
      </c>
      <c r="BB339" s="297">
        <f t="shared" si="190"/>
        <v>0</v>
      </c>
      <c r="BC339" s="298">
        <f t="shared" si="191"/>
        <v>0</v>
      </c>
      <c r="BD339" s="292" t="s">
        <v>763</v>
      </c>
      <c r="BE339" s="299" t="str">
        <f t="shared" si="192"/>
        <v>Exhibit 1.5A_R North Shore EEPS_Adjustable_Savings_Goal_Template.xlsx, Unit Savings Calculations Tab</v>
      </c>
      <c r="BF339" s="298">
        <f t="shared" si="193"/>
        <v>0</v>
      </c>
      <c r="BG339" s="298">
        <f t="shared" si="193"/>
        <v>0</v>
      </c>
      <c r="BH339" s="298">
        <f t="shared" si="193"/>
        <v>0</v>
      </c>
      <c r="BI339" s="298">
        <f t="shared" si="193"/>
        <v>0</v>
      </c>
      <c r="BJ339" s="298">
        <f t="shared" si="194"/>
        <v>0</v>
      </c>
      <c r="BK339" s="482">
        <v>12</v>
      </c>
      <c r="BL339" s="482">
        <v>12</v>
      </c>
      <c r="BM339" s="482">
        <f>INDEX('Unit Savings Calculations'!$I$4:$I$421,MATCH('Measure-Level Adjustments Tab'!$A339&amp;"_"&amp;'Measure-Level Adjustments Tab'!$B339,'Unit Savings Calculations'!$A$4:$A$421,0))</f>
        <v>12</v>
      </c>
      <c r="BN339" s="482">
        <f t="shared" si="195"/>
        <v>12</v>
      </c>
      <c r="BO339" s="483">
        <f t="shared" si="196"/>
        <v>0</v>
      </c>
      <c r="BP339" s="483">
        <f t="shared" si="196"/>
        <v>0</v>
      </c>
      <c r="BQ339" s="483">
        <f t="shared" si="196"/>
        <v>0</v>
      </c>
      <c r="BR339" s="483">
        <f t="shared" si="196"/>
        <v>0</v>
      </c>
      <c r="BS339" s="483">
        <f t="shared" si="185"/>
        <v>0</v>
      </c>
    </row>
    <row r="340" spans="1:71" ht="15.75" customHeight="1">
      <c r="A340" s="292" t="str">
        <f>'Unit Savings Calculations'!C336</f>
        <v>Bus - Public Rebates</v>
      </c>
      <c r="B340" s="292" t="str">
        <f>'Unit Savings Calculations'!D336</f>
        <v>Energy Star Convection Oven</v>
      </c>
      <c r="C340" s="293">
        <f t="shared" si="178"/>
        <v>1</v>
      </c>
      <c r="D340" s="292" t="str">
        <f>'Unit Savings Calculations'!T336</f>
        <v>4.2.5</v>
      </c>
      <c r="E340" s="438">
        <v>12</v>
      </c>
      <c r="F340" s="438">
        <v>12</v>
      </c>
      <c r="G340" s="292" t="str">
        <f>'Unit Savings Calculations'!E336</f>
        <v>each</v>
      </c>
      <c r="H340" s="294">
        <f>'Unit Savings Calculations'!$F336*'Unit Savings Calculations'!J336</f>
        <v>0</v>
      </c>
      <c r="I340" s="294">
        <f>'Unit Savings Calculations'!$F336*'Unit Savings Calculations'!K336</f>
        <v>0</v>
      </c>
      <c r="J340" s="294">
        <f>'Unit Savings Calculations'!$F336*'Unit Savings Calculations'!L336</f>
        <v>0</v>
      </c>
      <c r="K340" s="294">
        <f>'Unit Savings Calculations'!$F336*'Unit Savings Calculations'!M336</f>
        <v>0</v>
      </c>
      <c r="L340" s="292" t="str">
        <f>'Unit Savings Calculations'!U336</f>
        <v>CI-FSE-ESCV-V02-180101</v>
      </c>
      <c r="M340" s="383" t="str">
        <f>'Unit Savings Calculations'!R336</f>
        <v>Exhibit 1.5A_R North Shore EEPS_Adjustable_Savings_Goal_Template.xlsx, Unit Savings Calculations Tab</v>
      </c>
      <c r="N340" s="295">
        <v>352.14445072463781</v>
      </c>
      <c r="O340" s="295">
        <v>352.14445072463781</v>
      </c>
      <c r="P340" s="295">
        <v>352.14445072463781</v>
      </c>
      <c r="Q340" s="295">
        <v>352.14445072463781</v>
      </c>
      <c r="R340" s="296">
        <f>'Unit Savings Calculations'!$G336</f>
        <v>0.79</v>
      </c>
      <c r="S340" s="296">
        <f>'Unit Savings Calculations'!$G336</f>
        <v>0.79</v>
      </c>
      <c r="T340" s="296">
        <f>'Unit Savings Calculations'!$G336</f>
        <v>0.79</v>
      </c>
      <c r="U340" s="296">
        <f>'Unit Savings Calculations'!$G336</f>
        <v>0.79</v>
      </c>
      <c r="V340" s="297">
        <f t="shared" si="179"/>
        <v>0</v>
      </c>
      <c r="W340" s="297">
        <f t="shared" si="180"/>
        <v>0</v>
      </c>
      <c r="X340" s="297">
        <f t="shared" si="181"/>
        <v>0</v>
      </c>
      <c r="Y340" s="297">
        <f t="shared" si="182"/>
        <v>0</v>
      </c>
      <c r="Z340" s="297">
        <f t="shared" si="183"/>
        <v>0</v>
      </c>
      <c r="AA340" s="292"/>
      <c r="AB340" s="292"/>
      <c r="AC340" s="295">
        <v>352.14445072463781</v>
      </c>
      <c r="AD340" s="292"/>
      <c r="AE340" s="297">
        <f t="shared" si="197"/>
        <v>0</v>
      </c>
      <c r="AF340" s="294">
        <f t="shared" si="198"/>
        <v>0</v>
      </c>
      <c r="AG340" s="292"/>
      <c r="AH340" s="292">
        <f t="shared" si="199"/>
        <v>0</v>
      </c>
      <c r="AI340" s="295">
        <v>352.14445072463781</v>
      </c>
      <c r="AJ340" s="383" t="s">
        <v>878</v>
      </c>
      <c r="AK340" s="297">
        <f t="shared" si="200"/>
        <v>0</v>
      </c>
      <c r="AL340" s="294">
        <f t="shared" si="201"/>
        <v>0</v>
      </c>
      <c r="AM340" s="292"/>
      <c r="AN340" s="292"/>
      <c r="AO340" s="295">
        <f>'Unit Savings Calculations'!P336</f>
        <v>352.14445072463781</v>
      </c>
      <c r="AP340" s="383" t="s">
        <v>763</v>
      </c>
      <c r="AQ340" s="297">
        <f t="shared" si="202"/>
        <v>0</v>
      </c>
      <c r="AR340" s="294">
        <f t="shared" si="203"/>
        <v>0</v>
      </c>
      <c r="AS340" s="292"/>
      <c r="AT340" s="292"/>
      <c r="AU340" s="295">
        <f>'Unit Savings Calculations'!Q336</f>
        <v>352.14445072463781</v>
      </c>
      <c r="AV340" s="383" t="str">
        <f t="shared" si="186"/>
        <v>n/a</v>
      </c>
      <c r="AW340" s="297">
        <f t="shared" si="204"/>
        <v>0</v>
      </c>
      <c r="AX340" s="294">
        <f t="shared" si="205"/>
        <v>0</v>
      </c>
      <c r="AY340" s="297">
        <f t="shared" si="187"/>
        <v>0</v>
      </c>
      <c r="AZ340" s="297">
        <f t="shared" si="188"/>
        <v>0</v>
      </c>
      <c r="BA340" s="297">
        <f t="shared" si="189"/>
        <v>0</v>
      </c>
      <c r="BB340" s="297">
        <f t="shared" si="190"/>
        <v>0</v>
      </c>
      <c r="BC340" s="298">
        <f t="shared" si="191"/>
        <v>0</v>
      </c>
      <c r="BD340" s="292" t="s">
        <v>763</v>
      </c>
      <c r="BE340" s="299" t="str">
        <f t="shared" si="192"/>
        <v>Exhibit 1.5A_R North Shore EEPS_Adjustable_Savings_Goal_Template.xlsx, Unit Savings Calculations Tab</v>
      </c>
      <c r="BF340" s="298">
        <f t="shared" si="193"/>
        <v>0</v>
      </c>
      <c r="BG340" s="298">
        <f t="shared" si="193"/>
        <v>0</v>
      </c>
      <c r="BH340" s="298">
        <f t="shared" si="193"/>
        <v>0</v>
      </c>
      <c r="BI340" s="298">
        <f t="shared" si="193"/>
        <v>0</v>
      </c>
      <c r="BJ340" s="298">
        <f t="shared" si="194"/>
        <v>0</v>
      </c>
      <c r="BK340" s="482">
        <v>12</v>
      </c>
      <c r="BL340" s="482">
        <v>12</v>
      </c>
      <c r="BM340" s="482">
        <f>INDEX('Unit Savings Calculations'!$I$4:$I$421,MATCH('Measure-Level Adjustments Tab'!$A340&amp;"_"&amp;'Measure-Level Adjustments Tab'!$B340,'Unit Savings Calculations'!$A$4:$A$421,0))</f>
        <v>12</v>
      </c>
      <c r="BN340" s="482">
        <f t="shared" si="195"/>
        <v>12</v>
      </c>
      <c r="BO340" s="483">
        <f t="shared" si="196"/>
        <v>0</v>
      </c>
      <c r="BP340" s="483">
        <f t="shared" si="196"/>
        <v>0</v>
      </c>
      <c r="BQ340" s="483">
        <f t="shared" si="196"/>
        <v>0</v>
      </c>
      <c r="BR340" s="483">
        <f t="shared" si="196"/>
        <v>0</v>
      </c>
      <c r="BS340" s="483">
        <f t="shared" si="185"/>
        <v>0</v>
      </c>
    </row>
    <row r="341" spans="1:71" ht="15.75" customHeight="1">
      <c r="A341" s="292" t="str">
        <f>'Unit Savings Calculations'!C337</f>
        <v>Bus - Public Rebates</v>
      </c>
      <c r="B341" s="292" t="str">
        <f>'Unit Savings Calculations'!D337</f>
        <v>Energy Star Conveyer Oven</v>
      </c>
      <c r="C341" s="293">
        <f t="shared" si="178"/>
        <v>1</v>
      </c>
      <c r="D341" s="292" t="str">
        <f>'Unit Savings Calculations'!T337</f>
        <v>4.2.4</v>
      </c>
      <c r="E341" s="438">
        <v>17</v>
      </c>
      <c r="F341" s="438">
        <v>17</v>
      </c>
      <c r="G341" s="292" t="str">
        <f>'Unit Savings Calculations'!E337</f>
        <v>each</v>
      </c>
      <c r="H341" s="294">
        <f>'Unit Savings Calculations'!$F337*'Unit Savings Calculations'!J337</f>
        <v>0</v>
      </c>
      <c r="I341" s="294">
        <f>'Unit Savings Calculations'!$F337*'Unit Savings Calculations'!K337</f>
        <v>0</v>
      </c>
      <c r="J341" s="294">
        <f>'Unit Savings Calculations'!$F337*'Unit Savings Calculations'!L337</f>
        <v>0</v>
      </c>
      <c r="K341" s="294">
        <f>'Unit Savings Calculations'!$F337*'Unit Savings Calculations'!M337</f>
        <v>0</v>
      </c>
      <c r="L341" s="292" t="str">
        <f>'Unit Savings Calculations'!U337</f>
        <v>CI-FSE-CVOV-V02-180101</v>
      </c>
      <c r="M341" s="383" t="str">
        <f>'Unit Savings Calculations'!R337</f>
        <v>Exhibit 1.5A_R North Shore EEPS_Adjustable_Savings_Goal_Template.xlsx, Unit Savings Calculations Tab</v>
      </c>
      <c r="N341" s="295">
        <v>884</v>
      </c>
      <c r="O341" s="295">
        <v>884</v>
      </c>
      <c r="P341" s="295">
        <v>884</v>
      </c>
      <c r="Q341" s="295">
        <v>884</v>
      </c>
      <c r="R341" s="296">
        <f>'Unit Savings Calculations'!$G337</f>
        <v>0.79</v>
      </c>
      <c r="S341" s="296">
        <f>'Unit Savings Calculations'!$G337</f>
        <v>0.79</v>
      </c>
      <c r="T341" s="296">
        <f>'Unit Savings Calculations'!$G337</f>
        <v>0.79</v>
      </c>
      <c r="U341" s="296">
        <f>'Unit Savings Calculations'!$G337</f>
        <v>0.79</v>
      </c>
      <c r="V341" s="297">
        <f t="shared" si="179"/>
        <v>0</v>
      </c>
      <c r="W341" s="297">
        <f t="shared" si="180"/>
        <v>0</v>
      </c>
      <c r="X341" s="297">
        <f t="shared" si="181"/>
        <v>0</v>
      </c>
      <c r="Y341" s="297">
        <f t="shared" si="182"/>
        <v>0</v>
      </c>
      <c r="Z341" s="297">
        <f t="shared" si="183"/>
        <v>0</v>
      </c>
      <c r="AA341" s="292"/>
      <c r="AB341" s="292"/>
      <c r="AC341" s="295">
        <v>884</v>
      </c>
      <c r="AD341" s="292"/>
      <c r="AE341" s="297">
        <f t="shared" si="197"/>
        <v>0</v>
      </c>
      <c r="AF341" s="294">
        <f t="shared" si="198"/>
        <v>0</v>
      </c>
      <c r="AG341" s="292"/>
      <c r="AH341" s="292">
        <f t="shared" si="199"/>
        <v>0</v>
      </c>
      <c r="AI341" s="295">
        <v>884</v>
      </c>
      <c r="AJ341" s="383" t="s">
        <v>878</v>
      </c>
      <c r="AK341" s="297">
        <f t="shared" si="200"/>
        <v>0</v>
      </c>
      <c r="AL341" s="294">
        <f t="shared" si="201"/>
        <v>0</v>
      </c>
      <c r="AM341" s="292"/>
      <c r="AN341" s="292"/>
      <c r="AO341" s="295">
        <f>'Unit Savings Calculations'!P337</f>
        <v>884</v>
      </c>
      <c r="AP341" s="383" t="s">
        <v>763</v>
      </c>
      <c r="AQ341" s="297">
        <f t="shared" si="202"/>
        <v>0</v>
      </c>
      <c r="AR341" s="294">
        <f t="shared" si="203"/>
        <v>0</v>
      </c>
      <c r="AS341" s="292"/>
      <c r="AT341" s="292"/>
      <c r="AU341" s="295">
        <f>'Unit Savings Calculations'!Q337</f>
        <v>884</v>
      </c>
      <c r="AV341" s="383" t="str">
        <f t="shared" si="186"/>
        <v>n/a</v>
      </c>
      <c r="AW341" s="297">
        <f t="shared" si="204"/>
        <v>0</v>
      </c>
      <c r="AX341" s="294">
        <f t="shared" si="205"/>
        <v>0</v>
      </c>
      <c r="AY341" s="297">
        <f t="shared" si="187"/>
        <v>0</v>
      </c>
      <c r="AZ341" s="297">
        <f t="shared" si="188"/>
        <v>0</v>
      </c>
      <c r="BA341" s="297">
        <f t="shared" si="189"/>
        <v>0</v>
      </c>
      <c r="BB341" s="297">
        <f t="shared" si="190"/>
        <v>0</v>
      </c>
      <c r="BC341" s="298">
        <f t="shared" si="191"/>
        <v>0</v>
      </c>
      <c r="BD341" s="292" t="s">
        <v>763</v>
      </c>
      <c r="BE341" s="299" t="str">
        <f t="shared" si="192"/>
        <v>Exhibit 1.5A_R North Shore EEPS_Adjustable_Savings_Goal_Template.xlsx, Unit Savings Calculations Tab</v>
      </c>
      <c r="BF341" s="298">
        <f t="shared" si="193"/>
        <v>0</v>
      </c>
      <c r="BG341" s="298">
        <f t="shared" si="193"/>
        <v>0</v>
      </c>
      <c r="BH341" s="298">
        <f t="shared" si="193"/>
        <v>0</v>
      </c>
      <c r="BI341" s="298">
        <f t="shared" si="193"/>
        <v>0</v>
      </c>
      <c r="BJ341" s="298">
        <f t="shared" si="194"/>
        <v>0</v>
      </c>
      <c r="BK341" s="482">
        <v>17</v>
      </c>
      <c r="BL341" s="482">
        <v>17</v>
      </c>
      <c r="BM341" s="482">
        <f>INDEX('Unit Savings Calculations'!$I$4:$I$421,MATCH('Measure-Level Adjustments Tab'!$A341&amp;"_"&amp;'Measure-Level Adjustments Tab'!$B341,'Unit Savings Calculations'!$A$4:$A$421,0))</f>
        <v>17</v>
      </c>
      <c r="BN341" s="482">
        <f t="shared" si="195"/>
        <v>17</v>
      </c>
      <c r="BO341" s="483">
        <f t="shared" si="196"/>
        <v>0</v>
      </c>
      <c r="BP341" s="483">
        <f t="shared" si="196"/>
        <v>0</v>
      </c>
      <c r="BQ341" s="483">
        <f t="shared" si="196"/>
        <v>0</v>
      </c>
      <c r="BR341" s="483">
        <f t="shared" si="196"/>
        <v>0</v>
      </c>
      <c r="BS341" s="483">
        <f t="shared" si="185"/>
        <v>0</v>
      </c>
    </row>
    <row r="342" spans="1:71" ht="15.75" customHeight="1">
      <c r="A342" s="292" t="str">
        <f>'Unit Savings Calculations'!C338</f>
        <v>Bus - Public Rebates</v>
      </c>
      <c r="B342" s="292" t="str">
        <f>'Unit Savings Calculations'!D338</f>
        <v>Energy Star Fryer</v>
      </c>
      <c r="C342" s="293">
        <f t="shared" si="178"/>
        <v>1</v>
      </c>
      <c r="D342" s="292" t="str">
        <f>'Unit Savings Calculations'!T338</f>
        <v>4.2.7</v>
      </c>
      <c r="E342" s="438">
        <v>15</v>
      </c>
      <c r="F342" s="438">
        <v>12</v>
      </c>
      <c r="G342" s="292" t="str">
        <f>'Unit Savings Calculations'!E338</f>
        <v>each</v>
      </c>
      <c r="H342" s="294">
        <f>'Unit Savings Calculations'!$F338*'Unit Savings Calculations'!J338</f>
        <v>0</v>
      </c>
      <c r="I342" s="294">
        <f>'Unit Savings Calculations'!$F338*'Unit Savings Calculations'!K338</f>
        <v>0</v>
      </c>
      <c r="J342" s="294">
        <f>'Unit Savings Calculations'!$F338*'Unit Savings Calculations'!L338</f>
        <v>0</v>
      </c>
      <c r="K342" s="294">
        <f>'Unit Savings Calculations'!$F338*'Unit Savings Calculations'!M338</f>
        <v>0</v>
      </c>
      <c r="L342" s="292" t="str">
        <f>'Unit Savings Calculations'!U338</f>
        <v>CI-FSE-ESFR-V01-120601</v>
      </c>
      <c r="M342" s="383" t="str">
        <f>'Unit Savings Calculations'!R338</f>
        <v>Exhibit 1.5A_R North Shore EEPS_Adjustable_Savings_Goal_Template.xlsx, Unit Savings Calculations Tab</v>
      </c>
      <c r="N342" s="295">
        <v>505.37299714285717</v>
      </c>
      <c r="O342" s="295">
        <v>505.37299714285717</v>
      </c>
      <c r="P342" s="295">
        <v>505.37299714285717</v>
      </c>
      <c r="Q342" s="295">
        <v>505.37299714285717</v>
      </c>
      <c r="R342" s="296">
        <f>'Unit Savings Calculations'!$G338</f>
        <v>0.79</v>
      </c>
      <c r="S342" s="296">
        <f>'Unit Savings Calculations'!$G338</f>
        <v>0.79</v>
      </c>
      <c r="T342" s="296">
        <f>'Unit Savings Calculations'!$G338</f>
        <v>0.79</v>
      </c>
      <c r="U342" s="296">
        <f>'Unit Savings Calculations'!$G338</f>
        <v>0.79</v>
      </c>
      <c r="V342" s="297">
        <f t="shared" si="179"/>
        <v>0</v>
      </c>
      <c r="W342" s="297">
        <f t="shared" si="180"/>
        <v>0</v>
      </c>
      <c r="X342" s="297">
        <f t="shared" si="181"/>
        <v>0</v>
      </c>
      <c r="Y342" s="297">
        <f t="shared" si="182"/>
        <v>0</v>
      </c>
      <c r="Z342" s="297">
        <f t="shared" si="183"/>
        <v>0</v>
      </c>
      <c r="AA342" s="292"/>
      <c r="AB342" s="292"/>
      <c r="AC342" s="295">
        <v>505.37299714285717</v>
      </c>
      <c r="AD342" s="292"/>
      <c r="AE342" s="297">
        <f t="shared" si="197"/>
        <v>0</v>
      </c>
      <c r="AF342" s="294">
        <f t="shared" si="198"/>
        <v>0</v>
      </c>
      <c r="AG342" s="292"/>
      <c r="AH342" s="292">
        <f t="shared" si="199"/>
        <v>0</v>
      </c>
      <c r="AI342" s="295">
        <v>505.37299714285717</v>
      </c>
      <c r="AJ342" s="383" t="s">
        <v>878</v>
      </c>
      <c r="AK342" s="297">
        <f t="shared" si="200"/>
        <v>0</v>
      </c>
      <c r="AL342" s="294">
        <f t="shared" si="201"/>
        <v>0</v>
      </c>
      <c r="AM342" s="292"/>
      <c r="AN342" s="292"/>
      <c r="AO342" s="295">
        <f>'Unit Savings Calculations'!P338</f>
        <v>505.37299714285717</v>
      </c>
      <c r="AP342" s="383" t="s">
        <v>763</v>
      </c>
      <c r="AQ342" s="297">
        <f t="shared" si="202"/>
        <v>0</v>
      </c>
      <c r="AR342" s="294">
        <f t="shared" si="203"/>
        <v>0</v>
      </c>
      <c r="AS342" s="292"/>
      <c r="AT342" s="292"/>
      <c r="AU342" s="295">
        <f>'Unit Savings Calculations'!Q338</f>
        <v>505.37299714285717</v>
      </c>
      <c r="AV342" s="383" t="str">
        <f t="shared" si="186"/>
        <v>n/a</v>
      </c>
      <c r="AW342" s="297">
        <f t="shared" si="204"/>
        <v>0</v>
      </c>
      <c r="AX342" s="294">
        <f t="shared" si="205"/>
        <v>0</v>
      </c>
      <c r="AY342" s="297">
        <f t="shared" si="187"/>
        <v>0</v>
      </c>
      <c r="AZ342" s="297">
        <f t="shared" si="188"/>
        <v>0</v>
      </c>
      <c r="BA342" s="297">
        <f t="shared" si="189"/>
        <v>0</v>
      </c>
      <c r="BB342" s="297">
        <f t="shared" si="190"/>
        <v>0</v>
      </c>
      <c r="BC342" s="298">
        <f t="shared" si="191"/>
        <v>0</v>
      </c>
      <c r="BD342" s="292" t="s">
        <v>763</v>
      </c>
      <c r="BE342" s="299" t="str">
        <f t="shared" si="192"/>
        <v>Exhibit 1.5A_R North Shore EEPS_Adjustable_Savings_Goal_Template.xlsx, Unit Savings Calculations Tab</v>
      </c>
      <c r="BF342" s="298">
        <f t="shared" si="193"/>
        <v>0</v>
      </c>
      <c r="BG342" s="298">
        <f t="shared" si="193"/>
        <v>0</v>
      </c>
      <c r="BH342" s="298">
        <f t="shared" si="193"/>
        <v>0</v>
      </c>
      <c r="BI342" s="298">
        <f t="shared" si="193"/>
        <v>0</v>
      </c>
      <c r="BJ342" s="298">
        <f t="shared" si="194"/>
        <v>0</v>
      </c>
      <c r="BK342" s="482">
        <v>12</v>
      </c>
      <c r="BL342" s="482">
        <v>12</v>
      </c>
      <c r="BM342" s="482">
        <f>INDEX('Unit Savings Calculations'!$I$4:$I$421,MATCH('Measure-Level Adjustments Tab'!$A342&amp;"_"&amp;'Measure-Level Adjustments Tab'!$B342,'Unit Savings Calculations'!$A$4:$A$421,0))</f>
        <v>12</v>
      </c>
      <c r="BN342" s="482">
        <f t="shared" si="195"/>
        <v>12</v>
      </c>
      <c r="BO342" s="483">
        <f t="shared" si="196"/>
        <v>0</v>
      </c>
      <c r="BP342" s="483">
        <f t="shared" si="196"/>
        <v>0</v>
      </c>
      <c r="BQ342" s="483">
        <f t="shared" si="196"/>
        <v>0</v>
      </c>
      <c r="BR342" s="483">
        <f t="shared" si="196"/>
        <v>0</v>
      </c>
      <c r="BS342" s="483">
        <f t="shared" si="185"/>
        <v>0</v>
      </c>
    </row>
    <row r="343" spans="1:71" ht="15.75" customHeight="1">
      <c r="A343" s="292" t="str">
        <f>'Unit Savings Calculations'!C339</f>
        <v>Bus - Public Rebates</v>
      </c>
      <c r="B343" s="292" t="str">
        <f>'Unit Savings Calculations'!D339</f>
        <v>Energy Star Steamer - 3 Pans</v>
      </c>
      <c r="C343" s="293">
        <f t="shared" si="178"/>
        <v>1</v>
      </c>
      <c r="D343" s="292" t="str">
        <f>'Unit Savings Calculations'!T339</f>
        <v>4.2.3</v>
      </c>
      <c r="E343" s="438">
        <v>12</v>
      </c>
      <c r="F343" s="438">
        <v>12</v>
      </c>
      <c r="G343" s="292" t="str">
        <f>'Unit Savings Calculations'!E339</f>
        <v>each</v>
      </c>
      <c r="H343" s="294">
        <f>'Unit Savings Calculations'!$F339*'Unit Savings Calculations'!J339</f>
        <v>0</v>
      </c>
      <c r="I343" s="294">
        <f>'Unit Savings Calculations'!$F339*'Unit Savings Calculations'!K339</f>
        <v>0</v>
      </c>
      <c r="J343" s="294">
        <f>'Unit Savings Calculations'!$F339*'Unit Savings Calculations'!L339</f>
        <v>0</v>
      </c>
      <c r="K343" s="294">
        <f>'Unit Savings Calculations'!$F339*'Unit Savings Calculations'!M339</f>
        <v>0</v>
      </c>
      <c r="L343" s="292" t="str">
        <f>'Unit Savings Calculations'!U339</f>
        <v>CI-FSE-STMC-V04-160601</v>
      </c>
      <c r="M343" s="383" t="str">
        <f>'Unit Savings Calculations'!R339</f>
        <v>Exhibit 1.5A_R North Shore EEPS_Adjustable_Savings_Goal_Template.xlsx, Food Equipment Tab</v>
      </c>
      <c r="N343" s="295">
        <v>752.01231086676478</v>
      </c>
      <c r="O343" s="295">
        <v>752.01231086676478</v>
      </c>
      <c r="P343" s="295">
        <v>752.01231086676478</v>
      </c>
      <c r="Q343" s="295">
        <v>752.01231086676478</v>
      </c>
      <c r="R343" s="296">
        <f>'Unit Savings Calculations'!$G339</f>
        <v>0.79</v>
      </c>
      <c r="S343" s="296">
        <f>'Unit Savings Calculations'!$G339</f>
        <v>0.79</v>
      </c>
      <c r="T343" s="296">
        <f>'Unit Savings Calculations'!$G339</f>
        <v>0.79</v>
      </c>
      <c r="U343" s="296">
        <f>'Unit Savings Calculations'!$G339</f>
        <v>0.79</v>
      </c>
      <c r="V343" s="297">
        <f t="shared" si="179"/>
        <v>0</v>
      </c>
      <c r="W343" s="297">
        <f t="shared" si="180"/>
        <v>0</v>
      </c>
      <c r="X343" s="297">
        <f t="shared" si="181"/>
        <v>0</v>
      </c>
      <c r="Y343" s="297">
        <f t="shared" si="182"/>
        <v>0</v>
      </c>
      <c r="Z343" s="297">
        <f t="shared" si="183"/>
        <v>0</v>
      </c>
      <c r="AA343" s="292"/>
      <c r="AB343" s="292"/>
      <c r="AC343" s="295">
        <v>752.01231086676478</v>
      </c>
      <c r="AD343" s="292"/>
      <c r="AE343" s="297">
        <f t="shared" si="197"/>
        <v>0</v>
      </c>
      <c r="AF343" s="294">
        <f t="shared" si="198"/>
        <v>0</v>
      </c>
      <c r="AG343" s="292"/>
      <c r="AH343" s="292">
        <f t="shared" si="199"/>
        <v>0</v>
      </c>
      <c r="AI343" s="295">
        <v>752.01231086676478</v>
      </c>
      <c r="AJ343" s="383" t="s">
        <v>878</v>
      </c>
      <c r="AK343" s="297">
        <f t="shared" si="200"/>
        <v>0</v>
      </c>
      <c r="AL343" s="294">
        <f t="shared" si="201"/>
        <v>0</v>
      </c>
      <c r="AM343" s="292"/>
      <c r="AN343" s="292"/>
      <c r="AO343" s="295">
        <f>'Unit Savings Calculations'!P339</f>
        <v>752.01231086676478</v>
      </c>
      <c r="AP343" s="383" t="s">
        <v>763</v>
      </c>
      <c r="AQ343" s="297">
        <f t="shared" si="202"/>
        <v>0</v>
      </c>
      <c r="AR343" s="294">
        <f t="shared" si="203"/>
        <v>0</v>
      </c>
      <c r="AS343" s="292"/>
      <c r="AT343" s="292"/>
      <c r="AU343" s="295">
        <f>'Unit Savings Calculations'!Q339</f>
        <v>752.01231086676478</v>
      </c>
      <c r="AV343" s="383" t="str">
        <f t="shared" si="186"/>
        <v>n/a</v>
      </c>
      <c r="AW343" s="297">
        <f t="shared" si="204"/>
        <v>0</v>
      </c>
      <c r="AX343" s="294">
        <f t="shared" si="205"/>
        <v>0</v>
      </c>
      <c r="AY343" s="297">
        <f t="shared" si="187"/>
        <v>0</v>
      </c>
      <c r="AZ343" s="297">
        <f t="shared" si="188"/>
        <v>0</v>
      </c>
      <c r="BA343" s="297">
        <f t="shared" si="189"/>
        <v>0</v>
      </c>
      <c r="BB343" s="297">
        <f t="shared" si="190"/>
        <v>0</v>
      </c>
      <c r="BC343" s="298">
        <f t="shared" si="191"/>
        <v>0</v>
      </c>
      <c r="BD343" s="292" t="s">
        <v>763</v>
      </c>
      <c r="BE343" s="299" t="str">
        <f t="shared" si="192"/>
        <v>Exhibit 1.5A_R North Shore EEPS_Adjustable_Savings_Goal_Template.xlsx, Food Equipment Tab</v>
      </c>
      <c r="BF343" s="298">
        <f t="shared" si="193"/>
        <v>0</v>
      </c>
      <c r="BG343" s="298">
        <f t="shared" si="193"/>
        <v>0</v>
      </c>
      <c r="BH343" s="298">
        <f t="shared" si="193"/>
        <v>0</v>
      </c>
      <c r="BI343" s="298">
        <f t="shared" si="193"/>
        <v>0</v>
      </c>
      <c r="BJ343" s="298">
        <f t="shared" si="194"/>
        <v>0</v>
      </c>
      <c r="BK343" s="482">
        <v>12</v>
      </c>
      <c r="BL343" s="482">
        <v>12</v>
      </c>
      <c r="BM343" s="482">
        <f>INDEX('Unit Savings Calculations'!$I$4:$I$421,MATCH('Measure-Level Adjustments Tab'!$A343&amp;"_"&amp;'Measure-Level Adjustments Tab'!$B343,'Unit Savings Calculations'!$A$4:$A$421,0))</f>
        <v>12</v>
      </c>
      <c r="BN343" s="482">
        <f t="shared" si="195"/>
        <v>12</v>
      </c>
      <c r="BO343" s="483">
        <f t="shared" si="196"/>
        <v>0</v>
      </c>
      <c r="BP343" s="483">
        <f t="shared" si="196"/>
        <v>0</v>
      </c>
      <c r="BQ343" s="483">
        <f t="shared" si="196"/>
        <v>0</v>
      </c>
      <c r="BR343" s="483">
        <f t="shared" si="196"/>
        <v>0</v>
      </c>
      <c r="BS343" s="483">
        <f t="shared" si="185"/>
        <v>0</v>
      </c>
    </row>
    <row r="344" spans="1:71" ht="15.75" customHeight="1">
      <c r="A344" s="292" t="str">
        <f>'Unit Savings Calculations'!C340</f>
        <v>Bus - Public Rebates</v>
      </c>
      <c r="B344" s="292" t="str">
        <f>'Unit Savings Calculations'!D340</f>
        <v>Energy Star Steamer - 4 Pans</v>
      </c>
      <c r="C344" s="293">
        <f t="shared" si="178"/>
        <v>1</v>
      </c>
      <c r="D344" s="292" t="str">
        <f>'Unit Savings Calculations'!T340</f>
        <v>4.2.3</v>
      </c>
      <c r="E344" s="438">
        <v>12</v>
      </c>
      <c r="F344" s="438">
        <v>12</v>
      </c>
      <c r="G344" s="292" t="str">
        <f>'Unit Savings Calculations'!E340</f>
        <v>each</v>
      </c>
      <c r="H344" s="294">
        <f>'Unit Savings Calculations'!$F340*'Unit Savings Calculations'!J340</f>
        <v>0</v>
      </c>
      <c r="I344" s="294">
        <f>'Unit Savings Calculations'!$F340*'Unit Savings Calculations'!K340</f>
        <v>0</v>
      </c>
      <c r="J344" s="294">
        <f>'Unit Savings Calculations'!$F340*'Unit Savings Calculations'!L340</f>
        <v>0</v>
      </c>
      <c r="K344" s="294">
        <f>'Unit Savings Calculations'!$F340*'Unit Savings Calculations'!M340</f>
        <v>0</v>
      </c>
      <c r="L344" s="292" t="str">
        <f>'Unit Savings Calculations'!U340</f>
        <v>CI-FSE-STMC-V04-160601</v>
      </c>
      <c r="M344" s="383" t="str">
        <f>'Unit Savings Calculations'!R340</f>
        <v>Exhibit 1.5A_R North Shore EEPS_Adjustable_Savings_Goal_Template.xlsx, Food Equipment Tab</v>
      </c>
      <c r="N344" s="295">
        <v>1007.2641787965732</v>
      </c>
      <c r="O344" s="295">
        <v>1007.2641787965732</v>
      </c>
      <c r="P344" s="295">
        <v>1007.2641787965732</v>
      </c>
      <c r="Q344" s="295">
        <v>1007.2641787965732</v>
      </c>
      <c r="R344" s="296">
        <f>'Unit Savings Calculations'!$G340</f>
        <v>0.79</v>
      </c>
      <c r="S344" s="296">
        <f>'Unit Savings Calculations'!$G340</f>
        <v>0.79</v>
      </c>
      <c r="T344" s="296">
        <f>'Unit Savings Calculations'!$G340</f>
        <v>0.79</v>
      </c>
      <c r="U344" s="296">
        <f>'Unit Savings Calculations'!$G340</f>
        <v>0.79</v>
      </c>
      <c r="V344" s="297">
        <f t="shared" si="179"/>
        <v>0</v>
      </c>
      <c r="W344" s="297">
        <f t="shared" si="180"/>
        <v>0</v>
      </c>
      <c r="X344" s="297">
        <f t="shared" si="181"/>
        <v>0</v>
      </c>
      <c r="Y344" s="297">
        <f t="shared" si="182"/>
        <v>0</v>
      </c>
      <c r="Z344" s="297">
        <f t="shared" si="183"/>
        <v>0</v>
      </c>
      <c r="AA344" s="292"/>
      <c r="AB344" s="292"/>
      <c r="AC344" s="295">
        <v>1007.2641787965732</v>
      </c>
      <c r="AD344" s="292"/>
      <c r="AE344" s="297">
        <f t="shared" si="197"/>
        <v>0</v>
      </c>
      <c r="AF344" s="294">
        <f t="shared" si="198"/>
        <v>0</v>
      </c>
      <c r="AG344" s="292"/>
      <c r="AH344" s="292">
        <f t="shared" si="199"/>
        <v>0</v>
      </c>
      <c r="AI344" s="295">
        <v>1007.2641787965732</v>
      </c>
      <c r="AJ344" s="383" t="s">
        <v>878</v>
      </c>
      <c r="AK344" s="297">
        <f t="shared" si="200"/>
        <v>0</v>
      </c>
      <c r="AL344" s="294">
        <f t="shared" si="201"/>
        <v>0</v>
      </c>
      <c r="AM344" s="292"/>
      <c r="AN344" s="292"/>
      <c r="AO344" s="295">
        <f>'Unit Savings Calculations'!P340</f>
        <v>1007.2641787965732</v>
      </c>
      <c r="AP344" s="383" t="s">
        <v>763</v>
      </c>
      <c r="AQ344" s="297">
        <f t="shared" si="202"/>
        <v>0</v>
      </c>
      <c r="AR344" s="294">
        <f t="shared" si="203"/>
        <v>0</v>
      </c>
      <c r="AS344" s="292"/>
      <c r="AT344" s="292"/>
      <c r="AU344" s="295">
        <f>'Unit Savings Calculations'!Q340</f>
        <v>1007.2641787965732</v>
      </c>
      <c r="AV344" s="383" t="str">
        <f t="shared" si="186"/>
        <v>n/a</v>
      </c>
      <c r="AW344" s="297">
        <f t="shared" si="204"/>
        <v>0</v>
      </c>
      <c r="AX344" s="294">
        <f t="shared" si="205"/>
        <v>0</v>
      </c>
      <c r="AY344" s="297">
        <f t="shared" si="187"/>
        <v>0</v>
      </c>
      <c r="AZ344" s="297">
        <f t="shared" si="188"/>
        <v>0</v>
      </c>
      <c r="BA344" s="297">
        <f t="shared" si="189"/>
        <v>0</v>
      </c>
      <c r="BB344" s="297">
        <f t="shared" si="190"/>
        <v>0</v>
      </c>
      <c r="BC344" s="298">
        <f t="shared" si="191"/>
        <v>0</v>
      </c>
      <c r="BD344" s="292" t="s">
        <v>763</v>
      </c>
      <c r="BE344" s="299" t="str">
        <f t="shared" si="192"/>
        <v>Exhibit 1.5A_R North Shore EEPS_Adjustable_Savings_Goal_Template.xlsx, Food Equipment Tab</v>
      </c>
      <c r="BF344" s="298">
        <f t="shared" si="193"/>
        <v>0</v>
      </c>
      <c r="BG344" s="298">
        <f t="shared" si="193"/>
        <v>0</v>
      </c>
      <c r="BH344" s="298">
        <f t="shared" si="193"/>
        <v>0</v>
      </c>
      <c r="BI344" s="298">
        <f t="shared" si="193"/>
        <v>0</v>
      </c>
      <c r="BJ344" s="298">
        <f t="shared" si="194"/>
        <v>0</v>
      </c>
      <c r="BK344" s="482">
        <v>12</v>
      </c>
      <c r="BL344" s="482">
        <v>12</v>
      </c>
      <c r="BM344" s="482">
        <f>INDEX('Unit Savings Calculations'!$I$4:$I$421,MATCH('Measure-Level Adjustments Tab'!$A344&amp;"_"&amp;'Measure-Level Adjustments Tab'!$B344,'Unit Savings Calculations'!$A$4:$A$421,0))</f>
        <v>12</v>
      </c>
      <c r="BN344" s="482">
        <f t="shared" si="195"/>
        <v>12</v>
      </c>
      <c r="BO344" s="483">
        <f t="shared" si="196"/>
        <v>0</v>
      </c>
      <c r="BP344" s="483">
        <f t="shared" si="196"/>
        <v>0</v>
      </c>
      <c r="BQ344" s="483">
        <f t="shared" si="196"/>
        <v>0</v>
      </c>
      <c r="BR344" s="483">
        <f t="shared" si="196"/>
        <v>0</v>
      </c>
      <c r="BS344" s="483">
        <f t="shared" si="185"/>
        <v>0</v>
      </c>
    </row>
    <row r="345" spans="1:71" ht="15.75" customHeight="1">
      <c r="A345" s="292" t="str">
        <f>'Unit Savings Calculations'!C341</f>
        <v>Bus - Public Rebates</v>
      </c>
      <c r="B345" s="292" t="str">
        <f>'Unit Savings Calculations'!D341</f>
        <v>Energy Star Steamer - 5 Pans</v>
      </c>
      <c r="C345" s="293">
        <f t="shared" si="178"/>
        <v>1</v>
      </c>
      <c r="D345" s="292" t="str">
        <f>'Unit Savings Calculations'!T341</f>
        <v>4.2.3</v>
      </c>
      <c r="E345" s="438">
        <v>12</v>
      </c>
      <c r="F345" s="438">
        <v>12</v>
      </c>
      <c r="G345" s="292" t="str">
        <f>'Unit Savings Calculations'!E341</f>
        <v>each</v>
      </c>
      <c r="H345" s="294">
        <f>'Unit Savings Calculations'!$F341*'Unit Savings Calculations'!J341</f>
        <v>0</v>
      </c>
      <c r="I345" s="294">
        <f>'Unit Savings Calculations'!$F341*'Unit Savings Calculations'!K341</f>
        <v>0</v>
      </c>
      <c r="J345" s="294">
        <f>'Unit Savings Calculations'!$F341*'Unit Savings Calculations'!L341</f>
        <v>0</v>
      </c>
      <c r="K345" s="294">
        <f>'Unit Savings Calculations'!$F341*'Unit Savings Calculations'!M341</f>
        <v>0</v>
      </c>
      <c r="L345" s="292" t="str">
        <f>'Unit Savings Calculations'!U341</f>
        <v>CI-FSE-STMC-V04-160601</v>
      </c>
      <c r="M345" s="383" t="str">
        <f>'Unit Savings Calculations'!R341</f>
        <v>Exhibit 1.5A_R North Shore EEPS_Adjustable_Savings_Goal_Template.xlsx, Food Equipment Tab</v>
      </c>
      <c r="N345" s="295">
        <v>1248.6709419898457</v>
      </c>
      <c r="O345" s="295">
        <v>1248.6709419898457</v>
      </c>
      <c r="P345" s="295">
        <v>1248.6709419898457</v>
      </c>
      <c r="Q345" s="295">
        <v>1248.6709419898457</v>
      </c>
      <c r="R345" s="296">
        <f>'Unit Savings Calculations'!$G341</f>
        <v>0.79</v>
      </c>
      <c r="S345" s="296">
        <f>'Unit Savings Calculations'!$G341</f>
        <v>0.79</v>
      </c>
      <c r="T345" s="296">
        <f>'Unit Savings Calculations'!$G341</f>
        <v>0.79</v>
      </c>
      <c r="U345" s="296">
        <f>'Unit Savings Calculations'!$G341</f>
        <v>0.79</v>
      </c>
      <c r="V345" s="297">
        <f t="shared" si="179"/>
        <v>0</v>
      </c>
      <c r="W345" s="297">
        <f t="shared" si="180"/>
        <v>0</v>
      </c>
      <c r="X345" s="297">
        <f t="shared" si="181"/>
        <v>0</v>
      </c>
      <c r="Y345" s="297">
        <f t="shared" si="182"/>
        <v>0</v>
      </c>
      <c r="Z345" s="297">
        <f t="shared" si="183"/>
        <v>0</v>
      </c>
      <c r="AA345" s="292"/>
      <c r="AB345" s="292"/>
      <c r="AC345" s="295">
        <v>1248.6709419898457</v>
      </c>
      <c r="AD345" s="292"/>
      <c r="AE345" s="297">
        <f t="shared" si="197"/>
        <v>0</v>
      </c>
      <c r="AF345" s="294">
        <f t="shared" si="198"/>
        <v>0</v>
      </c>
      <c r="AG345" s="292"/>
      <c r="AH345" s="292">
        <f t="shared" si="199"/>
        <v>0</v>
      </c>
      <c r="AI345" s="295">
        <v>1248.6709419898457</v>
      </c>
      <c r="AJ345" s="383" t="s">
        <v>878</v>
      </c>
      <c r="AK345" s="297">
        <f t="shared" si="200"/>
        <v>0</v>
      </c>
      <c r="AL345" s="294">
        <f t="shared" si="201"/>
        <v>0</v>
      </c>
      <c r="AM345" s="292"/>
      <c r="AN345" s="292"/>
      <c r="AO345" s="295">
        <f>'Unit Savings Calculations'!P341</f>
        <v>1248.6709419898457</v>
      </c>
      <c r="AP345" s="383" t="s">
        <v>763</v>
      </c>
      <c r="AQ345" s="297">
        <f t="shared" si="202"/>
        <v>0</v>
      </c>
      <c r="AR345" s="294">
        <f t="shared" si="203"/>
        <v>0</v>
      </c>
      <c r="AS345" s="292"/>
      <c r="AT345" s="292"/>
      <c r="AU345" s="295">
        <f>'Unit Savings Calculations'!Q341</f>
        <v>1248.6709419898457</v>
      </c>
      <c r="AV345" s="383" t="str">
        <f t="shared" si="186"/>
        <v>n/a</v>
      </c>
      <c r="AW345" s="297">
        <f t="shared" si="204"/>
        <v>0</v>
      </c>
      <c r="AX345" s="294">
        <f t="shared" si="205"/>
        <v>0</v>
      </c>
      <c r="AY345" s="297">
        <f t="shared" si="187"/>
        <v>0</v>
      </c>
      <c r="AZ345" s="297">
        <f t="shared" si="188"/>
        <v>0</v>
      </c>
      <c r="BA345" s="297">
        <f t="shared" si="189"/>
        <v>0</v>
      </c>
      <c r="BB345" s="297">
        <f t="shared" si="190"/>
        <v>0</v>
      </c>
      <c r="BC345" s="298">
        <f t="shared" si="191"/>
        <v>0</v>
      </c>
      <c r="BD345" s="292" t="s">
        <v>763</v>
      </c>
      <c r="BE345" s="299" t="str">
        <f t="shared" si="192"/>
        <v>Exhibit 1.5A_R North Shore EEPS_Adjustable_Savings_Goal_Template.xlsx, Food Equipment Tab</v>
      </c>
      <c r="BF345" s="298">
        <f t="shared" si="193"/>
        <v>0</v>
      </c>
      <c r="BG345" s="298">
        <f t="shared" si="193"/>
        <v>0</v>
      </c>
      <c r="BH345" s="298">
        <f t="shared" si="193"/>
        <v>0</v>
      </c>
      <c r="BI345" s="298">
        <f t="shared" si="193"/>
        <v>0</v>
      </c>
      <c r="BJ345" s="298">
        <f t="shared" si="194"/>
        <v>0</v>
      </c>
      <c r="BK345" s="482">
        <v>12</v>
      </c>
      <c r="BL345" s="482">
        <v>12</v>
      </c>
      <c r="BM345" s="482">
        <f>INDEX('Unit Savings Calculations'!$I$4:$I$421,MATCH('Measure-Level Adjustments Tab'!$A345&amp;"_"&amp;'Measure-Level Adjustments Tab'!$B345,'Unit Savings Calculations'!$A$4:$A$421,0))</f>
        <v>12</v>
      </c>
      <c r="BN345" s="482">
        <f t="shared" si="195"/>
        <v>12</v>
      </c>
      <c r="BO345" s="483">
        <f t="shared" si="196"/>
        <v>0</v>
      </c>
      <c r="BP345" s="483">
        <f t="shared" si="196"/>
        <v>0</v>
      </c>
      <c r="BQ345" s="483">
        <f t="shared" si="196"/>
        <v>0</v>
      </c>
      <c r="BR345" s="483">
        <f t="shared" si="196"/>
        <v>0</v>
      </c>
      <c r="BS345" s="483">
        <f t="shared" si="185"/>
        <v>0</v>
      </c>
    </row>
    <row r="346" spans="1:71" ht="15.75" customHeight="1">
      <c r="A346" s="292" t="str">
        <f>'Unit Savings Calculations'!C342</f>
        <v>Bus - Public Rebates</v>
      </c>
      <c r="B346" s="292" t="str">
        <f>'Unit Savings Calculations'!D342</f>
        <v>Energy Star Steamer - 6 Pans</v>
      </c>
      <c r="C346" s="293">
        <f t="shared" si="178"/>
        <v>1</v>
      </c>
      <c r="D346" s="292" t="str">
        <f>'Unit Savings Calculations'!T342</f>
        <v>4.2.3</v>
      </c>
      <c r="E346" s="438">
        <v>12</v>
      </c>
      <c r="F346" s="438">
        <v>12</v>
      </c>
      <c r="G346" s="292" t="str">
        <f>'Unit Savings Calculations'!E342</f>
        <v>each</v>
      </c>
      <c r="H346" s="294">
        <f>'Unit Savings Calculations'!$F342*'Unit Savings Calculations'!J342</f>
        <v>0</v>
      </c>
      <c r="I346" s="294">
        <f>'Unit Savings Calculations'!$F342*'Unit Savings Calculations'!K342</f>
        <v>0</v>
      </c>
      <c r="J346" s="294">
        <f>'Unit Savings Calculations'!$F342*'Unit Savings Calculations'!L342</f>
        <v>0</v>
      </c>
      <c r="K346" s="294">
        <f>'Unit Savings Calculations'!$F342*'Unit Savings Calculations'!M342</f>
        <v>0</v>
      </c>
      <c r="L346" s="292" t="str">
        <f>'Unit Savings Calculations'!U342</f>
        <v>CI-FSE-STMC-V04-160601</v>
      </c>
      <c r="M346" s="383" t="str">
        <f>'Unit Savings Calculations'!R342</f>
        <v>Exhibit 1.5A_R North Shore EEPS_Adjustable_Savings_Goal_Template.xlsx, Food Equipment Tab</v>
      </c>
      <c r="N346" s="295">
        <v>1503.8794358667649</v>
      </c>
      <c r="O346" s="295">
        <v>1503.8794358667649</v>
      </c>
      <c r="P346" s="295">
        <v>1503.8794358667649</v>
      </c>
      <c r="Q346" s="295">
        <v>1503.8794358667649</v>
      </c>
      <c r="R346" s="296">
        <f>'Unit Savings Calculations'!$G342</f>
        <v>0.79</v>
      </c>
      <c r="S346" s="296">
        <f>'Unit Savings Calculations'!$G342</f>
        <v>0.79</v>
      </c>
      <c r="T346" s="296">
        <f>'Unit Savings Calculations'!$G342</f>
        <v>0.79</v>
      </c>
      <c r="U346" s="296">
        <f>'Unit Savings Calculations'!$G342</f>
        <v>0.79</v>
      </c>
      <c r="V346" s="297">
        <f t="shared" si="179"/>
        <v>0</v>
      </c>
      <c r="W346" s="297">
        <f t="shared" si="180"/>
        <v>0</v>
      </c>
      <c r="X346" s="297">
        <f t="shared" si="181"/>
        <v>0</v>
      </c>
      <c r="Y346" s="297">
        <f t="shared" si="182"/>
        <v>0</v>
      </c>
      <c r="Z346" s="297">
        <f t="shared" si="183"/>
        <v>0</v>
      </c>
      <c r="AA346" s="292"/>
      <c r="AB346" s="292"/>
      <c r="AC346" s="295">
        <v>1503.8794358667649</v>
      </c>
      <c r="AD346" s="292"/>
      <c r="AE346" s="297">
        <f t="shared" si="197"/>
        <v>0</v>
      </c>
      <c r="AF346" s="294">
        <f t="shared" si="198"/>
        <v>0</v>
      </c>
      <c r="AG346" s="292"/>
      <c r="AH346" s="292">
        <f t="shared" si="199"/>
        <v>0</v>
      </c>
      <c r="AI346" s="295">
        <v>1503.8794358667649</v>
      </c>
      <c r="AJ346" s="383" t="s">
        <v>878</v>
      </c>
      <c r="AK346" s="297">
        <f t="shared" si="200"/>
        <v>0</v>
      </c>
      <c r="AL346" s="294">
        <f t="shared" si="201"/>
        <v>0</v>
      </c>
      <c r="AM346" s="292"/>
      <c r="AN346" s="292"/>
      <c r="AO346" s="295">
        <f>'Unit Savings Calculations'!P342</f>
        <v>1503.8794358667649</v>
      </c>
      <c r="AP346" s="383" t="s">
        <v>763</v>
      </c>
      <c r="AQ346" s="297">
        <f t="shared" si="202"/>
        <v>0</v>
      </c>
      <c r="AR346" s="294">
        <f t="shared" si="203"/>
        <v>0</v>
      </c>
      <c r="AS346" s="292"/>
      <c r="AT346" s="292"/>
      <c r="AU346" s="295">
        <f>'Unit Savings Calculations'!Q342</f>
        <v>1503.8794358667649</v>
      </c>
      <c r="AV346" s="383" t="str">
        <f t="shared" si="186"/>
        <v>n/a</v>
      </c>
      <c r="AW346" s="297">
        <f t="shared" si="204"/>
        <v>0</v>
      </c>
      <c r="AX346" s="294">
        <f t="shared" si="205"/>
        <v>0</v>
      </c>
      <c r="AY346" s="297">
        <f t="shared" si="187"/>
        <v>0</v>
      </c>
      <c r="AZ346" s="297">
        <f t="shared" si="188"/>
        <v>0</v>
      </c>
      <c r="BA346" s="297">
        <f t="shared" si="189"/>
        <v>0</v>
      </c>
      <c r="BB346" s="297">
        <f t="shared" si="190"/>
        <v>0</v>
      </c>
      <c r="BC346" s="298">
        <f t="shared" si="191"/>
        <v>0</v>
      </c>
      <c r="BD346" s="292" t="s">
        <v>763</v>
      </c>
      <c r="BE346" s="299" t="str">
        <f t="shared" si="192"/>
        <v>Exhibit 1.5A_R North Shore EEPS_Adjustable_Savings_Goal_Template.xlsx, Food Equipment Tab</v>
      </c>
      <c r="BF346" s="298">
        <f t="shared" si="193"/>
        <v>0</v>
      </c>
      <c r="BG346" s="298">
        <f t="shared" si="193"/>
        <v>0</v>
      </c>
      <c r="BH346" s="298">
        <f t="shared" si="193"/>
        <v>0</v>
      </c>
      <c r="BI346" s="298">
        <f t="shared" si="193"/>
        <v>0</v>
      </c>
      <c r="BJ346" s="298">
        <f t="shared" si="194"/>
        <v>0</v>
      </c>
      <c r="BK346" s="482">
        <v>12</v>
      </c>
      <c r="BL346" s="482">
        <v>12</v>
      </c>
      <c r="BM346" s="482">
        <f>INDEX('Unit Savings Calculations'!$I$4:$I$421,MATCH('Measure-Level Adjustments Tab'!$A346&amp;"_"&amp;'Measure-Level Adjustments Tab'!$B346,'Unit Savings Calculations'!$A$4:$A$421,0))</f>
        <v>12</v>
      </c>
      <c r="BN346" s="482">
        <f t="shared" si="195"/>
        <v>12</v>
      </c>
      <c r="BO346" s="483">
        <f t="shared" si="196"/>
        <v>0</v>
      </c>
      <c r="BP346" s="483">
        <f t="shared" si="196"/>
        <v>0</v>
      </c>
      <c r="BQ346" s="483">
        <f t="shared" si="196"/>
        <v>0</v>
      </c>
      <c r="BR346" s="483">
        <f t="shared" si="196"/>
        <v>0</v>
      </c>
      <c r="BS346" s="483">
        <f t="shared" si="185"/>
        <v>0</v>
      </c>
    </row>
    <row r="347" spans="1:71" ht="15.75" customHeight="1">
      <c r="A347" s="292" t="str">
        <f>'Unit Savings Calculations'!C343</f>
        <v>Bus - Public Rebates</v>
      </c>
      <c r="B347" s="292" t="str">
        <f>'Unit Savings Calculations'!D343</f>
        <v>Heat Recovery Grease Trap Filter</v>
      </c>
      <c r="C347" s="293">
        <f t="shared" si="178"/>
        <v>1</v>
      </c>
      <c r="D347" s="292" t="str">
        <f>'Unit Savings Calculations'!T343</f>
        <v>4.3.9</v>
      </c>
      <c r="E347" s="438">
        <v>15</v>
      </c>
      <c r="F347" s="438">
        <v>15</v>
      </c>
      <c r="G347" s="292" t="str">
        <f>'Unit Savings Calculations'!E343</f>
        <v>each</v>
      </c>
      <c r="H347" s="294">
        <f>'Unit Savings Calculations'!$F343*'Unit Savings Calculations'!J343</f>
        <v>0</v>
      </c>
      <c r="I347" s="294">
        <f>'Unit Savings Calculations'!$F343*'Unit Savings Calculations'!K343</f>
        <v>0</v>
      </c>
      <c r="J347" s="294">
        <f>'Unit Savings Calculations'!$F343*'Unit Savings Calculations'!L343</f>
        <v>0</v>
      </c>
      <c r="K347" s="294">
        <f>'Unit Savings Calculations'!$F343*'Unit Savings Calculations'!M343</f>
        <v>0</v>
      </c>
      <c r="L347" s="292" t="str">
        <f>'Unit Savings Calculations'!U343</f>
        <v>CI-HW-GRTF-V01-160601</v>
      </c>
      <c r="M347" s="383" t="str">
        <f>'Unit Savings Calculations'!R343</f>
        <v>Exhibit 1.5A_R North Shore EEPS_Adjustable_Savings_Goal_Template.xlsx, Unit Savings Calculations Tab</v>
      </c>
      <c r="N347" s="295">
        <v>1757.3025600000001</v>
      </c>
      <c r="O347" s="295">
        <v>1757.3025600000001</v>
      </c>
      <c r="P347" s="295">
        <v>1757.3025600000001</v>
      </c>
      <c r="Q347" s="295">
        <v>1757.3025600000001</v>
      </c>
      <c r="R347" s="296">
        <f>'Unit Savings Calculations'!$G343</f>
        <v>0.79</v>
      </c>
      <c r="S347" s="296">
        <f>'Unit Savings Calculations'!$G343</f>
        <v>0.79</v>
      </c>
      <c r="T347" s="296">
        <f>'Unit Savings Calculations'!$G343</f>
        <v>0.79</v>
      </c>
      <c r="U347" s="296">
        <f>'Unit Savings Calculations'!$G343</f>
        <v>0.79</v>
      </c>
      <c r="V347" s="297">
        <f t="shared" si="179"/>
        <v>0</v>
      </c>
      <c r="W347" s="297">
        <f t="shared" si="180"/>
        <v>0</v>
      </c>
      <c r="X347" s="297">
        <f t="shared" si="181"/>
        <v>0</v>
      </c>
      <c r="Y347" s="297">
        <f t="shared" si="182"/>
        <v>0</v>
      </c>
      <c r="Z347" s="297">
        <f t="shared" si="183"/>
        <v>0</v>
      </c>
      <c r="AA347" s="292"/>
      <c r="AB347" s="292"/>
      <c r="AC347" s="295">
        <v>1757.3025600000001</v>
      </c>
      <c r="AD347" s="292"/>
      <c r="AE347" s="297">
        <f t="shared" si="197"/>
        <v>0</v>
      </c>
      <c r="AF347" s="294">
        <f t="shared" si="198"/>
        <v>0</v>
      </c>
      <c r="AG347" s="292"/>
      <c r="AH347" s="292">
        <f t="shared" si="199"/>
        <v>0</v>
      </c>
      <c r="AI347" s="295">
        <v>1757.3025600000001</v>
      </c>
      <c r="AJ347" s="383" t="s">
        <v>878</v>
      </c>
      <c r="AK347" s="297">
        <f t="shared" si="200"/>
        <v>0</v>
      </c>
      <c r="AL347" s="294">
        <f t="shared" si="201"/>
        <v>0</v>
      </c>
      <c r="AM347" s="292"/>
      <c r="AN347" s="292"/>
      <c r="AO347" s="295">
        <f>'Unit Savings Calculations'!P343</f>
        <v>1757.3025600000001</v>
      </c>
      <c r="AP347" s="383" t="s">
        <v>763</v>
      </c>
      <c r="AQ347" s="297">
        <f t="shared" si="202"/>
        <v>0</v>
      </c>
      <c r="AR347" s="294">
        <f t="shared" si="203"/>
        <v>0</v>
      </c>
      <c r="AS347" s="292"/>
      <c r="AT347" s="292"/>
      <c r="AU347" s="295">
        <f>'Unit Savings Calculations'!Q343</f>
        <v>1757.3025600000001</v>
      </c>
      <c r="AV347" s="383" t="str">
        <f t="shared" si="186"/>
        <v>n/a</v>
      </c>
      <c r="AW347" s="297">
        <f t="shared" si="204"/>
        <v>0</v>
      </c>
      <c r="AX347" s="294">
        <f t="shared" si="205"/>
        <v>0</v>
      </c>
      <c r="AY347" s="297">
        <f t="shared" si="187"/>
        <v>0</v>
      </c>
      <c r="AZ347" s="297">
        <f t="shared" si="188"/>
        <v>0</v>
      </c>
      <c r="BA347" s="297">
        <f t="shared" si="189"/>
        <v>0</v>
      </c>
      <c r="BB347" s="297">
        <f t="shared" si="190"/>
        <v>0</v>
      </c>
      <c r="BC347" s="298">
        <f t="shared" si="191"/>
        <v>0</v>
      </c>
      <c r="BD347" s="292" t="s">
        <v>763</v>
      </c>
      <c r="BE347" s="299" t="str">
        <f t="shared" si="192"/>
        <v>Exhibit 1.5A_R North Shore EEPS_Adjustable_Savings_Goal_Template.xlsx, Unit Savings Calculations Tab</v>
      </c>
      <c r="BF347" s="298">
        <f t="shared" si="193"/>
        <v>0</v>
      </c>
      <c r="BG347" s="298">
        <f t="shared" si="193"/>
        <v>0</v>
      </c>
      <c r="BH347" s="298">
        <f t="shared" si="193"/>
        <v>0</v>
      </c>
      <c r="BI347" s="298">
        <f t="shared" si="193"/>
        <v>0</v>
      </c>
      <c r="BJ347" s="298">
        <f t="shared" si="194"/>
        <v>0</v>
      </c>
      <c r="BK347" s="482">
        <v>15</v>
      </c>
      <c r="BL347" s="482">
        <v>15</v>
      </c>
      <c r="BM347" s="482">
        <f>INDEX('Unit Savings Calculations'!$I$4:$I$421,MATCH('Measure-Level Adjustments Tab'!$A347&amp;"_"&amp;'Measure-Level Adjustments Tab'!$B347,'Unit Savings Calculations'!$A$4:$A$421,0))</f>
        <v>15</v>
      </c>
      <c r="BN347" s="482">
        <f t="shared" si="195"/>
        <v>15</v>
      </c>
      <c r="BO347" s="483">
        <f t="shared" si="196"/>
        <v>0</v>
      </c>
      <c r="BP347" s="483">
        <f t="shared" si="196"/>
        <v>0</v>
      </c>
      <c r="BQ347" s="483">
        <f t="shared" si="196"/>
        <v>0</v>
      </c>
      <c r="BR347" s="483">
        <f t="shared" si="196"/>
        <v>0</v>
      </c>
      <c r="BS347" s="483">
        <f t="shared" si="185"/>
        <v>0</v>
      </c>
    </row>
    <row r="348" spans="1:71" ht="15.75" customHeight="1">
      <c r="A348" s="292" t="str">
        <f>'Unit Savings Calculations'!C344</f>
        <v>Bus - Public Rebates</v>
      </c>
      <c r="B348" s="292" t="str">
        <f>'Unit Savings Calculations'!D344</f>
        <v>Infrared Charbroiler</v>
      </c>
      <c r="C348" s="293">
        <f t="shared" si="178"/>
        <v>1</v>
      </c>
      <c r="D348" s="292" t="str">
        <f>'Unit Savings Calculations'!T344</f>
        <v>4.2.12</v>
      </c>
      <c r="E348" s="438">
        <v>12</v>
      </c>
      <c r="F348" s="438">
        <v>12</v>
      </c>
      <c r="G348" s="292" t="str">
        <f>'Unit Savings Calculations'!E344</f>
        <v>each</v>
      </c>
      <c r="H348" s="294">
        <f>'Unit Savings Calculations'!$F344*'Unit Savings Calculations'!J344</f>
        <v>0</v>
      </c>
      <c r="I348" s="294">
        <f>'Unit Savings Calculations'!$F344*'Unit Savings Calculations'!K344</f>
        <v>0</v>
      </c>
      <c r="J348" s="294">
        <f>'Unit Savings Calculations'!$F344*'Unit Savings Calculations'!L344</f>
        <v>0</v>
      </c>
      <c r="K348" s="294">
        <f>'Unit Savings Calculations'!$F344*'Unit Savings Calculations'!M344</f>
        <v>0</v>
      </c>
      <c r="L348" s="292" t="str">
        <f>'Unit Savings Calculations'!U344</f>
        <v>CI-FSE-IRCB-V02-180101</v>
      </c>
      <c r="M348" s="383" t="str">
        <f>'Unit Savings Calculations'!R344</f>
        <v>Exhibit 1.5A_R North Shore EEPS_Adjustable_Savings_Goal_Template.xlsx, Unit Savings Calculations Tab</v>
      </c>
      <c r="N348" s="295">
        <v>706.68</v>
      </c>
      <c r="O348" s="295">
        <v>706.68</v>
      </c>
      <c r="P348" s="295">
        <v>706.68</v>
      </c>
      <c r="Q348" s="295">
        <v>706.68</v>
      </c>
      <c r="R348" s="296">
        <f>'Unit Savings Calculations'!$G344</f>
        <v>0.79</v>
      </c>
      <c r="S348" s="296">
        <f>'Unit Savings Calculations'!$G344</f>
        <v>0.79</v>
      </c>
      <c r="T348" s="296">
        <f>'Unit Savings Calculations'!$G344</f>
        <v>0.79</v>
      </c>
      <c r="U348" s="296">
        <f>'Unit Savings Calculations'!$G344</f>
        <v>0.79</v>
      </c>
      <c r="V348" s="297">
        <f t="shared" si="179"/>
        <v>0</v>
      </c>
      <c r="W348" s="297">
        <f t="shared" si="180"/>
        <v>0</v>
      </c>
      <c r="X348" s="297">
        <f t="shared" si="181"/>
        <v>0</v>
      </c>
      <c r="Y348" s="297">
        <f t="shared" si="182"/>
        <v>0</v>
      </c>
      <c r="Z348" s="297">
        <f t="shared" si="183"/>
        <v>0</v>
      </c>
      <c r="AA348" s="292"/>
      <c r="AB348" s="292"/>
      <c r="AC348" s="295">
        <v>706.68</v>
      </c>
      <c r="AD348" s="292"/>
      <c r="AE348" s="297">
        <f t="shared" si="197"/>
        <v>0</v>
      </c>
      <c r="AF348" s="294">
        <f t="shared" si="198"/>
        <v>0</v>
      </c>
      <c r="AG348" s="292"/>
      <c r="AH348" s="292">
        <f t="shared" si="199"/>
        <v>0</v>
      </c>
      <c r="AI348" s="295">
        <v>706.68</v>
      </c>
      <c r="AJ348" s="383" t="s">
        <v>878</v>
      </c>
      <c r="AK348" s="297">
        <f t="shared" si="200"/>
        <v>0</v>
      </c>
      <c r="AL348" s="294">
        <f t="shared" si="201"/>
        <v>0</v>
      </c>
      <c r="AM348" s="292"/>
      <c r="AN348" s="292"/>
      <c r="AO348" s="295">
        <f>'Unit Savings Calculations'!P344</f>
        <v>706.68</v>
      </c>
      <c r="AP348" s="383" t="s">
        <v>763</v>
      </c>
      <c r="AQ348" s="297">
        <f t="shared" si="202"/>
        <v>0</v>
      </c>
      <c r="AR348" s="294">
        <f t="shared" si="203"/>
        <v>0</v>
      </c>
      <c r="AS348" s="292"/>
      <c r="AT348" s="292"/>
      <c r="AU348" s="295">
        <f>'Unit Savings Calculations'!Q344</f>
        <v>706.68</v>
      </c>
      <c r="AV348" s="383" t="str">
        <f t="shared" si="186"/>
        <v>n/a</v>
      </c>
      <c r="AW348" s="297">
        <f t="shared" si="204"/>
        <v>0</v>
      </c>
      <c r="AX348" s="294">
        <f t="shared" si="205"/>
        <v>0</v>
      </c>
      <c r="AY348" s="297">
        <f t="shared" si="187"/>
        <v>0</v>
      </c>
      <c r="AZ348" s="297">
        <f t="shared" si="188"/>
        <v>0</v>
      </c>
      <c r="BA348" s="297">
        <f t="shared" si="189"/>
        <v>0</v>
      </c>
      <c r="BB348" s="297">
        <f t="shared" si="190"/>
        <v>0</v>
      </c>
      <c r="BC348" s="298">
        <f t="shared" si="191"/>
        <v>0</v>
      </c>
      <c r="BD348" s="292" t="s">
        <v>763</v>
      </c>
      <c r="BE348" s="299" t="str">
        <f t="shared" si="192"/>
        <v>Exhibit 1.5A_R North Shore EEPS_Adjustable_Savings_Goal_Template.xlsx, Unit Savings Calculations Tab</v>
      </c>
      <c r="BF348" s="298">
        <f t="shared" si="193"/>
        <v>0</v>
      </c>
      <c r="BG348" s="298">
        <f t="shared" si="193"/>
        <v>0</v>
      </c>
      <c r="BH348" s="298">
        <f t="shared" si="193"/>
        <v>0</v>
      </c>
      <c r="BI348" s="298">
        <f t="shared" si="193"/>
        <v>0</v>
      </c>
      <c r="BJ348" s="298">
        <f t="shared" si="194"/>
        <v>0</v>
      </c>
      <c r="BK348" s="482">
        <v>12</v>
      </c>
      <c r="BL348" s="482">
        <v>12</v>
      </c>
      <c r="BM348" s="482">
        <f>INDEX('Unit Savings Calculations'!$I$4:$I$421,MATCH('Measure-Level Adjustments Tab'!$A348&amp;"_"&amp;'Measure-Level Adjustments Tab'!$B348,'Unit Savings Calculations'!$A$4:$A$421,0))</f>
        <v>12</v>
      </c>
      <c r="BN348" s="482">
        <f t="shared" si="195"/>
        <v>12</v>
      </c>
      <c r="BO348" s="483">
        <f t="shared" si="196"/>
        <v>0</v>
      </c>
      <c r="BP348" s="483">
        <f t="shared" si="196"/>
        <v>0</v>
      </c>
      <c r="BQ348" s="483">
        <f t="shared" si="196"/>
        <v>0</v>
      </c>
      <c r="BR348" s="483">
        <f t="shared" si="196"/>
        <v>0</v>
      </c>
      <c r="BS348" s="483">
        <f t="shared" si="185"/>
        <v>0</v>
      </c>
    </row>
    <row r="349" spans="1:71" ht="15.75" customHeight="1">
      <c r="A349" s="292" t="str">
        <f>'Unit Savings Calculations'!C345</f>
        <v>Bus - Public Rebates</v>
      </c>
      <c r="B349" s="292" t="str">
        <f>'Unit Savings Calculations'!D345</f>
        <v>Infrared Rotisserie Oven</v>
      </c>
      <c r="C349" s="293">
        <f t="shared" ref="C349:C412" si="206">IF(D349="Custom",0,1)</f>
        <v>1</v>
      </c>
      <c r="D349" s="292" t="str">
        <f>'Unit Savings Calculations'!T345</f>
        <v>4.2.13</v>
      </c>
      <c r="E349" s="438">
        <v>12</v>
      </c>
      <c r="F349" s="438">
        <v>12</v>
      </c>
      <c r="G349" s="292" t="str">
        <f>'Unit Savings Calculations'!E345</f>
        <v>each</v>
      </c>
      <c r="H349" s="294">
        <f>'Unit Savings Calculations'!$F345*'Unit Savings Calculations'!J345</f>
        <v>0</v>
      </c>
      <c r="I349" s="294">
        <f>'Unit Savings Calculations'!$F345*'Unit Savings Calculations'!K345</f>
        <v>0</v>
      </c>
      <c r="J349" s="294">
        <f>'Unit Savings Calculations'!$F345*'Unit Savings Calculations'!L345</f>
        <v>0</v>
      </c>
      <c r="K349" s="294">
        <f>'Unit Savings Calculations'!$F345*'Unit Savings Calculations'!M345</f>
        <v>0</v>
      </c>
      <c r="L349" s="292" t="str">
        <f>'Unit Savings Calculations'!U345</f>
        <v>CI-FSE-IROV-V02-180101</v>
      </c>
      <c r="M349" s="383" t="str">
        <f>'Unit Savings Calculations'!R345</f>
        <v>Exhibit 1.5A_R North Shore EEPS_Adjustable_Savings_Goal_Template.xlsx, Unit Savings Calculations Tab</v>
      </c>
      <c r="N349" s="295">
        <v>599.04</v>
      </c>
      <c r="O349" s="295">
        <v>599.04</v>
      </c>
      <c r="P349" s="295">
        <v>599.04</v>
      </c>
      <c r="Q349" s="295">
        <v>599.04</v>
      </c>
      <c r="R349" s="296">
        <f>'Unit Savings Calculations'!$G345</f>
        <v>0.79</v>
      </c>
      <c r="S349" s="296">
        <f>'Unit Savings Calculations'!$G345</f>
        <v>0.79</v>
      </c>
      <c r="T349" s="296">
        <f>'Unit Savings Calculations'!$G345</f>
        <v>0.79</v>
      </c>
      <c r="U349" s="296">
        <f>'Unit Savings Calculations'!$G345</f>
        <v>0.79</v>
      </c>
      <c r="V349" s="297">
        <f t="shared" si="179"/>
        <v>0</v>
      </c>
      <c r="W349" s="297">
        <f t="shared" si="180"/>
        <v>0</v>
      </c>
      <c r="X349" s="297">
        <f t="shared" si="181"/>
        <v>0</v>
      </c>
      <c r="Y349" s="297">
        <f t="shared" si="182"/>
        <v>0</v>
      </c>
      <c r="Z349" s="297">
        <f t="shared" si="183"/>
        <v>0</v>
      </c>
      <c r="AA349" s="292"/>
      <c r="AB349" s="292"/>
      <c r="AC349" s="295">
        <v>599.04</v>
      </c>
      <c r="AD349" s="292"/>
      <c r="AE349" s="297">
        <f t="shared" si="197"/>
        <v>0</v>
      </c>
      <c r="AF349" s="294">
        <f t="shared" si="198"/>
        <v>0</v>
      </c>
      <c r="AG349" s="292"/>
      <c r="AH349" s="292">
        <f t="shared" si="199"/>
        <v>0</v>
      </c>
      <c r="AI349" s="295">
        <v>599.04</v>
      </c>
      <c r="AJ349" s="383" t="s">
        <v>878</v>
      </c>
      <c r="AK349" s="297">
        <f t="shared" si="200"/>
        <v>0</v>
      </c>
      <c r="AL349" s="294">
        <f t="shared" si="201"/>
        <v>0</v>
      </c>
      <c r="AM349" s="292"/>
      <c r="AN349" s="292"/>
      <c r="AO349" s="295">
        <f>'Unit Savings Calculations'!P345</f>
        <v>599.04</v>
      </c>
      <c r="AP349" s="383" t="s">
        <v>763</v>
      </c>
      <c r="AQ349" s="297">
        <f t="shared" si="202"/>
        <v>0</v>
      </c>
      <c r="AR349" s="294">
        <f t="shared" si="203"/>
        <v>0</v>
      </c>
      <c r="AS349" s="292"/>
      <c r="AT349" s="292"/>
      <c r="AU349" s="295">
        <f>'Unit Savings Calculations'!Q345</f>
        <v>599.04</v>
      </c>
      <c r="AV349" s="383" t="str">
        <f t="shared" si="186"/>
        <v>n/a</v>
      </c>
      <c r="AW349" s="297">
        <f t="shared" si="204"/>
        <v>0</v>
      </c>
      <c r="AX349" s="294">
        <f t="shared" si="205"/>
        <v>0</v>
      </c>
      <c r="AY349" s="297">
        <f t="shared" si="187"/>
        <v>0</v>
      </c>
      <c r="AZ349" s="297">
        <f t="shared" si="188"/>
        <v>0</v>
      </c>
      <c r="BA349" s="297">
        <f t="shared" si="189"/>
        <v>0</v>
      </c>
      <c r="BB349" s="297">
        <f t="shared" si="190"/>
        <v>0</v>
      </c>
      <c r="BC349" s="298">
        <f t="shared" si="191"/>
        <v>0</v>
      </c>
      <c r="BD349" s="292" t="s">
        <v>763</v>
      </c>
      <c r="BE349" s="299" t="str">
        <f t="shared" si="192"/>
        <v>Exhibit 1.5A_R North Shore EEPS_Adjustable_Savings_Goal_Template.xlsx, Unit Savings Calculations Tab</v>
      </c>
      <c r="BF349" s="298">
        <f t="shared" si="193"/>
        <v>0</v>
      </c>
      <c r="BG349" s="298">
        <f t="shared" si="193"/>
        <v>0</v>
      </c>
      <c r="BH349" s="298">
        <f t="shared" si="193"/>
        <v>0</v>
      </c>
      <c r="BI349" s="298">
        <f t="shared" si="193"/>
        <v>0</v>
      </c>
      <c r="BJ349" s="298">
        <f t="shared" si="194"/>
        <v>0</v>
      </c>
      <c r="BK349" s="482">
        <v>12</v>
      </c>
      <c r="BL349" s="482">
        <v>12</v>
      </c>
      <c r="BM349" s="482">
        <f>INDEX('Unit Savings Calculations'!$I$4:$I$421,MATCH('Measure-Level Adjustments Tab'!$A349&amp;"_"&amp;'Measure-Level Adjustments Tab'!$B349,'Unit Savings Calculations'!$A$4:$A$421,0))</f>
        <v>12</v>
      </c>
      <c r="BN349" s="482">
        <f t="shared" si="195"/>
        <v>12</v>
      </c>
      <c r="BO349" s="483">
        <f t="shared" si="196"/>
        <v>0</v>
      </c>
      <c r="BP349" s="483">
        <f t="shared" si="196"/>
        <v>0</v>
      </c>
      <c r="BQ349" s="483">
        <f t="shared" si="196"/>
        <v>0</v>
      </c>
      <c r="BR349" s="483">
        <f t="shared" si="196"/>
        <v>0</v>
      </c>
      <c r="BS349" s="483">
        <f t="shared" si="185"/>
        <v>0</v>
      </c>
    </row>
    <row r="350" spans="1:71" ht="15.75" customHeight="1">
      <c r="A350" s="292" t="str">
        <f>'Unit Savings Calculations'!C346</f>
        <v>Bus - Public Rebates</v>
      </c>
      <c r="B350" s="292" t="str">
        <f>'Unit Savings Calculations'!D346</f>
        <v>Infrared Salamander Broiler</v>
      </c>
      <c r="C350" s="293">
        <f t="shared" si="206"/>
        <v>1</v>
      </c>
      <c r="D350" s="292" t="str">
        <f>'Unit Savings Calculations'!T346</f>
        <v>4.2.14</v>
      </c>
      <c r="E350" s="438">
        <v>12</v>
      </c>
      <c r="F350" s="438">
        <v>12</v>
      </c>
      <c r="G350" s="292" t="str">
        <f>'Unit Savings Calculations'!E346</f>
        <v>each</v>
      </c>
      <c r="H350" s="294">
        <f>'Unit Savings Calculations'!$F346*'Unit Savings Calculations'!J346</f>
        <v>0</v>
      </c>
      <c r="I350" s="294">
        <f>'Unit Savings Calculations'!$F346*'Unit Savings Calculations'!K346</f>
        <v>0</v>
      </c>
      <c r="J350" s="294">
        <f>'Unit Savings Calculations'!$F346*'Unit Savings Calculations'!L346</f>
        <v>0</v>
      </c>
      <c r="K350" s="294">
        <f>'Unit Savings Calculations'!$F346*'Unit Savings Calculations'!M346</f>
        <v>0</v>
      </c>
      <c r="L350" s="292" t="str">
        <f>'Unit Savings Calculations'!U346</f>
        <v>CI-FSE-IRBL-V02-180101</v>
      </c>
      <c r="M350" s="383" t="str">
        <f>'Unit Savings Calculations'!R346</f>
        <v>Exhibit 1.5A_R North Shore EEPS_Adjustable_Savings_Goal_Template.xlsx, Unit Savings Calculations Tab</v>
      </c>
      <c r="N350" s="295">
        <v>240.24</v>
      </c>
      <c r="O350" s="295">
        <v>240.24</v>
      </c>
      <c r="P350" s="295">
        <v>240.24</v>
      </c>
      <c r="Q350" s="295">
        <v>240.24</v>
      </c>
      <c r="R350" s="296">
        <f>'Unit Savings Calculations'!$G346</f>
        <v>0.79</v>
      </c>
      <c r="S350" s="296">
        <f>'Unit Savings Calculations'!$G346</f>
        <v>0.79</v>
      </c>
      <c r="T350" s="296">
        <f>'Unit Savings Calculations'!$G346</f>
        <v>0.79</v>
      </c>
      <c r="U350" s="296">
        <f>'Unit Savings Calculations'!$G346</f>
        <v>0.79</v>
      </c>
      <c r="V350" s="297">
        <f t="shared" ref="V350:V413" si="207">H350*N350*R350</f>
        <v>0</v>
      </c>
      <c r="W350" s="297">
        <f t="shared" ref="W350:W413" si="208">I350*O350*S350</f>
        <v>0</v>
      </c>
      <c r="X350" s="297">
        <f t="shared" ref="X350:X413" si="209">J350*P350*T350</f>
        <v>0</v>
      </c>
      <c r="Y350" s="297">
        <f t="shared" ref="Y350:Y413" si="210">K350*Q350*U350</f>
        <v>0</v>
      </c>
      <c r="Z350" s="297">
        <f t="shared" ref="Z350:Z413" si="211">V350+W350+X350+Y350</f>
        <v>0</v>
      </c>
      <c r="AA350" s="292"/>
      <c r="AB350" s="292"/>
      <c r="AC350" s="295">
        <v>240.24</v>
      </c>
      <c r="AD350" s="292"/>
      <c r="AE350" s="297">
        <f t="shared" si="197"/>
        <v>0</v>
      </c>
      <c r="AF350" s="294">
        <f t="shared" si="198"/>
        <v>0</v>
      </c>
      <c r="AG350" s="292"/>
      <c r="AH350" s="292">
        <f t="shared" si="199"/>
        <v>0</v>
      </c>
      <c r="AI350" s="295">
        <v>240.24</v>
      </c>
      <c r="AJ350" s="383" t="s">
        <v>878</v>
      </c>
      <c r="AK350" s="297">
        <f t="shared" si="200"/>
        <v>0</v>
      </c>
      <c r="AL350" s="294">
        <f t="shared" si="201"/>
        <v>0</v>
      </c>
      <c r="AM350" s="292"/>
      <c r="AN350" s="292"/>
      <c r="AO350" s="295">
        <f>'Unit Savings Calculations'!P346</f>
        <v>240.24</v>
      </c>
      <c r="AP350" s="383" t="s">
        <v>763</v>
      </c>
      <c r="AQ350" s="297">
        <f t="shared" si="202"/>
        <v>0</v>
      </c>
      <c r="AR350" s="294">
        <f t="shared" si="203"/>
        <v>0</v>
      </c>
      <c r="AS350" s="292"/>
      <c r="AT350" s="292"/>
      <c r="AU350" s="295">
        <f>'Unit Savings Calculations'!Q346</f>
        <v>240.24</v>
      </c>
      <c r="AV350" s="383" t="str">
        <f t="shared" si="186"/>
        <v>n/a</v>
      </c>
      <c r="AW350" s="297">
        <f t="shared" si="204"/>
        <v>0</v>
      </c>
      <c r="AX350" s="294">
        <f t="shared" si="205"/>
        <v>0</v>
      </c>
      <c r="AY350" s="297">
        <f t="shared" si="187"/>
        <v>0</v>
      </c>
      <c r="AZ350" s="297">
        <f t="shared" si="188"/>
        <v>0</v>
      </c>
      <c r="BA350" s="297">
        <f t="shared" si="189"/>
        <v>0</v>
      </c>
      <c r="BB350" s="297">
        <f t="shared" si="190"/>
        <v>0</v>
      </c>
      <c r="BC350" s="298">
        <f t="shared" si="191"/>
        <v>0</v>
      </c>
      <c r="BD350" s="292" t="s">
        <v>763</v>
      </c>
      <c r="BE350" s="299" t="str">
        <f t="shared" si="192"/>
        <v>Exhibit 1.5A_R North Shore EEPS_Adjustable_Savings_Goal_Template.xlsx, Unit Savings Calculations Tab</v>
      </c>
      <c r="BF350" s="298">
        <f t="shared" si="193"/>
        <v>0</v>
      </c>
      <c r="BG350" s="298">
        <f t="shared" si="193"/>
        <v>0</v>
      </c>
      <c r="BH350" s="298">
        <f t="shared" si="193"/>
        <v>0</v>
      </c>
      <c r="BI350" s="298">
        <f t="shared" si="193"/>
        <v>0</v>
      </c>
      <c r="BJ350" s="298">
        <f t="shared" si="194"/>
        <v>0</v>
      </c>
      <c r="BK350" s="482">
        <v>12</v>
      </c>
      <c r="BL350" s="482">
        <v>12</v>
      </c>
      <c r="BM350" s="482">
        <f>INDEX('Unit Savings Calculations'!$I$4:$I$421,MATCH('Measure-Level Adjustments Tab'!$A350&amp;"_"&amp;'Measure-Level Adjustments Tab'!$B350,'Unit Savings Calculations'!$A$4:$A$421,0))</f>
        <v>12</v>
      </c>
      <c r="BN350" s="482">
        <f t="shared" si="195"/>
        <v>12</v>
      </c>
      <c r="BO350" s="483">
        <f t="shared" si="196"/>
        <v>0</v>
      </c>
      <c r="BP350" s="483">
        <f t="shared" si="196"/>
        <v>0</v>
      </c>
      <c r="BQ350" s="483">
        <f t="shared" si="196"/>
        <v>0</v>
      </c>
      <c r="BR350" s="483">
        <f t="shared" si="196"/>
        <v>0</v>
      </c>
      <c r="BS350" s="483">
        <f t="shared" si="185"/>
        <v>0</v>
      </c>
    </row>
    <row r="351" spans="1:71" ht="15.75" customHeight="1">
      <c r="A351" s="292" t="str">
        <f>'Unit Savings Calculations'!C347</f>
        <v>Bus - Public Rebates</v>
      </c>
      <c r="B351" s="292" t="str">
        <f>'Unit Savings Calculations'!D347</f>
        <v>Infrared Upright Broiler</v>
      </c>
      <c r="C351" s="293">
        <f t="shared" si="206"/>
        <v>1</v>
      </c>
      <c r="D351" s="292" t="str">
        <f>'Unit Savings Calculations'!T347</f>
        <v>4.2.15</v>
      </c>
      <c r="E351" s="438">
        <v>12</v>
      </c>
      <c r="F351" s="438">
        <v>12</v>
      </c>
      <c r="G351" s="292" t="str">
        <f>'Unit Savings Calculations'!E347</f>
        <v>each</v>
      </c>
      <c r="H351" s="294">
        <f>'Unit Savings Calculations'!$F347*'Unit Savings Calculations'!J347</f>
        <v>0</v>
      </c>
      <c r="I351" s="294">
        <f>'Unit Savings Calculations'!$F347*'Unit Savings Calculations'!K347</f>
        <v>0</v>
      </c>
      <c r="J351" s="294">
        <f>'Unit Savings Calculations'!$F347*'Unit Savings Calculations'!L347</f>
        <v>0</v>
      </c>
      <c r="K351" s="294">
        <f>'Unit Savings Calculations'!$F347*'Unit Savings Calculations'!M347</f>
        <v>0</v>
      </c>
      <c r="L351" s="292" t="str">
        <f>'Unit Savings Calculations'!U347</f>
        <v>CI-FSE-IRUB-V02-180101</v>
      </c>
      <c r="M351" s="383" t="str">
        <f>'Unit Savings Calculations'!R347</f>
        <v>Exhibit 1.5A_R North Shore EEPS_Adjustable_Savings_Goal_Template.xlsx, Unit Savings Calculations Tab</v>
      </c>
      <c r="N351" s="295">
        <v>943.48800000000006</v>
      </c>
      <c r="O351" s="295">
        <v>943.48800000000006</v>
      </c>
      <c r="P351" s="295">
        <v>943.48800000000006</v>
      </c>
      <c r="Q351" s="295">
        <v>943.48800000000006</v>
      </c>
      <c r="R351" s="296">
        <f>'Unit Savings Calculations'!$G347</f>
        <v>0.79</v>
      </c>
      <c r="S351" s="296">
        <f>'Unit Savings Calculations'!$G347</f>
        <v>0.79</v>
      </c>
      <c r="T351" s="296">
        <f>'Unit Savings Calculations'!$G347</f>
        <v>0.79</v>
      </c>
      <c r="U351" s="296">
        <f>'Unit Savings Calculations'!$G347</f>
        <v>0.79</v>
      </c>
      <c r="V351" s="297">
        <f t="shared" si="207"/>
        <v>0</v>
      </c>
      <c r="W351" s="297">
        <f t="shared" si="208"/>
        <v>0</v>
      </c>
      <c r="X351" s="297">
        <f t="shared" si="209"/>
        <v>0</v>
      </c>
      <c r="Y351" s="297">
        <f t="shared" si="210"/>
        <v>0</v>
      </c>
      <c r="Z351" s="297">
        <f t="shared" si="211"/>
        <v>0</v>
      </c>
      <c r="AA351" s="292"/>
      <c r="AB351" s="292"/>
      <c r="AC351" s="295">
        <v>943.48800000000006</v>
      </c>
      <c r="AD351" s="292"/>
      <c r="AE351" s="297">
        <f t="shared" si="197"/>
        <v>0</v>
      </c>
      <c r="AF351" s="294">
        <f t="shared" si="198"/>
        <v>0</v>
      </c>
      <c r="AG351" s="292"/>
      <c r="AH351" s="292">
        <f t="shared" si="199"/>
        <v>0</v>
      </c>
      <c r="AI351" s="295">
        <v>943.48800000000006</v>
      </c>
      <c r="AJ351" s="383" t="s">
        <v>878</v>
      </c>
      <c r="AK351" s="297">
        <f t="shared" si="200"/>
        <v>0</v>
      </c>
      <c r="AL351" s="294">
        <f t="shared" si="201"/>
        <v>0</v>
      </c>
      <c r="AM351" s="292"/>
      <c r="AN351" s="292"/>
      <c r="AO351" s="295">
        <f>'Unit Savings Calculations'!P347</f>
        <v>943.48800000000006</v>
      </c>
      <c r="AP351" s="383" t="s">
        <v>763</v>
      </c>
      <c r="AQ351" s="297">
        <f t="shared" si="202"/>
        <v>0</v>
      </c>
      <c r="AR351" s="294">
        <f t="shared" si="203"/>
        <v>0</v>
      </c>
      <c r="AS351" s="292"/>
      <c r="AT351" s="292"/>
      <c r="AU351" s="295">
        <f>'Unit Savings Calculations'!Q347</f>
        <v>943.48800000000006</v>
      </c>
      <c r="AV351" s="383" t="str">
        <f t="shared" si="186"/>
        <v>n/a</v>
      </c>
      <c r="AW351" s="297">
        <f t="shared" si="204"/>
        <v>0</v>
      </c>
      <c r="AX351" s="294">
        <f t="shared" si="205"/>
        <v>0</v>
      </c>
      <c r="AY351" s="297">
        <f t="shared" si="187"/>
        <v>0</v>
      </c>
      <c r="AZ351" s="297">
        <f t="shared" si="188"/>
        <v>0</v>
      </c>
      <c r="BA351" s="297">
        <f t="shared" si="189"/>
        <v>0</v>
      </c>
      <c r="BB351" s="297">
        <f t="shared" si="190"/>
        <v>0</v>
      </c>
      <c r="BC351" s="298">
        <f t="shared" si="191"/>
        <v>0</v>
      </c>
      <c r="BD351" s="292" t="s">
        <v>763</v>
      </c>
      <c r="BE351" s="299" t="str">
        <f t="shared" si="192"/>
        <v>Exhibit 1.5A_R North Shore EEPS_Adjustable_Savings_Goal_Template.xlsx, Unit Savings Calculations Tab</v>
      </c>
      <c r="BF351" s="298">
        <f t="shared" si="193"/>
        <v>0</v>
      </c>
      <c r="BG351" s="298">
        <f t="shared" si="193"/>
        <v>0</v>
      </c>
      <c r="BH351" s="298">
        <f t="shared" si="193"/>
        <v>0</v>
      </c>
      <c r="BI351" s="298">
        <f t="shared" si="193"/>
        <v>0</v>
      </c>
      <c r="BJ351" s="298">
        <f t="shared" si="194"/>
        <v>0</v>
      </c>
      <c r="BK351" s="482">
        <v>12</v>
      </c>
      <c r="BL351" s="482">
        <v>12</v>
      </c>
      <c r="BM351" s="482">
        <f>INDEX('Unit Savings Calculations'!$I$4:$I$421,MATCH('Measure-Level Adjustments Tab'!$A351&amp;"_"&amp;'Measure-Level Adjustments Tab'!$B351,'Unit Savings Calculations'!$A$4:$A$421,0))</f>
        <v>12</v>
      </c>
      <c r="BN351" s="482">
        <f t="shared" si="195"/>
        <v>12</v>
      </c>
      <c r="BO351" s="483">
        <f t="shared" si="196"/>
        <v>0</v>
      </c>
      <c r="BP351" s="483">
        <f t="shared" si="196"/>
        <v>0</v>
      </c>
      <c r="BQ351" s="483">
        <f t="shared" si="196"/>
        <v>0</v>
      </c>
      <c r="BR351" s="483">
        <f t="shared" si="196"/>
        <v>0</v>
      </c>
      <c r="BS351" s="483">
        <f t="shared" si="185"/>
        <v>0</v>
      </c>
    </row>
    <row r="352" spans="1:71" ht="15.75" customHeight="1">
      <c r="A352" s="292" t="str">
        <f>'Unit Savings Calculations'!C348</f>
        <v>Bus - Public Rebates</v>
      </c>
      <c r="B352" s="292" t="str">
        <f>'Unit Savings Calculations'!D348</f>
        <v>CI Custom</v>
      </c>
      <c r="C352" s="293">
        <f t="shared" si="206"/>
        <v>0</v>
      </c>
      <c r="D352" s="292" t="str">
        <f>'Unit Savings Calculations'!T348</f>
        <v>Custom</v>
      </c>
      <c r="E352" s="438">
        <v>15</v>
      </c>
      <c r="F352" s="438">
        <v>15</v>
      </c>
      <c r="G352" s="292" t="str">
        <f>'Unit Savings Calculations'!E348</f>
        <v>each</v>
      </c>
      <c r="H352" s="294">
        <f>'Unit Savings Calculations'!$F348*'Unit Savings Calculations'!J348</f>
        <v>7</v>
      </c>
      <c r="I352" s="294">
        <f>'Unit Savings Calculations'!$F348*'Unit Savings Calculations'!K348</f>
        <v>7</v>
      </c>
      <c r="J352" s="294">
        <f>'Unit Savings Calculations'!$F348*'Unit Savings Calculations'!L348</f>
        <v>7</v>
      </c>
      <c r="K352" s="294">
        <f>'Unit Savings Calculations'!$F348*'Unit Savings Calculations'!M348</f>
        <v>7</v>
      </c>
      <c r="L352" s="292" t="str">
        <f>'Unit Savings Calculations'!U348</f>
        <v>Custom</v>
      </c>
      <c r="M352" s="383" t="str">
        <f>'Unit Savings Calculations'!R348</f>
        <v>Custom</v>
      </c>
      <c r="N352" s="295">
        <v>2100</v>
      </c>
      <c r="O352" s="295">
        <v>2100</v>
      </c>
      <c r="P352" s="295">
        <v>2100</v>
      </c>
      <c r="Q352" s="295">
        <v>2100</v>
      </c>
      <c r="R352" s="296">
        <f>'Unit Savings Calculations'!$G348</f>
        <v>0.69</v>
      </c>
      <c r="S352" s="296">
        <f>'Unit Savings Calculations'!$G348</f>
        <v>0.69</v>
      </c>
      <c r="T352" s="296">
        <f>'Unit Savings Calculations'!$G348</f>
        <v>0.69</v>
      </c>
      <c r="U352" s="296">
        <f>'Unit Savings Calculations'!$G348</f>
        <v>0.69</v>
      </c>
      <c r="V352" s="297">
        <f t="shared" si="207"/>
        <v>10143</v>
      </c>
      <c r="W352" s="297">
        <f t="shared" si="208"/>
        <v>10143</v>
      </c>
      <c r="X352" s="297">
        <f t="shared" si="209"/>
        <v>10143</v>
      </c>
      <c r="Y352" s="297">
        <f t="shared" si="210"/>
        <v>10143</v>
      </c>
      <c r="Z352" s="297">
        <f t="shared" si="211"/>
        <v>40572</v>
      </c>
      <c r="AA352" s="384"/>
      <c r="AB352" s="384"/>
      <c r="AC352" s="387">
        <v>2100</v>
      </c>
      <c r="AD352" s="384"/>
      <c r="AE352" s="385">
        <f t="shared" si="197"/>
        <v>10143</v>
      </c>
      <c r="AF352" s="386">
        <f t="shared" si="198"/>
        <v>0</v>
      </c>
      <c r="AG352" s="384"/>
      <c r="AH352" s="384">
        <f t="shared" si="199"/>
        <v>0</v>
      </c>
      <c r="AI352" s="387">
        <v>2100</v>
      </c>
      <c r="AJ352" s="435" t="s">
        <v>878</v>
      </c>
      <c r="AK352" s="385">
        <f t="shared" si="200"/>
        <v>10143</v>
      </c>
      <c r="AL352" s="386">
        <f t="shared" si="201"/>
        <v>0</v>
      </c>
      <c r="AM352" s="384"/>
      <c r="AN352" s="384"/>
      <c r="AO352" s="387">
        <f>'Unit Savings Calculations'!P348</f>
        <v>2100</v>
      </c>
      <c r="AP352" s="435" t="s">
        <v>763</v>
      </c>
      <c r="AQ352" s="385">
        <f t="shared" si="202"/>
        <v>10143</v>
      </c>
      <c r="AR352" s="386">
        <f t="shared" si="203"/>
        <v>0</v>
      </c>
      <c r="AS352" s="384"/>
      <c r="AT352" s="384"/>
      <c r="AU352" s="387">
        <f>'Unit Savings Calculations'!Q348</f>
        <v>2100</v>
      </c>
      <c r="AV352" s="435" t="str">
        <f t="shared" si="186"/>
        <v>n/a</v>
      </c>
      <c r="AW352" s="385">
        <f t="shared" si="204"/>
        <v>10143</v>
      </c>
      <c r="AX352" s="386">
        <f t="shared" si="205"/>
        <v>0</v>
      </c>
      <c r="AY352" s="297">
        <f t="shared" si="187"/>
        <v>10143</v>
      </c>
      <c r="AZ352" s="297">
        <f t="shared" si="188"/>
        <v>10143</v>
      </c>
      <c r="BA352" s="297">
        <f t="shared" si="189"/>
        <v>10143</v>
      </c>
      <c r="BB352" s="297">
        <f t="shared" si="190"/>
        <v>10143</v>
      </c>
      <c r="BC352" s="298">
        <f t="shared" si="191"/>
        <v>40572</v>
      </c>
      <c r="BD352" s="292" t="s">
        <v>763</v>
      </c>
      <c r="BE352" s="299" t="str">
        <f t="shared" si="192"/>
        <v>Custom</v>
      </c>
      <c r="BF352" s="298">
        <f t="shared" si="193"/>
        <v>152145</v>
      </c>
      <c r="BG352" s="298">
        <f t="shared" si="193"/>
        <v>152145</v>
      </c>
      <c r="BH352" s="298">
        <f t="shared" si="193"/>
        <v>152145</v>
      </c>
      <c r="BI352" s="298">
        <f t="shared" si="193"/>
        <v>152145</v>
      </c>
      <c r="BJ352" s="298">
        <f t="shared" si="194"/>
        <v>608580</v>
      </c>
      <c r="BK352" s="482">
        <v>15</v>
      </c>
      <c r="BL352" s="482">
        <v>15</v>
      </c>
      <c r="BM352" s="482">
        <f>INDEX('Unit Savings Calculations'!$I$4:$I$421,MATCH('Measure-Level Adjustments Tab'!$A352&amp;"_"&amp;'Measure-Level Adjustments Tab'!$B352,'Unit Savings Calculations'!$A$4:$A$421,0))</f>
        <v>15</v>
      </c>
      <c r="BN352" s="482">
        <f t="shared" si="195"/>
        <v>15</v>
      </c>
      <c r="BO352" s="483">
        <f t="shared" si="196"/>
        <v>152145</v>
      </c>
      <c r="BP352" s="483">
        <f t="shared" si="196"/>
        <v>152145</v>
      </c>
      <c r="BQ352" s="483">
        <f t="shared" si="196"/>
        <v>152145</v>
      </c>
      <c r="BR352" s="483">
        <f t="shared" si="196"/>
        <v>152145</v>
      </c>
      <c r="BS352" s="483">
        <f t="shared" si="185"/>
        <v>608580</v>
      </c>
    </row>
    <row r="353" spans="1:71" ht="15.75" customHeight="1">
      <c r="A353" s="292" t="str">
        <f>'Unit Savings Calculations'!C349</f>
        <v>Bus - Public Rebates</v>
      </c>
      <c r="B353" s="292" t="str">
        <f>'Unit Savings Calculations'!D349</f>
        <v>New Construction</v>
      </c>
      <c r="C353" s="293">
        <f t="shared" si="206"/>
        <v>0</v>
      </c>
      <c r="D353" s="292" t="str">
        <f>'Unit Savings Calculations'!T349</f>
        <v>Custom</v>
      </c>
      <c r="E353" s="438">
        <v>15</v>
      </c>
      <c r="F353" s="438">
        <v>15</v>
      </c>
      <c r="G353" s="292" t="str">
        <f>'Unit Savings Calculations'!E349</f>
        <v>each</v>
      </c>
      <c r="H353" s="294">
        <f>'Unit Savings Calculations'!$F349*'Unit Savings Calculations'!J349</f>
        <v>1</v>
      </c>
      <c r="I353" s="294">
        <f>'Unit Savings Calculations'!$F349*'Unit Savings Calculations'!K349</f>
        <v>1</v>
      </c>
      <c r="J353" s="294">
        <f>'Unit Savings Calculations'!$F349*'Unit Savings Calculations'!L349</f>
        <v>1</v>
      </c>
      <c r="K353" s="294">
        <f>'Unit Savings Calculations'!$F349*'Unit Savings Calculations'!M349</f>
        <v>1</v>
      </c>
      <c r="L353" s="292" t="str">
        <f>'Unit Savings Calculations'!U349</f>
        <v>Custom</v>
      </c>
      <c r="M353" s="383" t="str">
        <f>'Unit Savings Calculations'!R349</f>
        <v>Custom</v>
      </c>
      <c r="N353" s="295">
        <v>2500</v>
      </c>
      <c r="O353" s="295">
        <v>2500</v>
      </c>
      <c r="P353" s="295">
        <v>2500</v>
      </c>
      <c r="Q353" s="295">
        <v>2500</v>
      </c>
      <c r="R353" s="296">
        <f>'Unit Savings Calculations'!$G349</f>
        <v>0.77</v>
      </c>
      <c r="S353" s="296">
        <f>'Unit Savings Calculations'!$G349</f>
        <v>0.77</v>
      </c>
      <c r="T353" s="296">
        <f>'Unit Savings Calculations'!$G349</f>
        <v>0.77</v>
      </c>
      <c r="U353" s="296">
        <f>'Unit Savings Calculations'!$G349</f>
        <v>0.77</v>
      </c>
      <c r="V353" s="297">
        <f t="shared" si="207"/>
        <v>1925</v>
      </c>
      <c r="W353" s="297">
        <f t="shared" si="208"/>
        <v>1925</v>
      </c>
      <c r="X353" s="297">
        <f t="shared" si="209"/>
        <v>1925</v>
      </c>
      <c r="Y353" s="297">
        <f t="shared" si="210"/>
        <v>1925</v>
      </c>
      <c r="Z353" s="297">
        <f t="shared" si="211"/>
        <v>7700</v>
      </c>
      <c r="AA353" s="384"/>
      <c r="AB353" s="384"/>
      <c r="AC353" s="387">
        <v>2500</v>
      </c>
      <c r="AD353" s="384"/>
      <c r="AE353" s="385">
        <f t="shared" si="197"/>
        <v>1925</v>
      </c>
      <c r="AF353" s="386">
        <f t="shared" si="198"/>
        <v>0</v>
      </c>
      <c r="AG353" s="384"/>
      <c r="AH353" s="384">
        <f t="shared" si="199"/>
        <v>0</v>
      </c>
      <c r="AI353" s="387">
        <v>2500</v>
      </c>
      <c r="AJ353" s="435" t="s">
        <v>878</v>
      </c>
      <c r="AK353" s="385">
        <f t="shared" si="200"/>
        <v>1925</v>
      </c>
      <c r="AL353" s="386">
        <f t="shared" si="201"/>
        <v>0</v>
      </c>
      <c r="AM353" s="384"/>
      <c r="AN353" s="384"/>
      <c r="AO353" s="387">
        <f>'Unit Savings Calculations'!P349</f>
        <v>2500</v>
      </c>
      <c r="AP353" s="435" t="s">
        <v>763</v>
      </c>
      <c r="AQ353" s="385">
        <f t="shared" si="202"/>
        <v>1925</v>
      </c>
      <c r="AR353" s="386">
        <f t="shared" si="203"/>
        <v>0</v>
      </c>
      <c r="AS353" s="384"/>
      <c r="AT353" s="384"/>
      <c r="AU353" s="387">
        <f>'Unit Savings Calculations'!Q349</f>
        <v>2500</v>
      </c>
      <c r="AV353" s="435" t="str">
        <f t="shared" si="186"/>
        <v>n/a</v>
      </c>
      <c r="AW353" s="385">
        <f t="shared" si="204"/>
        <v>1925</v>
      </c>
      <c r="AX353" s="386">
        <f t="shared" si="205"/>
        <v>0</v>
      </c>
      <c r="AY353" s="297">
        <f t="shared" si="187"/>
        <v>1925</v>
      </c>
      <c r="AZ353" s="297">
        <f t="shared" si="188"/>
        <v>1925</v>
      </c>
      <c r="BA353" s="297">
        <f t="shared" si="189"/>
        <v>1925</v>
      </c>
      <c r="BB353" s="297">
        <f t="shared" si="190"/>
        <v>1925</v>
      </c>
      <c r="BC353" s="298">
        <f t="shared" si="191"/>
        <v>7700</v>
      </c>
      <c r="BD353" s="292" t="s">
        <v>763</v>
      </c>
      <c r="BE353" s="299" t="str">
        <f t="shared" si="192"/>
        <v>Custom</v>
      </c>
      <c r="BF353" s="298">
        <f t="shared" si="193"/>
        <v>28875</v>
      </c>
      <c r="BG353" s="298">
        <f t="shared" si="193"/>
        <v>28875</v>
      </c>
      <c r="BH353" s="298">
        <f t="shared" si="193"/>
        <v>28875</v>
      </c>
      <c r="BI353" s="298">
        <f t="shared" si="193"/>
        <v>28875</v>
      </c>
      <c r="BJ353" s="298">
        <f t="shared" si="194"/>
        <v>115500</v>
      </c>
      <c r="BK353" s="482">
        <v>15</v>
      </c>
      <c r="BL353" s="482">
        <v>15</v>
      </c>
      <c r="BM353" s="482">
        <f>INDEX('Unit Savings Calculations'!$I$4:$I$421,MATCH('Measure-Level Adjustments Tab'!$A353&amp;"_"&amp;'Measure-Level Adjustments Tab'!$B353,'Unit Savings Calculations'!$A$4:$A$421,0))</f>
        <v>15</v>
      </c>
      <c r="BN353" s="482">
        <f t="shared" si="195"/>
        <v>15</v>
      </c>
      <c r="BO353" s="483">
        <f t="shared" si="196"/>
        <v>28875</v>
      </c>
      <c r="BP353" s="483">
        <f t="shared" si="196"/>
        <v>28875</v>
      </c>
      <c r="BQ353" s="483">
        <f t="shared" si="196"/>
        <v>28875</v>
      </c>
      <c r="BR353" s="483">
        <f t="shared" si="196"/>
        <v>28875</v>
      </c>
      <c r="BS353" s="483">
        <f t="shared" si="185"/>
        <v>115500</v>
      </c>
    </row>
    <row r="354" spans="1:71" ht="15.75" customHeight="1">
      <c r="A354" s="292" t="s">
        <v>713</v>
      </c>
      <c r="B354" s="292" t="str">
        <f>'Unit Savings Calculations'!D350</f>
        <v>Behavior 2018 1st Year</v>
      </c>
      <c r="C354" s="293">
        <f t="shared" si="206"/>
        <v>1</v>
      </c>
      <c r="D354" s="292" t="str">
        <f>'Unit Savings Calculations'!T350</f>
        <v>6.1.1</v>
      </c>
      <c r="E354" s="438">
        <v>1</v>
      </c>
      <c r="F354" s="438">
        <v>1</v>
      </c>
      <c r="G354" s="292" t="str">
        <f>'Unit Savings Calculations'!E350</f>
        <v>each</v>
      </c>
      <c r="H354" s="294">
        <f>'Unit Savings Calculations'!$F350*'Unit Savings Calculations'!J350</f>
        <v>0</v>
      </c>
      <c r="I354" s="294">
        <f>'Unit Savings Calculations'!$F350*'Unit Savings Calculations'!K350</f>
        <v>0</v>
      </c>
      <c r="J354" s="294">
        <f>'Unit Savings Calculations'!$F350*'Unit Savings Calculations'!L350</f>
        <v>0</v>
      </c>
      <c r="K354" s="294">
        <f>'Unit Savings Calculations'!$F350*'Unit Savings Calculations'!M350</f>
        <v>0</v>
      </c>
      <c r="L354" s="292" t="str">
        <f>'Unit Savings Calculations'!U350</f>
        <v>CC-BEH-BEHP-V02-16061</v>
      </c>
      <c r="M354" s="383" t="str">
        <f>'Unit Savings Calculations'!R350</f>
        <v>Exhibit 1.5A_R North Shore EEPS_Adjustable_Savings_Goal_Template.xlsx, Behavioral Tab</v>
      </c>
      <c r="N354" s="295">
        <v>0</v>
      </c>
      <c r="O354" s="295">
        <v>0</v>
      </c>
      <c r="P354" s="295">
        <v>0</v>
      </c>
      <c r="Q354" s="295">
        <v>0</v>
      </c>
      <c r="R354" s="296">
        <f>'Unit Savings Calculations'!$G350</f>
        <v>1</v>
      </c>
      <c r="S354" s="296">
        <f>'Unit Savings Calculations'!$G350</f>
        <v>1</v>
      </c>
      <c r="T354" s="296">
        <f>'Unit Savings Calculations'!$G350</f>
        <v>1</v>
      </c>
      <c r="U354" s="296">
        <f>'Unit Savings Calculations'!$G350</f>
        <v>1</v>
      </c>
      <c r="V354" s="297">
        <f t="shared" si="207"/>
        <v>0</v>
      </c>
      <c r="W354" s="297">
        <f t="shared" si="208"/>
        <v>0</v>
      </c>
      <c r="X354" s="297">
        <f t="shared" si="209"/>
        <v>0</v>
      </c>
      <c r="Y354" s="297">
        <f t="shared" si="210"/>
        <v>0</v>
      </c>
      <c r="Z354" s="297">
        <f t="shared" si="211"/>
        <v>0</v>
      </c>
      <c r="AA354" s="292"/>
      <c r="AB354" s="292"/>
      <c r="AC354" s="295">
        <v>0</v>
      </c>
      <c r="AD354" s="292"/>
      <c r="AE354" s="297">
        <f t="shared" si="197"/>
        <v>0</v>
      </c>
      <c r="AF354" s="294">
        <f t="shared" si="198"/>
        <v>0</v>
      </c>
      <c r="AG354" s="292"/>
      <c r="AH354" s="292">
        <f t="shared" si="199"/>
        <v>0</v>
      </c>
      <c r="AI354" s="295">
        <v>0</v>
      </c>
      <c r="AJ354" s="383" t="s">
        <v>878</v>
      </c>
      <c r="AK354" s="297">
        <f t="shared" si="200"/>
        <v>0</v>
      </c>
      <c r="AL354" s="294">
        <f t="shared" si="201"/>
        <v>0</v>
      </c>
      <c r="AM354" s="292"/>
      <c r="AN354" s="292"/>
      <c r="AO354" s="295">
        <f>'Unit Savings Calculations'!P350</f>
        <v>0</v>
      </c>
      <c r="AP354" s="383" t="s">
        <v>763</v>
      </c>
      <c r="AQ354" s="297">
        <f t="shared" si="202"/>
        <v>0</v>
      </c>
      <c r="AR354" s="294">
        <f t="shared" si="203"/>
        <v>0</v>
      </c>
      <c r="AS354" s="292"/>
      <c r="AT354" s="292"/>
      <c r="AU354" s="295">
        <f>'Unit Savings Calculations'!Q350</f>
        <v>0</v>
      </c>
      <c r="AV354" s="383" t="str">
        <f t="shared" si="186"/>
        <v>n/a</v>
      </c>
      <c r="AW354" s="297">
        <f t="shared" si="204"/>
        <v>0</v>
      </c>
      <c r="AX354" s="294">
        <f t="shared" si="205"/>
        <v>0</v>
      </c>
      <c r="AY354" s="297">
        <f t="shared" si="187"/>
        <v>0</v>
      </c>
      <c r="AZ354" s="297">
        <f t="shared" si="188"/>
        <v>0</v>
      </c>
      <c r="BA354" s="297">
        <f t="shared" si="189"/>
        <v>0</v>
      </c>
      <c r="BB354" s="297">
        <f t="shared" si="190"/>
        <v>0</v>
      </c>
      <c r="BC354" s="298">
        <f t="shared" si="191"/>
        <v>0</v>
      </c>
      <c r="BD354" s="292" t="s">
        <v>763</v>
      </c>
      <c r="BE354" s="299" t="str">
        <f t="shared" si="192"/>
        <v>Exhibit 1.5A_R North Shore EEPS_Adjustable_Savings_Goal_Template.xlsx, Behavioral Tab</v>
      </c>
      <c r="BF354" s="298">
        <f t="shared" si="193"/>
        <v>0</v>
      </c>
      <c r="BG354" s="298">
        <f t="shared" si="193"/>
        <v>0</v>
      </c>
      <c r="BH354" s="298">
        <f t="shared" si="193"/>
        <v>0</v>
      </c>
      <c r="BI354" s="298">
        <f t="shared" si="193"/>
        <v>0</v>
      </c>
      <c r="BJ354" s="298">
        <f t="shared" si="194"/>
        <v>0</v>
      </c>
      <c r="BK354" s="482">
        <v>1</v>
      </c>
      <c r="BL354" s="482">
        <v>1</v>
      </c>
      <c r="BM354" s="482">
        <f>INDEX('Unit Savings Calculations'!$I$4:$I$421,MATCH('Measure-Level Adjustments Tab'!$A354&amp;"_"&amp;'Measure-Level Adjustments Tab'!$B354,'Unit Savings Calculations'!$A$4:$A$421,0))</f>
        <v>1</v>
      </c>
      <c r="BN354" s="482">
        <f t="shared" si="195"/>
        <v>1</v>
      </c>
      <c r="BO354" s="483">
        <f t="shared" si="196"/>
        <v>0</v>
      </c>
      <c r="BP354" s="483">
        <f t="shared" si="196"/>
        <v>0</v>
      </c>
      <c r="BQ354" s="483">
        <f t="shared" si="196"/>
        <v>0</v>
      </c>
      <c r="BR354" s="483">
        <f t="shared" si="196"/>
        <v>0</v>
      </c>
      <c r="BS354" s="483">
        <f t="shared" si="185"/>
        <v>0</v>
      </c>
    </row>
    <row r="355" spans="1:71" ht="15.75" customHeight="1">
      <c r="A355" s="292" t="s">
        <v>713</v>
      </c>
      <c r="B355" s="292" t="str">
        <f>'Unit Savings Calculations'!D351</f>
        <v>Behavior 2019 1st Year</v>
      </c>
      <c r="C355" s="293">
        <f t="shared" si="206"/>
        <v>1</v>
      </c>
      <c r="D355" s="292" t="str">
        <f>'Unit Savings Calculations'!T351</f>
        <v>6.1.1</v>
      </c>
      <c r="E355" s="438">
        <v>1</v>
      </c>
      <c r="F355" s="438">
        <v>1</v>
      </c>
      <c r="G355" s="292" t="str">
        <f>'Unit Savings Calculations'!E351</f>
        <v>each</v>
      </c>
      <c r="H355" s="294">
        <f>'Unit Savings Calculations'!$F351*'Unit Savings Calculations'!J351</f>
        <v>0</v>
      </c>
      <c r="I355" s="294">
        <f>'Unit Savings Calculations'!$F351*'Unit Savings Calculations'!K351</f>
        <v>0</v>
      </c>
      <c r="J355" s="294">
        <f>'Unit Savings Calculations'!$F351*'Unit Savings Calculations'!L351</f>
        <v>0</v>
      </c>
      <c r="K355" s="294">
        <f>'Unit Savings Calculations'!$F351*'Unit Savings Calculations'!M351</f>
        <v>0</v>
      </c>
      <c r="L355" s="292" t="str">
        <f>'Unit Savings Calculations'!U351</f>
        <v>CC-BEH-BEHP-V02-16061</v>
      </c>
      <c r="M355" s="383" t="str">
        <f>'Unit Savings Calculations'!R351</f>
        <v>Exhibit 1.5A_R North Shore EEPS_Adjustable_Savings_Goal_Template.xlsx, Behavioral Tab</v>
      </c>
      <c r="N355" s="295">
        <v>0</v>
      </c>
      <c r="O355" s="295">
        <v>0</v>
      </c>
      <c r="P355" s="295">
        <v>0</v>
      </c>
      <c r="Q355" s="295">
        <v>0</v>
      </c>
      <c r="R355" s="296">
        <f>'Unit Savings Calculations'!$G351</f>
        <v>1</v>
      </c>
      <c r="S355" s="296">
        <f>'Unit Savings Calculations'!$G351</f>
        <v>1</v>
      </c>
      <c r="T355" s="296">
        <f>'Unit Savings Calculations'!$G351</f>
        <v>1</v>
      </c>
      <c r="U355" s="296">
        <f>'Unit Savings Calculations'!$G351</f>
        <v>1</v>
      </c>
      <c r="V355" s="297">
        <f t="shared" si="207"/>
        <v>0</v>
      </c>
      <c r="W355" s="297">
        <f t="shared" si="208"/>
        <v>0</v>
      </c>
      <c r="X355" s="297">
        <f t="shared" si="209"/>
        <v>0</v>
      </c>
      <c r="Y355" s="297">
        <f t="shared" si="210"/>
        <v>0</v>
      </c>
      <c r="Z355" s="297">
        <f t="shared" si="211"/>
        <v>0</v>
      </c>
      <c r="AA355" s="292"/>
      <c r="AB355" s="292"/>
      <c r="AC355" s="295">
        <v>0</v>
      </c>
      <c r="AD355" s="292"/>
      <c r="AE355" s="297">
        <f t="shared" si="197"/>
        <v>0</v>
      </c>
      <c r="AF355" s="294">
        <f t="shared" si="198"/>
        <v>0</v>
      </c>
      <c r="AG355" s="292"/>
      <c r="AH355" s="292">
        <f t="shared" si="199"/>
        <v>0</v>
      </c>
      <c r="AI355" s="295">
        <v>0</v>
      </c>
      <c r="AJ355" s="383" t="s">
        <v>878</v>
      </c>
      <c r="AK355" s="297">
        <f t="shared" si="200"/>
        <v>0</v>
      </c>
      <c r="AL355" s="294">
        <f t="shared" si="201"/>
        <v>0</v>
      </c>
      <c r="AM355" s="292"/>
      <c r="AN355" s="292"/>
      <c r="AO355" s="295">
        <f>'Unit Savings Calculations'!P351</f>
        <v>0</v>
      </c>
      <c r="AP355" s="383" t="s">
        <v>763</v>
      </c>
      <c r="AQ355" s="297">
        <f t="shared" si="202"/>
        <v>0</v>
      </c>
      <c r="AR355" s="294">
        <f t="shared" si="203"/>
        <v>0</v>
      </c>
      <c r="AS355" s="292"/>
      <c r="AT355" s="292"/>
      <c r="AU355" s="295">
        <f>'Unit Savings Calculations'!Q351</f>
        <v>0</v>
      </c>
      <c r="AV355" s="383" t="str">
        <f t="shared" si="186"/>
        <v>n/a</v>
      </c>
      <c r="AW355" s="297">
        <f t="shared" si="204"/>
        <v>0</v>
      </c>
      <c r="AX355" s="294">
        <f t="shared" si="205"/>
        <v>0</v>
      </c>
      <c r="AY355" s="297">
        <f t="shared" si="187"/>
        <v>0</v>
      </c>
      <c r="AZ355" s="297">
        <f t="shared" si="188"/>
        <v>0</v>
      </c>
      <c r="BA355" s="297">
        <f t="shared" si="189"/>
        <v>0</v>
      </c>
      <c r="BB355" s="297">
        <f t="shared" si="190"/>
        <v>0</v>
      </c>
      <c r="BC355" s="298">
        <f t="shared" si="191"/>
        <v>0</v>
      </c>
      <c r="BD355" s="292" t="s">
        <v>763</v>
      </c>
      <c r="BE355" s="299" t="str">
        <f t="shared" si="192"/>
        <v>Exhibit 1.5A_R North Shore EEPS_Adjustable_Savings_Goal_Template.xlsx, Behavioral Tab</v>
      </c>
      <c r="BF355" s="298">
        <f t="shared" si="193"/>
        <v>0</v>
      </c>
      <c r="BG355" s="298">
        <f t="shared" si="193"/>
        <v>0</v>
      </c>
      <c r="BH355" s="298">
        <f t="shared" si="193"/>
        <v>0</v>
      </c>
      <c r="BI355" s="298">
        <f t="shared" si="193"/>
        <v>0</v>
      </c>
      <c r="BJ355" s="298">
        <f t="shared" si="194"/>
        <v>0</v>
      </c>
      <c r="BK355" s="482">
        <v>1</v>
      </c>
      <c r="BL355" s="482">
        <v>1</v>
      </c>
      <c r="BM355" s="482">
        <f>INDEX('Unit Savings Calculations'!$I$4:$I$421,MATCH('Measure-Level Adjustments Tab'!$A355&amp;"_"&amp;'Measure-Level Adjustments Tab'!$B355,'Unit Savings Calculations'!$A$4:$A$421,0))</f>
        <v>1</v>
      </c>
      <c r="BN355" s="482">
        <f t="shared" si="195"/>
        <v>1</v>
      </c>
      <c r="BO355" s="483">
        <f t="shared" si="196"/>
        <v>0</v>
      </c>
      <c r="BP355" s="483">
        <f t="shared" si="196"/>
        <v>0</v>
      </c>
      <c r="BQ355" s="483">
        <f t="shared" si="196"/>
        <v>0</v>
      </c>
      <c r="BR355" s="483">
        <f t="shared" si="196"/>
        <v>0</v>
      </c>
      <c r="BS355" s="483">
        <f t="shared" si="185"/>
        <v>0</v>
      </c>
    </row>
    <row r="356" spans="1:71" ht="15.75" customHeight="1">
      <c r="A356" s="292" t="s">
        <v>713</v>
      </c>
      <c r="B356" s="292" t="str">
        <f>'Unit Savings Calculations'!D352</f>
        <v>Behavior 2020 1st Year</v>
      </c>
      <c r="C356" s="293">
        <f t="shared" si="206"/>
        <v>1</v>
      </c>
      <c r="D356" s="292" t="str">
        <f>'Unit Savings Calculations'!T352</f>
        <v>6.1.1</v>
      </c>
      <c r="E356" s="438">
        <v>1</v>
      </c>
      <c r="F356" s="438">
        <v>1</v>
      </c>
      <c r="G356" s="292" t="str">
        <f>'Unit Savings Calculations'!E352</f>
        <v>each</v>
      </c>
      <c r="H356" s="294">
        <f>'Unit Savings Calculations'!$F352*'Unit Savings Calculations'!J352</f>
        <v>0</v>
      </c>
      <c r="I356" s="294">
        <f>'Unit Savings Calculations'!$F352*'Unit Savings Calculations'!K352</f>
        <v>0</v>
      </c>
      <c r="J356" s="294">
        <f>'Unit Savings Calculations'!$F352*'Unit Savings Calculations'!L352</f>
        <v>0</v>
      </c>
      <c r="K356" s="294">
        <f>'Unit Savings Calculations'!$F352*'Unit Savings Calculations'!M352</f>
        <v>0</v>
      </c>
      <c r="L356" s="292" t="str">
        <f>'Unit Savings Calculations'!U352</f>
        <v>CC-BEH-BEHP-V02-16061</v>
      </c>
      <c r="M356" s="383" t="str">
        <f>'Unit Savings Calculations'!R352</f>
        <v>Exhibit 1.5A_R North Shore EEPS_Adjustable_Savings_Goal_Template.xlsx, Behavioral Tab</v>
      </c>
      <c r="N356" s="295">
        <v>0</v>
      </c>
      <c r="O356" s="295">
        <v>0</v>
      </c>
      <c r="P356" s="295">
        <v>0</v>
      </c>
      <c r="Q356" s="295">
        <v>0</v>
      </c>
      <c r="R356" s="296">
        <f>'Unit Savings Calculations'!$G352</f>
        <v>1</v>
      </c>
      <c r="S356" s="296">
        <f>'Unit Savings Calculations'!$G352</f>
        <v>1</v>
      </c>
      <c r="T356" s="296">
        <f>'Unit Savings Calculations'!$G352</f>
        <v>1</v>
      </c>
      <c r="U356" s="296">
        <f>'Unit Savings Calculations'!$G352</f>
        <v>1</v>
      </c>
      <c r="V356" s="297">
        <f t="shared" si="207"/>
        <v>0</v>
      </c>
      <c r="W356" s="297">
        <f t="shared" si="208"/>
        <v>0</v>
      </c>
      <c r="X356" s="297">
        <f t="shared" si="209"/>
        <v>0</v>
      </c>
      <c r="Y356" s="297">
        <f t="shared" si="210"/>
        <v>0</v>
      </c>
      <c r="Z356" s="297">
        <f t="shared" si="211"/>
        <v>0</v>
      </c>
      <c r="AA356" s="292"/>
      <c r="AB356" s="292"/>
      <c r="AC356" s="295">
        <v>0</v>
      </c>
      <c r="AD356" s="292"/>
      <c r="AE356" s="297">
        <f t="shared" si="197"/>
        <v>0</v>
      </c>
      <c r="AF356" s="294">
        <f t="shared" si="198"/>
        <v>0</v>
      </c>
      <c r="AG356" s="292"/>
      <c r="AH356" s="292">
        <f t="shared" si="199"/>
        <v>0</v>
      </c>
      <c r="AI356" s="295">
        <v>0</v>
      </c>
      <c r="AJ356" s="383" t="s">
        <v>878</v>
      </c>
      <c r="AK356" s="297">
        <f t="shared" si="200"/>
        <v>0</v>
      </c>
      <c r="AL356" s="294">
        <f t="shared" si="201"/>
        <v>0</v>
      </c>
      <c r="AM356" s="292"/>
      <c r="AN356" s="292"/>
      <c r="AO356" s="295">
        <f>'Unit Savings Calculations'!P352</f>
        <v>0</v>
      </c>
      <c r="AP356" s="383" t="s">
        <v>763</v>
      </c>
      <c r="AQ356" s="297">
        <f t="shared" si="202"/>
        <v>0</v>
      </c>
      <c r="AR356" s="294">
        <f t="shared" si="203"/>
        <v>0</v>
      </c>
      <c r="AS356" s="292"/>
      <c r="AT356" s="292"/>
      <c r="AU356" s="295">
        <f>'Unit Savings Calculations'!Q352</f>
        <v>0</v>
      </c>
      <c r="AV356" s="383" t="str">
        <f t="shared" si="186"/>
        <v>n/a</v>
      </c>
      <c r="AW356" s="297">
        <f t="shared" si="204"/>
        <v>0</v>
      </c>
      <c r="AX356" s="294">
        <f t="shared" si="205"/>
        <v>0</v>
      </c>
      <c r="AY356" s="297">
        <f t="shared" si="187"/>
        <v>0</v>
      </c>
      <c r="AZ356" s="297">
        <f t="shared" si="188"/>
        <v>0</v>
      </c>
      <c r="BA356" s="297">
        <f t="shared" si="189"/>
        <v>0</v>
      </c>
      <c r="BB356" s="297">
        <f t="shared" si="190"/>
        <v>0</v>
      </c>
      <c r="BC356" s="298">
        <f t="shared" si="191"/>
        <v>0</v>
      </c>
      <c r="BD356" s="292" t="s">
        <v>763</v>
      </c>
      <c r="BE356" s="299" t="str">
        <f t="shared" si="192"/>
        <v>Exhibit 1.5A_R North Shore EEPS_Adjustable_Savings_Goal_Template.xlsx, Behavioral Tab</v>
      </c>
      <c r="BF356" s="298">
        <f t="shared" si="193"/>
        <v>0</v>
      </c>
      <c r="BG356" s="298">
        <f t="shared" si="193"/>
        <v>0</v>
      </c>
      <c r="BH356" s="298">
        <f t="shared" si="193"/>
        <v>0</v>
      </c>
      <c r="BI356" s="298">
        <f t="shared" si="193"/>
        <v>0</v>
      </c>
      <c r="BJ356" s="298">
        <f t="shared" si="194"/>
        <v>0</v>
      </c>
      <c r="BK356" s="482">
        <v>1</v>
      </c>
      <c r="BL356" s="482">
        <v>1</v>
      </c>
      <c r="BM356" s="482">
        <f>INDEX('Unit Savings Calculations'!$I$4:$I$421,MATCH('Measure-Level Adjustments Tab'!$A356&amp;"_"&amp;'Measure-Level Adjustments Tab'!$B356,'Unit Savings Calculations'!$A$4:$A$421,0))</f>
        <v>1</v>
      </c>
      <c r="BN356" s="482">
        <f t="shared" si="195"/>
        <v>1</v>
      </c>
      <c r="BO356" s="483">
        <f t="shared" si="196"/>
        <v>0</v>
      </c>
      <c r="BP356" s="483">
        <f t="shared" si="196"/>
        <v>0</v>
      </c>
      <c r="BQ356" s="483">
        <f t="shared" si="196"/>
        <v>0</v>
      </c>
      <c r="BR356" s="483">
        <f t="shared" si="196"/>
        <v>0</v>
      </c>
      <c r="BS356" s="483">
        <f t="shared" si="185"/>
        <v>0</v>
      </c>
    </row>
    <row r="357" spans="1:71" ht="15.75" customHeight="1">
      <c r="A357" s="292" t="s">
        <v>713</v>
      </c>
      <c r="B357" s="292" t="str">
        <f>'Unit Savings Calculations'!D353</f>
        <v>Behavior 2021 1st Year</v>
      </c>
      <c r="C357" s="293">
        <f t="shared" si="206"/>
        <v>1</v>
      </c>
      <c r="D357" s="292" t="str">
        <f>'Unit Savings Calculations'!T353</f>
        <v>6.1.1</v>
      </c>
      <c r="E357" s="438">
        <v>1</v>
      </c>
      <c r="F357" s="438">
        <v>1</v>
      </c>
      <c r="G357" s="292" t="str">
        <f>'Unit Savings Calculations'!E353</f>
        <v>each</v>
      </c>
      <c r="H357" s="294">
        <f>'Unit Savings Calculations'!$F353*'Unit Savings Calculations'!J353</f>
        <v>0</v>
      </c>
      <c r="I357" s="294">
        <f>'Unit Savings Calculations'!$F353*'Unit Savings Calculations'!K353</f>
        <v>0</v>
      </c>
      <c r="J357" s="294">
        <f>'Unit Savings Calculations'!$F353*'Unit Savings Calculations'!L353</f>
        <v>0</v>
      </c>
      <c r="K357" s="294">
        <f>'Unit Savings Calculations'!$F353*'Unit Savings Calculations'!M353</f>
        <v>0</v>
      </c>
      <c r="L357" s="292" t="str">
        <f>'Unit Savings Calculations'!U353</f>
        <v>CC-BEH-BEHP-V02-16061</v>
      </c>
      <c r="M357" s="383" t="str">
        <f>'Unit Savings Calculations'!R353</f>
        <v>Exhibit 1.5A_R North Shore EEPS_Adjustable_Savings_Goal_Template.xlsx, Behavioral Tab</v>
      </c>
      <c r="N357" s="295">
        <v>0</v>
      </c>
      <c r="O357" s="295">
        <v>0</v>
      </c>
      <c r="P357" s="295">
        <v>0</v>
      </c>
      <c r="Q357" s="295">
        <v>0</v>
      </c>
      <c r="R357" s="296">
        <f>'Unit Savings Calculations'!$G353</f>
        <v>1</v>
      </c>
      <c r="S357" s="296">
        <f>'Unit Savings Calculations'!$G353</f>
        <v>1</v>
      </c>
      <c r="T357" s="296">
        <f>'Unit Savings Calculations'!$G353</f>
        <v>1</v>
      </c>
      <c r="U357" s="296">
        <f>'Unit Savings Calculations'!$G353</f>
        <v>1</v>
      </c>
      <c r="V357" s="297">
        <f t="shared" si="207"/>
        <v>0</v>
      </c>
      <c r="W357" s="297">
        <f t="shared" si="208"/>
        <v>0</v>
      </c>
      <c r="X357" s="297">
        <f t="shared" si="209"/>
        <v>0</v>
      </c>
      <c r="Y357" s="297">
        <f t="shared" si="210"/>
        <v>0</v>
      </c>
      <c r="Z357" s="297">
        <f t="shared" si="211"/>
        <v>0</v>
      </c>
      <c r="AA357" s="292"/>
      <c r="AB357" s="292"/>
      <c r="AC357" s="295">
        <v>0</v>
      </c>
      <c r="AD357" s="292"/>
      <c r="AE357" s="297">
        <f t="shared" si="197"/>
        <v>0</v>
      </c>
      <c r="AF357" s="294">
        <f t="shared" si="198"/>
        <v>0</v>
      </c>
      <c r="AG357" s="292"/>
      <c r="AH357" s="292">
        <f t="shared" si="199"/>
        <v>0</v>
      </c>
      <c r="AI357" s="295">
        <v>0</v>
      </c>
      <c r="AJ357" s="383" t="s">
        <v>878</v>
      </c>
      <c r="AK357" s="297">
        <f t="shared" si="200"/>
        <v>0</v>
      </c>
      <c r="AL357" s="294">
        <f t="shared" si="201"/>
        <v>0</v>
      </c>
      <c r="AM357" s="292"/>
      <c r="AN357" s="292"/>
      <c r="AO357" s="295">
        <f>'Unit Savings Calculations'!P353</f>
        <v>0</v>
      </c>
      <c r="AP357" s="383" t="s">
        <v>763</v>
      </c>
      <c r="AQ357" s="297">
        <f t="shared" si="202"/>
        <v>0</v>
      </c>
      <c r="AR357" s="294">
        <f t="shared" si="203"/>
        <v>0</v>
      </c>
      <c r="AS357" s="292"/>
      <c r="AT357" s="292"/>
      <c r="AU357" s="295">
        <f>'Unit Savings Calculations'!Q353</f>
        <v>0</v>
      </c>
      <c r="AV357" s="383" t="str">
        <f t="shared" si="186"/>
        <v>n/a</v>
      </c>
      <c r="AW357" s="297">
        <f t="shared" si="204"/>
        <v>0</v>
      </c>
      <c r="AX357" s="294">
        <f t="shared" si="205"/>
        <v>0</v>
      </c>
      <c r="AY357" s="297">
        <f t="shared" si="187"/>
        <v>0</v>
      </c>
      <c r="AZ357" s="297">
        <f t="shared" si="188"/>
        <v>0</v>
      </c>
      <c r="BA357" s="297">
        <f t="shared" si="189"/>
        <v>0</v>
      </c>
      <c r="BB357" s="297">
        <f t="shared" si="190"/>
        <v>0</v>
      </c>
      <c r="BC357" s="298">
        <f t="shared" si="191"/>
        <v>0</v>
      </c>
      <c r="BD357" s="292" t="s">
        <v>763</v>
      </c>
      <c r="BE357" s="299" t="str">
        <f t="shared" si="192"/>
        <v>Exhibit 1.5A_R North Shore EEPS_Adjustable_Savings_Goal_Template.xlsx, Behavioral Tab</v>
      </c>
      <c r="BF357" s="298">
        <f t="shared" si="193"/>
        <v>0</v>
      </c>
      <c r="BG357" s="298">
        <f t="shared" si="193"/>
        <v>0</v>
      </c>
      <c r="BH357" s="298">
        <f t="shared" si="193"/>
        <v>0</v>
      </c>
      <c r="BI357" s="298">
        <f t="shared" si="193"/>
        <v>0</v>
      </c>
      <c r="BJ357" s="298">
        <f t="shared" si="194"/>
        <v>0</v>
      </c>
      <c r="BK357" s="482">
        <v>1</v>
      </c>
      <c r="BL357" s="482">
        <v>1</v>
      </c>
      <c r="BM357" s="482">
        <f>INDEX('Unit Savings Calculations'!$I$4:$I$421,MATCH('Measure-Level Adjustments Tab'!$A357&amp;"_"&amp;'Measure-Level Adjustments Tab'!$B357,'Unit Savings Calculations'!$A$4:$A$421,0))</f>
        <v>1</v>
      </c>
      <c r="BN357" s="482">
        <f t="shared" si="195"/>
        <v>1</v>
      </c>
      <c r="BO357" s="483">
        <f t="shared" si="196"/>
        <v>0</v>
      </c>
      <c r="BP357" s="483">
        <f t="shared" si="196"/>
        <v>0</v>
      </c>
      <c r="BQ357" s="483">
        <f t="shared" si="196"/>
        <v>0</v>
      </c>
      <c r="BR357" s="483">
        <f t="shared" si="196"/>
        <v>0</v>
      </c>
      <c r="BS357" s="483">
        <f t="shared" si="185"/>
        <v>0</v>
      </c>
    </row>
    <row r="358" spans="1:71" ht="15.75" customHeight="1">
      <c r="A358" s="292" t="s">
        <v>713</v>
      </c>
      <c r="B358" s="292" t="str">
        <f>'Unit Savings Calculations'!D354</f>
        <v>Behavior 2018 Y1 Persistence</v>
      </c>
      <c r="C358" s="293">
        <f t="shared" si="206"/>
        <v>1</v>
      </c>
      <c r="D358" s="292" t="str">
        <f>'Unit Savings Calculations'!T354</f>
        <v>6.1.1</v>
      </c>
      <c r="E358" s="438">
        <v>0</v>
      </c>
      <c r="F358" s="438">
        <v>0</v>
      </c>
      <c r="G358" s="292" t="str">
        <f>'Unit Savings Calculations'!E354</f>
        <v>each</v>
      </c>
      <c r="H358" s="294">
        <v>0</v>
      </c>
      <c r="I358" s="294">
        <v>0</v>
      </c>
      <c r="J358" s="294">
        <v>0</v>
      </c>
      <c r="K358" s="294">
        <f>'Unit Savings Calculations'!$F354*'Unit Savings Calculations'!M354</f>
        <v>0</v>
      </c>
      <c r="L358" s="292" t="str">
        <f>'Unit Savings Calculations'!U354</f>
        <v>CC-BEH-BEHP-V02-16061</v>
      </c>
      <c r="M358" s="383" t="str">
        <f>'Unit Savings Calculations'!R354</f>
        <v>Exhibit 1.5A_R North Shore EEPS_Adjustable_Savings_Goal_Template.xlsx, Behavioral Tab</v>
      </c>
      <c r="N358" s="295">
        <v>0</v>
      </c>
      <c r="O358" s="295">
        <v>0</v>
      </c>
      <c r="P358" s="295">
        <v>0</v>
      </c>
      <c r="Q358" s="295">
        <v>0</v>
      </c>
      <c r="R358" s="296">
        <f>'Unit Savings Calculations'!$G354</f>
        <v>1</v>
      </c>
      <c r="S358" s="296">
        <f>'Unit Savings Calculations'!$G354</f>
        <v>1</v>
      </c>
      <c r="T358" s="296">
        <f>'Unit Savings Calculations'!$G354</f>
        <v>1</v>
      </c>
      <c r="U358" s="296">
        <f>'Unit Savings Calculations'!$G354</f>
        <v>1</v>
      </c>
      <c r="V358" s="297">
        <v>0</v>
      </c>
      <c r="W358" s="297">
        <v>0</v>
      </c>
      <c r="X358" s="297">
        <v>0</v>
      </c>
      <c r="Y358" s="297">
        <f t="shared" si="210"/>
        <v>0</v>
      </c>
      <c r="Z358" s="297">
        <f t="shared" si="211"/>
        <v>0</v>
      </c>
      <c r="AA358" s="292"/>
      <c r="AB358" s="292"/>
      <c r="AC358" s="295">
        <v>0</v>
      </c>
      <c r="AD358" s="292"/>
      <c r="AE358" s="297">
        <f t="shared" si="197"/>
        <v>0</v>
      </c>
      <c r="AF358" s="294">
        <f t="shared" si="198"/>
        <v>0</v>
      </c>
      <c r="AG358" s="292"/>
      <c r="AH358" s="292">
        <f t="shared" si="199"/>
        <v>0</v>
      </c>
      <c r="AI358" s="295">
        <v>0</v>
      </c>
      <c r="AJ358" s="383" t="s">
        <v>878</v>
      </c>
      <c r="AK358" s="297">
        <f t="shared" si="200"/>
        <v>0</v>
      </c>
      <c r="AL358" s="294">
        <f t="shared" si="201"/>
        <v>0</v>
      </c>
      <c r="AM358" s="292"/>
      <c r="AN358" s="292"/>
      <c r="AO358" s="295">
        <f>'Unit Savings Calculations'!P354</f>
        <v>0</v>
      </c>
      <c r="AP358" s="383" t="s">
        <v>763</v>
      </c>
      <c r="AQ358" s="297">
        <f t="shared" si="202"/>
        <v>0</v>
      </c>
      <c r="AR358" s="294">
        <f t="shared" si="203"/>
        <v>0</v>
      </c>
      <c r="AS358" s="292"/>
      <c r="AT358" s="292"/>
      <c r="AU358" s="295">
        <f>'Unit Savings Calculations'!Q354</f>
        <v>0</v>
      </c>
      <c r="AV358" s="383" t="str">
        <f t="shared" si="186"/>
        <v>n/a</v>
      </c>
      <c r="AW358" s="297">
        <f t="shared" si="204"/>
        <v>0</v>
      </c>
      <c r="AX358" s="294">
        <f t="shared" si="205"/>
        <v>0</v>
      </c>
      <c r="AY358" s="297">
        <f t="shared" si="187"/>
        <v>0</v>
      </c>
      <c r="AZ358" s="297">
        <f t="shared" si="188"/>
        <v>0</v>
      </c>
      <c r="BA358" s="297">
        <f t="shared" si="189"/>
        <v>0</v>
      </c>
      <c r="BB358" s="297">
        <f t="shared" si="190"/>
        <v>0</v>
      </c>
      <c r="BC358" s="298">
        <f t="shared" si="191"/>
        <v>0</v>
      </c>
      <c r="BD358" s="292" t="s">
        <v>763</v>
      </c>
      <c r="BE358" s="299" t="str">
        <f t="shared" si="192"/>
        <v>Exhibit 1.5A_R North Shore EEPS_Adjustable_Savings_Goal_Template.xlsx, Behavioral Tab</v>
      </c>
      <c r="BF358" s="298">
        <f t="shared" si="193"/>
        <v>0</v>
      </c>
      <c r="BG358" s="298">
        <f t="shared" si="193"/>
        <v>0</v>
      </c>
      <c r="BH358" s="298">
        <f t="shared" si="193"/>
        <v>0</v>
      </c>
      <c r="BI358" s="298">
        <f t="shared" si="193"/>
        <v>0</v>
      </c>
      <c r="BJ358" s="298">
        <f t="shared" si="194"/>
        <v>0</v>
      </c>
      <c r="BK358" s="482">
        <v>0</v>
      </c>
      <c r="BL358" s="482">
        <v>0</v>
      </c>
      <c r="BM358" s="482">
        <f>INDEX('Unit Savings Calculations'!$I$4:$I$421,MATCH('Measure-Level Adjustments Tab'!$A358&amp;"_"&amp;'Measure-Level Adjustments Tab'!$B358,'Unit Savings Calculations'!$A$4:$A$421,0))</f>
        <v>0</v>
      </c>
      <c r="BN358" s="482">
        <f t="shared" si="195"/>
        <v>0</v>
      </c>
      <c r="BO358" s="483">
        <f t="shared" si="196"/>
        <v>0</v>
      </c>
      <c r="BP358" s="483">
        <f t="shared" si="196"/>
        <v>0</v>
      </c>
      <c r="BQ358" s="483">
        <f t="shared" si="196"/>
        <v>0</v>
      </c>
      <c r="BR358" s="483">
        <f t="shared" si="196"/>
        <v>0</v>
      </c>
      <c r="BS358" s="483">
        <f t="shared" si="185"/>
        <v>0</v>
      </c>
    </row>
    <row r="359" spans="1:71" ht="15.75" customHeight="1">
      <c r="A359" s="292" t="s">
        <v>713</v>
      </c>
      <c r="B359" s="292" t="str">
        <f>'Unit Savings Calculations'!D355</f>
        <v>Behavior 2018 Y2 Persistence</v>
      </c>
      <c r="C359" s="293">
        <f t="shared" si="206"/>
        <v>1</v>
      </c>
      <c r="D359" s="292" t="str">
        <f>'Unit Savings Calculations'!T355</f>
        <v>6.1.1</v>
      </c>
      <c r="E359" s="438">
        <v>0</v>
      </c>
      <c r="F359" s="438">
        <v>0</v>
      </c>
      <c r="G359" s="292" t="str">
        <f>'Unit Savings Calculations'!E355</f>
        <v>each</v>
      </c>
      <c r="H359" s="294">
        <v>0</v>
      </c>
      <c r="I359" s="294">
        <v>0</v>
      </c>
      <c r="J359" s="294">
        <v>0</v>
      </c>
      <c r="K359" s="294">
        <f>'Unit Savings Calculations'!$F355*'Unit Savings Calculations'!M355</f>
        <v>0</v>
      </c>
      <c r="L359" s="292" t="str">
        <f>'Unit Savings Calculations'!U355</f>
        <v>CC-BEH-BEHP-V02-16061</v>
      </c>
      <c r="M359" s="383" t="str">
        <f>'Unit Savings Calculations'!R355</f>
        <v>Exhibit 1.5A_R North Shore EEPS_Adjustable_Savings_Goal_Template.xlsx, Behavioral Tab</v>
      </c>
      <c r="N359" s="295">
        <v>0</v>
      </c>
      <c r="O359" s="295">
        <v>0</v>
      </c>
      <c r="P359" s="295">
        <v>0</v>
      </c>
      <c r="Q359" s="295">
        <v>0</v>
      </c>
      <c r="R359" s="296">
        <f>'Unit Savings Calculations'!$G355</f>
        <v>1</v>
      </c>
      <c r="S359" s="296">
        <f>'Unit Savings Calculations'!$G355</f>
        <v>1</v>
      </c>
      <c r="T359" s="296">
        <f>'Unit Savings Calculations'!$G355</f>
        <v>1</v>
      </c>
      <c r="U359" s="296">
        <f>'Unit Savings Calculations'!$G355</f>
        <v>1</v>
      </c>
      <c r="V359" s="297">
        <v>0</v>
      </c>
      <c r="W359" s="297">
        <v>0</v>
      </c>
      <c r="X359" s="297">
        <v>0</v>
      </c>
      <c r="Y359" s="297">
        <f t="shared" si="210"/>
        <v>0</v>
      </c>
      <c r="Z359" s="297">
        <f t="shared" si="211"/>
        <v>0</v>
      </c>
      <c r="AA359" s="292"/>
      <c r="AB359" s="292"/>
      <c r="AC359" s="295">
        <v>0</v>
      </c>
      <c r="AD359" s="292"/>
      <c r="AE359" s="297">
        <f t="shared" si="197"/>
        <v>0</v>
      </c>
      <c r="AF359" s="294">
        <f t="shared" si="198"/>
        <v>0</v>
      </c>
      <c r="AG359" s="292"/>
      <c r="AH359" s="292">
        <f t="shared" si="199"/>
        <v>0</v>
      </c>
      <c r="AI359" s="295">
        <v>0</v>
      </c>
      <c r="AJ359" s="383" t="s">
        <v>878</v>
      </c>
      <c r="AK359" s="297">
        <f t="shared" si="200"/>
        <v>0</v>
      </c>
      <c r="AL359" s="294">
        <f t="shared" si="201"/>
        <v>0</v>
      </c>
      <c r="AM359" s="292"/>
      <c r="AN359" s="292"/>
      <c r="AO359" s="295">
        <f>'Unit Savings Calculations'!P355</f>
        <v>0</v>
      </c>
      <c r="AP359" s="383" t="s">
        <v>763</v>
      </c>
      <c r="AQ359" s="297">
        <f t="shared" si="202"/>
        <v>0</v>
      </c>
      <c r="AR359" s="294">
        <f t="shared" si="203"/>
        <v>0</v>
      </c>
      <c r="AS359" s="292"/>
      <c r="AT359" s="292"/>
      <c r="AU359" s="295">
        <f>'Unit Savings Calculations'!Q355</f>
        <v>0</v>
      </c>
      <c r="AV359" s="383" t="str">
        <f t="shared" si="186"/>
        <v>n/a</v>
      </c>
      <c r="AW359" s="297">
        <f t="shared" si="204"/>
        <v>0</v>
      </c>
      <c r="AX359" s="294">
        <f t="shared" si="205"/>
        <v>0</v>
      </c>
      <c r="AY359" s="297">
        <f t="shared" si="187"/>
        <v>0</v>
      </c>
      <c r="AZ359" s="297">
        <f t="shared" si="188"/>
        <v>0</v>
      </c>
      <c r="BA359" s="297">
        <f t="shared" si="189"/>
        <v>0</v>
      </c>
      <c r="BB359" s="297">
        <f t="shared" si="190"/>
        <v>0</v>
      </c>
      <c r="BC359" s="298">
        <f t="shared" si="191"/>
        <v>0</v>
      </c>
      <c r="BD359" s="292" t="s">
        <v>763</v>
      </c>
      <c r="BE359" s="299" t="str">
        <f t="shared" si="192"/>
        <v>Exhibit 1.5A_R North Shore EEPS_Adjustable_Savings_Goal_Template.xlsx, Behavioral Tab</v>
      </c>
      <c r="BF359" s="298">
        <f t="shared" si="193"/>
        <v>0</v>
      </c>
      <c r="BG359" s="298">
        <f t="shared" si="193"/>
        <v>0</v>
      </c>
      <c r="BH359" s="298">
        <f t="shared" si="193"/>
        <v>0</v>
      </c>
      <c r="BI359" s="298">
        <f t="shared" si="193"/>
        <v>0</v>
      </c>
      <c r="BJ359" s="298">
        <f t="shared" si="194"/>
        <v>0</v>
      </c>
      <c r="BK359" s="482">
        <v>0</v>
      </c>
      <c r="BL359" s="482">
        <v>0</v>
      </c>
      <c r="BM359" s="482">
        <f>INDEX('Unit Savings Calculations'!$I$4:$I$421,MATCH('Measure-Level Adjustments Tab'!$A359&amp;"_"&amp;'Measure-Level Adjustments Tab'!$B359,'Unit Savings Calculations'!$A$4:$A$421,0))</f>
        <v>0</v>
      </c>
      <c r="BN359" s="482">
        <f t="shared" si="195"/>
        <v>0</v>
      </c>
      <c r="BO359" s="483">
        <f t="shared" si="196"/>
        <v>0</v>
      </c>
      <c r="BP359" s="483">
        <f t="shared" si="196"/>
        <v>0</v>
      </c>
      <c r="BQ359" s="483">
        <f t="shared" si="196"/>
        <v>0</v>
      </c>
      <c r="BR359" s="483">
        <f t="shared" si="196"/>
        <v>0</v>
      </c>
      <c r="BS359" s="483">
        <f t="shared" si="185"/>
        <v>0</v>
      </c>
    </row>
    <row r="360" spans="1:71" ht="15.75" customHeight="1">
      <c r="A360" s="292" t="s">
        <v>713</v>
      </c>
      <c r="B360" s="292" t="str">
        <f>'Unit Savings Calculations'!D356</f>
        <v>Behavior 2018 Y3 Persistence</v>
      </c>
      <c r="C360" s="293">
        <f t="shared" si="206"/>
        <v>1</v>
      </c>
      <c r="D360" s="292" t="str">
        <f>'Unit Savings Calculations'!T356</f>
        <v>6.1.1</v>
      </c>
      <c r="E360" s="438">
        <v>0</v>
      </c>
      <c r="F360" s="438">
        <v>0</v>
      </c>
      <c r="G360" s="292" t="str">
        <f>'Unit Savings Calculations'!E356</f>
        <v>each</v>
      </c>
      <c r="H360" s="294">
        <v>0</v>
      </c>
      <c r="I360" s="294">
        <v>0</v>
      </c>
      <c r="J360" s="294">
        <v>0</v>
      </c>
      <c r="K360" s="294">
        <f>'Unit Savings Calculations'!$F356*'Unit Savings Calculations'!M356</f>
        <v>0</v>
      </c>
      <c r="L360" s="292" t="str">
        <f>'Unit Savings Calculations'!U356</f>
        <v>CC-BEH-BEHP-V02-16061</v>
      </c>
      <c r="M360" s="383" t="str">
        <f>'Unit Savings Calculations'!R356</f>
        <v>Exhibit 1.5A_R North Shore EEPS_Adjustable_Savings_Goal_Template.xlsx, Behavioral Tab</v>
      </c>
      <c r="N360" s="295">
        <v>0</v>
      </c>
      <c r="O360" s="295">
        <v>0</v>
      </c>
      <c r="P360" s="295">
        <v>0</v>
      </c>
      <c r="Q360" s="295">
        <v>0</v>
      </c>
      <c r="R360" s="296">
        <f>'Unit Savings Calculations'!$G356</f>
        <v>1</v>
      </c>
      <c r="S360" s="296">
        <f>'Unit Savings Calculations'!$G356</f>
        <v>1</v>
      </c>
      <c r="T360" s="296">
        <f>'Unit Savings Calculations'!$G356</f>
        <v>1</v>
      </c>
      <c r="U360" s="296">
        <f>'Unit Savings Calculations'!$G356</f>
        <v>1</v>
      </c>
      <c r="V360" s="297">
        <v>0</v>
      </c>
      <c r="W360" s="297">
        <v>0</v>
      </c>
      <c r="X360" s="297">
        <v>0</v>
      </c>
      <c r="Y360" s="297">
        <f t="shared" si="210"/>
        <v>0</v>
      </c>
      <c r="Z360" s="297">
        <f t="shared" si="211"/>
        <v>0</v>
      </c>
      <c r="AA360" s="292"/>
      <c r="AB360" s="292"/>
      <c r="AC360" s="295">
        <v>0</v>
      </c>
      <c r="AD360" s="292"/>
      <c r="AE360" s="297">
        <f t="shared" si="197"/>
        <v>0</v>
      </c>
      <c r="AF360" s="294">
        <f t="shared" si="198"/>
        <v>0</v>
      </c>
      <c r="AG360" s="292"/>
      <c r="AH360" s="292">
        <f t="shared" si="199"/>
        <v>0</v>
      </c>
      <c r="AI360" s="295">
        <v>0</v>
      </c>
      <c r="AJ360" s="383" t="s">
        <v>878</v>
      </c>
      <c r="AK360" s="297">
        <f t="shared" si="200"/>
        <v>0</v>
      </c>
      <c r="AL360" s="294">
        <f t="shared" si="201"/>
        <v>0</v>
      </c>
      <c r="AM360" s="292"/>
      <c r="AN360" s="292"/>
      <c r="AO360" s="295">
        <f>'Unit Savings Calculations'!P356</f>
        <v>0</v>
      </c>
      <c r="AP360" s="383" t="s">
        <v>763</v>
      </c>
      <c r="AQ360" s="297">
        <f t="shared" si="202"/>
        <v>0</v>
      </c>
      <c r="AR360" s="294">
        <f t="shared" si="203"/>
        <v>0</v>
      </c>
      <c r="AS360" s="292"/>
      <c r="AT360" s="292"/>
      <c r="AU360" s="295">
        <f>'Unit Savings Calculations'!Q356</f>
        <v>0</v>
      </c>
      <c r="AV360" s="383" t="str">
        <f t="shared" si="186"/>
        <v>n/a</v>
      </c>
      <c r="AW360" s="297">
        <f t="shared" si="204"/>
        <v>0</v>
      </c>
      <c r="AX360" s="294">
        <f t="shared" si="205"/>
        <v>0</v>
      </c>
      <c r="AY360" s="297">
        <f t="shared" si="187"/>
        <v>0</v>
      </c>
      <c r="AZ360" s="297">
        <f t="shared" si="188"/>
        <v>0</v>
      </c>
      <c r="BA360" s="297">
        <f t="shared" si="189"/>
        <v>0</v>
      </c>
      <c r="BB360" s="297">
        <f t="shared" si="190"/>
        <v>0</v>
      </c>
      <c r="BC360" s="298">
        <f t="shared" si="191"/>
        <v>0</v>
      </c>
      <c r="BD360" s="292" t="s">
        <v>763</v>
      </c>
      <c r="BE360" s="299" t="str">
        <f t="shared" si="192"/>
        <v>Exhibit 1.5A_R North Shore EEPS_Adjustable_Savings_Goal_Template.xlsx, Behavioral Tab</v>
      </c>
      <c r="BF360" s="298">
        <f t="shared" si="193"/>
        <v>0</v>
      </c>
      <c r="BG360" s="298">
        <f t="shared" si="193"/>
        <v>0</v>
      </c>
      <c r="BH360" s="298">
        <f t="shared" si="193"/>
        <v>0</v>
      </c>
      <c r="BI360" s="298">
        <f t="shared" si="193"/>
        <v>0</v>
      </c>
      <c r="BJ360" s="298">
        <f t="shared" si="194"/>
        <v>0</v>
      </c>
      <c r="BK360" s="482">
        <v>0</v>
      </c>
      <c r="BL360" s="482">
        <v>0</v>
      </c>
      <c r="BM360" s="482">
        <f>INDEX('Unit Savings Calculations'!$I$4:$I$421,MATCH('Measure-Level Adjustments Tab'!$A360&amp;"_"&amp;'Measure-Level Adjustments Tab'!$B360,'Unit Savings Calculations'!$A$4:$A$421,0))</f>
        <v>0</v>
      </c>
      <c r="BN360" s="482">
        <f t="shared" si="195"/>
        <v>0</v>
      </c>
      <c r="BO360" s="483">
        <f t="shared" si="196"/>
        <v>0</v>
      </c>
      <c r="BP360" s="483">
        <f t="shared" si="196"/>
        <v>0</v>
      </c>
      <c r="BQ360" s="483">
        <f t="shared" si="196"/>
        <v>0</v>
      </c>
      <c r="BR360" s="483">
        <f t="shared" si="196"/>
        <v>0</v>
      </c>
      <c r="BS360" s="483">
        <f t="shared" si="185"/>
        <v>0</v>
      </c>
    </row>
    <row r="361" spans="1:71" ht="15.75" customHeight="1">
      <c r="A361" s="292" t="s">
        <v>713</v>
      </c>
      <c r="B361" s="292" t="str">
        <f>'Unit Savings Calculations'!D357</f>
        <v>Behavior 2018 Y4 Persistence</v>
      </c>
      <c r="C361" s="293">
        <f t="shared" si="206"/>
        <v>1</v>
      </c>
      <c r="D361" s="292" t="str">
        <f>'Unit Savings Calculations'!T357</f>
        <v>6.1.1</v>
      </c>
      <c r="E361" s="438">
        <v>0</v>
      </c>
      <c r="F361" s="438">
        <v>0</v>
      </c>
      <c r="G361" s="292" t="str">
        <f>'Unit Savings Calculations'!E357</f>
        <v>each</v>
      </c>
      <c r="H361" s="294">
        <v>0</v>
      </c>
      <c r="I361" s="294">
        <v>0</v>
      </c>
      <c r="J361" s="294">
        <v>0</v>
      </c>
      <c r="K361" s="294">
        <f>'Unit Savings Calculations'!$F357*'Unit Savings Calculations'!M357</f>
        <v>0</v>
      </c>
      <c r="L361" s="292" t="str">
        <f>'Unit Savings Calculations'!U357</f>
        <v>CC-BEH-BEHP-V02-16061</v>
      </c>
      <c r="M361" s="383" t="str">
        <f>'Unit Savings Calculations'!R357</f>
        <v>Exhibit 1.5A_R North Shore EEPS_Adjustable_Savings_Goal_Template.xlsx, Behavioral Tab</v>
      </c>
      <c r="N361" s="295">
        <v>0</v>
      </c>
      <c r="O361" s="295">
        <v>0</v>
      </c>
      <c r="P361" s="295">
        <v>0</v>
      </c>
      <c r="Q361" s="295">
        <v>0</v>
      </c>
      <c r="R361" s="296">
        <f>'Unit Savings Calculations'!$G357</f>
        <v>1</v>
      </c>
      <c r="S361" s="296">
        <f>'Unit Savings Calculations'!$G357</f>
        <v>1</v>
      </c>
      <c r="T361" s="296">
        <f>'Unit Savings Calculations'!$G357</f>
        <v>1</v>
      </c>
      <c r="U361" s="296">
        <f>'Unit Savings Calculations'!$G357</f>
        <v>1</v>
      </c>
      <c r="V361" s="297">
        <v>0</v>
      </c>
      <c r="W361" s="297">
        <v>0</v>
      </c>
      <c r="X361" s="297">
        <v>0</v>
      </c>
      <c r="Y361" s="297">
        <f t="shared" si="210"/>
        <v>0</v>
      </c>
      <c r="Z361" s="297">
        <f t="shared" si="211"/>
        <v>0</v>
      </c>
      <c r="AA361" s="292"/>
      <c r="AB361" s="292"/>
      <c r="AC361" s="295">
        <v>0</v>
      </c>
      <c r="AD361" s="292"/>
      <c r="AE361" s="297">
        <f t="shared" si="197"/>
        <v>0</v>
      </c>
      <c r="AF361" s="294">
        <f t="shared" si="198"/>
        <v>0</v>
      </c>
      <c r="AG361" s="292"/>
      <c r="AH361" s="292">
        <f t="shared" si="199"/>
        <v>0</v>
      </c>
      <c r="AI361" s="295">
        <v>0</v>
      </c>
      <c r="AJ361" s="383" t="s">
        <v>878</v>
      </c>
      <c r="AK361" s="297">
        <f t="shared" si="200"/>
        <v>0</v>
      </c>
      <c r="AL361" s="294">
        <f t="shared" si="201"/>
        <v>0</v>
      </c>
      <c r="AM361" s="292"/>
      <c r="AN361" s="292"/>
      <c r="AO361" s="295">
        <f>'Unit Savings Calculations'!P357</f>
        <v>0</v>
      </c>
      <c r="AP361" s="383" t="s">
        <v>763</v>
      </c>
      <c r="AQ361" s="297">
        <f t="shared" si="202"/>
        <v>0</v>
      </c>
      <c r="AR361" s="294">
        <f t="shared" si="203"/>
        <v>0</v>
      </c>
      <c r="AS361" s="292"/>
      <c r="AT361" s="292"/>
      <c r="AU361" s="295">
        <f>'Unit Savings Calculations'!Q357</f>
        <v>0</v>
      </c>
      <c r="AV361" s="383" t="str">
        <f t="shared" si="186"/>
        <v>n/a</v>
      </c>
      <c r="AW361" s="297">
        <f t="shared" si="204"/>
        <v>0</v>
      </c>
      <c r="AX361" s="294">
        <f t="shared" si="205"/>
        <v>0</v>
      </c>
      <c r="AY361" s="297">
        <f t="shared" si="187"/>
        <v>0</v>
      </c>
      <c r="AZ361" s="297">
        <f t="shared" si="188"/>
        <v>0</v>
      </c>
      <c r="BA361" s="297">
        <f t="shared" si="189"/>
        <v>0</v>
      </c>
      <c r="BB361" s="297">
        <f t="shared" si="190"/>
        <v>0</v>
      </c>
      <c r="BC361" s="298">
        <f t="shared" si="191"/>
        <v>0</v>
      </c>
      <c r="BD361" s="292" t="s">
        <v>763</v>
      </c>
      <c r="BE361" s="299" t="str">
        <f t="shared" si="192"/>
        <v>Exhibit 1.5A_R North Shore EEPS_Adjustable_Savings_Goal_Template.xlsx, Behavioral Tab</v>
      </c>
      <c r="BF361" s="298">
        <f t="shared" si="193"/>
        <v>0</v>
      </c>
      <c r="BG361" s="298">
        <f t="shared" si="193"/>
        <v>0</v>
      </c>
      <c r="BH361" s="298">
        <f t="shared" si="193"/>
        <v>0</v>
      </c>
      <c r="BI361" s="298">
        <f t="shared" si="193"/>
        <v>0</v>
      </c>
      <c r="BJ361" s="298">
        <f t="shared" si="194"/>
        <v>0</v>
      </c>
      <c r="BK361" s="482">
        <v>0</v>
      </c>
      <c r="BL361" s="482">
        <v>0</v>
      </c>
      <c r="BM361" s="482">
        <f>INDEX('Unit Savings Calculations'!$I$4:$I$421,MATCH('Measure-Level Adjustments Tab'!$A361&amp;"_"&amp;'Measure-Level Adjustments Tab'!$B361,'Unit Savings Calculations'!$A$4:$A$421,0))</f>
        <v>0</v>
      </c>
      <c r="BN361" s="482">
        <f t="shared" si="195"/>
        <v>0</v>
      </c>
      <c r="BO361" s="483">
        <f t="shared" si="196"/>
        <v>0</v>
      </c>
      <c r="BP361" s="483">
        <f t="shared" si="196"/>
        <v>0</v>
      </c>
      <c r="BQ361" s="483">
        <f t="shared" si="196"/>
        <v>0</v>
      </c>
      <c r="BR361" s="483">
        <f t="shared" si="196"/>
        <v>0</v>
      </c>
      <c r="BS361" s="483">
        <f t="shared" si="185"/>
        <v>0</v>
      </c>
    </row>
    <row r="362" spans="1:71" ht="15.75" customHeight="1">
      <c r="A362" s="292" t="s">
        <v>713</v>
      </c>
      <c r="B362" s="292" t="str">
        <f>'Unit Savings Calculations'!D358</f>
        <v>Behavior 2019 Y1 Persistence</v>
      </c>
      <c r="C362" s="293">
        <f t="shared" si="206"/>
        <v>1</v>
      </c>
      <c r="D362" s="292" t="str">
        <f>'Unit Savings Calculations'!T358</f>
        <v>6.1.1</v>
      </c>
      <c r="E362" s="438">
        <v>0</v>
      </c>
      <c r="F362" s="438">
        <v>0</v>
      </c>
      <c r="G362" s="292" t="str">
        <f>'Unit Savings Calculations'!E358</f>
        <v>each</v>
      </c>
      <c r="H362" s="294">
        <v>0</v>
      </c>
      <c r="I362" s="294">
        <v>0</v>
      </c>
      <c r="J362" s="294">
        <v>0</v>
      </c>
      <c r="K362" s="294">
        <f>'Unit Savings Calculations'!$F358*'Unit Savings Calculations'!M358</f>
        <v>0</v>
      </c>
      <c r="L362" s="292" t="str">
        <f>'Unit Savings Calculations'!U358</f>
        <v>CC-BEH-BEHP-V02-16061</v>
      </c>
      <c r="M362" s="383" t="str">
        <f>'Unit Savings Calculations'!R358</f>
        <v>Exhibit 1.5A_R North Shore EEPS_Adjustable_Savings_Goal_Template.xlsx, Behavioral Tab</v>
      </c>
      <c r="N362" s="295">
        <v>0</v>
      </c>
      <c r="O362" s="295">
        <v>0</v>
      </c>
      <c r="P362" s="295">
        <v>0</v>
      </c>
      <c r="Q362" s="295">
        <v>0</v>
      </c>
      <c r="R362" s="296">
        <f>'Unit Savings Calculations'!$G358</f>
        <v>1</v>
      </c>
      <c r="S362" s="296">
        <f>'Unit Savings Calculations'!$G358</f>
        <v>1</v>
      </c>
      <c r="T362" s="296">
        <f>'Unit Savings Calculations'!$G358</f>
        <v>1</v>
      </c>
      <c r="U362" s="296">
        <f>'Unit Savings Calculations'!$G358</f>
        <v>1</v>
      </c>
      <c r="V362" s="297">
        <v>0</v>
      </c>
      <c r="W362" s="297">
        <v>0</v>
      </c>
      <c r="X362" s="297">
        <v>0</v>
      </c>
      <c r="Y362" s="297">
        <f t="shared" si="210"/>
        <v>0</v>
      </c>
      <c r="Z362" s="297">
        <f t="shared" si="211"/>
        <v>0</v>
      </c>
      <c r="AA362" s="292"/>
      <c r="AB362" s="292"/>
      <c r="AC362" s="295">
        <v>0</v>
      </c>
      <c r="AD362" s="292"/>
      <c r="AE362" s="297">
        <f t="shared" si="197"/>
        <v>0</v>
      </c>
      <c r="AF362" s="294">
        <f t="shared" si="198"/>
        <v>0</v>
      </c>
      <c r="AG362" s="292"/>
      <c r="AH362" s="292">
        <f t="shared" si="199"/>
        <v>0</v>
      </c>
      <c r="AI362" s="295">
        <v>0</v>
      </c>
      <c r="AJ362" s="383" t="s">
        <v>878</v>
      </c>
      <c r="AK362" s="297">
        <f t="shared" si="200"/>
        <v>0</v>
      </c>
      <c r="AL362" s="294">
        <f t="shared" si="201"/>
        <v>0</v>
      </c>
      <c r="AM362" s="292"/>
      <c r="AN362" s="292"/>
      <c r="AO362" s="295">
        <f>'Unit Savings Calculations'!P358</f>
        <v>0</v>
      </c>
      <c r="AP362" s="383" t="s">
        <v>763</v>
      </c>
      <c r="AQ362" s="297">
        <f t="shared" si="202"/>
        <v>0</v>
      </c>
      <c r="AR362" s="294">
        <f t="shared" si="203"/>
        <v>0</v>
      </c>
      <c r="AS362" s="292"/>
      <c r="AT362" s="292"/>
      <c r="AU362" s="295">
        <f>'Unit Savings Calculations'!Q358</f>
        <v>0</v>
      </c>
      <c r="AV362" s="383" t="str">
        <f t="shared" si="186"/>
        <v>n/a</v>
      </c>
      <c r="AW362" s="297">
        <f t="shared" si="204"/>
        <v>0</v>
      </c>
      <c r="AX362" s="294">
        <f t="shared" si="205"/>
        <v>0</v>
      </c>
      <c r="AY362" s="297">
        <f t="shared" si="187"/>
        <v>0</v>
      </c>
      <c r="AZ362" s="297">
        <f t="shared" si="188"/>
        <v>0</v>
      </c>
      <c r="BA362" s="297">
        <f t="shared" si="189"/>
        <v>0</v>
      </c>
      <c r="BB362" s="297">
        <f t="shared" si="190"/>
        <v>0</v>
      </c>
      <c r="BC362" s="298">
        <f t="shared" si="191"/>
        <v>0</v>
      </c>
      <c r="BD362" s="292" t="s">
        <v>763</v>
      </c>
      <c r="BE362" s="299" t="str">
        <f t="shared" si="192"/>
        <v>Exhibit 1.5A_R North Shore EEPS_Adjustable_Savings_Goal_Template.xlsx, Behavioral Tab</v>
      </c>
      <c r="BF362" s="298">
        <f t="shared" si="193"/>
        <v>0</v>
      </c>
      <c r="BG362" s="298">
        <f t="shared" si="193"/>
        <v>0</v>
      </c>
      <c r="BH362" s="298">
        <f t="shared" si="193"/>
        <v>0</v>
      </c>
      <c r="BI362" s="298">
        <f t="shared" si="193"/>
        <v>0</v>
      </c>
      <c r="BJ362" s="298">
        <f t="shared" si="194"/>
        <v>0</v>
      </c>
      <c r="BK362" s="482">
        <v>0</v>
      </c>
      <c r="BL362" s="482">
        <v>0</v>
      </c>
      <c r="BM362" s="482">
        <f>INDEX('Unit Savings Calculations'!$I$4:$I$421,MATCH('Measure-Level Adjustments Tab'!$A362&amp;"_"&amp;'Measure-Level Adjustments Tab'!$B362,'Unit Savings Calculations'!$A$4:$A$421,0))</f>
        <v>0</v>
      </c>
      <c r="BN362" s="482">
        <f t="shared" si="195"/>
        <v>0</v>
      </c>
      <c r="BO362" s="483">
        <f t="shared" si="196"/>
        <v>0</v>
      </c>
      <c r="BP362" s="483">
        <f t="shared" si="196"/>
        <v>0</v>
      </c>
      <c r="BQ362" s="483">
        <f t="shared" si="196"/>
        <v>0</v>
      </c>
      <c r="BR362" s="483">
        <f t="shared" si="196"/>
        <v>0</v>
      </c>
      <c r="BS362" s="483">
        <f t="shared" si="185"/>
        <v>0</v>
      </c>
    </row>
    <row r="363" spans="1:71" ht="15.75" customHeight="1">
      <c r="A363" s="292" t="s">
        <v>713</v>
      </c>
      <c r="B363" s="292" t="str">
        <f>'Unit Savings Calculations'!D359</f>
        <v>Behavior 2019 Y2 Persistence</v>
      </c>
      <c r="C363" s="293">
        <f t="shared" si="206"/>
        <v>1</v>
      </c>
      <c r="D363" s="292" t="str">
        <f>'Unit Savings Calculations'!T359</f>
        <v>6.1.1</v>
      </c>
      <c r="E363" s="438">
        <v>0</v>
      </c>
      <c r="F363" s="438">
        <v>0</v>
      </c>
      <c r="G363" s="292" t="str">
        <f>'Unit Savings Calculations'!E359</f>
        <v>each</v>
      </c>
      <c r="H363" s="294">
        <v>0</v>
      </c>
      <c r="I363" s="294">
        <v>0</v>
      </c>
      <c r="J363" s="294">
        <v>0</v>
      </c>
      <c r="K363" s="294">
        <f>'Unit Savings Calculations'!$F359*'Unit Savings Calculations'!M359</f>
        <v>0</v>
      </c>
      <c r="L363" s="292" t="str">
        <f>'Unit Savings Calculations'!U359</f>
        <v>CC-BEH-BEHP-V02-16061</v>
      </c>
      <c r="M363" s="383" t="str">
        <f>'Unit Savings Calculations'!R359</f>
        <v>Exhibit 1.5A_R North Shore EEPS_Adjustable_Savings_Goal_Template.xlsx, Behavioral Tab</v>
      </c>
      <c r="N363" s="295">
        <v>0</v>
      </c>
      <c r="O363" s="295">
        <v>0</v>
      </c>
      <c r="P363" s="295">
        <v>0</v>
      </c>
      <c r="Q363" s="295">
        <v>0</v>
      </c>
      <c r="R363" s="296">
        <f>'Unit Savings Calculations'!$G359</f>
        <v>1</v>
      </c>
      <c r="S363" s="296">
        <f>'Unit Savings Calculations'!$G359</f>
        <v>1</v>
      </c>
      <c r="T363" s="296">
        <f>'Unit Savings Calculations'!$G359</f>
        <v>1</v>
      </c>
      <c r="U363" s="296">
        <f>'Unit Savings Calculations'!$G359</f>
        <v>1</v>
      </c>
      <c r="V363" s="297">
        <v>0</v>
      </c>
      <c r="W363" s="297">
        <v>0</v>
      </c>
      <c r="X363" s="297">
        <v>0</v>
      </c>
      <c r="Y363" s="297">
        <f t="shared" si="210"/>
        <v>0</v>
      </c>
      <c r="Z363" s="297">
        <f t="shared" si="211"/>
        <v>0</v>
      </c>
      <c r="AA363" s="292"/>
      <c r="AB363" s="292"/>
      <c r="AC363" s="295">
        <v>0</v>
      </c>
      <c r="AD363" s="292"/>
      <c r="AE363" s="297">
        <f t="shared" si="197"/>
        <v>0</v>
      </c>
      <c r="AF363" s="294">
        <f t="shared" si="198"/>
        <v>0</v>
      </c>
      <c r="AG363" s="292"/>
      <c r="AH363" s="292">
        <f t="shared" si="199"/>
        <v>0</v>
      </c>
      <c r="AI363" s="295">
        <v>0</v>
      </c>
      <c r="AJ363" s="383" t="s">
        <v>878</v>
      </c>
      <c r="AK363" s="297">
        <f t="shared" si="200"/>
        <v>0</v>
      </c>
      <c r="AL363" s="294">
        <f t="shared" si="201"/>
        <v>0</v>
      </c>
      <c r="AM363" s="292"/>
      <c r="AN363" s="292"/>
      <c r="AO363" s="295">
        <f>'Unit Savings Calculations'!P359</f>
        <v>0</v>
      </c>
      <c r="AP363" s="383" t="s">
        <v>763</v>
      </c>
      <c r="AQ363" s="297">
        <f t="shared" si="202"/>
        <v>0</v>
      </c>
      <c r="AR363" s="294">
        <f t="shared" si="203"/>
        <v>0</v>
      </c>
      <c r="AS363" s="292"/>
      <c r="AT363" s="292"/>
      <c r="AU363" s="295">
        <f>'Unit Savings Calculations'!Q359</f>
        <v>0</v>
      </c>
      <c r="AV363" s="383" t="str">
        <f t="shared" si="186"/>
        <v>n/a</v>
      </c>
      <c r="AW363" s="297">
        <f t="shared" si="204"/>
        <v>0</v>
      </c>
      <c r="AX363" s="294">
        <f t="shared" si="205"/>
        <v>0</v>
      </c>
      <c r="AY363" s="297">
        <f t="shared" si="187"/>
        <v>0</v>
      </c>
      <c r="AZ363" s="297">
        <f t="shared" si="188"/>
        <v>0</v>
      </c>
      <c r="BA363" s="297">
        <f t="shared" si="189"/>
        <v>0</v>
      </c>
      <c r="BB363" s="297">
        <f t="shared" si="190"/>
        <v>0</v>
      </c>
      <c r="BC363" s="298">
        <f t="shared" si="191"/>
        <v>0</v>
      </c>
      <c r="BD363" s="292" t="s">
        <v>763</v>
      </c>
      <c r="BE363" s="299" t="str">
        <f t="shared" si="192"/>
        <v>Exhibit 1.5A_R North Shore EEPS_Adjustable_Savings_Goal_Template.xlsx, Behavioral Tab</v>
      </c>
      <c r="BF363" s="298">
        <f t="shared" si="193"/>
        <v>0</v>
      </c>
      <c r="BG363" s="298">
        <f t="shared" si="193"/>
        <v>0</v>
      </c>
      <c r="BH363" s="298">
        <f t="shared" si="193"/>
        <v>0</v>
      </c>
      <c r="BI363" s="298">
        <f t="shared" si="193"/>
        <v>0</v>
      </c>
      <c r="BJ363" s="298">
        <f t="shared" si="194"/>
        <v>0</v>
      </c>
      <c r="BK363" s="482">
        <v>0</v>
      </c>
      <c r="BL363" s="482">
        <v>0</v>
      </c>
      <c r="BM363" s="482">
        <f>INDEX('Unit Savings Calculations'!$I$4:$I$421,MATCH('Measure-Level Adjustments Tab'!$A363&amp;"_"&amp;'Measure-Level Adjustments Tab'!$B363,'Unit Savings Calculations'!$A$4:$A$421,0))</f>
        <v>0</v>
      </c>
      <c r="BN363" s="482">
        <f t="shared" si="195"/>
        <v>0</v>
      </c>
      <c r="BO363" s="483">
        <f t="shared" si="196"/>
        <v>0</v>
      </c>
      <c r="BP363" s="483">
        <f t="shared" si="196"/>
        <v>0</v>
      </c>
      <c r="BQ363" s="483">
        <f t="shared" si="196"/>
        <v>0</v>
      </c>
      <c r="BR363" s="483">
        <f t="shared" si="196"/>
        <v>0</v>
      </c>
      <c r="BS363" s="483">
        <f t="shared" si="185"/>
        <v>0</v>
      </c>
    </row>
    <row r="364" spans="1:71" ht="15.75" customHeight="1">
      <c r="A364" s="292" t="s">
        <v>713</v>
      </c>
      <c r="B364" s="292" t="str">
        <f>'Unit Savings Calculations'!D360</f>
        <v>Behavior 2019 Y3 Persistence</v>
      </c>
      <c r="C364" s="293">
        <f t="shared" si="206"/>
        <v>1</v>
      </c>
      <c r="D364" s="292" t="str">
        <f>'Unit Savings Calculations'!T360</f>
        <v>6.1.1</v>
      </c>
      <c r="E364" s="438">
        <v>0</v>
      </c>
      <c r="F364" s="438">
        <v>0</v>
      </c>
      <c r="G364" s="292" t="str">
        <f>'Unit Savings Calculations'!E360</f>
        <v>each</v>
      </c>
      <c r="H364" s="294">
        <v>0</v>
      </c>
      <c r="I364" s="294">
        <v>0</v>
      </c>
      <c r="J364" s="294">
        <v>0</v>
      </c>
      <c r="K364" s="294">
        <f>'Unit Savings Calculations'!$F360*'Unit Savings Calculations'!M360</f>
        <v>0</v>
      </c>
      <c r="L364" s="292" t="str">
        <f>'Unit Savings Calculations'!U360</f>
        <v>CC-BEH-BEHP-V02-16061</v>
      </c>
      <c r="M364" s="383" t="str">
        <f>'Unit Savings Calculations'!R360</f>
        <v>Exhibit 1.5A_R North Shore EEPS_Adjustable_Savings_Goal_Template.xlsx, Behavioral Tab</v>
      </c>
      <c r="N364" s="295">
        <v>0</v>
      </c>
      <c r="O364" s="295">
        <v>0</v>
      </c>
      <c r="P364" s="295">
        <v>0</v>
      </c>
      <c r="Q364" s="295">
        <v>0</v>
      </c>
      <c r="R364" s="296">
        <f>'Unit Savings Calculations'!$G360</f>
        <v>1</v>
      </c>
      <c r="S364" s="296">
        <f>'Unit Savings Calculations'!$G360</f>
        <v>1</v>
      </c>
      <c r="T364" s="296">
        <f>'Unit Savings Calculations'!$G360</f>
        <v>1</v>
      </c>
      <c r="U364" s="296">
        <f>'Unit Savings Calculations'!$G360</f>
        <v>1</v>
      </c>
      <c r="V364" s="297">
        <v>0</v>
      </c>
      <c r="W364" s="297">
        <v>0</v>
      </c>
      <c r="X364" s="297">
        <v>0</v>
      </c>
      <c r="Y364" s="297">
        <f t="shared" si="210"/>
        <v>0</v>
      </c>
      <c r="Z364" s="297">
        <f t="shared" si="211"/>
        <v>0</v>
      </c>
      <c r="AA364" s="292"/>
      <c r="AB364" s="292"/>
      <c r="AC364" s="295">
        <v>0</v>
      </c>
      <c r="AD364" s="292"/>
      <c r="AE364" s="297">
        <f t="shared" si="197"/>
        <v>0</v>
      </c>
      <c r="AF364" s="294">
        <f t="shared" si="198"/>
        <v>0</v>
      </c>
      <c r="AG364" s="292"/>
      <c r="AH364" s="292">
        <f t="shared" si="199"/>
        <v>0</v>
      </c>
      <c r="AI364" s="295">
        <v>0</v>
      </c>
      <c r="AJ364" s="383" t="s">
        <v>878</v>
      </c>
      <c r="AK364" s="297">
        <f t="shared" si="200"/>
        <v>0</v>
      </c>
      <c r="AL364" s="294">
        <f t="shared" si="201"/>
        <v>0</v>
      </c>
      <c r="AM364" s="292"/>
      <c r="AN364" s="292"/>
      <c r="AO364" s="295">
        <f>'Unit Savings Calculations'!P360</f>
        <v>0</v>
      </c>
      <c r="AP364" s="383" t="s">
        <v>763</v>
      </c>
      <c r="AQ364" s="297">
        <f t="shared" si="202"/>
        <v>0</v>
      </c>
      <c r="AR364" s="294">
        <f t="shared" si="203"/>
        <v>0</v>
      </c>
      <c r="AS364" s="292"/>
      <c r="AT364" s="292"/>
      <c r="AU364" s="295">
        <f>'Unit Savings Calculations'!Q360</f>
        <v>0</v>
      </c>
      <c r="AV364" s="383" t="str">
        <f t="shared" si="186"/>
        <v>n/a</v>
      </c>
      <c r="AW364" s="297">
        <f t="shared" si="204"/>
        <v>0</v>
      </c>
      <c r="AX364" s="294">
        <f t="shared" si="205"/>
        <v>0</v>
      </c>
      <c r="AY364" s="297">
        <f t="shared" si="187"/>
        <v>0</v>
      </c>
      <c r="AZ364" s="297">
        <f t="shared" si="188"/>
        <v>0</v>
      </c>
      <c r="BA364" s="297">
        <f t="shared" si="189"/>
        <v>0</v>
      </c>
      <c r="BB364" s="297">
        <f t="shared" si="190"/>
        <v>0</v>
      </c>
      <c r="BC364" s="298">
        <f t="shared" si="191"/>
        <v>0</v>
      </c>
      <c r="BD364" s="292" t="s">
        <v>763</v>
      </c>
      <c r="BE364" s="299" t="str">
        <f t="shared" si="192"/>
        <v>Exhibit 1.5A_R North Shore EEPS_Adjustable_Savings_Goal_Template.xlsx, Behavioral Tab</v>
      </c>
      <c r="BF364" s="298">
        <f t="shared" si="193"/>
        <v>0</v>
      </c>
      <c r="BG364" s="298">
        <f t="shared" si="193"/>
        <v>0</v>
      </c>
      <c r="BH364" s="298">
        <f t="shared" si="193"/>
        <v>0</v>
      </c>
      <c r="BI364" s="298">
        <f t="shared" si="193"/>
        <v>0</v>
      </c>
      <c r="BJ364" s="298">
        <f t="shared" si="194"/>
        <v>0</v>
      </c>
      <c r="BK364" s="482">
        <v>0</v>
      </c>
      <c r="BL364" s="482">
        <v>0</v>
      </c>
      <c r="BM364" s="482">
        <f>INDEX('Unit Savings Calculations'!$I$4:$I$421,MATCH('Measure-Level Adjustments Tab'!$A364&amp;"_"&amp;'Measure-Level Adjustments Tab'!$B364,'Unit Savings Calculations'!$A$4:$A$421,0))</f>
        <v>0</v>
      </c>
      <c r="BN364" s="482">
        <f t="shared" si="195"/>
        <v>0</v>
      </c>
      <c r="BO364" s="483">
        <f t="shared" si="196"/>
        <v>0</v>
      </c>
      <c r="BP364" s="483">
        <f t="shared" si="196"/>
        <v>0</v>
      </c>
      <c r="BQ364" s="483">
        <f t="shared" si="196"/>
        <v>0</v>
      </c>
      <c r="BR364" s="483">
        <f t="shared" si="196"/>
        <v>0</v>
      </c>
      <c r="BS364" s="483">
        <f t="shared" si="185"/>
        <v>0</v>
      </c>
    </row>
    <row r="365" spans="1:71" ht="15.75" customHeight="1">
      <c r="A365" s="292" t="s">
        <v>713</v>
      </c>
      <c r="B365" s="292" t="str">
        <f>'Unit Savings Calculations'!D361</f>
        <v>Behavior 2019 Y4 Persistence</v>
      </c>
      <c r="C365" s="293">
        <f t="shared" si="206"/>
        <v>1</v>
      </c>
      <c r="D365" s="292" t="str">
        <f>'Unit Savings Calculations'!T361</f>
        <v>6.1.1</v>
      </c>
      <c r="E365" s="438">
        <v>0</v>
      </c>
      <c r="F365" s="438">
        <v>0</v>
      </c>
      <c r="G365" s="292" t="str">
        <f>'Unit Savings Calculations'!E361</f>
        <v>each</v>
      </c>
      <c r="H365" s="294">
        <v>0</v>
      </c>
      <c r="I365" s="294">
        <v>0</v>
      </c>
      <c r="J365" s="294">
        <v>0</v>
      </c>
      <c r="K365" s="294">
        <f>'Unit Savings Calculations'!$F361*'Unit Savings Calculations'!M361</f>
        <v>0</v>
      </c>
      <c r="L365" s="292" t="str">
        <f>'Unit Savings Calculations'!U361</f>
        <v>CC-BEH-BEHP-V02-16061</v>
      </c>
      <c r="M365" s="383" t="str">
        <f>'Unit Savings Calculations'!R361</f>
        <v>Exhibit 1.5A_R North Shore EEPS_Adjustable_Savings_Goal_Template.xlsx, Behavioral Tab</v>
      </c>
      <c r="N365" s="295">
        <v>0</v>
      </c>
      <c r="O365" s="295">
        <v>0</v>
      </c>
      <c r="P365" s="295">
        <v>0</v>
      </c>
      <c r="Q365" s="295">
        <v>0</v>
      </c>
      <c r="R365" s="296">
        <f>'Unit Savings Calculations'!$G361</f>
        <v>1</v>
      </c>
      <c r="S365" s="296">
        <f>'Unit Savings Calculations'!$G361</f>
        <v>1</v>
      </c>
      <c r="T365" s="296">
        <f>'Unit Savings Calculations'!$G361</f>
        <v>1</v>
      </c>
      <c r="U365" s="296">
        <f>'Unit Savings Calculations'!$G361</f>
        <v>1</v>
      </c>
      <c r="V365" s="297">
        <v>0</v>
      </c>
      <c r="W365" s="297">
        <v>0</v>
      </c>
      <c r="X365" s="297">
        <v>0</v>
      </c>
      <c r="Y365" s="297">
        <f t="shared" si="210"/>
        <v>0</v>
      </c>
      <c r="Z365" s="297">
        <f t="shared" si="211"/>
        <v>0</v>
      </c>
      <c r="AA365" s="292"/>
      <c r="AB365" s="292"/>
      <c r="AC365" s="295">
        <v>0</v>
      </c>
      <c r="AD365" s="292"/>
      <c r="AE365" s="297">
        <f t="shared" si="197"/>
        <v>0</v>
      </c>
      <c r="AF365" s="294">
        <f t="shared" si="198"/>
        <v>0</v>
      </c>
      <c r="AG365" s="292"/>
      <c r="AH365" s="292">
        <f t="shared" si="199"/>
        <v>0</v>
      </c>
      <c r="AI365" s="295">
        <v>0</v>
      </c>
      <c r="AJ365" s="383" t="s">
        <v>878</v>
      </c>
      <c r="AK365" s="297">
        <f t="shared" si="200"/>
        <v>0</v>
      </c>
      <c r="AL365" s="294">
        <f t="shared" si="201"/>
        <v>0</v>
      </c>
      <c r="AM365" s="292"/>
      <c r="AN365" s="292"/>
      <c r="AO365" s="295">
        <f>'Unit Savings Calculations'!P361</f>
        <v>0</v>
      </c>
      <c r="AP365" s="383" t="s">
        <v>763</v>
      </c>
      <c r="AQ365" s="297">
        <f t="shared" si="202"/>
        <v>0</v>
      </c>
      <c r="AR365" s="294">
        <f t="shared" si="203"/>
        <v>0</v>
      </c>
      <c r="AS365" s="292"/>
      <c r="AT365" s="292"/>
      <c r="AU365" s="295">
        <f>'Unit Savings Calculations'!Q361</f>
        <v>0</v>
      </c>
      <c r="AV365" s="383" t="str">
        <f t="shared" si="186"/>
        <v>n/a</v>
      </c>
      <c r="AW365" s="297">
        <f t="shared" si="204"/>
        <v>0</v>
      </c>
      <c r="AX365" s="294">
        <f t="shared" si="205"/>
        <v>0</v>
      </c>
      <c r="AY365" s="297">
        <f t="shared" si="187"/>
        <v>0</v>
      </c>
      <c r="AZ365" s="297">
        <f t="shared" si="188"/>
        <v>0</v>
      </c>
      <c r="BA365" s="297">
        <f t="shared" si="189"/>
        <v>0</v>
      </c>
      <c r="BB365" s="297">
        <f t="shared" si="190"/>
        <v>0</v>
      </c>
      <c r="BC365" s="298">
        <f t="shared" si="191"/>
        <v>0</v>
      </c>
      <c r="BD365" s="292" t="s">
        <v>763</v>
      </c>
      <c r="BE365" s="299" t="str">
        <f t="shared" si="192"/>
        <v>Exhibit 1.5A_R North Shore EEPS_Adjustable_Savings_Goal_Template.xlsx, Behavioral Tab</v>
      </c>
      <c r="BF365" s="298">
        <f t="shared" si="193"/>
        <v>0</v>
      </c>
      <c r="BG365" s="298">
        <f t="shared" si="193"/>
        <v>0</v>
      </c>
      <c r="BH365" s="298">
        <f t="shared" si="193"/>
        <v>0</v>
      </c>
      <c r="BI365" s="298">
        <f t="shared" si="193"/>
        <v>0</v>
      </c>
      <c r="BJ365" s="298">
        <f t="shared" si="194"/>
        <v>0</v>
      </c>
      <c r="BK365" s="482">
        <v>0</v>
      </c>
      <c r="BL365" s="482">
        <v>0</v>
      </c>
      <c r="BM365" s="482">
        <f>INDEX('Unit Savings Calculations'!$I$4:$I$421,MATCH('Measure-Level Adjustments Tab'!$A365&amp;"_"&amp;'Measure-Level Adjustments Tab'!$B365,'Unit Savings Calculations'!$A$4:$A$421,0))</f>
        <v>0</v>
      </c>
      <c r="BN365" s="482">
        <f t="shared" si="195"/>
        <v>0</v>
      </c>
      <c r="BO365" s="483">
        <f t="shared" si="196"/>
        <v>0</v>
      </c>
      <c r="BP365" s="483">
        <f t="shared" si="196"/>
        <v>0</v>
      </c>
      <c r="BQ365" s="483">
        <f t="shared" si="196"/>
        <v>0</v>
      </c>
      <c r="BR365" s="483">
        <f t="shared" si="196"/>
        <v>0</v>
      </c>
      <c r="BS365" s="483">
        <f t="shared" si="185"/>
        <v>0</v>
      </c>
    </row>
    <row r="366" spans="1:71" ht="15.75" customHeight="1">
      <c r="A366" s="292" t="s">
        <v>713</v>
      </c>
      <c r="B366" s="292" t="str">
        <f>'Unit Savings Calculations'!D362</f>
        <v>Behavior 2020 Y1 Persistence</v>
      </c>
      <c r="C366" s="293">
        <f t="shared" si="206"/>
        <v>1</v>
      </c>
      <c r="D366" s="292" t="str">
        <f>'Unit Savings Calculations'!T362</f>
        <v>6.1.1</v>
      </c>
      <c r="E366" s="438">
        <v>0</v>
      </c>
      <c r="F366" s="438">
        <v>0</v>
      </c>
      <c r="G366" s="292" t="str">
        <f>'Unit Savings Calculations'!E362</f>
        <v>each</v>
      </c>
      <c r="H366" s="294">
        <v>0</v>
      </c>
      <c r="I366" s="294">
        <v>0</v>
      </c>
      <c r="J366" s="294">
        <v>0</v>
      </c>
      <c r="K366" s="294">
        <f>'Unit Savings Calculations'!$F362*'Unit Savings Calculations'!M362</f>
        <v>0</v>
      </c>
      <c r="L366" s="292" t="str">
        <f>'Unit Savings Calculations'!U362</f>
        <v>CC-BEH-BEHP-V02-16061</v>
      </c>
      <c r="M366" s="383" t="str">
        <f>'Unit Savings Calculations'!R362</f>
        <v>Exhibit 1.5A_R North Shore EEPS_Adjustable_Savings_Goal_Template.xlsx, Behavioral Tab</v>
      </c>
      <c r="N366" s="295">
        <v>0</v>
      </c>
      <c r="O366" s="295">
        <v>0</v>
      </c>
      <c r="P366" s="295">
        <v>0</v>
      </c>
      <c r="Q366" s="295">
        <v>0</v>
      </c>
      <c r="R366" s="296">
        <f>'Unit Savings Calculations'!$G362</f>
        <v>1</v>
      </c>
      <c r="S366" s="296">
        <f>'Unit Savings Calculations'!$G362</f>
        <v>1</v>
      </c>
      <c r="T366" s="296">
        <f>'Unit Savings Calculations'!$G362</f>
        <v>1</v>
      </c>
      <c r="U366" s="296">
        <f>'Unit Savings Calculations'!$G362</f>
        <v>1</v>
      </c>
      <c r="V366" s="297">
        <v>0</v>
      </c>
      <c r="W366" s="297">
        <v>0</v>
      </c>
      <c r="X366" s="297">
        <v>0</v>
      </c>
      <c r="Y366" s="297">
        <f t="shared" si="210"/>
        <v>0</v>
      </c>
      <c r="Z366" s="297">
        <f t="shared" si="211"/>
        <v>0</v>
      </c>
      <c r="AA366" s="292"/>
      <c r="AB366" s="292"/>
      <c r="AC366" s="295">
        <v>0</v>
      </c>
      <c r="AD366" s="292"/>
      <c r="AE366" s="297">
        <f t="shared" si="197"/>
        <v>0</v>
      </c>
      <c r="AF366" s="294">
        <f t="shared" si="198"/>
        <v>0</v>
      </c>
      <c r="AG366" s="292"/>
      <c r="AH366" s="292">
        <f t="shared" si="199"/>
        <v>0</v>
      </c>
      <c r="AI366" s="295">
        <v>0</v>
      </c>
      <c r="AJ366" s="383" t="s">
        <v>878</v>
      </c>
      <c r="AK366" s="297">
        <f t="shared" si="200"/>
        <v>0</v>
      </c>
      <c r="AL366" s="294">
        <f t="shared" si="201"/>
        <v>0</v>
      </c>
      <c r="AM366" s="292"/>
      <c r="AN366" s="292"/>
      <c r="AO366" s="295">
        <f>'Unit Savings Calculations'!P362</f>
        <v>0</v>
      </c>
      <c r="AP366" s="383" t="s">
        <v>763</v>
      </c>
      <c r="AQ366" s="297">
        <f t="shared" si="202"/>
        <v>0</v>
      </c>
      <c r="AR366" s="294">
        <f t="shared" si="203"/>
        <v>0</v>
      </c>
      <c r="AS366" s="292"/>
      <c r="AT366" s="292"/>
      <c r="AU366" s="295">
        <f>'Unit Savings Calculations'!Q362</f>
        <v>0</v>
      </c>
      <c r="AV366" s="383" t="str">
        <f t="shared" si="186"/>
        <v>n/a</v>
      </c>
      <c r="AW366" s="297">
        <f t="shared" si="204"/>
        <v>0</v>
      </c>
      <c r="AX366" s="294">
        <f t="shared" si="205"/>
        <v>0</v>
      </c>
      <c r="AY366" s="297">
        <f t="shared" si="187"/>
        <v>0</v>
      </c>
      <c r="AZ366" s="297">
        <f t="shared" si="188"/>
        <v>0</v>
      </c>
      <c r="BA366" s="297">
        <f t="shared" si="189"/>
        <v>0</v>
      </c>
      <c r="BB366" s="297">
        <f t="shared" si="190"/>
        <v>0</v>
      </c>
      <c r="BC366" s="298">
        <f t="shared" si="191"/>
        <v>0</v>
      </c>
      <c r="BD366" s="292" t="s">
        <v>763</v>
      </c>
      <c r="BE366" s="299" t="str">
        <f t="shared" si="192"/>
        <v>Exhibit 1.5A_R North Shore EEPS_Adjustable_Savings_Goal_Template.xlsx, Behavioral Tab</v>
      </c>
      <c r="BF366" s="298">
        <f t="shared" si="193"/>
        <v>0</v>
      </c>
      <c r="BG366" s="298">
        <f t="shared" si="193"/>
        <v>0</v>
      </c>
      <c r="BH366" s="298">
        <f t="shared" si="193"/>
        <v>0</v>
      </c>
      <c r="BI366" s="298">
        <f t="shared" si="193"/>
        <v>0</v>
      </c>
      <c r="BJ366" s="298">
        <f t="shared" si="194"/>
        <v>0</v>
      </c>
      <c r="BK366" s="482">
        <v>0</v>
      </c>
      <c r="BL366" s="482">
        <v>0</v>
      </c>
      <c r="BM366" s="482">
        <f>INDEX('Unit Savings Calculations'!$I$4:$I$421,MATCH('Measure-Level Adjustments Tab'!$A366&amp;"_"&amp;'Measure-Level Adjustments Tab'!$B366,'Unit Savings Calculations'!$A$4:$A$421,0))</f>
        <v>0</v>
      </c>
      <c r="BN366" s="482">
        <f t="shared" si="195"/>
        <v>0</v>
      </c>
      <c r="BO366" s="483">
        <f t="shared" si="196"/>
        <v>0</v>
      </c>
      <c r="BP366" s="483">
        <f t="shared" si="196"/>
        <v>0</v>
      </c>
      <c r="BQ366" s="483">
        <f t="shared" si="196"/>
        <v>0</v>
      </c>
      <c r="BR366" s="483">
        <f t="shared" si="196"/>
        <v>0</v>
      </c>
      <c r="BS366" s="483">
        <f t="shared" si="185"/>
        <v>0</v>
      </c>
    </row>
    <row r="367" spans="1:71" ht="15.75" customHeight="1">
      <c r="A367" s="292" t="s">
        <v>713</v>
      </c>
      <c r="B367" s="292" t="str">
        <f>'Unit Savings Calculations'!D363</f>
        <v>Behavior 2020 Y2 Persistence</v>
      </c>
      <c r="C367" s="293">
        <f t="shared" si="206"/>
        <v>1</v>
      </c>
      <c r="D367" s="292" t="str">
        <f>'Unit Savings Calculations'!T363</f>
        <v>6.1.1</v>
      </c>
      <c r="E367" s="438">
        <v>0</v>
      </c>
      <c r="F367" s="438">
        <v>0</v>
      </c>
      <c r="G367" s="292" t="str">
        <f>'Unit Savings Calculations'!E363</f>
        <v>each</v>
      </c>
      <c r="H367" s="294">
        <v>0</v>
      </c>
      <c r="I367" s="294">
        <v>0</v>
      </c>
      <c r="J367" s="294">
        <v>0</v>
      </c>
      <c r="K367" s="294">
        <f>'Unit Savings Calculations'!$F363*'Unit Savings Calculations'!M363</f>
        <v>0</v>
      </c>
      <c r="L367" s="292" t="str">
        <f>'Unit Savings Calculations'!U363</f>
        <v>CC-BEH-BEHP-V02-16061</v>
      </c>
      <c r="M367" s="383" t="str">
        <f>'Unit Savings Calculations'!R363</f>
        <v>Exhibit 1.5A_R North Shore EEPS_Adjustable_Savings_Goal_Template.xlsx, Behavioral Tab</v>
      </c>
      <c r="N367" s="295">
        <v>0</v>
      </c>
      <c r="O367" s="295">
        <v>0</v>
      </c>
      <c r="P367" s="295">
        <v>0</v>
      </c>
      <c r="Q367" s="295">
        <v>0</v>
      </c>
      <c r="R367" s="296">
        <f>'Unit Savings Calculations'!$G363</f>
        <v>1</v>
      </c>
      <c r="S367" s="296">
        <f>'Unit Savings Calculations'!$G363</f>
        <v>1</v>
      </c>
      <c r="T367" s="296">
        <f>'Unit Savings Calculations'!$G363</f>
        <v>1</v>
      </c>
      <c r="U367" s="296">
        <f>'Unit Savings Calculations'!$G363</f>
        <v>1</v>
      </c>
      <c r="V367" s="297">
        <v>0</v>
      </c>
      <c r="W367" s="297">
        <v>0</v>
      </c>
      <c r="X367" s="297">
        <v>0</v>
      </c>
      <c r="Y367" s="297">
        <f t="shared" si="210"/>
        <v>0</v>
      </c>
      <c r="Z367" s="297">
        <f t="shared" si="211"/>
        <v>0</v>
      </c>
      <c r="AA367" s="292"/>
      <c r="AB367" s="292"/>
      <c r="AC367" s="295">
        <v>0</v>
      </c>
      <c r="AD367" s="292"/>
      <c r="AE367" s="297">
        <f t="shared" si="197"/>
        <v>0</v>
      </c>
      <c r="AF367" s="294">
        <f t="shared" si="198"/>
        <v>0</v>
      </c>
      <c r="AG367" s="292"/>
      <c r="AH367" s="292">
        <f t="shared" si="199"/>
        <v>0</v>
      </c>
      <c r="AI367" s="295">
        <v>0</v>
      </c>
      <c r="AJ367" s="383" t="s">
        <v>878</v>
      </c>
      <c r="AK367" s="297">
        <f t="shared" si="200"/>
        <v>0</v>
      </c>
      <c r="AL367" s="294">
        <f t="shared" si="201"/>
        <v>0</v>
      </c>
      <c r="AM367" s="292"/>
      <c r="AN367" s="292"/>
      <c r="AO367" s="295">
        <f>'Unit Savings Calculations'!P363</f>
        <v>0</v>
      </c>
      <c r="AP367" s="383" t="s">
        <v>763</v>
      </c>
      <c r="AQ367" s="297">
        <f t="shared" si="202"/>
        <v>0</v>
      </c>
      <c r="AR367" s="294">
        <f t="shared" si="203"/>
        <v>0</v>
      </c>
      <c r="AS367" s="292"/>
      <c r="AT367" s="292"/>
      <c r="AU367" s="295">
        <f>'Unit Savings Calculations'!Q363</f>
        <v>0</v>
      </c>
      <c r="AV367" s="383" t="str">
        <f t="shared" si="186"/>
        <v>n/a</v>
      </c>
      <c r="AW367" s="297">
        <f t="shared" si="204"/>
        <v>0</v>
      </c>
      <c r="AX367" s="294">
        <f t="shared" si="205"/>
        <v>0</v>
      </c>
      <c r="AY367" s="297">
        <f t="shared" si="187"/>
        <v>0</v>
      </c>
      <c r="AZ367" s="297">
        <f t="shared" si="188"/>
        <v>0</v>
      </c>
      <c r="BA367" s="297">
        <f t="shared" si="189"/>
        <v>0</v>
      </c>
      <c r="BB367" s="297">
        <f t="shared" si="190"/>
        <v>0</v>
      </c>
      <c r="BC367" s="298">
        <f t="shared" si="191"/>
        <v>0</v>
      </c>
      <c r="BD367" s="292" t="s">
        <v>763</v>
      </c>
      <c r="BE367" s="299" t="str">
        <f t="shared" si="192"/>
        <v>Exhibit 1.5A_R North Shore EEPS_Adjustable_Savings_Goal_Template.xlsx, Behavioral Tab</v>
      </c>
      <c r="BF367" s="298">
        <f t="shared" si="193"/>
        <v>0</v>
      </c>
      <c r="BG367" s="298">
        <f t="shared" si="193"/>
        <v>0</v>
      </c>
      <c r="BH367" s="298">
        <f t="shared" si="193"/>
        <v>0</v>
      </c>
      <c r="BI367" s="298">
        <f t="shared" si="193"/>
        <v>0</v>
      </c>
      <c r="BJ367" s="298">
        <f t="shared" si="194"/>
        <v>0</v>
      </c>
      <c r="BK367" s="482">
        <v>0</v>
      </c>
      <c r="BL367" s="482">
        <v>0</v>
      </c>
      <c r="BM367" s="482">
        <f>INDEX('Unit Savings Calculations'!$I$4:$I$421,MATCH('Measure-Level Adjustments Tab'!$A367&amp;"_"&amp;'Measure-Level Adjustments Tab'!$B367,'Unit Savings Calculations'!$A$4:$A$421,0))</f>
        <v>0</v>
      </c>
      <c r="BN367" s="482">
        <f t="shared" si="195"/>
        <v>0</v>
      </c>
      <c r="BO367" s="483">
        <f t="shared" si="196"/>
        <v>0</v>
      </c>
      <c r="BP367" s="483">
        <f t="shared" si="196"/>
        <v>0</v>
      </c>
      <c r="BQ367" s="483">
        <f t="shared" si="196"/>
        <v>0</v>
      </c>
      <c r="BR367" s="483">
        <f t="shared" si="196"/>
        <v>0</v>
      </c>
      <c r="BS367" s="483">
        <f t="shared" si="185"/>
        <v>0</v>
      </c>
    </row>
    <row r="368" spans="1:71" ht="15.75" customHeight="1">
      <c r="A368" s="292" t="s">
        <v>713</v>
      </c>
      <c r="B368" s="292" t="str">
        <f>'Unit Savings Calculations'!D364</f>
        <v>Behavior 2020 Y3 Persistence</v>
      </c>
      <c r="C368" s="293">
        <f t="shared" si="206"/>
        <v>1</v>
      </c>
      <c r="D368" s="292" t="str">
        <f>'Unit Savings Calculations'!T364</f>
        <v>6.1.1</v>
      </c>
      <c r="E368" s="438">
        <v>0</v>
      </c>
      <c r="F368" s="438">
        <v>0</v>
      </c>
      <c r="G368" s="292" t="str">
        <f>'Unit Savings Calculations'!E364</f>
        <v>each</v>
      </c>
      <c r="H368" s="294">
        <v>0</v>
      </c>
      <c r="I368" s="294">
        <v>0</v>
      </c>
      <c r="J368" s="294">
        <v>0</v>
      </c>
      <c r="K368" s="294">
        <f>'Unit Savings Calculations'!$F364*'Unit Savings Calculations'!M364</f>
        <v>0</v>
      </c>
      <c r="L368" s="292" t="str">
        <f>'Unit Savings Calculations'!U364</f>
        <v>CC-BEH-BEHP-V02-16061</v>
      </c>
      <c r="M368" s="383" t="str">
        <f>'Unit Savings Calculations'!R364</f>
        <v>Exhibit 1.5A_R North Shore EEPS_Adjustable_Savings_Goal_Template.xlsx, Behavioral Tab</v>
      </c>
      <c r="N368" s="295">
        <v>0</v>
      </c>
      <c r="O368" s="295">
        <v>0</v>
      </c>
      <c r="P368" s="295">
        <v>0</v>
      </c>
      <c r="Q368" s="295">
        <v>0</v>
      </c>
      <c r="R368" s="296">
        <f>'Unit Savings Calculations'!$G364</f>
        <v>1</v>
      </c>
      <c r="S368" s="296">
        <f>'Unit Savings Calculations'!$G364</f>
        <v>1</v>
      </c>
      <c r="T368" s="296">
        <f>'Unit Savings Calculations'!$G364</f>
        <v>1</v>
      </c>
      <c r="U368" s="296">
        <f>'Unit Savings Calculations'!$G364</f>
        <v>1</v>
      </c>
      <c r="V368" s="297">
        <v>0</v>
      </c>
      <c r="W368" s="297">
        <v>0</v>
      </c>
      <c r="X368" s="297">
        <v>0</v>
      </c>
      <c r="Y368" s="297">
        <f t="shared" si="210"/>
        <v>0</v>
      </c>
      <c r="Z368" s="297">
        <f t="shared" si="211"/>
        <v>0</v>
      </c>
      <c r="AA368" s="292"/>
      <c r="AB368" s="292"/>
      <c r="AC368" s="295">
        <v>0</v>
      </c>
      <c r="AD368" s="292"/>
      <c r="AE368" s="297">
        <f t="shared" si="197"/>
        <v>0</v>
      </c>
      <c r="AF368" s="294">
        <f t="shared" si="198"/>
        <v>0</v>
      </c>
      <c r="AG368" s="292"/>
      <c r="AH368" s="292">
        <f t="shared" si="199"/>
        <v>0</v>
      </c>
      <c r="AI368" s="295">
        <v>0</v>
      </c>
      <c r="AJ368" s="383" t="s">
        <v>878</v>
      </c>
      <c r="AK368" s="297">
        <f t="shared" si="200"/>
        <v>0</v>
      </c>
      <c r="AL368" s="294">
        <f t="shared" si="201"/>
        <v>0</v>
      </c>
      <c r="AM368" s="292"/>
      <c r="AN368" s="292"/>
      <c r="AO368" s="295">
        <f>'Unit Savings Calculations'!P364</f>
        <v>0</v>
      </c>
      <c r="AP368" s="383" t="s">
        <v>763</v>
      </c>
      <c r="AQ368" s="297">
        <f t="shared" si="202"/>
        <v>0</v>
      </c>
      <c r="AR368" s="294">
        <f t="shared" si="203"/>
        <v>0</v>
      </c>
      <c r="AS368" s="292"/>
      <c r="AT368" s="292"/>
      <c r="AU368" s="295">
        <f>'Unit Savings Calculations'!Q364</f>
        <v>0</v>
      </c>
      <c r="AV368" s="383" t="str">
        <f t="shared" si="186"/>
        <v>n/a</v>
      </c>
      <c r="AW368" s="297">
        <f t="shared" si="204"/>
        <v>0</v>
      </c>
      <c r="AX368" s="294">
        <f t="shared" si="205"/>
        <v>0</v>
      </c>
      <c r="AY368" s="297">
        <f t="shared" si="187"/>
        <v>0</v>
      </c>
      <c r="AZ368" s="297">
        <f t="shared" si="188"/>
        <v>0</v>
      </c>
      <c r="BA368" s="297">
        <f t="shared" si="189"/>
        <v>0</v>
      </c>
      <c r="BB368" s="297">
        <f t="shared" si="190"/>
        <v>0</v>
      </c>
      <c r="BC368" s="298">
        <f t="shared" si="191"/>
        <v>0</v>
      </c>
      <c r="BD368" s="292" t="s">
        <v>763</v>
      </c>
      <c r="BE368" s="299" t="str">
        <f t="shared" si="192"/>
        <v>Exhibit 1.5A_R North Shore EEPS_Adjustable_Savings_Goal_Template.xlsx, Behavioral Tab</v>
      </c>
      <c r="BF368" s="298">
        <f t="shared" si="193"/>
        <v>0</v>
      </c>
      <c r="BG368" s="298">
        <f t="shared" si="193"/>
        <v>0</v>
      </c>
      <c r="BH368" s="298">
        <f t="shared" si="193"/>
        <v>0</v>
      </c>
      <c r="BI368" s="298">
        <f t="shared" si="193"/>
        <v>0</v>
      </c>
      <c r="BJ368" s="298">
        <f t="shared" si="194"/>
        <v>0</v>
      </c>
      <c r="BK368" s="482">
        <v>0</v>
      </c>
      <c r="BL368" s="482">
        <v>0</v>
      </c>
      <c r="BM368" s="482">
        <f>INDEX('Unit Savings Calculations'!$I$4:$I$421,MATCH('Measure-Level Adjustments Tab'!$A368&amp;"_"&amp;'Measure-Level Adjustments Tab'!$B368,'Unit Savings Calculations'!$A$4:$A$421,0))</f>
        <v>0</v>
      </c>
      <c r="BN368" s="482">
        <f t="shared" si="195"/>
        <v>0</v>
      </c>
      <c r="BO368" s="483">
        <f t="shared" si="196"/>
        <v>0</v>
      </c>
      <c r="BP368" s="483">
        <f t="shared" si="196"/>
        <v>0</v>
      </c>
      <c r="BQ368" s="483">
        <f t="shared" si="196"/>
        <v>0</v>
      </c>
      <c r="BR368" s="483">
        <f t="shared" si="196"/>
        <v>0</v>
      </c>
      <c r="BS368" s="483">
        <f t="shared" si="185"/>
        <v>0</v>
      </c>
    </row>
    <row r="369" spans="1:71" ht="15.75" customHeight="1">
      <c r="A369" s="292" t="s">
        <v>713</v>
      </c>
      <c r="B369" s="292" t="str">
        <f>'Unit Savings Calculations'!D365</f>
        <v>Behavior 2020 Y4 Persistence</v>
      </c>
      <c r="C369" s="293">
        <f t="shared" si="206"/>
        <v>1</v>
      </c>
      <c r="D369" s="292" t="str">
        <f>'Unit Savings Calculations'!T365</f>
        <v>6.1.1</v>
      </c>
      <c r="E369" s="438">
        <v>0</v>
      </c>
      <c r="F369" s="438">
        <v>0</v>
      </c>
      <c r="G369" s="292" t="str">
        <f>'Unit Savings Calculations'!E365</f>
        <v>each</v>
      </c>
      <c r="H369" s="294">
        <v>0</v>
      </c>
      <c r="I369" s="294">
        <v>0</v>
      </c>
      <c r="J369" s="294">
        <v>0</v>
      </c>
      <c r="K369" s="294">
        <f>'Unit Savings Calculations'!$F365*'Unit Savings Calculations'!M365</f>
        <v>0</v>
      </c>
      <c r="L369" s="292" t="str">
        <f>'Unit Savings Calculations'!U365</f>
        <v>CC-BEH-BEHP-V02-16061</v>
      </c>
      <c r="M369" s="383" t="str">
        <f>'Unit Savings Calculations'!R365</f>
        <v>Exhibit 1.5A_R North Shore EEPS_Adjustable_Savings_Goal_Template.xlsx, Behavioral Tab</v>
      </c>
      <c r="N369" s="295">
        <v>0</v>
      </c>
      <c r="O369" s="295">
        <v>0</v>
      </c>
      <c r="P369" s="295">
        <v>0</v>
      </c>
      <c r="Q369" s="295">
        <v>0</v>
      </c>
      <c r="R369" s="296">
        <f>'Unit Savings Calculations'!$G365</f>
        <v>1</v>
      </c>
      <c r="S369" s="296">
        <f>'Unit Savings Calculations'!$G365</f>
        <v>1</v>
      </c>
      <c r="T369" s="296">
        <f>'Unit Savings Calculations'!$G365</f>
        <v>1</v>
      </c>
      <c r="U369" s="296">
        <f>'Unit Savings Calculations'!$G365</f>
        <v>1</v>
      </c>
      <c r="V369" s="297">
        <v>0</v>
      </c>
      <c r="W369" s="297">
        <v>0</v>
      </c>
      <c r="X369" s="297">
        <v>0</v>
      </c>
      <c r="Y369" s="297">
        <f t="shared" si="210"/>
        <v>0</v>
      </c>
      <c r="Z369" s="297">
        <f t="shared" si="211"/>
        <v>0</v>
      </c>
      <c r="AA369" s="292"/>
      <c r="AB369" s="292"/>
      <c r="AC369" s="295">
        <v>0</v>
      </c>
      <c r="AD369" s="292"/>
      <c r="AE369" s="297">
        <f t="shared" si="197"/>
        <v>0</v>
      </c>
      <c r="AF369" s="294">
        <f t="shared" si="198"/>
        <v>0</v>
      </c>
      <c r="AG369" s="292"/>
      <c r="AH369" s="292">
        <f t="shared" si="199"/>
        <v>0</v>
      </c>
      <c r="AI369" s="295">
        <v>0</v>
      </c>
      <c r="AJ369" s="383" t="s">
        <v>878</v>
      </c>
      <c r="AK369" s="297">
        <f t="shared" si="200"/>
        <v>0</v>
      </c>
      <c r="AL369" s="294">
        <f t="shared" si="201"/>
        <v>0</v>
      </c>
      <c r="AM369" s="292"/>
      <c r="AN369" s="292"/>
      <c r="AO369" s="295">
        <f>'Unit Savings Calculations'!P365</f>
        <v>0</v>
      </c>
      <c r="AP369" s="383" t="s">
        <v>763</v>
      </c>
      <c r="AQ369" s="297">
        <f t="shared" si="202"/>
        <v>0</v>
      </c>
      <c r="AR369" s="294">
        <f t="shared" si="203"/>
        <v>0</v>
      </c>
      <c r="AS369" s="292"/>
      <c r="AT369" s="292"/>
      <c r="AU369" s="295">
        <f>'Unit Savings Calculations'!Q365</f>
        <v>0</v>
      </c>
      <c r="AV369" s="383" t="str">
        <f t="shared" si="186"/>
        <v>n/a</v>
      </c>
      <c r="AW369" s="297">
        <f t="shared" si="204"/>
        <v>0</v>
      </c>
      <c r="AX369" s="294">
        <f t="shared" si="205"/>
        <v>0</v>
      </c>
      <c r="AY369" s="297">
        <f t="shared" si="187"/>
        <v>0</v>
      </c>
      <c r="AZ369" s="297">
        <f t="shared" si="188"/>
        <v>0</v>
      </c>
      <c r="BA369" s="297">
        <f t="shared" si="189"/>
        <v>0</v>
      </c>
      <c r="BB369" s="297">
        <f t="shared" si="190"/>
        <v>0</v>
      </c>
      <c r="BC369" s="298">
        <f t="shared" si="191"/>
        <v>0</v>
      </c>
      <c r="BD369" s="292" t="s">
        <v>763</v>
      </c>
      <c r="BE369" s="299" t="str">
        <f t="shared" si="192"/>
        <v>Exhibit 1.5A_R North Shore EEPS_Adjustable_Savings_Goal_Template.xlsx, Behavioral Tab</v>
      </c>
      <c r="BF369" s="298">
        <f t="shared" si="193"/>
        <v>0</v>
      </c>
      <c r="BG369" s="298">
        <f t="shared" si="193"/>
        <v>0</v>
      </c>
      <c r="BH369" s="298">
        <f t="shared" si="193"/>
        <v>0</v>
      </c>
      <c r="BI369" s="298">
        <f t="shared" si="193"/>
        <v>0</v>
      </c>
      <c r="BJ369" s="298">
        <f t="shared" si="194"/>
        <v>0</v>
      </c>
      <c r="BK369" s="482">
        <v>0</v>
      </c>
      <c r="BL369" s="482">
        <v>0</v>
      </c>
      <c r="BM369" s="482">
        <f>INDEX('Unit Savings Calculations'!$I$4:$I$421,MATCH('Measure-Level Adjustments Tab'!$A369&amp;"_"&amp;'Measure-Level Adjustments Tab'!$B369,'Unit Savings Calculations'!$A$4:$A$421,0))</f>
        <v>0</v>
      </c>
      <c r="BN369" s="482">
        <f t="shared" si="195"/>
        <v>0</v>
      </c>
      <c r="BO369" s="483">
        <f t="shared" si="196"/>
        <v>0</v>
      </c>
      <c r="BP369" s="483">
        <f t="shared" si="196"/>
        <v>0</v>
      </c>
      <c r="BQ369" s="483">
        <f t="shared" si="196"/>
        <v>0</v>
      </c>
      <c r="BR369" s="483">
        <f t="shared" si="196"/>
        <v>0</v>
      </c>
      <c r="BS369" s="483">
        <f t="shared" si="185"/>
        <v>0</v>
      </c>
    </row>
    <row r="370" spans="1:71" ht="15.75" customHeight="1">
      <c r="A370" s="292" t="s">
        <v>713</v>
      </c>
      <c r="B370" s="292" t="str">
        <f>'Unit Savings Calculations'!D366</f>
        <v>Behavior 2021 Y1 Persistence</v>
      </c>
      <c r="C370" s="293">
        <f t="shared" si="206"/>
        <v>1</v>
      </c>
      <c r="D370" s="292" t="str">
        <f>'Unit Savings Calculations'!T366</f>
        <v>6.1.1</v>
      </c>
      <c r="E370" s="438">
        <v>0</v>
      </c>
      <c r="F370" s="438">
        <v>0</v>
      </c>
      <c r="G370" s="292" t="str">
        <f>'Unit Savings Calculations'!E366</f>
        <v>each</v>
      </c>
      <c r="H370" s="294">
        <v>0</v>
      </c>
      <c r="I370" s="294">
        <v>0</v>
      </c>
      <c r="J370" s="294">
        <v>0</v>
      </c>
      <c r="K370" s="294">
        <f>'Unit Savings Calculations'!$F366*'Unit Savings Calculations'!M366</f>
        <v>0</v>
      </c>
      <c r="L370" s="292" t="str">
        <f>'Unit Savings Calculations'!U366</f>
        <v>CC-BEH-BEHP-V02-16061</v>
      </c>
      <c r="M370" s="383" t="str">
        <f>'Unit Savings Calculations'!R366</f>
        <v>Exhibit 1.5A_R North Shore EEPS_Adjustable_Savings_Goal_Template.xlsx, Behavioral Tab</v>
      </c>
      <c r="N370" s="295">
        <v>0</v>
      </c>
      <c r="O370" s="295">
        <v>0</v>
      </c>
      <c r="P370" s="295">
        <v>0</v>
      </c>
      <c r="Q370" s="295">
        <v>0</v>
      </c>
      <c r="R370" s="296">
        <f>'Unit Savings Calculations'!$G366</f>
        <v>1</v>
      </c>
      <c r="S370" s="296">
        <f>'Unit Savings Calculations'!$G366</f>
        <v>1</v>
      </c>
      <c r="T370" s="296">
        <f>'Unit Savings Calculations'!$G366</f>
        <v>1</v>
      </c>
      <c r="U370" s="296">
        <f>'Unit Savings Calculations'!$G366</f>
        <v>1</v>
      </c>
      <c r="V370" s="297">
        <f t="shared" si="207"/>
        <v>0</v>
      </c>
      <c r="W370" s="297">
        <f t="shared" si="208"/>
        <v>0</v>
      </c>
      <c r="X370" s="297">
        <f t="shared" si="209"/>
        <v>0</v>
      </c>
      <c r="Y370" s="297">
        <f t="shared" si="210"/>
        <v>0</v>
      </c>
      <c r="Z370" s="297">
        <f t="shared" si="211"/>
        <v>0</v>
      </c>
      <c r="AA370" s="292"/>
      <c r="AB370" s="292"/>
      <c r="AC370" s="295">
        <v>0</v>
      </c>
      <c r="AD370" s="292"/>
      <c r="AE370" s="297">
        <f t="shared" si="197"/>
        <v>0</v>
      </c>
      <c r="AF370" s="294">
        <f t="shared" si="198"/>
        <v>0</v>
      </c>
      <c r="AG370" s="292"/>
      <c r="AH370" s="292">
        <f t="shared" si="199"/>
        <v>0</v>
      </c>
      <c r="AI370" s="295">
        <v>0</v>
      </c>
      <c r="AJ370" s="383" t="s">
        <v>878</v>
      </c>
      <c r="AK370" s="297">
        <f t="shared" si="200"/>
        <v>0</v>
      </c>
      <c r="AL370" s="294">
        <f t="shared" si="201"/>
        <v>0</v>
      </c>
      <c r="AM370" s="292"/>
      <c r="AN370" s="292"/>
      <c r="AO370" s="295">
        <f>'Unit Savings Calculations'!P366</f>
        <v>0</v>
      </c>
      <c r="AP370" s="383" t="s">
        <v>763</v>
      </c>
      <c r="AQ370" s="297">
        <f t="shared" si="202"/>
        <v>0</v>
      </c>
      <c r="AR370" s="294">
        <f t="shared" si="203"/>
        <v>0</v>
      </c>
      <c r="AS370" s="292"/>
      <c r="AT370" s="292"/>
      <c r="AU370" s="295">
        <f>'Unit Savings Calculations'!Q366</f>
        <v>0</v>
      </c>
      <c r="AV370" s="383" t="str">
        <f t="shared" si="186"/>
        <v>n/a</v>
      </c>
      <c r="AW370" s="297">
        <f t="shared" si="204"/>
        <v>0</v>
      </c>
      <c r="AX370" s="294">
        <f t="shared" si="205"/>
        <v>0</v>
      </c>
      <c r="AY370" s="297">
        <f t="shared" si="187"/>
        <v>0</v>
      </c>
      <c r="AZ370" s="297">
        <f t="shared" si="188"/>
        <v>0</v>
      </c>
      <c r="BA370" s="297">
        <f t="shared" si="189"/>
        <v>0</v>
      </c>
      <c r="BB370" s="297">
        <f t="shared" si="190"/>
        <v>0</v>
      </c>
      <c r="BC370" s="298">
        <f t="shared" si="191"/>
        <v>0</v>
      </c>
      <c r="BD370" s="292" t="s">
        <v>763</v>
      </c>
      <c r="BE370" s="299" t="str">
        <f t="shared" si="192"/>
        <v>Exhibit 1.5A_R North Shore EEPS_Adjustable_Savings_Goal_Template.xlsx, Behavioral Tab</v>
      </c>
      <c r="BF370" s="298">
        <f t="shared" si="193"/>
        <v>0</v>
      </c>
      <c r="BG370" s="298">
        <f t="shared" si="193"/>
        <v>0</v>
      </c>
      <c r="BH370" s="298">
        <f t="shared" si="193"/>
        <v>0</v>
      </c>
      <c r="BI370" s="298">
        <f t="shared" si="193"/>
        <v>0</v>
      </c>
      <c r="BJ370" s="298">
        <f t="shared" si="194"/>
        <v>0</v>
      </c>
      <c r="BK370" s="482">
        <v>0</v>
      </c>
      <c r="BL370" s="482">
        <v>0</v>
      </c>
      <c r="BM370" s="482">
        <f>INDEX('Unit Savings Calculations'!$I$4:$I$421,MATCH('Measure-Level Adjustments Tab'!$A370&amp;"_"&amp;'Measure-Level Adjustments Tab'!$B370,'Unit Savings Calculations'!$A$4:$A$421,0))</f>
        <v>0</v>
      </c>
      <c r="BN370" s="482">
        <f t="shared" si="195"/>
        <v>0</v>
      </c>
      <c r="BO370" s="483">
        <f t="shared" si="196"/>
        <v>0</v>
      </c>
      <c r="BP370" s="483">
        <f t="shared" si="196"/>
        <v>0</v>
      </c>
      <c r="BQ370" s="483">
        <f t="shared" si="196"/>
        <v>0</v>
      </c>
      <c r="BR370" s="483">
        <f t="shared" si="196"/>
        <v>0</v>
      </c>
      <c r="BS370" s="483">
        <f t="shared" si="185"/>
        <v>0</v>
      </c>
    </row>
    <row r="371" spans="1:71" ht="15.75" customHeight="1">
      <c r="A371" s="292" t="s">
        <v>713</v>
      </c>
      <c r="B371" s="292" t="str">
        <f>'Unit Savings Calculations'!D367</f>
        <v>Behavior 2021 Y2 Persistence</v>
      </c>
      <c r="C371" s="293">
        <f t="shared" si="206"/>
        <v>1</v>
      </c>
      <c r="D371" s="292" t="str">
        <f>'Unit Savings Calculations'!T367</f>
        <v>6.1.1</v>
      </c>
      <c r="E371" s="438">
        <v>0</v>
      </c>
      <c r="F371" s="438">
        <v>0</v>
      </c>
      <c r="G371" s="292" t="str">
        <f>'Unit Savings Calculations'!E367</f>
        <v>each</v>
      </c>
      <c r="H371" s="294">
        <v>0</v>
      </c>
      <c r="I371" s="294">
        <v>0</v>
      </c>
      <c r="J371" s="294">
        <v>0</v>
      </c>
      <c r="K371" s="294">
        <f>'Unit Savings Calculations'!$F367*'Unit Savings Calculations'!M367</f>
        <v>0</v>
      </c>
      <c r="L371" s="292" t="str">
        <f>'Unit Savings Calculations'!U367</f>
        <v>CC-BEH-BEHP-V02-16061</v>
      </c>
      <c r="M371" s="383" t="str">
        <f>'Unit Savings Calculations'!R367</f>
        <v>Exhibit 1.5A_R North Shore EEPS_Adjustable_Savings_Goal_Template.xlsx, Behavioral Tab</v>
      </c>
      <c r="N371" s="295">
        <v>0</v>
      </c>
      <c r="O371" s="295">
        <v>0</v>
      </c>
      <c r="P371" s="295">
        <v>0</v>
      </c>
      <c r="Q371" s="295">
        <v>0</v>
      </c>
      <c r="R371" s="296">
        <f>'Unit Savings Calculations'!$G367</f>
        <v>1</v>
      </c>
      <c r="S371" s="296">
        <f>'Unit Savings Calculations'!$G367</f>
        <v>1</v>
      </c>
      <c r="T371" s="296">
        <f>'Unit Savings Calculations'!$G367</f>
        <v>1</v>
      </c>
      <c r="U371" s="296">
        <f>'Unit Savings Calculations'!$G367</f>
        <v>1</v>
      </c>
      <c r="V371" s="297">
        <f t="shared" si="207"/>
        <v>0</v>
      </c>
      <c r="W371" s="297">
        <f t="shared" si="208"/>
        <v>0</v>
      </c>
      <c r="X371" s="297">
        <f t="shared" si="209"/>
        <v>0</v>
      </c>
      <c r="Y371" s="297">
        <f t="shared" si="210"/>
        <v>0</v>
      </c>
      <c r="Z371" s="297">
        <f t="shared" si="211"/>
        <v>0</v>
      </c>
      <c r="AA371" s="292"/>
      <c r="AB371" s="292"/>
      <c r="AC371" s="295">
        <v>0</v>
      </c>
      <c r="AD371" s="292"/>
      <c r="AE371" s="297">
        <f t="shared" si="197"/>
        <v>0</v>
      </c>
      <c r="AF371" s="294">
        <f t="shared" si="198"/>
        <v>0</v>
      </c>
      <c r="AG371" s="292"/>
      <c r="AH371" s="292">
        <f t="shared" si="199"/>
        <v>0</v>
      </c>
      <c r="AI371" s="295">
        <v>0</v>
      </c>
      <c r="AJ371" s="383" t="s">
        <v>878</v>
      </c>
      <c r="AK371" s="297">
        <f t="shared" si="200"/>
        <v>0</v>
      </c>
      <c r="AL371" s="294">
        <f t="shared" si="201"/>
        <v>0</v>
      </c>
      <c r="AM371" s="292"/>
      <c r="AN371" s="292"/>
      <c r="AO371" s="295">
        <f>'Unit Savings Calculations'!P367</f>
        <v>0</v>
      </c>
      <c r="AP371" s="383" t="s">
        <v>763</v>
      </c>
      <c r="AQ371" s="297">
        <f t="shared" si="202"/>
        <v>0</v>
      </c>
      <c r="AR371" s="294">
        <f t="shared" si="203"/>
        <v>0</v>
      </c>
      <c r="AS371" s="292"/>
      <c r="AT371" s="292"/>
      <c r="AU371" s="295">
        <f>'Unit Savings Calculations'!Q367</f>
        <v>0</v>
      </c>
      <c r="AV371" s="383" t="str">
        <f t="shared" si="186"/>
        <v>n/a</v>
      </c>
      <c r="AW371" s="297">
        <f t="shared" si="204"/>
        <v>0</v>
      </c>
      <c r="AX371" s="294">
        <f t="shared" si="205"/>
        <v>0</v>
      </c>
      <c r="AY371" s="297">
        <f t="shared" si="187"/>
        <v>0</v>
      </c>
      <c r="AZ371" s="297">
        <f t="shared" si="188"/>
        <v>0</v>
      </c>
      <c r="BA371" s="297">
        <f t="shared" si="189"/>
        <v>0</v>
      </c>
      <c r="BB371" s="297">
        <f t="shared" si="190"/>
        <v>0</v>
      </c>
      <c r="BC371" s="298">
        <f t="shared" si="191"/>
        <v>0</v>
      </c>
      <c r="BD371" s="292" t="s">
        <v>763</v>
      </c>
      <c r="BE371" s="299" t="str">
        <f t="shared" si="192"/>
        <v>Exhibit 1.5A_R North Shore EEPS_Adjustable_Savings_Goal_Template.xlsx, Behavioral Tab</v>
      </c>
      <c r="BF371" s="298">
        <f t="shared" si="193"/>
        <v>0</v>
      </c>
      <c r="BG371" s="298">
        <f t="shared" si="193"/>
        <v>0</v>
      </c>
      <c r="BH371" s="298">
        <f t="shared" si="193"/>
        <v>0</v>
      </c>
      <c r="BI371" s="298">
        <f t="shared" si="193"/>
        <v>0</v>
      </c>
      <c r="BJ371" s="298">
        <f t="shared" si="194"/>
        <v>0</v>
      </c>
      <c r="BK371" s="482">
        <v>0</v>
      </c>
      <c r="BL371" s="482">
        <v>0</v>
      </c>
      <c r="BM371" s="482">
        <f>INDEX('Unit Savings Calculations'!$I$4:$I$421,MATCH('Measure-Level Adjustments Tab'!$A371&amp;"_"&amp;'Measure-Level Adjustments Tab'!$B371,'Unit Savings Calculations'!$A$4:$A$421,0))</f>
        <v>0</v>
      </c>
      <c r="BN371" s="482">
        <f t="shared" si="195"/>
        <v>0</v>
      </c>
      <c r="BO371" s="483">
        <f t="shared" si="196"/>
        <v>0</v>
      </c>
      <c r="BP371" s="483">
        <f t="shared" si="196"/>
        <v>0</v>
      </c>
      <c r="BQ371" s="483">
        <f t="shared" si="196"/>
        <v>0</v>
      </c>
      <c r="BR371" s="483">
        <f t="shared" si="196"/>
        <v>0</v>
      </c>
      <c r="BS371" s="483">
        <f t="shared" si="185"/>
        <v>0</v>
      </c>
    </row>
    <row r="372" spans="1:71" ht="15.75" customHeight="1">
      <c r="A372" s="292" t="s">
        <v>713</v>
      </c>
      <c r="B372" s="292" t="str">
        <f>'Unit Savings Calculations'!D368</f>
        <v>Behavior 2021 Y3 Persistence</v>
      </c>
      <c r="C372" s="293">
        <f t="shared" si="206"/>
        <v>1</v>
      </c>
      <c r="D372" s="292" t="str">
        <f>'Unit Savings Calculations'!T368</f>
        <v>6.1.1</v>
      </c>
      <c r="E372" s="438">
        <v>0</v>
      </c>
      <c r="F372" s="438">
        <v>0</v>
      </c>
      <c r="G372" s="292" t="str">
        <f>'Unit Savings Calculations'!E368</f>
        <v>each</v>
      </c>
      <c r="H372" s="294">
        <v>0</v>
      </c>
      <c r="I372" s="294">
        <v>0</v>
      </c>
      <c r="J372" s="294">
        <v>0</v>
      </c>
      <c r="K372" s="294">
        <f>'Unit Savings Calculations'!$F368*'Unit Savings Calculations'!M368</f>
        <v>0</v>
      </c>
      <c r="L372" s="292" t="str">
        <f>'Unit Savings Calculations'!U368</f>
        <v>CC-BEH-BEHP-V02-16061</v>
      </c>
      <c r="M372" s="383" t="str">
        <f>'Unit Savings Calculations'!R368</f>
        <v>Exhibit 1.5A_R North Shore EEPS_Adjustable_Savings_Goal_Template.xlsx, Behavioral Tab</v>
      </c>
      <c r="N372" s="295">
        <v>0</v>
      </c>
      <c r="O372" s="295">
        <v>0</v>
      </c>
      <c r="P372" s="295">
        <v>0</v>
      </c>
      <c r="Q372" s="295">
        <v>0</v>
      </c>
      <c r="R372" s="296">
        <f>'Unit Savings Calculations'!$G368</f>
        <v>1</v>
      </c>
      <c r="S372" s="296">
        <f>'Unit Savings Calculations'!$G368</f>
        <v>1</v>
      </c>
      <c r="T372" s="296">
        <f>'Unit Savings Calculations'!$G368</f>
        <v>1</v>
      </c>
      <c r="U372" s="296">
        <f>'Unit Savings Calculations'!$G368</f>
        <v>1</v>
      </c>
      <c r="V372" s="297">
        <f t="shared" si="207"/>
        <v>0</v>
      </c>
      <c r="W372" s="297">
        <f t="shared" si="208"/>
        <v>0</v>
      </c>
      <c r="X372" s="297">
        <f t="shared" si="209"/>
        <v>0</v>
      </c>
      <c r="Y372" s="297">
        <f t="shared" si="210"/>
        <v>0</v>
      </c>
      <c r="Z372" s="297">
        <f t="shared" si="211"/>
        <v>0</v>
      </c>
      <c r="AA372" s="292"/>
      <c r="AB372" s="292"/>
      <c r="AC372" s="295">
        <v>0</v>
      </c>
      <c r="AD372" s="292"/>
      <c r="AE372" s="297">
        <f t="shared" si="197"/>
        <v>0</v>
      </c>
      <c r="AF372" s="294">
        <f t="shared" si="198"/>
        <v>0</v>
      </c>
      <c r="AG372" s="292"/>
      <c r="AH372" s="292">
        <f t="shared" si="199"/>
        <v>0</v>
      </c>
      <c r="AI372" s="295">
        <v>0</v>
      </c>
      <c r="AJ372" s="383" t="s">
        <v>878</v>
      </c>
      <c r="AK372" s="297">
        <f t="shared" si="200"/>
        <v>0</v>
      </c>
      <c r="AL372" s="294">
        <f t="shared" si="201"/>
        <v>0</v>
      </c>
      <c r="AM372" s="292"/>
      <c r="AN372" s="292"/>
      <c r="AO372" s="295">
        <f>'Unit Savings Calculations'!P368</f>
        <v>0</v>
      </c>
      <c r="AP372" s="383" t="s">
        <v>763</v>
      </c>
      <c r="AQ372" s="297">
        <f t="shared" si="202"/>
        <v>0</v>
      </c>
      <c r="AR372" s="294">
        <f t="shared" si="203"/>
        <v>0</v>
      </c>
      <c r="AS372" s="292"/>
      <c r="AT372" s="292"/>
      <c r="AU372" s="295">
        <f>'Unit Savings Calculations'!Q368</f>
        <v>0</v>
      </c>
      <c r="AV372" s="383" t="str">
        <f t="shared" si="186"/>
        <v>n/a</v>
      </c>
      <c r="AW372" s="297">
        <f t="shared" si="204"/>
        <v>0</v>
      </c>
      <c r="AX372" s="294">
        <f t="shared" si="205"/>
        <v>0</v>
      </c>
      <c r="AY372" s="297">
        <f t="shared" si="187"/>
        <v>0</v>
      </c>
      <c r="AZ372" s="297">
        <f t="shared" si="188"/>
        <v>0</v>
      </c>
      <c r="BA372" s="297">
        <f t="shared" si="189"/>
        <v>0</v>
      </c>
      <c r="BB372" s="297">
        <f t="shared" si="190"/>
        <v>0</v>
      </c>
      <c r="BC372" s="298">
        <f t="shared" si="191"/>
        <v>0</v>
      </c>
      <c r="BD372" s="292" t="s">
        <v>763</v>
      </c>
      <c r="BE372" s="299" t="str">
        <f t="shared" si="192"/>
        <v>Exhibit 1.5A_R North Shore EEPS_Adjustable_Savings_Goal_Template.xlsx, Behavioral Tab</v>
      </c>
      <c r="BF372" s="298">
        <f t="shared" si="193"/>
        <v>0</v>
      </c>
      <c r="BG372" s="298">
        <f t="shared" si="193"/>
        <v>0</v>
      </c>
      <c r="BH372" s="298">
        <f t="shared" si="193"/>
        <v>0</v>
      </c>
      <c r="BI372" s="298">
        <f t="shared" si="193"/>
        <v>0</v>
      </c>
      <c r="BJ372" s="298">
        <f t="shared" si="194"/>
        <v>0</v>
      </c>
      <c r="BK372" s="482">
        <v>0</v>
      </c>
      <c r="BL372" s="482">
        <v>0</v>
      </c>
      <c r="BM372" s="482">
        <f>INDEX('Unit Savings Calculations'!$I$4:$I$421,MATCH('Measure-Level Adjustments Tab'!$A372&amp;"_"&amp;'Measure-Level Adjustments Tab'!$B372,'Unit Savings Calculations'!$A$4:$A$421,0))</f>
        <v>0</v>
      </c>
      <c r="BN372" s="482">
        <f t="shared" si="195"/>
        <v>0</v>
      </c>
      <c r="BO372" s="483">
        <f t="shared" si="196"/>
        <v>0</v>
      </c>
      <c r="BP372" s="483">
        <f t="shared" si="196"/>
        <v>0</v>
      </c>
      <c r="BQ372" s="483">
        <f t="shared" si="196"/>
        <v>0</v>
      </c>
      <c r="BR372" s="483">
        <f t="shared" si="196"/>
        <v>0</v>
      </c>
      <c r="BS372" s="483">
        <f t="shared" si="185"/>
        <v>0</v>
      </c>
    </row>
    <row r="373" spans="1:71" ht="15.75" customHeight="1">
      <c r="A373" s="292" t="s">
        <v>713</v>
      </c>
      <c r="B373" s="292" t="str">
        <f>'Unit Savings Calculations'!D369</f>
        <v>Behavior 2021 Y4 Persistence</v>
      </c>
      <c r="C373" s="293">
        <f t="shared" si="206"/>
        <v>1</v>
      </c>
      <c r="D373" s="292" t="str">
        <f>'Unit Savings Calculations'!T369</f>
        <v>6.1.1</v>
      </c>
      <c r="E373" s="438">
        <v>0</v>
      </c>
      <c r="F373" s="438">
        <v>0</v>
      </c>
      <c r="G373" s="292" t="str">
        <f>'Unit Savings Calculations'!E369</f>
        <v>each</v>
      </c>
      <c r="H373" s="294">
        <v>0</v>
      </c>
      <c r="I373" s="294">
        <v>0</v>
      </c>
      <c r="J373" s="294">
        <v>0</v>
      </c>
      <c r="K373" s="294">
        <f>'Unit Savings Calculations'!$F369*'Unit Savings Calculations'!M369</f>
        <v>0</v>
      </c>
      <c r="L373" s="292" t="str">
        <f>'Unit Savings Calculations'!U369</f>
        <v>CC-BEH-BEHP-V02-16061</v>
      </c>
      <c r="M373" s="383" t="str">
        <f>'Unit Savings Calculations'!R369</f>
        <v>Exhibit 1.5A_R North Shore EEPS_Adjustable_Savings_Goal_Template.xlsx, Behavioral Tab</v>
      </c>
      <c r="N373" s="295">
        <v>0</v>
      </c>
      <c r="O373" s="295">
        <v>0</v>
      </c>
      <c r="P373" s="295">
        <v>0</v>
      </c>
      <c r="Q373" s="295">
        <v>0</v>
      </c>
      <c r="R373" s="296">
        <f>'Unit Savings Calculations'!$G369</f>
        <v>1</v>
      </c>
      <c r="S373" s="296">
        <f>'Unit Savings Calculations'!$G369</f>
        <v>1</v>
      </c>
      <c r="T373" s="296">
        <f>'Unit Savings Calculations'!$G369</f>
        <v>1</v>
      </c>
      <c r="U373" s="296">
        <f>'Unit Savings Calculations'!$G369</f>
        <v>1</v>
      </c>
      <c r="V373" s="297">
        <f t="shared" si="207"/>
        <v>0</v>
      </c>
      <c r="W373" s="297">
        <f t="shared" si="208"/>
        <v>0</v>
      </c>
      <c r="X373" s="297">
        <f t="shared" si="209"/>
        <v>0</v>
      </c>
      <c r="Y373" s="297">
        <f t="shared" si="210"/>
        <v>0</v>
      </c>
      <c r="Z373" s="297">
        <f t="shared" si="211"/>
        <v>0</v>
      </c>
      <c r="AA373" s="292"/>
      <c r="AB373" s="292"/>
      <c r="AC373" s="295">
        <v>0</v>
      </c>
      <c r="AD373" s="292"/>
      <c r="AE373" s="297">
        <f t="shared" si="197"/>
        <v>0</v>
      </c>
      <c r="AF373" s="294">
        <f t="shared" si="198"/>
        <v>0</v>
      </c>
      <c r="AG373" s="292"/>
      <c r="AH373" s="292">
        <f t="shared" si="199"/>
        <v>0</v>
      </c>
      <c r="AI373" s="295">
        <v>0</v>
      </c>
      <c r="AJ373" s="383" t="s">
        <v>878</v>
      </c>
      <c r="AK373" s="297">
        <f t="shared" si="200"/>
        <v>0</v>
      </c>
      <c r="AL373" s="294">
        <f t="shared" si="201"/>
        <v>0</v>
      </c>
      <c r="AM373" s="292"/>
      <c r="AN373" s="292"/>
      <c r="AO373" s="295">
        <f>'Unit Savings Calculations'!P369</f>
        <v>0</v>
      </c>
      <c r="AP373" s="383" t="s">
        <v>763</v>
      </c>
      <c r="AQ373" s="297">
        <f t="shared" si="202"/>
        <v>0</v>
      </c>
      <c r="AR373" s="294">
        <f t="shared" si="203"/>
        <v>0</v>
      </c>
      <c r="AS373" s="292"/>
      <c r="AT373" s="292"/>
      <c r="AU373" s="295">
        <f>'Unit Savings Calculations'!Q369</f>
        <v>0</v>
      </c>
      <c r="AV373" s="383" t="str">
        <f t="shared" si="186"/>
        <v>n/a</v>
      </c>
      <c r="AW373" s="297">
        <f t="shared" si="204"/>
        <v>0</v>
      </c>
      <c r="AX373" s="294">
        <f t="shared" si="205"/>
        <v>0</v>
      </c>
      <c r="AY373" s="297">
        <f t="shared" si="187"/>
        <v>0</v>
      </c>
      <c r="AZ373" s="297">
        <f t="shared" si="188"/>
        <v>0</v>
      </c>
      <c r="BA373" s="297">
        <f t="shared" si="189"/>
        <v>0</v>
      </c>
      <c r="BB373" s="297">
        <f t="shared" si="190"/>
        <v>0</v>
      </c>
      <c r="BC373" s="298">
        <f t="shared" si="191"/>
        <v>0</v>
      </c>
      <c r="BD373" s="292" t="s">
        <v>763</v>
      </c>
      <c r="BE373" s="299" t="str">
        <f t="shared" si="192"/>
        <v>Exhibit 1.5A_R North Shore EEPS_Adjustable_Savings_Goal_Template.xlsx, Behavioral Tab</v>
      </c>
      <c r="BF373" s="298">
        <f t="shared" si="193"/>
        <v>0</v>
      </c>
      <c r="BG373" s="298">
        <f t="shared" si="193"/>
        <v>0</v>
      </c>
      <c r="BH373" s="298">
        <f t="shared" si="193"/>
        <v>0</v>
      </c>
      <c r="BI373" s="298">
        <f t="shared" si="193"/>
        <v>0</v>
      </c>
      <c r="BJ373" s="298">
        <f t="shared" si="194"/>
        <v>0</v>
      </c>
      <c r="BK373" s="482">
        <v>0</v>
      </c>
      <c r="BL373" s="482">
        <v>0</v>
      </c>
      <c r="BM373" s="482">
        <f>INDEX('Unit Savings Calculations'!$I$4:$I$421,MATCH('Measure-Level Adjustments Tab'!$A373&amp;"_"&amp;'Measure-Level Adjustments Tab'!$B373,'Unit Savings Calculations'!$A$4:$A$421,0))</f>
        <v>0</v>
      </c>
      <c r="BN373" s="482">
        <f t="shared" si="195"/>
        <v>0</v>
      </c>
      <c r="BO373" s="483">
        <f t="shared" si="196"/>
        <v>0</v>
      </c>
      <c r="BP373" s="483">
        <f t="shared" si="196"/>
        <v>0</v>
      </c>
      <c r="BQ373" s="483">
        <f t="shared" si="196"/>
        <v>0</v>
      </c>
      <c r="BR373" s="483">
        <f t="shared" si="196"/>
        <v>0</v>
      </c>
      <c r="BS373" s="483">
        <f t="shared" si="185"/>
        <v>0</v>
      </c>
    </row>
    <row r="374" spans="1:71" ht="15.75" customHeight="1">
      <c r="A374" s="292" t="s">
        <v>713</v>
      </c>
      <c r="B374" s="292" t="str">
        <f>'Unit Savings Calculations'!D370</f>
        <v>Energy Education</v>
      </c>
      <c r="C374" s="293">
        <f t="shared" si="206"/>
        <v>0</v>
      </c>
      <c r="D374" s="292" t="str">
        <f>'Unit Savings Calculations'!T370</f>
        <v>Custom</v>
      </c>
      <c r="E374" s="438">
        <v>4</v>
      </c>
      <c r="F374" s="438">
        <v>4</v>
      </c>
      <c r="G374" s="292" t="str">
        <f>'Unit Savings Calculations'!E370</f>
        <v>each</v>
      </c>
      <c r="H374" s="294">
        <f>'Unit Savings Calculations'!$F370*'Unit Savings Calculations'!J370</f>
        <v>0</v>
      </c>
      <c r="I374" s="294">
        <f>'Unit Savings Calculations'!$F370*'Unit Savings Calculations'!K370</f>
        <v>0</v>
      </c>
      <c r="J374" s="294">
        <f>'Unit Savings Calculations'!$F370*'Unit Savings Calculations'!L370</f>
        <v>0</v>
      </c>
      <c r="K374" s="294">
        <f>'Unit Savings Calculations'!$F370*'Unit Savings Calculations'!M370</f>
        <v>0</v>
      </c>
      <c r="L374" s="292" t="str">
        <f>'Unit Savings Calculations'!U370</f>
        <v>Custom</v>
      </c>
      <c r="M374" s="383" t="str">
        <f>'Unit Savings Calculations'!R370</f>
        <v>Custom</v>
      </c>
      <c r="N374" s="295">
        <v>0</v>
      </c>
      <c r="O374" s="295">
        <v>0</v>
      </c>
      <c r="P374" s="295">
        <v>0</v>
      </c>
      <c r="Q374" s="295">
        <v>0</v>
      </c>
      <c r="R374" s="296">
        <f>'Unit Savings Calculations'!$G370</f>
        <v>1</v>
      </c>
      <c r="S374" s="296">
        <f>'Unit Savings Calculations'!$G370</f>
        <v>1</v>
      </c>
      <c r="T374" s="296">
        <f>'Unit Savings Calculations'!$G370</f>
        <v>1</v>
      </c>
      <c r="U374" s="296">
        <f>'Unit Savings Calculations'!$G370</f>
        <v>1</v>
      </c>
      <c r="V374" s="297">
        <f t="shared" si="207"/>
        <v>0</v>
      </c>
      <c r="W374" s="297">
        <f t="shared" si="208"/>
        <v>0</v>
      </c>
      <c r="X374" s="297">
        <f t="shared" si="209"/>
        <v>0</v>
      </c>
      <c r="Y374" s="297">
        <f t="shared" si="210"/>
        <v>0</v>
      </c>
      <c r="Z374" s="297">
        <f t="shared" si="211"/>
        <v>0</v>
      </c>
      <c r="AA374" s="384"/>
      <c r="AB374" s="384"/>
      <c r="AC374" s="387">
        <v>0</v>
      </c>
      <c r="AD374" s="384"/>
      <c r="AE374" s="385">
        <f t="shared" si="197"/>
        <v>0</v>
      </c>
      <c r="AF374" s="386">
        <f t="shared" si="198"/>
        <v>0</v>
      </c>
      <c r="AG374" s="384"/>
      <c r="AH374" s="384">
        <f t="shared" si="199"/>
        <v>0</v>
      </c>
      <c r="AI374" s="387">
        <v>0</v>
      </c>
      <c r="AJ374" s="435" t="s">
        <v>878</v>
      </c>
      <c r="AK374" s="385">
        <f t="shared" si="200"/>
        <v>0</v>
      </c>
      <c r="AL374" s="386">
        <f t="shared" si="201"/>
        <v>0</v>
      </c>
      <c r="AM374" s="384"/>
      <c r="AN374" s="384"/>
      <c r="AO374" s="387">
        <f>'Unit Savings Calculations'!P370</f>
        <v>0</v>
      </c>
      <c r="AP374" s="435" t="s">
        <v>763</v>
      </c>
      <c r="AQ374" s="385">
        <f t="shared" si="202"/>
        <v>0</v>
      </c>
      <c r="AR374" s="386">
        <f t="shared" si="203"/>
        <v>0</v>
      </c>
      <c r="AS374" s="384"/>
      <c r="AT374" s="384"/>
      <c r="AU374" s="387">
        <f>'Unit Savings Calculations'!Q370</f>
        <v>0</v>
      </c>
      <c r="AV374" s="435" t="str">
        <f t="shared" si="186"/>
        <v>n/a</v>
      </c>
      <c r="AW374" s="385">
        <f t="shared" si="204"/>
        <v>0</v>
      </c>
      <c r="AX374" s="386">
        <f t="shared" si="205"/>
        <v>0</v>
      </c>
      <c r="AY374" s="297">
        <f t="shared" si="187"/>
        <v>0</v>
      </c>
      <c r="AZ374" s="297">
        <f t="shared" si="188"/>
        <v>0</v>
      </c>
      <c r="BA374" s="297">
        <f t="shared" si="189"/>
        <v>0</v>
      </c>
      <c r="BB374" s="297">
        <f t="shared" si="190"/>
        <v>0</v>
      </c>
      <c r="BC374" s="298">
        <f t="shared" si="191"/>
        <v>0</v>
      </c>
      <c r="BD374" s="292" t="s">
        <v>763</v>
      </c>
      <c r="BE374" s="299" t="str">
        <f t="shared" si="192"/>
        <v>Custom</v>
      </c>
      <c r="BF374" s="298">
        <f t="shared" si="193"/>
        <v>0</v>
      </c>
      <c r="BG374" s="298">
        <f t="shared" si="193"/>
        <v>0</v>
      </c>
      <c r="BH374" s="298">
        <f t="shared" si="193"/>
        <v>0</v>
      </c>
      <c r="BI374" s="298">
        <f t="shared" si="193"/>
        <v>0</v>
      </c>
      <c r="BJ374" s="298">
        <f t="shared" si="194"/>
        <v>0</v>
      </c>
      <c r="BK374" s="482">
        <v>4</v>
      </c>
      <c r="BL374" s="482">
        <v>4</v>
      </c>
      <c r="BM374" s="482">
        <f>INDEX('Unit Savings Calculations'!$I$4:$I$421,MATCH('Measure-Level Adjustments Tab'!$A374&amp;"_"&amp;'Measure-Level Adjustments Tab'!$B374,'Unit Savings Calculations'!$A$4:$A$421,0))</f>
        <v>4</v>
      </c>
      <c r="BN374" s="482">
        <f t="shared" si="195"/>
        <v>4</v>
      </c>
      <c r="BO374" s="483">
        <f t="shared" si="196"/>
        <v>0</v>
      </c>
      <c r="BP374" s="483">
        <f t="shared" si="196"/>
        <v>0</v>
      </c>
      <c r="BQ374" s="483">
        <f t="shared" si="196"/>
        <v>0</v>
      </c>
      <c r="BR374" s="483">
        <f t="shared" si="196"/>
        <v>0</v>
      </c>
      <c r="BS374" s="483">
        <f t="shared" si="185"/>
        <v>0</v>
      </c>
    </row>
    <row r="375" spans="1:71" ht="15.75" customHeight="1">
      <c r="A375" s="292" t="str">
        <f>'Unit Savings Calculations'!C371</f>
        <v>Low Income - SF Retrofit</v>
      </c>
      <c r="B375" s="292" t="str">
        <f>'Unit Savings Calculations'!D371</f>
        <v>Bathroom Aerator</v>
      </c>
      <c r="C375" s="293">
        <f t="shared" si="206"/>
        <v>1</v>
      </c>
      <c r="D375" s="292" t="str">
        <f>'Unit Savings Calculations'!T371</f>
        <v>5.4.4</v>
      </c>
      <c r="E375" s="438">
        <v>9</v>
      </c>
      <c r="F375" s="438">
        <v>10</v>
      </c>
      <c r="G375" s="292" t="str">
        <f>'Unit Savings Calculations'!E371</f>
        <v>each</v>
      </c>
      <c r="H375" s="294">
        <f>'Unit Savings Calculations'!$F371*'Unit Savings Calculations'!J371</f>
        <v>84</v>
      </c>
      <c r="I375" s="294">
        <f>'Unit Savings Calculations'!$F371*'Unit Savings Calculations'!K371</f>
        <v>84</v>
      </c>
      <c r="J375" s="294">
        <f>'Unit Savings Calculations'!$F371*'Unit Savings Calculations'!L371</f>
        <v>84</v>
      </c>
      <c r="K375" s="294">
        <f>'Unit Savings Calculations'!$F371*'Unit Savings Calculations'!M371</f>
        <v>84</v>
      </c>
      <c r="L375" s="292" t="str">
        <f>'Unit Savings Calculations'!U371</f>
        <v>RS-HWE-LFFA-V06-180101</v>
      </c>
      <c r="M375" s="383" t="str">
        <f>'Unit Savings Calculations'!R371</f>
        <v>Exhibit 1.5A_R North Shore EEPS_Adjustable_Savings_Goal_Template.xlsx, Unit Savings Calculations Tab</v>
      </c>
      <c r="N375" s="295">
        <v>0.69292055940766484</v>
      </c>
      <c r="O375" s="295">
        <v>0.69292055940766484</v>
      </c>
      <c r="P375" s="295">
        <v>0.69292055940766484</v>
      </c>
      <c r="Q375" s="295">
        <v>0.69292055940766484</v>
      </c>
      <c r="R375" s="296">
        <f>'Unit Savings Calculations'!$G371</f>
        <v>1</v>
      </c>
      <c r="S375" s="296">
        <f>'Unit Savings Calculations'!$G371</f>
        <v>1</v>
      </c>
      <c r="T375" s="296">
        <f>'Unit Savings Calculations'!$G371</f>
        <v>1</v>
      </c>
      <c r="U375" s="296">
        <f>'Unit Savings Calculations'!$G371</f>
        <v>1</v>
      </c>
      <c r="V375" s="297">
        <f t="shared" si="207"/>
        <v>58.205326990243847</v>
      </c>
      <c r="W375" s="297">
        <f t="shared" si="208"/>
        <v>58.205326990243847</v>
      </c>
      <c r="X375" s="297">
        <f t="shared" si="209"/>
        <v>58.205326990243847</v>
      </c>
      <c r="Y375" s="297">
        <f t="shared" si="210"/>
        <v>58.205326990243847</v>
      </c>
      <c r="Z375" s="297">
        <f t="shared" si="211"/>
        <v>232.82130796097539</v>
      </c>
      <c r="AA375" s="292"/>
      <c r="AB375" s="292"/>
      <c r="AC375" s="295">
        <v>0.69292055940766484</v>
      </c>
      <c r="AD375" s="292"/>
      <c r="AE375" s="297">
        <f t="shared" si="197"/>
        <v>58.205326990243847</v>
      </c>
      <c r="AF375" s="294">
        <f t="shared" si="198"/>
        <v>0</v>
      </c>
      <c r="AG375" s="292"/>
      <c r="AH375" s="292">
        <f t="shared" si="199"/>
        <v>0</v>
      </c>
      <c r="AI375" s="295">
        <v>0.90849584455671673</v>
      </c>
      <c r="AJ375" s="383" t="s">
        <v>1016</v>
      </c>
      <c r="AK375" s="297">
        <f t="shared" si="200"/>
        <v>76.313650942764198</v>
      </c>
      <c r="AL375" s="294">
        <f t="shared" si="201"/>
        <v>18.108323952520351</v>
      </c>
      <c r="AM375" s="292"/>
      <c r="AN375" s="292"/>
      <c r="AO375" s="295">
        <f>'Unit Savings Calculations'!P371</f>
        <v>0.90849584455671673</v>
      </c>
      <c r="AP375" s="383" t="s">
        <v>763</v>
      </c>
      <c r="AQ375" s="297">
        <f t="shared" si="202"/>
        <v>76.313650942764198</v>
      </c>
      <c r="AR375" s="294">
        <f t="shared" si="203"/>
        <v>18.108323952520351</v>
      </c>
      <c r="AS375" s="292"/>
      <c r="AT375" s="292"/>
      <c r="AU375" s="295">
        <f>'Unit Savings Calculations'!Q371</f>
        <v>0.90849584455671673</v>
      </c>
      <c r="AV375" s="383" t="str">
        <f t="shared" si="186"/>
        <v>n/a</v>
      </c>
      <c r="AW375" s="297">
        <f t="shared" si="204"/>
        <v>76.313650942764198</v>
      </c>
      <c r="AX375" s="294">
        <f t="shared" si="205"/>
        <v>18.108323952520351</v>
      </c>
      <c r="AY375" s="297">
        <f t="shared" si="187"/>
        <v>58.205326990243847</v>
      </c>
      <c r="AZ375" s="297">
        <f t="shared" si="188"/>
        <v>76.313650942764198</v>
      </c>
      <c r="BA375" s="297">
        <f t="shared" si="189"/>
        <v>76.313650942764198</v>
      </c>
      <c r="BB375" s="297">
        <f t="shared" si="190"/>
        <v>76.313650942764198</v>
      </c>
      <c r="BC375" s="298">
        <f t="shared" si="191"/>
        <v>287.14627981853641</v>
      </c>
      <c r="BD375" s="292" t="s">
        <v>763</v>
      </c>
      <c r="BE375" s="299" t="str">
        <f t="shared" si="192"/>
        <v>Exhibit 1.5A_R North Shore EEPS_Adjustable_Savings_Goal_Template.xlsx, Unit Savings Calculations Tab</v>
      </c>
      <c r="BF375" s="298">
        <f t="shared" si="193"/>
        <v>582.0532699024385</v>
      </c>
      <c r="BG375" s="298">
        <f t="shared" si="193"/>
        <v>582.0532699024385</v>
      </c>
      <c r="BH375" s="298">
        <f t="shared" si="193"/>
        <v>582.0532699024385</v>
      </c>
      <c r="BI375" s="298">
        <f t="shared" si="193"/>
        <v>582.0532699024385</v>
      </c>
      <c r="BJ375" s="298">
        <f t="shared" si="194"/>
        <v>2328.213079609754</v>
      </c>
      <c r="BK375" s="482">
        <v>10</v>
      </c>
      <c r="BL375" s="482">
        <v>10</v>
      </c>
      <c r="BM375" s="482">
        <f>INDEX('Unit Savings Calculations'!$I$4:$I$421,MATCH('Measure-Level Adjustments Tab'!$A375&amp;"_"&amp;'Measure-Level Adjustments Tab'!$B375,'Unit Savings Calculations'!$A$4:$A$421,0))</f>
        <v>10</v>
      </c>
      <c r="BN375" s="482">
        <f t="shared" si="195"/>
        <v>10</v>
      </c>
      <c r="BO375" s="483">
        <f t="shared" si="196"/>
        <v>582.0532699024385</v>
      </c>
      <c r="BP375" s="483">
        <f t="shared" si="196"/>
        <v>763.13650942764195</v>
      </c>
      <c r="BQ375" s="483">
        <f t="shared" si="196"/>
        <v>763.13650942764195</v>
      </c>
      <c r="BR375" s="483">
        <f t="shared" si="196"/>
        <v>763.13650942764195</v>
      </c>
      <c r="BS375" s="483">
        <f t="shared" si="185"/>
        <v>2871.4627981853646</v>
      </c>
    </row>
    <row r="376" spans="1:71" ht="15.75" customHeight="1">
      <c r="A376" s="292" t="str">
        <f>'Unit Savings Calculations'!C372</f>
        <v>Low Income - SF Retrofit</v>
      </c>
      <c r="B376" s="292" t="str">
        <f>'Unit Savings Calculations'!D372</f>
        <v>Kitchen Aerator</v>
      </c>
      <c r="C376" s="293">
        <f t="shared" si="206"/>
        <v>1</v>
      </c>
      <c r="D376" s="292" t="str">
        <f>'Unit Savings Calculations'!T372</f>
        <v>5.4.4</v>
      </c>
      <c r="E376" s="438">
        <v>9</v>
      </c>
      <c r="F376" s="438">
        <v>10</v>
      </c>
      <c r="G376" s="292" t="str">
        <f>'Unit Savings Calculations'!E372</f>
        <v>each</v>
      </c>
      <c r="H376" s="294">
        <f>'Unit Savings Calculations'!$F372*'Unit Savings Calculations'!J372</f>
        <v>42</v>
      </c>
      <c r="I376" s="294">
        <f>'Unit Savings Calculations'!$F372*'Unit Savings Calculations'!K372</f>
        <v>42</v>
      </c>
      <c r="J376" s="294">
        <f>'Unit Savings Calculations'!$F372*'Unit Savings Calculations'!L372</f>
        <v>42</v>
      </c>
      <c r="K376" s="294">
        <f>'Unit Savings Calculations'!$F372*'Unit Savings Calculations'!M372</f>
        <v>42</v>
      </c>
      <c r="L376" s="292" t="str">
        <f>'Unit Savings Calculations'!U372</f>
        <v>RS-HWE-LFFA-V06-180101</v>
      </c>
      <c r="M376" s="383" t="str">
        <f>'Unit Savings Calculations'!R372</f>
        <v>Exhibit 1.5A_R North Shore EEPS_Adjustable_Savings_Goal_Template.xlsx, Unit Savings Calculations Tab</v>
      </c>
      <c r="N376" s="295">
        <v>5.6045414594076925</v>
      </c>
      <c r="O376" s="295">
        <v>5.6045414594076925</v>
      </c>
      <c r="P376" s="295">
        <v>5.6045414594076925</v>
      </c>
      <c r="Q376" s="295">
        <v>5.6045414594076925</v>
      </c>
      <c r="R376" s="296">
        <f>'Unit Savings Calculations'!$G372</f>
        <v>1</v>
      </c>
      <c r="S376" s="296">
        <f>'Unit Savings Calculations'!$G372</f>
        <v>1</v>
      </c>
      <c r="T376" s="296">
        <f>'Unit Savings Calculations'!$G372</f>
        <v>1</v>
      </c>
      <c r="U376" s="296">
        <f>'Unit Savings Calculations'!$G372</f>
        <v>1</v>
      </c>
      <c r="V376" s="297">
        <f t="shared" si="207"/>
        <v>235.39074129512309</v>
      </c>
      <c r="W376" s="297">
        <f t="shared" si="208"/>
        <v>235.39074129512309</v>
      </c>
      <c r="X376" s="297">
        <f t="shared" si="209"/>
        <v>235.39074129512309</v>
      </c>
      <c r="Y376" s="297">
        <f t="shared" si="210"/>
        <v>235.39074129512309</v>
      </c>
      <c r="Z376" s="297">
        <f t="shared" si="211"/>
        <v>941.56296518049237</v>
      </c>
      <c r="AA376" s="292"/>
      <c r="AB376" s="292"/>
      <c r="AC376" s="295">
        <v>5.6045414594076925</v>
      </c>
      <c r="AD376" s="292"/>
      <c r="AE376" s="297">
        <f t="shared" si="197"/>
        <v>235.39074129512309</v>
      </c>
      <c r="AF376" s="294">
        <f t="shared" si="198"/>
        <v>0</v>
      </c>
      <c r="AG376" s="292"/>
      <c r="AH376" s="292">
        <f t="shared" si="199"/>
        <v>0</v>
      </c>
      <c r="AI376" s="295">
        <v>8.5936302377584592</v>
      </c>
      <c r="AJ376" s="383" t="s">
        <v>1016</v>
      </c>
      <c r="AK376" s="297">
        <f t="shared" si="200"/>
        <v>360.93246998585528</v>
      </c>
      <c r="AL376" s="294">
        <f t="shared" si="201"/>
        <v>125.54172869073219</v>
      </c>
      <c r="AM376" s="292"/>
      <c r="AN376" s="292"/>
      <c r="AO376" s="295">
        <f>'Unit Savings Calculations'!P372</f>
        <v>8.5936302377584592</v>
      </c>
      <c r="AP376" s="383" t="s">
        <v>763</v>
      </c>
      <c r="AQ376" s="297">
        <f t="shared" si="202"/>
        <v>360.93246998585528</v>
      </c>
      <c r="AR376" s="294">
        <f t="shared" si="203"/>
        <v>125.54172869073219</v>
      </c>
      <c r="AS376" s="292"/>
      <c r="AT376" s="292"/>
      <c r="AU376" s="295">
        <f>'Unit Savings Calculations'!Q372</f>
        <v>8.5936302377584592</v>
      </c>
      <c r="AV376" s="383" t="str">
        <f t="shared" si="186"/>
        <v>n/a</v>
      </c>
      <c r="AW376" s="297">
        <f t="shared" si="204"/>
        <v>360.93246998585528</v>
      </c>
      <c r="AX376" s="294">
        <f t="shared" si="205"/>
        <v>125.54172869073219</v>
      </c>
      <c r="AY376" s="297">
        <f t="shared" si="187"/>
        <v>235.39074129512309</v>
      </c>
      <c r="AZ376" s="297">
        <f t="shared" si="188"/>
        <v>360.93246998585528</v>
      </c>
      <c r="BA376" s="297">
        <f t="shared" si="189"/>
        <v>360.93246998585528</v>
      </c>
      <c r="BB376" s="297">
        <f t="shared" si="190"/>
        <v>360.93246998585528</v>
      </c>
      <c r="BC376" s="298">
        <f t="shared" si="191"/>
        <v>1318.1881512526888</v>
      </c>
      <c r="BD376" s="292" t="s">
        <v>763</v>
      </c>
      <c r="BE376" s="299" t="str">
        <f t="shared" si="192"/>
        <v>Exhibit 1.5A_R North Shore EEPS_Adjustable_Savings_Goal_Template.xlsx, Unit Savings Calculations Tab</v>
      </c>
      <c r="BF376" s="298">
        <f t="shared" si="193"/>
        <v>2353.907412951231</v>
      </c>
      <c r="BG376" s="298">
        <f t="shared" si="193"/>
        <v>2353.907412951231</v>
      </c>
      <c r="BH376" s="298">
        <f t="shared" si="193"/>
        <v>2353.907412951231</v>
      </c>
      <c r="BI376" s="298">
        <f t="shared" si="193"/>
        <v>2353.907412951231</v>
      </c>
      <c r="BJ376" s="298">
        <f t="shared" si="194"/>
        <v>9415.6296518049239</v>
      </c>
      <c r="BK376" s="482">
        <v>10</v>
      </c>
      <c r="BL376" s="482">
        <v>10</v>
      </c>
      <c r="BM376" s="482">
        <f>INDEX('Unit Savings Calculations'!$I$4:$I$421,MATCH('Measure-Level Adjustments Tab'!$A376&amp;"_"&amp;'Measure-Level Adjustments Tab'!$B376,'Unit Savings Calculations'!$A$4:$A$421,0))</f>
        <v>10</v>
      </c>
      <c r="BN376" s="482">
        <f t="shared" si="195"/>
        <v>10</v>
      </c>
      <c r="BO376" s="483">
        <f t="shared" si="196"/>
        <v>2353.907412951231</v>
      </c>
      <c r="BP376" s="483">
        <f t="shared" si="196"/>
        <v>3609.3246998585528</v>
      </c>
      <c r="BQ376" s="483">
        <f t="shared" si="196"/>
        <v>3609.3246998585528</v>
      </c>
      <c r="BR376" s="483">
        <f t="shared" si="196"/>
        <v>3609.3246998585528</v>
      </c>
      <c r="BS376" s="483">
        <f t="shared" si="185"/>
        <v>13181.881512526888</v>
      </c>
    </row>
    <row r="377" spans="1:71" ht="15.75" customHeight="1">
      <c r="A377" s="292" t="str">
        <f>'Unit Savings Calculations'!C373</f>
        <v>Low Income - SF Retrofit</v>
      </c>
      <c r="B377" s="292" t="str">
        <f>'Unit Savings Calculations'!D373</f>
        <v>Showerhead</v>
      </c>
      <c r="C377" s="293">
        <f t="shared" si="206"/>
        <v>1</v>
      </c>
      <c r="D377" s="292" t="str">
        <f>'Unit Savings Calculations'!T373</f>
        <v>5.4.5</v>
      </c>
      <c r="E377" s="438">
        <v>10</v>
      </c>
      <c r="F377" s="438">
        <v>10</v>
      </c>
      <c r="G377" s="292" t="str">
        <f>'Unit Savings Calculations'!E373</f>
        <v>each</v>
      </c>
      <c r="H377" s="294">
        <f>'Unit Savings Calculations'!$F373*'Unit Savings Calculations'!J373</f>
        <v>50</v>
      </c>
      <c r="I377" s="294">
        <f>'Unit Savings Calculations'!$F373*'Unit Savings Calculations'!K373</f>
        <v>50</v>
      </c>
      <c r="J377" s="294">
        <f>'Unit Savings Calculations'!$F373*'Unit Savings Calculations'!L373</f>
        <v>50</v>
      </c>
      <c r="K377" s="294">
        <f>'Unit Savings Calculations'!$F373*'Unit Savings Calculations'!M373</f>
        <v>50</v>
      </c>
      <c r="L377" s="292" t="str">
        <f>'Unit Savings Calculations'!U373</f>
        <v>RS-HWE-LFSH-V05-180101</v>
      </c>
      <c r="M377" s="383" t="str">
        <f>'Unit Savings Calculations'!R373</f>
        <v>Exhibit 1.5A_R North Shore EEPS_Adjustable_Savings_Goal_Template.xlsx, Unit Savings Calculations Tab</v>
      </c>
      <c r="N377" s="295">
        <v>14.03971173442217</v>
      </c>
      <c r="O377" s="295">
        <v>14.03971173442217</v>
      </c>
      <c r="P377" s="295">
        <v>14.03971173442217</v>
      </c>
      <c r="Q377" s="295">
        <v>14.03971173442217</v>
      </c>
      <c r="R377" s="296">
        <f>'Unit Savings Calculations'!$G373</f>
        <v>1</v>
      </c>
      <c r="S377" s="296">
        <f>'Unit Savings Calculations'!$G373</f>
        <v>1</v>
      </c>
      <c r="T377" s="296">
        <f>'Unit Savings Calculations'!$G373</f>
        <v>1</v>
      </c>
      <c r="U377" s="296">
        <f>'Unit Savings Calculations'!$G373</f>
        <v>1</v>
      </c>
      <c r="V377" s="297">
        <f t="shared" si="207"/>
        <v>701.98558672110846</v>
      </c>
      <c r="W377" s="297">
        <f t="shared" si="208"/>
        <v>701.98558672110846</v>
      </c>
      <c r="X377" s="297">
        <f t="shared" si="209"/>
        <v>701.98558672110846</v>
      </c>
      <c r="Y377" s="297">
        <f t="shared" si="210"/>
        <v>701.98558672110846</v>
      </c>
      <c r="Z377" s="297">
        <f t="shared" si="211"/>
        <v>2807.9423468844338</v>
      </c>
      <c r="AA377" s="292"/>
      <c r="AB377" s="292"/>
      <c r="AC377" s="295">
        <v>14.03971173442217</v>
      </c>
      <c r="AD377" s="292"/>
      <c r="AE377" s="297">
        <f t="shared" si="197"/>
        <v>701.98558672110846</v>
      </c>
      <c r="AF377" s="294">
        <f t="shared" si="198"/>
        <v>0</v>
      </c>
      <c r="AG377" s="292"/>
      <c r="AH377" s="292">
        <f t="shared" si="199"/>
        <v>0</v>
      </c>
      <c r="AI377" s="295">
        <v>8.8798176781815439</v>
      </c>
      <c r="AJ377" s="383" t="s">
        <v>1016</v>
      </c>
      <c r="AK377" s="297">
        <f t="shared" si="200"/>
        <v>443.99088390907718</v>
      </c>
      <c r="AL377" s="294">
        <f t="shared" si="201"/>
        <v>-257.99470281203128</v>
      </c>
      <c r="AM377" s="292"/>
      <c r="AN377" s="292"/>
      <c r="AO377" s="295">
        <f>'Unit Savings Calculations'!P373</f>
        <v>8.7892072937103034</v>
      </c>
      <c r="AP377" s="383" t="s">
        <v>1439</v>
      </c>
      <c r="AQ377" s="297">
        <f t="shared" si="202"/>
        <v>439.46036468551517</v>
      </c>
      <c r="AR377" s="294">
        <f t="shared" si="203"/>
        <v>-262.52522203559329</v>
      </c>
      <c r="AS377" s="292"/>
      <c r="AT377" s="292"/>
      <c r="AU377" s="295">
        <f>'Unit Savings Calculations'!Q373</f>
        <v>8.7892072937103034</v>
      </c>
      <c r="AV377" s="383" t="str">
        <f t="shared" si="186"/>
        <v>Updated SF ISR</v>
      </c>
      <c r="AW377" s="297">
        <f t="shared" si="204"/>
        <v>439.46036468551517</v>
      </c>
      <c r="AX377" s="294">
        <f t="shared" si="205"/>
        <v>-262.52522203559329</v>
      </c>
      <c r="AY377" s="297">
        <f t="shared" si="187"/>
        <v>701.98558672110846</v>
      </c>
      <c r="AZ377" s="297">
        <f t="shared" si="188"/>
        <v>443.99088390907718</v>
      </c>
      <c r="BA377" s="297">
        <f t="shared" si="189"/>
        <v>439.46036468551517</v>
      </c>
      <c r="BB377" s="297">
        <f t="shared" si="190"/>
        <v>439.46036468551517</v>
      </c>
      <c r="BC377" s="298">
        <f t="shared" si="191"/>
        <v>2024.8972000012163</v>
      </c>
      <c r="BD377" s="292" t="s">
        <v>763</v>
      </c>
      <c r="BE377" s="299" t="str">
        <f t="shared" si="192"/>
        <v>Exhibit 1.5A_R North Shore EEPS_Adjustable_Savings_Goal_Template.xlsx, Unit Savings Calculations Tab</v>
      </c>
      <c r="BF377" s="298">
        <f t="shared" si="193"/>
        <v>7019.8558672110848</v>
      </c>
      <c r="BG377" s="298">
        <f t="shared" si="193"/>
        <v>7019.8558672110848</v>
      </c>
      <c r="BH377" s="298">
        <f t="shared" si="193"/>
        <v>7019.8558672110848</v>
      </c>
      <c r="BI377" s="298">
        <f t="shared" si="193"/>
        <v>7019.8558672110848</v>
      </c>
      <c r="BJ377" s="298">
        <f t="shared" si="194"/>
        <v>28079.423468844339</v>
      </c>
      <c r="BK377" s="482">
        <v>10</v>
      </c>
      <c r="BL377" s="482">
        <v>10</v>
      </c>
      <c r="BM377" s="482">
        <f>INDEX('Unit Savings Calculations'!$I$4:$I$421,MATCH('Measure-Level Adjustments Tab'!$A377&amp;"_"&amp;'Measure-Level Adjustments Tab'!$B377,'Unit Savings Calculations'!$A$4:$A$421,0))</f>
        <v>10</v>
      </c>
      <c r="BN377" s="482">
        <f t="shared" si="195"/>
        <v>10</v>
      </c>
      <c r="BO377" s="483">
        <f t="shared" si="196"/>
        <v>7019.8558672110848</v>
      </c>
      <c r="BP377" s="483">
        <f t="shared" si="196"/>
        <v>4439.9088390907718</v>
      </c>
      <c r="BQ377" s="483">
        <f t="shared" si="196"/>
        <v>4394.603646855152</v>
      </c>
      <c r="BR377" s="483">
        <f t="shared" si="196"/>
        <v>4394.603646855152</v>
      </c>
      <c r="BS377" s="483">
        <f t="shared" si="185"/>
        <v>20248.97200001216</v>
      </c>
    </row>
    <row r="378" spans="1:71" ht="15.75" customHeight="1">
      <c r="A378" s="292" t="str">
        <f>'Unit Savings Calculations'!C374</f>
        <v>Low Income - SF Retrofit</v>
      </c>
      <c r="B378" s="292" t="str">
        <f>'Unit Savings Calculations'!D374</f>
        <v>Pipe Insulation (DHW)</v>
      </c>
      <c r="C378" s="293">
        <f t="shared" si="206"/>
        <v>1</v>
      </c>
      <c r="D378" s="292" t="str">
        <f>'Unit Savings Calculations'!T374</f>
        <v>5.4.1</v>
      </c>
      <c r="E378" s="438">
        <v>15</v>
      </c>
      <c r="F378" s="438">
        <v>15</v>
      </c>
      <c r="G378" s="292" t="str">
        <f>'Unit Savings Calculations'!E374</f>
        <v>ft</v>
      </c>
      <c r="H378" s="294">
        <f>'Unit Savings Calculations'!$F374*'Unit Savings Calculations'!J374</f>
        <v>186</v>
      </c>
      <c r="I378" s="294">
        <f>'Unit Savings Calculations'!$F374*'Unit Savings Calculations'!K374</f>
        <v>186</v>
      </c>
      <c r="J378" s="294">
        <f>'Unit Savings Calculations'!$F374*'Unit Savings Calculations'!L374</f>
        <v>186</v>
      </c>
      <c r="K378" s="294">
        <f>'Unit Savings Calculations'!$F374*'Unit Savings Calculations'!M374</f>
        <v>186</v>
      </c>
      <c r="L378" s="292" t="str">
        <f>'Unit Savings Calculations'!U374</f>
        <v>RS-HVC-PINS-V02-150601</v>
      </c>
      <c r="M378" s="383" t="str">
        <f>'Unit Savings Calculations'!R374</f>
        <v>Exhibit 1.5A_R North Shore EEPS_Adjustable_Savings_Goal_Template.xlsx, Unit Savings Calculations Tab</v>
      </c>
      <c r="N378" s="295">
        <v>0.99123230769230763</v>
      </c>
      <c r="O378" s="295">
        <v>0.99123230769230763</v>
      </c>
      <c r="P378" s="295">
        <v>0.99123230769230763</v>
      </c>
      <c r="Q378" s="295">
        <v>0.99123230769230763</v>
      </c>
      <c r="R378" s="296">
        <f>'Unit Savings Calculations'!$G374</f>
        <v>1</v>
      </c>
      <c r="S378" s="296">
        <f>'Unit Savings Calculations'!$G374</f>
        <v>1</v>
      </c>
      <c r="T378" s="296">
        <f>'Unit Savings Calculations'!$G374</f>
        <v>1</v>
      </c>
      <c r="U378" s="296">
        <f>'Unit Savings Calculations'!$G374</f>
        <v>1</v>
      </c>
      <c r="V378" s="297">
        <f t="shared" si="207"/>
        <v>184.36920923076923</v>
      </c>
      <c r="W378" s="297">
        <f t="shared" si="208"/>
        <v>184.36920923076923</v>
      </c>
      <c r="X378" s="297">
        <f t="shared" si="209"/>
        <v>184.36920923076923</v>
      </c>
      <c r="Y378" s="297">
        <f t="shared" si="210"/>
        <v>184.36920923076923</v>
      </c>
      <c r="Z378" s="297">
        <f t="shared" si="211"/>
        <v>737.47683692307692</v>
      </c>
      <c r="AA378" s="292"/>
      <c r="AB378" s="292"/>
      <c r="AC378" s="295">
        <v>0.99123230769230763</v>
      </c>
      <c r="AD378" s="292"/>
      <c r="AE378" s="297">
        <f t="shared" si="197"/>
        <v>184.36920923076923</v>
      </c>
      <c r="AF378" s="294">
        <f t="shared" si="198"/>
        <v>0</v>
      </c>
      <c r="AG378" s="292"/>
      <c r="AH378" s="292">
        <f t="shared" si="199"/>
        <v>0</v>
      </c>
      <c r="AI378" s="295">
        <v>0.77039653846153844</v>
      </c>
      <c r="AJ378" s="383" t="s">
        <v>1011</v>
      </c>
      <c r="AK378" s="297">
        <f t="shared" si="200"/>
        <v>143.29375615384615</v>
      </c>
      <c r="AL378" s="294">
        <f t="shared" si="201"/>
        <v>-41.075453076923083</v>
      </c>
      <c r="AM378" s="292"/>
      <c r="AN378" s="292"/>
      <c r="AO378" s="295">
        <f>'Unit Savings Calculations'!P374</f>
        <v>0.77039653846153844</v>
      </c>
      <c r="AP378" s="383" t="s">
        <v>763</v>
      </c>
      <c r="AQ378" s="297">
        <f t="shared" si="202"/>
        <v>143.29375615384615</v>
      </c>
      <c r="AR378" s="294">
        <f t="shared" si="203"/>
        <v>-41.075453076923083</v>
      </c>
      <c r="AS378" s="292"/>
      <c r="AT378" s="292"/>
      <c r="AU378" s="295">
        <f>'Unit Savings Calculations'!Q374</f>
        <v>0.77039653846153844</v>
      </c>
      <c r="AV378" s="383" t="str">
        <f t="shared" si="186"/>
        <v>n/a</v>
      </c>
      <c r="AW378" s="297">
        <f t="shared" si="204"/>
        <v>143.29375615384615</v>
      </c>
      <c r="AX378" s="294">
        <f t="shared" si="205"/>
        <v>-41.075453076923083</v>
      </c>
      <c r="AY378" s="297">
        <f t="shared" si="187"/>
        <v>184.36920923076923</v>
      </c>
      <c r="AZ378" s="297">
        <f t="shared" si="188"/>
        <v>143.29375615384615</v>
      </c>
      <c r="BA378" s="297">
        <f t="shared" si="189"/>
        <v>143.29375615384615</v>
      </c>
      <c r="BB378" s="297">
        <f t="shared" si="190"/>
        <v>143.29375615384615</v>
      </c>
      <c r="BC378" s="298">
        <f t="shared" si="191"/>
        <v>614.25047769230775</v>
      </c>
      <c r="BD378" s="292" t="s">
        <v>763</v>
      </c>
      <c r="BE378" s="299" t="str">
        <f t="shared" si="192"/>
        <v>Exhibit 1.5A_R North Shore EEPS_Adjustable_Savings_Goal_Template.xlsx, Unit Savings Calculations Tab</v>
      </c>
      <c r="BF378" s="298">
        <f t="shared" si="193"/>
        <v>2765.5381384615384</v>
      </c>
      <c r="BG378" s="298">
        <f t="shared" si="193"/>
        <v>2765.5381384615384</v>
      </c>
      <c r="BH378" s="298">
        <f t="shared" si="193"/>
        <v>2765.5381384615384</v>
      </c>
      <c r="BI378" s="298">
        <f t="shared" si="193"/>
        <v>2765.5381384615384</v>
      </c>
      <c r="BJ378" s="298">
        <f t="shared" si="194"/>
        <v>11062.152553846154</v>
      </c>
      <c r="BK378" s="482">
        <v>15</v>
      </c>
      <c r="BL378" s="482">
        <v>15</v>
      </c>
      <c r="BM378" s="482">
        <f>INDEX('Unit Savings Calculations'!$I$4:$I$421,MATCH('Measure-Level Adjustments Tab'!$A378&amp;"_"&amp;'Measure-Level Adjustments Tab'!$B378,'Unit Savings Calculations'!$A$4:$A$421,0))</f>
        <v>15</v>
      </c>
      <c r="BN378" s="482">
        <f t="shared" si="195"/>
        <v>15</v>
      </c>
      <c r="BO378" s="483">
        <f t="shared" si="196"/>
        <v>2765.5381384615384</v>
      </c>
      <c r="BP378" s="483">
        <f t="shared" si="196"/>
        <v>2149.4063423076923</v>
      </c>
      <c r="BQ378" s="483">
        <f t="shared" si="196"/>
        <v>2149.4063423076923</v>
      </c>
      <c r="BR378" s="483">
        <f t="shared" si="196"/>
        <v>2149.4063423076923</v>
      </c>
      <c r="BS378" s="483">
        <f t="shared" si="185"/>
        <v>9213.7571653846153</v>
      </c>
    </row>
    <row r="379" spans="1:71" ht="15.75" customHeight="1">
      <c r="A379" s="292" t="str">
        <f>'Unit Savings Calculations'!C375</f>
        <v>Low Income - SF Retrofit</v>
      </c>
      <c r="B379" s="292" t="str">
        <f>'Unit Savings Calculations'!D375</f>
        <v>Pipe Insulation (Boiler)</v>
      </c>
      <c r="C379" s="293">
        <f t="shared" si="206"/>
        <v>1</v>
      </c>
      <c r="D379" s="292" t="str">
        <f>'Unit Savings Calculations'!T375</f>
        <v>5.3.2</v>
      </c>
      <c r="E379" s="438">
        <v>15</v>
      </c>
      <c r="F379" s="438">
        <v>15</v>
      </c>
      <c r="G379" s="292" t="str">
        <f>'Unit Savings Calculations'!E375</f>
        <v>ft</v>
      </c>
      <c r="H379" s="294">
        <f>'Unit Savings Calculations'!$F375*'Unit Savings Calculations'!J375</f>
        <v>90</v>
      </c>
      <c r="I379" s="294">
        <f>'Unit Savings Calculations'!$F375*'Unit Savings Calculations'!K375</f>
        <v>90</v>
      </c>
      <c r="J379" s="294">
        <f>'Unit Savings Calculations'!$F375*'Unit Savings Calculations'!L375</f>
        <v>90</v>
      </c>
      <c r="K379" s="294">
        <f>'Unit Savings Calculations'!$F375*'Unit Savings Calculations'!M375</f>
        <v>90</v>
      </c>
      <c r="L379" s="292" t="str">
        <f>'Unit Savings Calculations'!U375</f>
        <v>RS-HVC-PINS-V02-160601</v>
      </c>
      <c r="M379" s="383" t="str">
        <f>'Unit Savings Calculations'!R375</f>
        <v>Exhibit 1.5A_R North Shore EEPS_Adjustable_Savings_Goal_Template.xlsx, Unit Savings Calculations Tab</v>
      </c>
      <c r="N379" s="295">
        <v>0.41554055468341189</v>
      </c>
      <c r="O379" s="295">
        <v>0.41554055468341189</v>
      </c>
      <c r="P379" s="295">
        <v>0.41554055468341189</v>
      </c>
      <c r="Q379" s="295">
        <v>0.41554055468341189</v>
      </c>
      <c r="R379" s="296">
        <f>'Unit Savings Calculations'!$G375</f>
        <v>1</v>
      </c>
      <c r="S379" s="296">
        <f>'Unit Savings Calculations'!$G375</f>
        <v>1</v>
      </c>
      <c r="T379" s="296">
        <f>'Unit Savings Calculations'!$G375</f>
        <v>1</v>
      </c>
      <c r="U379" s="296">
        <f>'Unit Savings Calculations'!$G375</f>
        <v>1</v>
      </c>
      <c r="V379" s="297">
        <f t="shared" si="207"/>
        <v>37.398649921507072</v>
      </c>
      <c r="W379" s="297">
        <f t="shared" si="208"/>
        <v>37.398649921507072</v>
      </c>
      <c r="X379" s="297">
        <f t="shared" si="209"/>
        <v>37.398649921507072</v>
      </c>
      <c r="Y379" s="297">
        <f t="shared" si="210"/>
        <v>37.398649921507072</v>
      </c>
      <c r="Z379" s="297">
        <f t="shared" si="211"/>
        <v>149.59459968602829</v>
      </c>
      <c r="AA379" s="292"/>
      <c r="AB379" s="292"/>
      <c r="AC379" s="295">
        <v>0.41554055468341189</v>
      </c>
      <c r="AD379" s="292"/>
      <c r="AE379" s="297">
        <f t="shared" si="197"/>
        <v>37.398649921507072</v>
      </c>
      <c r="AF379" s="294">
        <f t="shared" si="198"/>
        <v>0</v>
      </c>
      <c r="AG379" s="292"/>
      <c r="AH379" s="292">
        <f t="shared" si="199"/>
        <v>0</v>
      </c>
      <c r="AI379" s="295">
        <v>0.41554055468341189</v>
      </c>
      <c r="AJ379" s="383" t="s">
        <v>878</v>
      </c>
      <c r="AK379" s="297">
        <f t="shared" si="200"/>
        <v>37.398649921507072</v>
      </c>
      <c r="AL379" s="294">
        <f t="shared" si="201"/>
        <v>0</v>
      </c>
      <c r="AM379" s="292"/>
      <c r="AN379" s="292"/>
      <c r="AO379" s="295">
        <f>'Unit Savings Calculations'!P375</f>
        <v>0.41554055468341189</v>
      </c>
      <c r="AP379" s="383" t="s">
        <v>763</v>
      </c>
      <c r="AQ379" s="297">
        <f t="shared" si="202"/>
        <v>37.398649921507072</v>
      </c>
      <c r="AR379" s="294">
        <f t="shared" si="203"/>
        <v>0</v>
      </c>
      <c r="AS379" s="292"/>
      <c r="AT379" s="292"/>
      <c r="AU379" s="295">
        <f>'Unit Savings Calculations'!Q375</f>
        <v>0.41554055468341189</v>
      </c>
      <c r="AV379" s="383" t="str">
        <f t="shared" si="186"/>
        <v>n/a</v>
      </c>
      <c r="AW379" s="297">
        <f t="shared" si="204"/>
        <v>37.398649921507072</v>
      </c>
      <c r="AX379" s="294">
        <f t="shared" si="205"/>
        <v>0</v>
      </c>
      <c r="AY379" s="297">
        <f t="shared" si="187"/>
        <v>37.398649921507072</v>
      </c>
      <c r="AZ379" s="297">
        <f t="shared" si="188"/>
        <v>37.398649921507072</v>
      </c>
      <c r="BA379" s="297">
        <f t="shared" si="189"/>
        <v>37.398649921507072</v>
      </c>
      <c r="BB379" s="297">
        <f t="shared" si="190"/>
        <v>37.398649921507072</v>
      </c>
      <c r="BC379" s="298">
        <f t="shared" si="191"/>
        <v>149.59459968602829</v>
      </c>
      <c r="BD379" s="292" t="s">
        <v>763</v>
      </c>
      <c r="BE379" s="299" t="str">
        <f t="shared" si="192"/>
        <v>Exhibit 1.5A_R North Shore EEPS_Adjustable_Savings_Goal_Template.xlsx, Unit Savings Calculations Tab</v>
      </c>
      <c r="BF379" s="298">
        <f t="shared" si="193"/>
        <v>560.9797488226061</v>
      </c>
      <c r="BG379" s="298">
        <f t="shared" si="193"/>
        <v>560.9797488226061</v>
      </c>
      <c r="BH379" s="298">
        <f t="shared" si="193"/>
        <v>560.9797488226061</v>
      </c>
      <c r="BI379" s="298">
        <f t="shared" si="193"/>
        <v>560.9797488226061</v>
      </c>
      <c r="BJ379" s="298">
        <f t="shared" si="194"/>
        <v>2243.9189952904244</v>
      </c>
      <c r="BK379" s="482">
        <v>15</v>
      </c>
      <c r="BL379" s="482">
        <v>15</v>
      </c>
      <c r="BM379" s="482">
        <f>INDEX('Unit Savings Calculations'!$I$4:$I$421,MATCH('Measure-Level Adjustments Tab'!$A379&amp;"_"&amp;'Measure-Level Adjustments Tab'!$B379,'Unit Savings Calculations'!$A$4:$A$421,0))</f>
        <v>15</v>
      </c>
      <c r="BN379" s="482">
        <f t="shared" si="195"/>
        <v>15</v>
      </c>
      <c r="BO379" s="483">
        <f t="shared" si="196"/>
        <v>560.9797488226061</v>
      </c>
      <c r="BP379" s="483">
        <f t="shared" si="196"/>
        <v>560.9797488226061</v>
      </c>
      <c r="BQ379" s="483">
        <f t="shared" si="196"/>
        <v>560.9797488226061</v>
      </c>
      <c r="BR379" s="483">
        <f t="shared" si="196"/>
        <v>560.9797488226061</v>
      </c>
      <c r="BS379" s="483">
        <f t="shared" si="185"/>
        <v>2243.9189952904244</v>
      </c>
    </row>
    <row r="380" spans="1:71" ht="15.75" customHeight="1">
      <c r="A380" s="292" t="str">
        <f>'Unit Savings Calculations'!C376</f>
        <v>Low Income - SF Retrofit</v>
      </c>
      <c r="B380" s="292" t="str">
        <f>'Unit Savings Calculations'!D376</f>
        <v>Programmable Thermostat - Furnace</v>
      </c>
      <c r="C380" s="293">
        <f t="shared" si="206"/>
        <v>1</v>
      </c>
      <c r="D380" s="292" t="str">
        <f>'Unit Savings Calculations'!T376</f>
        <v>5.3.11</v>
      </c>
      <c r="E380" s="438">
        <v>5</v>
      </c>
      <c r="F380" s="438">
        <v>8</v>
      </c>
      <c r="G380" s="292" t="str">
        <f>'Unit Savings Calculations'!E376</f>
        <v>each</v>
      </c>
      <c r="H380" s="294">
        <f>'Unit Savings Calculations'!$F376*'Unit Savings Calculations'!J376</f>
        <v>11</v>
      </c>
      <c r="I380" s="294">
        <f>'Unit Savings Calculations'!$F376*'Unit Savings Calculations'!K376</f>
        <v>11</v>
      </c>
      <c r="J380" s="294">
        <f>'Unit Savings Calculations'!$F376*'Unit Savings Calculations'!L376</f>
        <v>11</v>
      </c>
      <c r="K380" s="294">
        <f>'Unit Savings Calculations'!$F376*'Unit Savings Calculations'!M376</f>
        <v>11</v>
      </c>
      <c r="L380" s="292" t="str">
        <f>'Unit Savings Calculations'!U376</f>
        <v>RS-HVC-PROG-V04-180101</v>
      </c>
      <c r="M380" s="383" t="str">
        <f>'Unit Savings Calculations'!R376</f>
        <v>Exhibit 1.5A_R North Shore EEPS_Adjustable_Savings_Goal_Template.xlsx, Unit Savings Calculations Tab</v>
      </c>
      <c r="N380" s="295">
        <v>62.31</v>
      </c>
      <c r="O380" s="295">
        <v>62.31</v>
      </c>
      <c r="P380" s="295">
        <v>62.31</v>
      </c>
      <c r="Q380" s="295">
        <v>62.31</v>
      </c>
      <c r="R380" s="296">
        <f>'Unit Savings Calculations'!$G376</f>
        <v>1</v>
      </c>
      <c r="S380" s="296">
        <f>'Unit Savings Calculations'!$G376</f>
        <v>1</v>
      </c>
      <c r="T380" s="296">
        <f>'Unit Savings Calculations'!$G376</f>
        <v>1</v>
      </c>
      <c r="U380" s="296">
        <f>'Unit Savings Calculations'!$G376</f>
        <v>1</v>
      </c>
      <c r="V380" s="297">
        <f t="shared" si="207"/>
        <v>685.41000000000008</v>
      </c>
      <c r="W380" s="297">
        <f t="shared" si="208"/>
        <v>685.41000000000008</v>
      </c>
      <c r="X380" s="297">
        <f t="shared" si="209"/>
        <v>685.41000000000008</v>
      </c>
      <c r="Y380" s="297">
        <f t="shared" si="210"/>
        <v>685.41000000000008</v>
      </c>
      <c r="Z380" s="297">
        <f t="shared" si="211"/>
        <v>2741.6400000000003</v>
      </c>
      <c r="AA380" s="292"/>
      <c r="AB380" s="292"/>
      <c r="AC380" s="295">
        <v>62.31</v>
      </c>
      <c r="AD380" s="292"/>
      <c r="AE380" s="297">
        <f t="shared" si="197"/>
        <v>685.41000000000008</v>
      </c>
      <c r="AF380" s="294">
        <f t="shared" si="198"/>
        <v>0</v>
      </c>
      <c r="AG380" s="292"/>
      <c r="AH380" s="292">
        <f t="shared" si="199"/>
        <v>0</v>
      </c>
      <c r="AI380" s="295">
        <v>62.31</v>
      </c>
      <c r="AJ380" s="383" t="s">
        <v>878</v>
      </c>
      <c r="AK380" s="297">
        <f t="shared" si="200"/>
        <v>685.41000000000008</v>
      </c>
      <c r="AL380" s="294">
        <f t="shared" si="201"/>
        <v>0</v>
      </c>
      <c r="AM380" s="292"/>
      <c r="AN380" s="292"/>
      <c r="AO380" s="295">
        <f>'Unit Savings Calculations'!P376</f>
        <v>62.31</v>
      </c>
      <c r="AP380" s="383" t="s">
        <v>763</v>
      </c>
      <c r="AQ380" s="297">
        <f t="shared" si="202"/>
        <v>685.41000000000008</v>
      </c>
      <c r="AR380" s="294">
        <f t="shared" si="203"/>
        <v>0</v>
      </c>
      <c r="AS380" s="292"/>
      <c r="AT380" s="292"/>
      <c r="AU380" s="295">
        <f>'Unit Savings Calculations'!Q376</f>
        <v>62.31</v>
      </c>
      <c r="AV380" s="383" t="str">
        <f t="shared" si="186"/>
        <v>n/a</v>
      </c>
      <c r="AW380" s="297">
        <f t="shared" si="204"/>
        <v>685.41000000000008</v>
      </c>
      <c r="AX380" s="294">
        <f t="shared" si="205"/>
        <v>0</v>
      </c>
      <c r="AY380" s="297">
        <f t="shared" si="187"/>
        <v>685.41000000000008</v>
      </c>
      <c r="AZ380" s="297">
        <f t="shared" si="188"/>
        <v>685.41000000000008</v>
      </c>
      <c r="BA380" s="297">
        <f t="shared" si="189"/>
        <v>685.41000000000008</v>
      </c>
      <c r="BB380" s="297">
        <f t="shared" si="190"/>
        <v>685.41000000000008</v>
      </c>
      <c r="BC380" s="298">
        <f t="shared" si="191"/>
        <v>2741.6400000000003</v>
      </c>
      <c r="BD380" s="292" t="s">
        <v>763</v>
      </c>
      <c r="BE380" s="299" t="str">
        <f t="shared" si="192"/>
        <v>Exhibit 1.5A_R North Shore EEPS_Adjustable_Savings_Goal_Template.xlsx, Unit Savings Calculations Tab</v>
      </c>
      <c r="BF380" s="298">
        <f t="shared" si="193"/>
        <v>5483.2800000000007</v>
      </c>
      <c r="BG380" s="298">
        <f t="shared" si="193"/>
        <v>5483.2800000000007</v>
      </c>
      <c r="BH380" s="298">
        <f t="shared" si="193"/>
        <v>5483.2800000000007</v>
      </c>
      <c r="BI380" s="298">
        <f t="shared" si="193"/>
        <v>5483.2800000000007</v>
      </c>
      <c r="BJ380" s="298">
        <f t="shared" si="194"/>
        <v>21933.120000000003</v>
      </c>
      <c r="BK380" s="482">
        <v>8</v>
      </c>
      <c r="BL380" s="482">
        <v>8</v>
      </c>
      <c r="BM380" s="482">
        <f>INDEX('Unit Savings Calculations'!$I$4:$I$421,MATCH('Measure-Level Adjustments Tab'!$A380&amp;"_"&amp;'Measure-Level Adjustments Tab'!$B380,'Unit Savings Calculations'!$A$4:$A$421,0))</f>
        <v>8</v>
      </c>
      <c r="BN380" s="482">
        <f t="shared" si="195"/>
        <v>8</v>
      </c>
      <c r="BO380" s="483">
        <f t="shared" si="196"/>
        <v>5483.2800000000007</v>
      </c>
      <c r="BP380" s="483">
        <f t="shared" si="196"/>
        <v>5483.2800000000007</v>
      </c>
      <c r="BQ380" s="483">
        <f t="shared" si="196"/>
        <v>5483.2800000000007</v>
      </c>
      <c r="BR380" s="483">
        <f t="shared" si="196"/>
        <v>5483.2800000000007</v>
      </c>
      <c r="BS380" s="483">
        <f t="shared" si="185"/>
        <v>21933.120000000003</v>
      </c>
    </row>
    <row r="381" spans="1:71" ht="15.75" customHeight="1">
      <c r="A381" s="292" t="str">
        <f>'Unit Savings Calculations'!C377</f>
        <v>Low Income - SF Retrofit</v>
      </c>
      <c r="B381" s="292" t="str">
        <f>'Unit Savings Calculations'!D377</f>
        <v>Programmable Thermostat - Boiler</v>
      </c>
      <c r="C381" s="293">
        <f t="shared" si="206"/>
        <v>1</v>
      </c>
      <c r="D381" s="292" t="str">
        <f>'Unit Savings Calculations'!T377</f>
        <v>5.3.11</v>
      </c>
      <c r="E381" s="438">
        <v>5</v>
      </c>
      <c r="F381" s="438">
        <v>8</v>
      </c>
      <c r="G381" s="292" t="str">
        <f>'Unit Savings Calculations'!E377</f>
        <v>each</v>
      </c>
      <c r="H381" s="294">
        <f>'Unit Savings Calculations'!$F377*'Unit Savings Calculations'!J377</f>
        <v>1</v>
      </c>
      <c r="I381" s="294">
        <f>'Unit Savings Calculations'!$F377*'Unit Savings Calculations'!K377</f>
        <v>1</v>
      </c>
      <c r="J381" s="294">
        <f>'Unit Savings Calculations'!$F377*'Unit Savings Calculations'!L377</f>
        <v>1</v>
      </c>
      <c r="K381" s="294">
        <f>'Unit Savings Calculations'!$F377*'Unit Savings Calculations'!M377</f>
        <v>1</v>
      </c>
      <c r="L381" s="292" t="str">
        <f>'Unit Savings Calculations'!U377</f>
        <v>RS-HVC-PROG-V04-180101</v>
      </c>
      <c r="M381" s="383" t="str">
        <f>'Unit Savings Calculations'!R377</f>
        <v>Exhibit 1.5A_R North Shore EEPS_Adjustable_Savings_Goal_Template.xlsx, Unit Savings Calculations Tab</v>
      </c>
      <c r="N381" s="295">
        <v>75.516000000000005</v>
      </c>
      <c r="O381" s="295">
        <v>75.516000000000005</v>
      </c>
      <c r="P381" s="295">
        <v>75.516000000000005</v>
      </c>
      <c r="Q381" s="295">
        <v>75.516000000000005</v>
      </c>
      <c r="R381" s="296">
        <f>'Unit Savings Calculations'!$G377</f>
        <v>1</v>
      </c>
      <c r="S381" s="296">
        <f>'Unit Savings Calculations'!$G377</f>
        <v>1</v>
      </c>
      <c r="T381" s="296">
        <f>'Unit Savings Calculations'!$G377</f>
        <v>1</v>
      </c>
      <c r="U381" s="296">
        <f>'Unit Savings Calculations'!$G377</f>
        <v>1</v>
      </c>
      <c r="V381" s="297">
        <f t="shared" si="207"/>
        <v>75.516000000000005</v>
      </c>
      <c r="W381" s="297">
        <f t="shared" si="208"/>
        <v>75.516000000000005</v>
      </c>
      <c r="X381" s="297">
        <f t="shared" si="209"/>
        <v>75.516000000000005</v>
      </c>
      <c r="Y381" s="297">
        <f t="shared" si="210"/>
        <v>75.516000000000005</v>
      </c>
      <c r="Z381" s="297">
        <f t="shared" si="211"/>
        <v>302.06400000000002</v>
      </c>
      <c r="AA381" s="292"/>
      <c r="AB381" s="292"/>
      <c r="AC381" s="295">
        <v>75.516000000000005</v>
      </c>
      <c r="AD381" s="292"/>
      <c r="AE381" s="297">
        <f t="shared" si="197"/>
        <v>75.516000000000005</v>
      </c>
      <c r="AF381" s="294">
        <f t="shared" si="198"/>
        <v>0</v>
      </c>
      <c r="AG381" s="292"/>
      <c r="AH381" s="292">
        <f t="shared" si="199"/>
        <v>0</v>
      </c>
      <c r="AI381" s="295">
        <v>75.516000000000005</v>
      </c>
      <c r="AJ381" s="383" t="s">
        <v>878</v>
      </c>
      <c r="AK381" s="297">
        <f t="shared" si="200"/>
        <v>75.516000000000005</v>
      </c>
      <c r="AL381" s="294">
        <f t="shared" si="201"/>
        <v>0</v>
      </c>
      <c r="AM381" s="292"/>
      <c r="AN381" s="292"/>
      <c r="AO381" s="295">
        <f>'Unit Savings Calculations'!P377</f>
        <v>75.516000000000005</v>
      </c>
      <c r="AP381" s="383" t="s">
        <v>763</v>
      </c>
      <c r="AQ381" s="297">
        <f t="shared" si="202"/>
        <v>75.516000000000005</v>
      </c>
      <c r="AR381" s="294">
        <f t="shared" si="203"/>
        <v>0</v>
      </c>
      <c r="AS381" s="292"/>
      <c r="AT381" s="292"/>
      <c r="AU381" s="295">
        <f>'Unit Savings Calculations'!Q377</f>
        <v>75.516000000000005</v>
      </c>
      <c r="AV381" s="383" t="str">
        <f t="shared" si="186"/>
        <v>n/a</v>
      </c>
      <c r="AW381" s="297">
        <f t="shared" si="204"/>
        <v>75.516000000000005</v>
      </c>
      <c r="AX381" s="294">
        <f t="shared" si="205"/>
        <v>0</v>
      </c>
      <c r="AY381" s="297">
        <f t="shared" si="187"/>
        <v>75.516000000000005</v>
      </c>
      <c r="AZ381" s="297">
        <f t="shared" si="188"/>
        <v>75.516000000000005</v>
      </c>
      <c r="BA381" s="297">
        <f t="shared" si="189"/>
        <v>75.516000000000005</v>
      </c>
      <c r="BB381" s="297">
        <f t="shared" si="190"/>
        <v>75.516000000000005</v>
      </c>
      <c r="BC381" s="298">
        <f t="shared" si="191"/>
        <v>302.06400000000002</v>
      </c>
      <c r="BD381" s="292" t="s">
        <v>763</v>
      </c>
      <c r="BE381" s="299" t="str">
        <f t="shared" si="192"/>
        <v>Exhibit 1.5A_R North Shore EEPS_Adjustable_Savings_Goal_Template.xlsx, Unit Savings Calculations Tab</v>
      </c>
      <c r="BF381" s="298">
        <f t="shared" si="193"/>
        <v>604.12800000000004</v>
      </c>
      <c r="BG381" s="298">
        <f t="shared" si="193"/>
        <v>604.12800000000004</v>
      </c>
      <c r="BH381" s="298">
        <f t="shared" si="193"/>
        <v>604.12800000000004</v>
      </c>
      <c r="BI381" s="298">
        <f t="shared" si="193"/>
        <v>604.12800000000004</v>
      </c>
      <c r="BJ381" s="298">
        <f t="shared" si="194"/>
        <v>2416.5120000000002</v>
      </c>
      <c r="BK381" s="482">
        <v>8</v>
      </c>
      <c r="BL381" s="482">
        <v>8</v>
      </c>
      <c r="BM381" s="482">
        <f>INDEX('Unit Savings Calculations'!$I$4:$I$421,MATCH('Measure-Level Adjustments Tab'!$A381&amp;"_"&amp;'Measure-Level Adjustments Tab'!$B381,'Unit Savings Calculations'!$A$4:$A$421,0))</f>
        <v>8</v>
      </c>
      <c r="BN381" s="482">
        <f t="shared" si="195"/>
        <v>8</v>
      </c>
      <c r="BO381" s="483">
        <f t="shared" si="196"/>
        <v>604.12800000000004</v>
      </c>
      <c r="BP381" s="483">
        <f t="shared" si="196"/>
        <v>604.12800000000004</v>
      </c>
      <c r="BQ381" s="483">
        <f t="shared" si="196"/>
        <v>604.12800000000004</v>
      </c>
      <c r="BR381" s="483">
        <f t="shared" si="196"/>
        <v>604.12800000000004</v>
      </c>
      <c r="BS381" s="483">
        <f t="shared" si="185"/>
        <v>2416.5120000000002</v>
      </c>
    </row>
    <row r="382" spans="1:71" ht="15.75" customHeight="1">
      <c r="A382" s="292" t="str">
        <f>'Unit Savings Calculations'!C378</f>
        <v>Low Income - SF Retrofit</v>
      </c>
      <c r="B382" s="292" t="str">
        <f>'Unit Savings Calculations'!D378</f>
        <v>Advanced Thermostat - Furnace (Replace Manual)</v>
      </c>
      <c r="C382" s="293">
        <f t="shared" si="206"/>
        <v>1</v>
      </c>
      <c r="D382" s="292" t="str">
        <f>'Unit Savings Calculations'!T378</f>
        <v>5.3.16</v>
      </c>
      <c r="E382" s="438">
        <v>10</v>
      </c>
      <c r="F382" s="438">
        <v>11</v>
      </c>
      <c r="G382" s="292" t="str">
        <f>'Unit Savings Calculations'!E378</f>
        <v>each</v>
      </c>
      <c r="H382" s="294">
        <f>'Unit Savings Calculations'!$F378*'Unit Savings Calculations'!J378</f>
        <v>2</v>
      </c>
      <c r="I382" s="294">
        <f>'Unit Savings Calculations'!$F378*'Unit Savings Calculations'!K378</f>
        <v>2</v>
      </c>
      <c r="J382" s="294">
        <f>'Unit Savings Calculations'!$F378*'Unit Savings Calculations'!L378</f>
        <v>2</v>
      </c>
      <c r="K382" s="294">
        <f>'Unit Savings Calculations'!$F378*'Unit Savings Calculations'!M378</f>
        <v>2</v>
      </c>
      <c r="L382" s="292" t="str">
        <f>'Unit Savings Calculations'!U378</f>
        <v>RS-HVC-ADTH-V02-180101</v>
      </c>
      <c r="M382" s="383" t="str">
        <f>'Unit Savings Calculations'!R378</f>
        <v>Exhibit 1.5A_R North Shore EEPS_Adjustable_Savings_Goal_Template.xlsx, Unit Savings Calculations Tab</v>
      </c>
      <c r="N382" s="295">
        <v>88.44</v>
      </c>
      <c r="O382" s="295">
        <v>88.44</v>
      </c>
      <c r="P382" s="295">
        <v>88.44</v>
      </c>
      <c r="Q382" s="295">
        <v>88.44</v>
      </c>
      <c r="R382" s="296">
        <f>'Unit Savings Calculations'!$G378</f>
        <v>1</v>
      </c>
      <c r="S382" s="296">
        <f>'Unit Savings Calculations'!$G378</f>
        <v>1</v>
      </c>
      <c r="T382" s="296">
        <f>'Unit Savings Calculations'!$G378</f>
        <v>1</v>
      </c>
      <c r="U382" s="296">
        <f>'Unit Savings Calculations'!$G378</f>
        <v>1</v>
      </c>
      <c r="V382" s="297">
        <f t="shared" si="207"/>
        <v>176.88</v>
      </c>
      <c r="W382" s="297">
        <f t="shared" si="208"/>
        <v>176.88</v>
      </c>
      <c r="X382" s="297">
        <f t="shared" si="209"/>
        <v>176.88</v>
      </c>
      <c r="Y382" s="297">
        <f t="shared" si="210"/>
        <v>176.88</v>
      </c>
      <c r="Z382" s="297">
        <f t="shared" si="211"/>
        <v>707.52</v>
      </c>
      <c r="AA382" s="292"/>
      <c r="AB382" s="292"/>
      <c r="AC382" s="295">
        <v>88.44</v>
      </c>
      <c r="AD382" s="292"/>
      <c r="AE382" s="297">
        <f t="shared" si="197"/>
        <v>176.88</v>
      </c>
      <c r="AF382" s="294">
        <f t="shared" si="198"/>
        <v>0</v>
      </c>
      <c r="AG382" s="292"/>
      <c r="AH382" s="292">
        <f t="shared" si="199"/>
        <v>0</v>
      </c>
      <c r="AI382" s="295">
        <v>88.44</v>
      </c>
      <c r="AJ382" s="383" t="s">
        <v>878</v>
      </c>
      <c r="AK382" s="297">
        <f t="shared" si="200"/>
        <v>176.88</v>
      </c>
      <c r="AL382" s="294">
        <f t="shared" si="201"/>
        <v>0</v>
      </c>
      <c r="AM382" s="292"/>
      <c r="AN382" s="292"/>
      <c r="AO382" s="295">
        <f>'Unit Savings Calculations'!P378</f>
        <v>88.44</v>
      </c>
      <c r="AP382" s="383" t="s">
        <v>763</v>
      </c>
      <c r="AQ382" s="297">
        <f t="shared" si="202"/>
        <v>176.88</v>
      </c>
      <c r="AR382" s="294">
        <f t="shared" si="203"/>
        <v>0</v>
      </c>
      <c r="AS382" s="292"/>
      <c r="AT382" s="292"/>
      <c r="AU382" s="295">
        <f>'Unit Savings Calculations'!Q378</f>
        <v>88.44</v>
      </c>
      <c r="AV382" s="383" t="str">
        <f t="shared" si="186"/>
        <v>n/a</v>
      </c>
      <c r="AW382" s="297">
        <f t="shared" si="204"/>
        <v>176.88</v>
      </c>
      <c r="AX382" s="294">
        <f t="shared" si="205"/>
        <v>0</v>
      </c>
      <c r="AY382" s="297">
        <f t="shared" si="187"/>
        <v>176.88</v>
      </c>
      <c r="AZ382" s="297">
        <f t="shared" si="188"/>
        <v>176.88</v>
      </c>
      <c r="BA382" s="297">
        <f t="shared" si="189"/>
        <v>176.88</v>
      </c>
      <c r="BB382" s="297">
        <f t="shared" si="190"/>
        <v>176.88</v>
      </c>
      <c r="BC382" s="298">
        <f t="shared" si="191"/>
        <v>707.52</v>
      </c>
      <c r="BD382" s="292" t="s">
        <v>763</v>
      </c>
      <c r="BE382" s="299" t="str">
        <f t="shared" si="192"/>
        <v>Exhibit 1.5A_R North Shore EEPS_Adjustable_Savings_Goal_Template.xlsx, Unit Savings Calculations Tab</v>
      </c>
      <c r="BF382" s="298">
        <f t="shared" si="193"/>
        <v>1945.6799999999998</v>
      </c>
      <c r="BG382" s="298">
        <f t="shared" si="193"/>
        <v>1945.6799999999998</v>
      </c>
      <c r="BH382" s="298">
        <f t="shared" si="193"/>
        <v>1945.6799999999998</v>
      </c>
      <c r="BI382" s="298">
        <f t="shared" si="193"/>
        <v>1945.6799999999998</v>
      </c>
      <c r="BJ382" s="298">
        <f t="shared" si="194"/>
        <v>7782.7199999999993</v>
      </c>
      <c r="BK382" s="482">
        <v>11</v>
      </c>
      <c r="BL382" s="482">
        <v>11</v>
      </c>
      <c r="BM382" s="482">
        <f>INDEX('Unit Savings Calculations'!$I$4:$I$421,MATCH('Measure-Level Adjustments Tab'!$A382&amp;"_"&amp;'Measure-Level Adjustments Tab'!$B382,'Unit Savings Calculations'!$A$4:$A$421,0))</f>
        <v>11</v>
      </c>
      <c r="BN382" s="482">
        <f t="shared" si="195"/>
        <v>11</v>
      </c>
      <c r="BO382" s="483">
        <f t="shared" si="196"/>
        <v>1945.6799999999998</v>
      </c>
      <c r="BP382" s="483">
        <f t="shared" si="196"/>
        <v>1945.6799999999998</v>
      </c>
      <c r="BQ382" s="483">
        <f t="shared" si="196"/>
        <v>1945.6799999999998</v>
      </c>
      <c r="BR382" s="483">
        <f t="shared" si="196"/>
        <v>1945.6799999999998</v>
      </c>
      <c r="BS382" s="483">
        <f t="shared" si="185"/>
        <v>7782.7199999999993</v>
      </c>
    </row>
    <row r="383" spans="1:71" ht="15.75" customHeight="1">
      <c r="A383" s="292" t="str">
        <f>'Unit Savings Calculations'!C379</f>
        <v>Low Income - SF Retrofit</v>
      </c>
      <c r="B383" s="292" t="str">
        <f>'Unit Savings Calculations'!D379</f>
        <v>Advanced Thermostat - Boiler (Replace Manual)</v>
      </c>
      <c r="C383" s="293">
        <f t="shared" si="206"/>
        <v>1</v>
      </c>
      <c r="D383" s="292" t="str">
        <f>'Unit Savings Calculations'!T379</f>
        <v>5.3.16</v>
      </c>
      <c r="E383" s="438">
        <v>10</v>
      </c>
      <c r="F383" s="438">
        <v>11</v>
      </c>
      <c r="G383" s="292" t="str">
        <f>'Unit Savings Calculations'!E379</f>
        <v>each</v>
      </c>
      <c r="H383" s="294">
        <f>'Unit Savings Calculations'!$F379*'Unit Savings Calculations'!J379</f>
        <v>0</v>
      </c>
      <c r="I383" s="294">
        <f>'Unit Savings Calculations'!$F379*'Unit Savings Calculations'!K379</f>
        <v>0</v>
      </c>
      <c r="J383" s="294">
        <f>'Unit Savings Calculations'!$F379*'Unit Savings Calculations'!L379</f>
        <v>0</v>
      </c>
      <c r="K383" s="294">
        <f>'Unit Savings Calculations'!$F379*'Unit Savings Calculations'!M379</f>
        <v>0</v>
      </c>
      <c r="L383" s="292" t="str">
        <f>'Unit Savings Calculations'!U379</f>
        <v>RS-HVC-ADTH-V02-180101</v>
      </c>
      <c r="M383" s="383" t="str">
        <f>'Unit Savings Calculations'!R379</f>
        <v>Exhibit 1.5A_R North Shore EEPS_Adjustable_Savings_Goal_Template.xlsx, Unit Savings Calculations Tab</v>
      </c>
      <c r="N383" s="295">
        <v>107.184</v>
      </c>
      <c r="O383" s="295">
        <v>107.184</v>
      </c>
      <c r="P383" s="295">
        <v>107.184</v>
      </c>
      <c r="Q383" s="295">
        <v>107.184</v>
      </c>
      <c r="R383" s="296">
        <f>'Unit Savings Calculations'!$G379</f>
        <v>1</v>
      </c>
      <c r="S383" s="296">
        <f>'Unit Savings Calculations'!$G379</f>
        <v>1</v>
      </c>
      <c r="T383" s="296">
        <f>'Unit Savings Calculations'!$G379</f>
        <v>1</v>
      </c>
      <c r="U383" s="296">
        <f>'Unit Savings Calculations'!$G379</f>
        <v>1</v>
      </c>
      <c r="V383" s="297">
        <f t="shared" si="207"/>
        <v>0</v>
      </c>
      <c r="W383" s="297">
        <f t="shared" si="208"/>
        <v>0</v>
      </c>
      <c r="X383" s="297">
        <f t="shared" si="209"/>
        <v>0</v>
      </c>
      <c r="Y383" s="297">
        <f t="shared" si="210"/>
        <v>0</v>
      </c>
      <c r="Z383" s="297">
        <f t="shared" si="211"/>
        <v>0</v>
      </c>
      <c r="AA383" s="292"/>
      <c r="AB383" s="292"/>
      <c r="AC383" s="295">
        <v>107.184</v>
      </c>
      <c r="AD383" s="292"/>
      <c r="AE383" s="297">
        <f t="shared" si="197"/>
        <v>0</v>
      </c>
      <c r="AF383" s="294">
        <f t="shared" si="198"/>
        <v>0</v>
      </c>
      <c r="AG383" s="292"/>
      <c r="AH383" s="292">
        <f t="shared" si="199"/>
        <v>0</v>
      </c>
      <c r="AI383" s="295">
        <v>107.184</v>
      </c>
      <c r="AJ383" s="383" t="s">
        <v>878</v>
      </c>
      <c r="AK383" s="297">
        <f t="shared" si="200"/>
        <v>0</v>
      </c>
      <c r="AL383" s="294">
        <f t="shared" si="201"/>
        <v>0</v>
      </c>
      <c r="AM383" s="292"/>
      <c r="AN383" s="292"/>
      <c r="AO383" s="295">
        <f>'Unit Savings Calculations'!P379</f>
        <v>107.184</v>
      </c>
      <c r="AP383" s="383" t="s">
        <v>763</v>
      </c>
      <c r="AQ383" s="297">
        <f t="shared" si="202"/>
        <v>0</v>
      </c>
      <c r="AR383" s="294">
        <f t="shared" si="203"/>
        <v>0</v>
      </c>
      <c r="AS383" s="292"/>
      <c r="AT383" s="292"/>
      <c r="AU383" s="295">
        <f>'Unit Savings Calculations'!Q379</f>
        <v>107.184</v>
      </c>
      <c r="AV383" s="383" t="str">
        <f t="shared" si="186"/>
        <v>n/a</v>
      </c>
      <c r="AW383" s="297">
        <f t="shared" si="204"/>
        <v>0</v>
      </c>
      <c r="AX383" s="294">
        <f t="shared" si="205"/>
        <v>0</v>
      </c>
      <c r="AY383" s="297">
        <f t="shared" si="187"/>
        <v>0</v>
      </c>
      <c r="AZ383" s="297">
        <f t="shared" si="188"/>
        <v>0</v>
      </c>
      <c r="BA383" s="297">
        <f t="shared" si="189"/>
        <v>0</v>
      </c>
      <c r="BB383" s="297">
        <f t="shared" si="190"/>
        <v>0</v>
      </c>
      <c r="BC383" s="298">
        <f t="shared" si="191"/>
        <v>0</v>
      </c>
      <c r="BD383" s="292" t="s">
        <v>763</v>
      </c>
      <c r="BE383" s="299" t="str">
        <f t="shared" si="192"/>
        <v>Exhibit 1.5A_R North Shore EEPS_Adjustable_Savings_Goal_Template.xlsx, Unit Savings Calculations Tab</v>
      </c>
      <c r="BF383" s="298">
        <f t="shared" si="193"/>
        <v>0</v>
      </c>
      <c r="BG383" s="298">
        <f t="shared" si="193"/>
        <v>0</v>
      </c>
      <c r="BH383" s="298">
        <f t="shared" si="193"/>
        <v>0</v>
      </c>
      <c r="BI383" s="298">
        <f t="shared" si="193"/>
        <v>0</v>
      </c>
      <c r="BJ383" s="298">
        <f t="shared" si="194"/>
        <v>0</v>
      </c>
      <c r="BK383" s="482">
        <v>11</v>
      </c>
      <c r="BL383" s="482">
        <v>11</v>
      </c>
      <c r="BM383" s="482">
        <f>INDEX('Unit Savings Calculations'!$I$4:$I$421,MATCH('Measure-Level Adjustments Tab'!$A383&amp;"_"&amp;'Measure-Level Adjustments Tab'!$B383,'Unit Savings Calculations'!$A$4:$A$421,0))</f>
        <v>11</v>
      </c>
      <c r="BN383" s="482">
        <f t="shared" si="195"/>
        <v>11</v>
      </c>
      <c r="BO383" s="483">
        <f t="shared" si="196"/>
        <v>0</v>
      </c>
      <c r="BP383" s="483">
        <f t="shared" si="196"/>
        <v>0</v>
      </c>
      <c r="BQ383" s="483">
        <f t="shared" si="196"/>
        <v>0</v>
      </c>
      <c r="BR383" s="483">
        <f t="shared" si="196"/>
        <v>0</v>
      </c>
      <c r="BS383" s="483">
        <f t="shared" si="185"/>
        <v>0</v>
      </c>
    </row>
    <row r="384" spans="1:71" ht="15.75" customHeight="1">
      <c r="A384" s="292" t="str">
        <f>'Unit Savings Calculations'!C380</f>
        <v>Low Income - SF Retrofit</v>
      </c>
      <c r="B384" s="292" t="str">
        <f>'Unit Savings Calculations'!D380</f>
        <v>Advanced Thermostat - Furnace (Replace Programmable)</v>
      </c>
      <c r="C384" s="293">
        <f t="shared" si="206"/>
        <v>1</v>
      </c>
      <c r="D384" s="292" t="str">
        <f>'Unit Savings Calculations'!T380</f>
        <v>5.3.16</v>
      </c>
      <c r="E384" s="438">
        <v>10</v>
      </c>
      <c r="F384" s="438">
        <v>11</v>
      </c>
      <c r="G384" s="292" t="str">
        <f>'Unit Savings Calculations'!E380</f>
        <v>each</v>
      </c>
      <c r="H384" s="294">
        <f>'Unit Savings Calculations'!$F380*'Unit Savings Calculations'!J380</f>
        <v>2</v>
      </c>
      <c r="I384" s="294">
        <f>'Unit Savings Calculations'!$F380*'Unit Savings Calculations'!K380</f>
        <v>2</v>
      </c>
      <c r="J384" s="294">
        <f>'Unit Savings Calculations'!$F380*'Unit Savings Calculations'!L380</f>
        <v>2</v>
      </c>
      <c r="K384" s="294">
        <f>'Unit Savings Calculations'!$F380*'Unit Savings Calculations'!M380</f>
        <v>2</v>
      </c>
      <c r="L384" s="292" t="str">
        <f>'Unit Savings Calculations'!U380</f>
        <v>RS-HVC-ADTH-V02-180101</v>
      </c>
      <c r="M384" s="383" t="str">
        <f>'Unit Savings Calculations'!R380</f>
        <v>Exhibit 1.5A_R North Shore EEPS_Adjustable_Savings_Goal_Template.xlsx, Unit Savings Calculations Tab</v>
      </c>
      <c r="N384" s="295">
        <v>56.28</v>
      </c>
      <c r="O384" s="295">
        <v>56.28</v>
      </c>
      <c r="P384" s="295">
        <v>56.28</v>
      </c>
      <c r="Q384" s="295">
        <v>56.28</v>
      </c>
      <c r="R384" s="296">
        <f>'Unit Savings Calculations'!$G380</f>
        <v>1</v>
      </c>
      <c r="S384" s="296">
        <f>'Unit Savings Calculations'!$G380</f>
        <v>1</v>
      </c>
      <c r="T384" s="296">
        <f>'Unit Savings Calculations'!$G380</f>
        <v>1</v>
      </c>
      <c r="U384" s="296">
        <f>'Unit Savings Calculations'!$G380</f>
        <v>1</v>
      </c>
      <c r="V384" s="297">
        <f t="shared" si="207"/>
        <v>112.56</v>
      </c>
      <c r="W384" s="297">
        <f t="shared" si="208"/>
        <v>112.56</v>
      </c>
      <c r="X384" s="297">
        <f t="shared" si="209"/>
        <v>112.56</v>
      </c>
      <c r="Y384" s="297">
        <f t="shared" si="210"/>
        <v>112.56</v>
      </c>
      <c r="Z384" s="297">
        <f t="shared" si="211"/>
        <v>450.24</v>
      </c>
      <c r="AA384" s="292"/>
      <c r="AB384" s="292"/>
      <c r="AC384" s="295">
        <v>56.28</v>
      </c>
      <c r="AD384" s="292"/>
      <c r="AE384" s="297">
        <f t="shared" si="197"/>
        <v>112.56</v>
      </c>
      <c r="AF384" s="294">
        <f t="shared" si="198"/>
        <v>0</v>
      </c>
      <c r="AG384" s="292"/>
      <c r="AH384" s="292">
        <f t="shared" si="199"/>
        <v>0</v>
      </c>
      <c r="AI384" s="295">
        <v>56.28</v>
      </c>
      <c r="AJ384" s="383" t="s">
        <v>878</v>
      </c>
      <c r="AK384" s="297">
        <f t="shared" si="200"/>
        <v>112.56</v>
      </c>
      <c r="AL384" s="294">
        <f t="shared" si="201"/>
        <v>0</v>
      </c>
      <c r="AM384" s="292"/>
      <c r="AN384" s="292"/>
      <c r="AO384" s="295">
        <f>'Unit Savings Calculations'!P380</f>
        <v>56.28</v>
      </c>
      <c r="AP384" s="383" t="s">
        <v>763</v>
      </c>
      <c r="AQ384" s="297">
        <f t="shared" si="202"/>
        <v>112.56</v>
      </c>
      <c r="AR384" s="294">
        <f t="shared" si="203"/>
        <v>0</v>
      </c>
      <c r="AS384" s="292"/>
      <c r="AT384" s="292"/>
      <c r="AU384" s="295">
        <f>'Unit Savings Calculations'!Q380</f>
        <v>56.28</v>
      </c>
      <c r="AV384" s="383" t="str">
        <f t="shared" si="186"/>
        <v>n/a</v>
      </c>
      <c r="AW384" s="297">
        <f t="shared" si="204"/>
        <v>112.56</v>
      </c>
      <c r="AX384" s="294">
        <f t="shared" si="205"/>
        <v>0</v>
      </c>
      <c r="AY384" s="297">
        <f t="shared" si="187"/>
        <v>112.56</v>
      </c>
      <c r="AZ384" s="297">
        <f t="shared" si="188"/>
        <v>112.56</v>
      </c>
      <c r="BA384" s="297">
        <f t="shared" si="189"/>
        <v>112.56</v>
      </c>
      <c r="BB384" s="297">
        <f t="shared" si="190"/>
        <v>112.56</v>
      </c>
      <c r="BC384" s="298">
        <f t="shared" si="191"/>
        <v>450.24</v>
      </c>
      <c r="BD384" s="292" t="s">
        <v>763</v>
      </c>
      <c r="BE384" s="299" t="str">
        <f t="shared" si="192"/>
        <v>Exhibit 1.5A_R North Shore EEPS_Adjustable_Savings_Goal_Template.xlsx, Unit Savings Calculations Tab</v>
      </c>
      <c r="BF384" s="298">
        <f t="shared" si="193"/>
        <v>1238.1600000000001</v>
      </c>
      <c r="BG384" s="298">
        <f t="shared" si="193"/>
        <v>1238.1600000000001</v>
      </c>
      <c r="BH384" s="298">
        <f t="shared" si="193"/>
        <v>1238.1600000000001</v>
      </c>
      <c r="BI384" s="298">
        <f t="shared" si="193"/>
        <v>1238.1600000000001</v>
      </c>
      <c r="BJ384" s="298">
        <f t="shared" si="194"/>
        <v>4952.6400000000003</v>
      </c>
      <c r="BK384" s="482">
        <v>11</v>
      </c>
      <c r="BL384" s="482">
        <v>11</v>
      </c>
      <c r="BM384" s="482">
        <f>INDEX('Unit Savings Calculations'!$I$4:$I$421,MATCH('Measure-Level Adjustments Tab'!$A384&amp;"_"&amp;'Measure-Level Adjustments Tab'!$B384,'Unit Savings Calculations'!$A$4:$A$421,0))</f>
        <v>11</v>
      </c>
      <c r="BN384" s="482">
        <f t="shared" si="195"/>
        <v>11</v>
      </c>
      <c r="BO384" s="483">
        <f t="shared" si="196"/>
        <v>1238.1600000000001</v>
      </c>
      <c r="BP384" s="483">
        <f t="shared" si="196"/>
        <v>1238.1600000000001</v>
      </c>
      <c r="BQ384" s="483">
        <f t="shared" si="196"/>
        <v>1238.1600000000001</v>
      </c>
      <c r="BR384" s="483">
        <f t="shared" si="196"/>
        <v>1238.1600000000001</v>
      </c>
      <c r="BS384" s="483">
        <f t="shared" si="185"/>
        <v>4952.6400000000003</v>
      </c>
    </row>
    <row r="385" spans="1:71" ht="15.75" customHeight="1">
      <c r="A385" s="292" t="str">
        <f>'Unit Savings Calculations'!C381</f>
        <v>Low Income - SF Retrofit</v>
      </c>
      <c r="B385" s="292" t="str">
        <f>'Unit Savings Calculations'!D381</f>
        <v>Advanced Thermostat - Boiler (Replace Programmable)</v>
      </c>
      <c r="C385" s="293">
        <f t="shared" si="206"/>
        <v>1</v>
      </c>
      <c r="D385" s="292" t="str">
        <f>'Unit Savings Calculations'!T381</f>
        <v>5.3.16</v>
      </c>
      <c r="E385" s="438">
        <v>10</v>
      </c>
      <c r="F385" s="438">
        <v>11</v>
      </c>
      <c r="G385" s="292" t="str">
        <f>'Unit Savings Calculations'!E381</f>
        <v>each</v>
      </c>
      <c r="H385" s="294">
        <f>'Unit Savings Calculations'!$F381*'Unit Savings Calculations'!J381</f>
        <v>0</v>
      </c>
      <c r="I385" s="294">
        <f>'Unit Savings Calculations'!$F381*'Unit Savings Calculations'!K381</f>
        <v>0</v>
      </c>
      <c r="J385" s="294">
        <f>'Unit Savings Calculations'!$F381*'Unit Savings Calculations'!L381</f>
        <v>0</v>
      </c>
      <c r="K385" s="294">
        <f>'Unit Savings Calculations'!$F381*'Unit Savings Calculations'!M381</f>
        <v>0</v>
      </c>
      <c r="L385" s="292" t="str">
        <f>'Unit Savings Calculations'!U381</f>
        <v>RS-HVC-ADTH-V02-180101</v>
      </c>
      <c r="M385" s="383" t="str">
        <f>'Unit Savings Calculations'!R381</f>
        <v>Exhibit 1.5A_R North Shore EEPS_Adjustable_Savings_Goal_Template.xlsx, Unit Savings Calculations Tab</v>
      </c>
      <c r="N385" s="295">
        <v>68.207999999999998</v>
      </c>
      <c r="O385" s="295">
        <v>68.207999999999998</v>
      </c>
      <c r="P385" s="295">
        <v>68.207999999999998</v>
      </c>
      <c r="Q385" s="295">
        <v>68.207999999999998</v>
      </c>
      <c r="R385" s="296">
        <f>'Unit Savings Calculations'!$G381</f>
        <v>1</v>
      </c>
      <c r="S385" s="296">
        <f>'Unit Savings Calculations'!$G381</f>
        <v>1</v>
      </c>
      <c r="T385" s="296">
        <f>'Unit Savings Calculations'!$G381</f>
        <v>1</v>
      </c>
      <c r="U385" s="296">
        <f>'Unit Savings Calculations'!$G381</f>
        <v>1</v>
      </c>
      <c r="V385" s="297">
        <f t="shared" si="207"/>
        <v>0</v>
      </c>
      <c r="W385" s="297">
        <f t="shared" si="208"/>
        <v>0</v>
      </c>
      <c r="X385" s="297">
        <f t="shared" si="209"/>
        <v>0</v>
      </c>
      <c r="Y385" s="297">
        <f t="shared" si="210"/>
        <v>0</v>
      </c>
      <c r="Z385" s="297">
        <f t="shared" si="211"/>
        <v>0</v>
      </c>
      <c r="AA385" s="292"/>
      <c r="AB385" s="292"/>
      <c r="AC385" s="295">
        <v>68.207999999999998</v>
      </c>
      <c r="AD385" s="292"/>
      <c r="AE385" s="297">
        <f t="shared" si="197"/>
        <v>0</v>
      </c>
      <c r="AF385" s="294">
        <f t="shared" si="198"/>
        <v>0</v>
      </c>
      <c r="AG385" s="292"/>
      <c r="AH385" s="292">
        <f t="shared" si="199"/>
        <v>0</v>
      </c>
      <c r="AI385" s="295">
        <v>68.207999999999998</v>
      </c>
      <c r="AJ385" s="383" t="s">
        <v>878</v>
      </c>
      <c r="AK385" s="297">
        <f t="shared" si="200"/>
        <v>0</v>
      </c>
      <c r="AL385" s="294">
        <f t="shared" si="201"/>
        <v>0</v>
      </c>
      <c r="AM385" s="292"/>
      <c r="AN385" s="292"/>
      <c r="AO385" s="295">
        <f>'Unit Savings Calculations'!P381</f>
        <v>68.207999999999998</v>
      </c>
      <c r="AP385" s="383" t="s">
        <v>763</v>
      </c>
      <c r="AQ385" s="297">
        <f t="shared" si="202"/>
        <v>0</v>
      </c>
      <c r="AR385" s="294">
        <f t="shared" si="203"/>
        <v>0</v>
      </c>
      <c r="AS385" s="292"/>
      <c r="AT385" s="292"/>
      <c r="AU385" s="295">
        <f>'Unit Savings Calculations'!Q381</f>
        <v>68.207999999999998</v>
      </c>
      <c r="AV385" s="383" t="str">
        <f t="shared" si="186"/>
        <v>n/a</v>
      </c>
      <c r="AW385" s="297">
        <f t="shared" si="204"/>
        <v>0</v>
      </c>
      <c r="AX385" s="294">
        <f t="shared" si="205"/>
        <v>0</v>
      </c>
      <c r="AY385" s="297">
        <f t="shared" si="187"/>
        <v>0</v>
      </c>
      <c r="AZ385" s="297">
        <f t="shared" si="188"/>
        <v>0</v>
      </c>
      <c r="BA385" s="297">
        <f t="shared" si="189"/>
        <v>0</v>
      </c>
      <c r="BB385" s="297">
        <f t="shared" si="190"/>
        <v>0</v>
      </c>
      <c r="BC385" s="298">
        <f t="shared" si="191"/>
        <v>0</v>
      </c>
      <c r="BD385" s="292" t="s">
        <v>763</v>
      </c>
      <c r="BE385" s="299" t="str">
        <f t="shared" si="192"/>
        <v>Exhibit 1.5A_R North Shore EEPS_Adjustable_Savings_Goal_Template.xlsx, Unit Savings Calculations Tab</v>
      </c>
      <c r="BF385" s="298">
        <f t="shared" si="193"/>
        <v>0</v>
      </c>
      <c r="BG385" s="298">
        <f t="shared" si="193"/>
        <v>0</v>
      </c>
      <c r="BH385" s="298">
        <f t="shared" si="193"/>
        <v>0</v>
      </c>
      <c r="BI385" s="298">
        <f t="shared" si="193"/>
        <v>0</v>
      </c>
      <c r="BJ385" s="298">
        <f t="shared" si="194"/>
        <v>0</v>
      </c>
      <c r="BK385" s="482">
        <v>11</v>
      </c>
      <c r="BL385" s="482">
        <v>11</v>
      </c>
      <c r="BM385" s="482">
        <f>INDEX('Unit Savings Calculations'!$I$4:$I$421,MATCH('Measure-Level Adjustments Tab'!$A385&amp;"_"&amp;'Measure-Level Adjustments Tab'!$B385,'Unit Savings Calculations'!$A$4:$A$421,0))</f>
        <v>11</v>
      </c>
      <c r="BN385" s="482">
        <f t="shared" si="195"/>
        <v>11</v>
      </c>
      <c r="BO385" s="483">
        <f t="shared" si="196"/>
        <v>0</v>
      </c>
      <c r="BP385" s="483">
        <f t="shared" si="196"/>
        <v>0</v>
      </c>
      <c r="BQ385" s="483">
        <f t="shared" si="196"/>
        <v>0</v>
      </c>
      <c r="BR385" s="483">
        <f t="shared" si="196"/>
        <v>0</v>
      </c>
      <c r="BS385" s="483">
        <f t="shared" si="185"/>
        <v>0</v>
      </c>
    </row>
    <row r="386" spans="1:71" ht="15.75" customHeight="1">
      <c r="A386" s="292" t="str">
        <f>'Unit Savings Calculations'!C382</f>
        <v>Low Income - SF Retrofit</v>
      </c>
      <c r="B386" s="292" t="str">
        <f>'Unit Savings Calculations'!D382</f>
        <v>Water Heater Setback</v>
      </c>
      <c r="C386" s="293">
        <f t="shared" si="206"/>
        <v>1</v>
      </c>
      <c r="D386" s="292" t="str">
        <f>'Unit Savings Calculations'!T382</f>
        <v>5.4.6</v>
      </c>
      <c r="E386" s="438">
        <v>2</v>
      </c>
      <c r="F386" s="438">
        <v>2</v>
      </c>
      <c r="G386" s="292" t="str">
        <f>'Unit Savings Calculations'!E382</f>
        <v>each</v>
      </c>
      <c r="H386" s="294">
        <f>'Unit Savings Calculations'!$F382*'Unit Savings Calculations'!J382</f>
        <v>11</v>
      </c>
      <c r="I386" s="294">
        <f>'Unit Savings Calculations'!$F382*'Unit Savings Calculations'!K382</f>
        <v>11</v>
      </c>
      <c r="J386" s="294">
        <f>'Unit Savings Calculations'!$F382*'Unit Savings Calculations'!L382</f>
        <v>11</v>
      </c>
      <c r="K386" s="294">
        <f>'Unit Savings Calculations'!$F382*'Unit Savings Calculations'!M382</f>
        <v>11</v>
      </c>
      <c r="L386" s="292" t="str">
        <f>'Unit Savings Calculations'!U382</f>
        <v>RS-HWE-TMPS-V05-160601</v>
      </c>
      <c r="M386" s="383" t="str">
        <f>'Unit Savings Calculations'!R382</f>
        <v>Exhibit 1.5A_R North Shore EEPS_Adjustable_Savings_Goal_Template.xlsx, Unit Savings Calculations Tab</v>
      </c>
      <c r="N386" s="295">
        <v>3.4965719653846157</v>
      </c>
      <c r="O386" s="295">
        <v>3.4965719653846157</v>
      </c>
      <c r="P386" s="295">
        <v>3.4965719653846157</v>
      </c>
      <c r="Q386" s="295">
        <v>3.4965719653846157</v>
      </c>
      <c r="R386" s="296">
        <f>'Unit Savings Calculations'!$G382</f>
        <v>1</v>
      </c>
      <c r="S386" s="296">
        <f>'Unit Savings Calculations'!$G382</f>
        <v>1</v>
      </c>
      <c r="T386" s="296">
        <f>'Unit Savings Calculations'!$G382</f>
        <v>1</v>
      </c>
      <c r="U386" s="296">
        <f>'Unit Savings Calculations'!$G382</f>
        <v>1</v>
      </c>
      <c r="V386" s="297">
        <f t="shared" si="207"/>
        <v>38.462291619230776</v>
      </c>
      <c r="W386" s="297">
        <f t="shared" si="208"/>
        <v>38.462291619230776</v>
      </c>
      <c r="X386" s="297">
        <f t="shared" si="209"/>
        <v>38.462291619230776</v>
      </c>
      <c r="Y386" s="297">
        <f t="shared" si="210"/>
        <v>38.462291619230776</v>
      </c>
      <c r="Z386" s="297">
        <f t="shared" si="211"/>
        <v>153.8491664769231</v>
      </c>
      <c r="AA386" s="292"/>
      <c r="AB386" s="292"/>
      <c r="AC386" s="295">
        <v>3.4965719653846157</v>
      </c>
      <c r="AD386" s="292"/>
      <c r="AE386" s="297">
        <f t="shared" si="197"/>
        <v>38.462291619230776</v>
      </c>
      <c r="AF386" s="294">
        <f t="shared" si="198"/>
        <v>0</v>
      </c>
      <c r="AG386" s="292"/>
      <c r="AH386" s="292">
        <f t="shared" si="199"/>
        <v>0</v>
      </c>
      <c r="AI386" s="295">
        <v>3.4965719653846157</v>
      </c>
      <c r="AJ386" s="383" t="s">
        <v>878</v>
      </c>
      <c r="AK386" s="297">
        <f t="shared" si="200"/>
        <v>38.462291619230776</v>
      </c>
      <c r="AL386" s="294">
        <f t="shared" si="201"/>
        <v>0</v>
      </c>
      <c r="AM386" s="292"/>
      <c r="AN386" s="292"/>
      <c r="AO386" s="295">
        <f>'Unit Savings Calculations'!P382</f>
        <v>3.4965719653846157</v>
      </c>
      <c r="AP386" s="383" t="s">
        <v>763</v>
      </c>
      <c r="AQ386" s="297">
        <f t="shared" si="202"/>
        <v>38.462291619230776</v>
      </c>
      <c r="AR386" s="294">
        <f t="shared" si="203"/>
        <v>0</v>
      </c>
      <c r="AS386" s="292"/>
      <c r="AT386" s="292"/>
      <c r="AU386" s="295">
        <f>'Unit Savings Calculations'!Q382</f>
        <v>3.4965719653846157</v>
      </c>
      <c r="AV386" s="383" t="str">
        <f t="shared" si="186"/>
        <v>n/a</v>
      </c>
      <c r="AW386" s="297">
        <f t="shared" si="204"/>
        <v>38.462291619230776</v>
      </c>
      <c r="AX386" s="294">
        <f t="shared" si="205"/>
        <v>0</v>
      </c>
      <c r="AY386" s="297">
        <f t="shared" si="187"/>
        <v>38.462291619230776</v>
      </c>
      <c r="AZ386" s="297">
        <f t="shared" si="188"/>
        <v>38.462291619230776</v>
      </c>
      <c r="BA386" s="297">
        <f t="shared" si="189"/>
        <v>38.462291619230776</v>
      </c>
      <c r="BB386" s="297">
        <f t="shared" si="190"/>
        <v>38.462291619230776</v>
      </c>
      <c r="BC386" s="298">
        <f t="shared" si="191"/>
        <v>153.8491664769231</v>
      </c>
      <c r="BD386" s="292" t="s">
        <v>763</v>
      </c>
      <c r="BE386" s="299" t="str">
        <f t="shared" si="192"/>
        <v>Exhibit 1.5A_R North Shore EEPS_Adjustable_Savings_Goal_Template.xlsx, Unit Savings Calculations Tab</v>
      </c>
      <c r="BF386" s="298">
        <f t="shared" si="193"/>
        <v>76.924583238461551</v>
      </c>
      <c r="BG386" s="298">
        <f t="shared" si="193"/>
        <v>76.924583238461551</v>
      </c>
      <c r="BH386" s="298">
        <f t="shared" si="193"/>
        <v>76.924583238461551</v>
      </c>
      <c r="BI386" s="298">
        <f t="shared" si="193"/>
        <v>76.924583238461551</v>
      </c>
      <c r="BJ386" s="298">
        <f t="shared" si="194"/>
        <v>307.6983329538462</v>
      </c>
      <c r="BK386" s="482">
        <v>2</v>
      </c>
      <c r="BL386" s="482">
        <v>2</v>
      </c>
      <c r="BM386" s="482">
        <f>INDEX('Unit Savings Calculations'!$I$4:$I$421,MATCH('Measure-Level Adjustments Tab'!$A386&amp;"_"&amp;'Measure-Level Adjustments Tab'!$B386,'Unit Savings Calculations'!$A$4:$A$421,0))</f>
        <v>2</v>
      </c>
      <c r="BN386" s="482">
        <f t="shared" si="195"/>
        <v>2</v>
      </c>
      <c r="BO386" s="483">
        <f t="shared" si="196"/>
        <v>76.924583238461551</v>
      </c>
      <c r="BP386" s="483">
        <f t="shared" si="196"/>
        <v>76.924583238461551</v>
      </c>
      <c r="BQ386" s="483">
        <f t="shared" si="196"/>
        <v>76.924583238461551</v>
      </c>
      <c r="BR386" s="483">
        <f t="shared" si="196"/>
        <v>76.924583238461551</v>
      </c>
      <c r="BS386" s="483">
        <f t="shared" si="185"/>
        <v>307.6983329538462</v>
      </c>
    </row>
    <row r="387" spans="1:71" ht="15.75" customHeight="1">
      <c r="A387" s="292" t="str">
        <f>'Unit Savings Calculations'!C383</f>
        <v>Low Income - SF Retrofit</v>
      </c>
      <c r="B387" s="292" t="str">
        <f>'Unit Savings Calculations'!D383</f>
        <v>Air Sealing</v>
      </c>
      <c r="C387" s="293">
        <f t="shared" si="206"/>
        <v>1</v>
      </c>
      <c r="D387" s="292" t="str">
        <f>'Unit Savings Calculations'!T383</f>
        <v>5.6.1</v>
      </c>
      <c r="E387" s="438">
        <v>15</v>
      </c>
      <c r="F387" s="438">
        <v>20</v>
      </c>
      <c r="G387" s="292" t="str">
        <f>'Unit Savings Calculations'!E383</f>
        <v>CFM_50</v>
      </c>
      <c r="H387" s="294">
        <f>'Unit Savings Calculations'!$F383*'Unit Savings Calculations'!J383</f>
        <v>112000</v>
      </c>
      <c r="I387" s="294">
        <f>'Unit Savings Calculations'!$F383*'Unit Savings Calculations'!K383</f>
        <v>112000</v>
      </c>
      <c r="J387" s="294">
        <f>'Unit Savings Calculations'!$F383*'Unit Savings Calculations'!L383</f>
        <v>112000</v>
      </c>
      <c r="K387" s="294">
        <f>'Unit Savings Calculations'!$F383*'Unit Savings Calculations'!M383</f>
        <v>112000</v>
      </c>
      <c r="L387" s="292" t="str">
        <f>'Unit Savings Calculations'!U383</f>
        <v>RS-SHL-AIRS-V06-180101</v>
      </c>
      <c r="M387" s="383" t="str">
        <f>'Unit Savings Calculations'!R383</f>
        <v>Exhibit 1.5A_R North Shore EEPS_Adjustable_Savings_Goal_Template.xlsx, Unit Savings Calculations Tab</v>
      </c>
      <c r="N387" s="295">
        <v>7.7015899581589969E-2</v>
      </c>
      <c r="O387" s="295">
        <v>7.7015899581589969E-2</v>
      </c>
      <c r="P387" s="295">
        <v>7.7015899581589969E-2</v>
      </c>
      <c r="Q387" s="295">
        <v>7.7015899581589969E-2</v>
      </c>
      <c r="R387" s="296">
        <f>'Unit Savings Calculations'!$G383</f>
        <v>1</v>
      </c>
      <c r="S387" s="296">
        <f>'Unit Savings Calculations'!$G383</f>
        <v>1</v>
      </c>
      <c r="T387" s="296">
        <f>'Unit Savings Calculations'!$G383</f>
        <v>1</v>
      </c>
      <c r="U387" s="296">
        <f>'Unit Savings Calculations'!$G383</f>
        <v>1</v>
      </c>
      <c r="V387" s="297">
        <f t="shared" si="207"/>
        <v>8625.7807531380768</v>
      </c>
      <c r="W387" s="297">
        <f t="shared" si="208"/>
        <v>8625.7807531380768</v>
      </c>
      <c r="X387" s="297">
        <f t="shared" si="209"/>
        <v>8625.7807531380768</v>
      </c>
      <c r="Y387" s="297">
        <f t="shared" si="210"/>
        <v>8625.7807531380768</v>
      </c>
      <c r="Z387" s="297">
        <f t="shared" si="211"/>
        <v>34503.123012552307</v>
      </c>
      <c r="AA387" s="292"/>
      <c r="AB387" s="292"/>
      <c r="AC387" s="295">
        <v>7.7015899581589969E-2</v>
      </c>
      <c r="AD387" s="292"/>
      <c r="AE387" s="297">
        <f t="shared" si="197"/>
        <v>8625.7807531380768</v>
      </c>
      <c r="AF387" s="294">
        <f t="shared" si="198"/>
        <v>0</v>
      </c>
      <c r="AG387" s="292"/>
      <c r="AH387" s="292">
        <f t="shared" si="199"/>
        <v>0</v>
      </c>
      <c r="AI387" s="295">
        <v>5.5451447698744778E-2</v>
      </c>
      <c r="AJ387" s="383" t="s">
        <v>1041</v>
      </c>
      <c r="AK387" s="297">
        <f t="shared" si="200"/>
        <v>6210.5621422594149</v>
      </c>
      <c r="AL387" s="294">
        <f t="shared" si="201"/>
        <v>-2415.2186108786618</v>
      </c>
      <c r="AM387" s="292"/>
      <c r="AN387" s="292"/>
      <c r="AO387" s="295">
        <f>'Unit Savings Calculations'!P383</f>
        <v>6.0996592468619264E-2</v>
      </c>
      <c r="AP387" s="383" t="s">
        <v>1446</v>
      </c>
      <c r="AQ387" s="297">
        <f t="shared" si="202"/>
        <v>6831.6183564853573</v>
      </c>
      <c r="AR387" s="294">
        <f t="shared" si="203"/>
        <v>-1794.1623966527195</v>
      </c>
      <c r="AS387" s="292"/>
      <c r="AT387" s="292"/>
      <c r="AU387" s="295">
        <f>'Unit Savings Calculations'!Q383</f>
        <v>6.0996592468619264E-2</v>
      </c>
      <c r="AV387" s="383" t="str">
        <f t="shared" si="186"/>
        <v>Updated algorithm with new variables</v>
      </c>
      <c r="AW387" s="297">
        <f t="shared" si="204"/>
        <v>6831.6183564853573</v>
      </c>
      <c r="AX387" s="294">
        <f t="shared" si="205"/>
        <v>-1794.1623966527195</v>
      </c>
      <c r="AY387" s="297">
        <f t="shared" si="187"/>
        <v>8625.7807531380768</v>
      </c>
      <c r="AZ387" s="297">
        <f t="shared" si="188"/>
        <v>6210.5621422594149</v>
      </c>
      <c r="BA387" s="297">
        <f t="shared" si="189"/>
        <v>6831.6183564853573</v>
      </c>
      <c r="BB387" s="297">
        <f t="shared" si="190"/>
        <v>6831.6183564853573</v>
      </c>
      <c r="BC387" s="298">
        <f t="shared" si="191"/>
        <v>28499.579608368203</v>
      </c>
      <c r="BD387" s="292" t="s">
        <v>763</v>
      </c>
      <c r="BE387" s="299" t="str">
        <f t="shared" si="192"/>
        <v>Exhibit 1.5A_R North Shore EEPS_Adjustable_Savings_Goal_Template.xlsx, Unit Savings Calculations Tab</v>
      </c>
      <c r="BF387" s="298">
        <f t="shared" si="193"/>
        <v>172515.61506276153</v>
      </c>
      <c r="BG387" s="298">
        <f t="shared" si="193"/>
        <v>172515.61506276153</v>
      </c>
      <c r="BH387" s="298">
        <f t="shared" si="193"/>
        <v>172515.61506276153</v>
      </c>
      <c r="BI387" s="298">
        <f t="shared" si="193"/>
        <v>172515.61506276153</v>
      </c>
      <c r="BJ387" s="298">
        <f t="shared" si="194"/>
        <v>690062.46025104611</v>
      </c>
      <c r="BK387" s="482">
        <v>20</v>
      </c>
      <c r="BL387" s="482">
        <v>20</v>
      </c>
      <c r="BM387" s="482">
        <f>INDEX('Unit Savings Calculations'!$I$4:$I$421,MATCH('Measure-Level Adjustments Tab'!$A387&amp;"_"&amp;'Measure-Level Adjustments Tab'!$B387,'Unit Savings Calculations'!$A$4:$A$421,0))</f>
        <v>20</v>
      </c>
      <c r="BN387" s="482">
        <f t="shared" si="195"/>
        <v>20</v>
      </c>
      <c r="BO387" s="483">
        <f t="shared" si="196"/>
        <v>172515.61506276153</v>
      </c>
      <c r="BP387" s="483">
        <f t="shared" si="196"/>
        <v>124211.2428451883</v>
      </c>
      <c r="BQ387" s="483">
        <f t="shared" si="196"/>
        <v>136632.36712970716</v>
      </c>
      <c r="BR387" s="483">
        <f t="shared" si="196"/>
        <v>136632.36712970716</v>
      </c>
      <c r="BS387" s="483">
        <f t="shared" si="185"/>
        <v>569991.59216736408</v>
      </c>
    </row>
    <row r="388" spans="1:71" ht="15.75" customHeight="1">
      <c r="A388" s="292" t="str">
        <f>'Unit Savings Calculations'!C384</f>
        <v>Low Income - SF Retrofit</v>
      </c>
      <c r="B388" s="292" t="str">
        <f>'Unit Savings Calculations'!D384</f>
        <v>Attic Insulation</v>
      </c>
      <c r="C388" s="293">
        <f t="shared" si="206"/>
        <v>1</v>
      </c>
      <c r="D388" s="292" t="str">
        <f>'Unit Savings Calculations'!T384</f>
        <v>5.6.5</v>
      </c>
      <c r="E388" s="438">
        <v>25</v>
      </c>
      <c r="F388" s="438">
        <v>20</v>
      </c>
      <c r="G388" s="292" t="str">
        <f>'Unit Savings Calculations'!E384</f>
        <v>sq ft</v>
      </c>
      <c r="H388" s="294">
        <f>'Unit Savings Calculations'!$F384*'Unit Savings Calculations'!J384</f>
        <v>61600</v>
      </c>
      <c r="I388" s="294">
        <f>'Unit Savings Calculations'!$F384*'Unit Savings Calculations'!K384</f>
        <v>61600</v>
      </c>
      <c r="J388" s="294">
        <f>'Unit Savings Calculations'!$F384*'Unit Savings Calculations'!L384</f>
        <v>61600</v>
      </c>
      <c r="K388" s="294">
        <f>'Unit Savings Calculations'!$F384*'Unit Savings Calculations'!M384</f>
        <v>61600</v>
      </c>
      <c r="L388" s="292" t="str">
        <f>'Unit Savings Calculations'!U384</f>
        <v>RS-SHL-AINS-V07-180101</v>
      </c>
      <c r="M388" s="383" t="str">
        <f>'Unit Savings Calculations'!R384</f>
        <v>Exhibit 1.5A_R North Shore EEPS_Adjustable_Savings_Goal_Template.xlsx, Unit Savings Calculations Tab</v>
      </c>
      <c r="N388" s="295">
        <v>7.7438471779463322E-2</v>
      </c>
      <c r="O388" s="295">
        <v>7.7438471779463322E-2</v>
      </c>
      <c r="P388" s="295">
        <v>7.7438471779463322E-2</v>
      </c>
      <c r="Q388" s="295">
        <v>7.7438471779463322E-2</v>
      </c>
      <c r="R388" s="296">
        <f>'Unit Savings Calculations'!$G384</f>
        <v>1</v>
      </c>
      <c r="S388" s="296">
        <f>'Unit Savings Calculations'!$G384</f>
        <v>1</v>
      </c>
      <c r="T388" s="296">
        <f>'Unit Savings Calculations'!$G384</f>
        <v>1</v>
      </c>
      <c r="U388" s="296">
        <f>'Unit Savings Calculations'!$G384</f>
        <v>1</v>
      </c>
      <c r="V388" s="297">
        <f t="shared" si="207"/>
        <v>4770.2098616149406</v>
      </c>
      <c r="W388" s="297">
        <f t="shared" si="208"/>
        <v>4770.2098616149406</v>
      </c>
      <c r="X388" s="297">
        <f t="shared" si="209"/>
        <v>4770.2098616149406</v>
      </c>
      <c r="Y388" s="297">
        <f t="shared" si="210"/>
        <v>4770.2098616149406</v>
      </c>
      <c r="Z388" s="297">
        <f t="shared" si="211"/>
        <v>19080.839446459762</v>
      </c>
      <c r="AA388" s="292"/>
      <c r="AB388" s="292"/>
      <c r="AC388" s="295">
        <v>7.7438471779463322E-2</v>
      </c>
      <c r="AD388" s="292"/>
      <c r="AE388" s="297">
        <f t="shared" si="197"/>
        <v>4770.2098616149406</v>
      </c>
      <c r="AF388" s="294">
        <f t="shared" si="198"/>
        <v>0</v>
      </c>
      <c r="AG388" s="292"/>
      <c r="AH388" s="292">
        <f t="shared" si="199"/>
        <v>0</v>
      </c>
      <c r="AI388" s="295">
        <v>9.2988426666666665E-2</v>
      </c>
      <c r="AJ388" s="383" t="s">
        <v>1045</v>
      </c>
      <c r="AK388" s="297">
        <f t="shared" si="200"/>
        <v>5728.0870826666669</v>
      </c>
      <c r="AL388" s="294">
        <f t="shared" si="201"/>
        <v>957.87722105172634</v>
      </c>
      <c r="AM388" s="292"/>
      <c r="AN388" s="292"/>
      <c r="AO388" s="295">
        <f>'Unit Savings Calculations'!P384</f>
        <v>0.10228726933333333</v>
      </c>
      <c r="AP388" s="383" t="s">
        <v>1446</v>
      </c>
      <c r="AQ388" s="297">
        <f t="shared" si="202"/>
        <v>6300.895790933333</v>
      </c>
      <c r="AR388" s="294">
        <f t="shared" si="203"/>
        <v>1530.6859293183925</v>
      </c>
      <c r="AS388" s="292"/>
      <c r="AT388" s="292"/>
      <c r="AU388" s="295">
        <f>'Unit Savings Calculations'!Q384</f>
        <v>0.10228726933333333</v>
      </c>
      <c r="AV388" s="383" t="str">
        <f t="shared" si="186"/>
        <v>Updated algorithm with new variables</v>
      </c>
      <c r="AW388" s="297">
        <f t="shared" si="204"/>
        <v>6300.895790933333</v>
      </c>
      <c r="AX388" s="294">
        <f t="shared" si="205"/>
        <v>1530.6859293183925</v>
      </c>
      <c r="AY388" s="297">
        <f t="shared" si="187"/>
        <v>4770.2098616149406</v>
      </c>
      <c r="AZ388" s="297">
        <f t="shared" si="188"/>
        <v>5728.0870826666669</v>
      </c>
      <c r="BA388" s="297">
        <f t="shared" si="189"/>
        <v>6300.895790933333</v>
      </c>
      <c r="BB388" s="297">
        <f t="shared" si="190"/>
        <v>6300.895790933333</v>
      </c>
      <c r="BC388" s="298">
        <f t="shared" si="191"/>
        <v>23100.088526148273</v>
      </c>
      <c r="BD388" s="292" t="s">
        <v>763</v>
      </c>
      <c r="BE388" s="299" t="str">
        <f t="shared" si="192"/>
        <v>Exhibit 1.5A_R North Shore EEPS_Adjustable_Savings_Goal_Template.xlsx, Unit Savings Calculations Tab</v>
      </c>
      <c r="BF388" s="298">
        <f t="shared" si="193"/>
        <v>95404.197232298815</v>
      </c>
      <c r="BG388" s="298">
        <f t="shared" si="193"/>
        <v>95404.197232298815</v>
      </c>
      <c r="BH388" s="298">
        <f t="shared" si="193"/>
        <v>95404.197232298815</v>
      </c>
      <c r="BI388" s="298">
        <f t="shared" si="193"/>
        <v>95404.197232298815</v>
      </c>
      <c r="BJ388" s="298">
        <f t="shared" si="194"/>
        <v>381616.78892919526</v>
      </c>
      <c r="BK388" s="482">
        <v>20</v>
      </c>
      <c r="BL388" s="482">
        <v>20</v>
      </c>
      <c r="BM388" s="482">
        <f>INDEX('Unit Savings Calculations'!$I$4:$I$421,MATCH('Measure-Level Adjustments Tab'!$A388&amp;"_"&amp;'Measure-Level Adjustments Tab'!$B388,'Unit Savings Calculations'!$A$4:$A$421,0))</f>
        <v>20</v>
      </c>
      <c r="BN388" s="482">
        <f t="shared" si="195"/>
        <v>20</v>
      </c>
      <c r="BO388" s="483">
        <f t="shared" si="196"/>
        <v>95404.197232298815</v>
      </c>
      <c r="BP388" s="483">
        <f t="shared" si="196"/>
        <v>114561.74165333333</v>
      </c>
      <c r="BQ388" s="483">
        <f t="shared" si="196"/>
        <v>126017.91581866666</v>
      </c>
      <c r="BR388" s="483">
        <f t="shared" si="196"/>
        <v>126017.91581866666</v>
      </c>
      <c r="BS388" s="483">
        <f t="shared" si="185"/>
        <v>462001.77052296547</v>
      </c>
    </row>
    <row r="389" spans="1:71" ht="15.75" customHeight="1">
      <c r="A389" s="292" t="str">
        <f>'Unit Savings Calculations'!C385</f>
        <v>Low Income - SF Retrofit</v>
      </c>
      <c r="B389" s="292" t="str">
        <f>'Unit Savings Calculations'!D385</f>
        <v>Wall Insulation</v>
      </c>
      <c r="C389" s="293">
        <f t="shared" si="206"/>
        <v>1</v>
      </c>
      <c r="D389" s="292" t="str">
        <f>'Unit Savings Calculations'!T385</f>
        <v>5.6.4</v>
      </c>
      <c r="E389" s="438">
        <v>25</v>
      </c>
      <c r="F389" s="438">
        <v>20</v>
      </c>
      <c r="G389" s="292" t="str">
        <f>'Unit Savings Calculations'!E385</f>
        <v>sq ft</v>
      </c>
      <c r="H389" s="294">
        <f>'Unit Savings Calculations'!$F385*'Unit Savings Calculations'!J385</f>
        <v>8400</v>
      </c>
      <c r="I389" s="294">
        <f>'Unit Savings Calculations'!$F385*'Unit Savings Calculations'!K385</f>
        <v>8400</v>
      </c>
      <c r="J389" s="294">
        <f>'Unit Savings Calculations'!$F385*'Unit Savings Calculations'!L385</f>
        <v>8400</v>
      </c>
      <c r="K389" s="294">
        <f>'Unit Savings Calculations'!$F385*'Unit Savings Calculations'!M385</f>
        <v>8400</v>
      </c>
      <c r="L389" s="292" t="str">
        <f>'Unit Savings Calculations'!U385</f>
        <v>RS-SHL-AINS-V07-180101</v>
      </c>
      <c r="M389" s="383" t="str">
        <f>'Unit Savings Calculations'!R385</f>
        <v>Exhibit 1.5A_R North Shore EEPS_Adjustable_Savings_Goal_Template.xlsx, Unit Savings Calculations Tab</v>
      </c>
      <c r="N389" s="295">
        <v>7.8966183566101619E-2</v>
      </c>
      <c r="O389" s="295">
        <v>7.8966183566101619E-2</v>
      </c>
      <c r="P389" s="295">
        <v>7.8966183566101619E-2</v>
      </c>
      <c r="Q389" s="295">
        <v>7.8966183566101619E-2</v>
      </c>
      <c r="R389" s="296">
        <f>'Unit Savings Calculations'!$G385</f>
        <v>1</v>
      </c>
      <c r="S389" s="296">
        <f>'Unit Savings Calculations'!$G385</f>
        <v>1</v>
      </c>
      <c r="T389" s="296">
        <f>'Unit Savings Calculations'!$G385</f>
        <v>1</v>
      </c>
      <c r="U389" s="296">
        <f>'Unit Savings Calculations'!$G385</f>
        <v>1</v>
      </c>
      <c r="V389" s="297">
        <f t="shared" si="207"/>
        <v>663.31594195525361</v>
      </c>
      <c r="W389" s="297">
        <f t="shared" si="208"/>
        <v>663.31594195525361</v>
      </c>
      <c r="X389" s="297">
        <f t="shared" si="209"/>
        <v>663.31594195525361</v>
      </c>
      <c r="Y389" s="297">
        <f t="shared" si="210"/>
        <v>663.31594195525361</v>
      </c>
      <c r="Z389" s="297">
        <f t="shared" si="211"/>
        <v>2653.2637678210144</v>
      </c>
      <c r="AA389" s="292"/>
      <c r="AB389" s="292"/>
      <c r="AC389" s="295">
        <v>7.8966183566101619E-2</v>
      </c>
      <c r="AD389" s="292"/>
      <c r="AE389" s="297">
        <f t="shared" si="197"/>
        <v>663.31594195525361</v>
      </c>
      <c r="AF389" s="294">
        <f t="shared" si="198"/>
        <v>0</v>
      </c>
      <c r="AG389" s="292"/>
      <c r="AH389" s="292">
        <f t="shared" si="199"/>
        <v>0</v>
      </c>
      <c r="AI389" s="295">
        <v>7.90190909090909E-2</v>
      </c>
      <c r="AJ389" s="383" t="s">
        <v>1045</v>
      </c>
      <c r="AK389" s="297">
        <f t="shared" si="200"/>
        <v>663.76036363636354</v>
      </c>
      <c r="AL389" s="294">
        <f t="shared" si="201"/>
        <v>0.44442168110992952</v>
      </c>
      <c r="AM389" s="292"/>
      <c r="AN389" s="292"/>
      <c r="AO389" s="295">
        <f>'Unit Savings Calculations'!P385</f>
        <v>7.90190909090909E-2</v>
      </c>
      <c r="AP389" s="383" t="s">
        <v>763</v>
      </c>
      <c r="AQ389" s="297">
        <f t="shared" si="202"/>
        <v>663.76036363636354</v>
      </c>
      <c r="AR389" s="294">
        <f t="shared" si="203"/>
        <v>0.44442168110992952</v>
      </c>
      <c r="AS389" s="292"/>
      <c r="AT389" s="292"/>
      <c r="AU389" s="295">
        <f>'Unit Savings Calculations'!Q385</f>
        <v>7.90190909090909E-2</v>
      </c>
      <c r="AV389" s="383" t="str">
        <f t="shared" si="186"/>
        <v>n/a</v>
      </c>
      <c r="AW389" s="297">
        <f t="shared" si="204"/>
        <v>663.76036363636354</v>
      </c>
      <c r="AX389" s="294">
        <f t="shared" si="205"/>
        <v>0.44442168110992952</v>
      </c>
      <c r="AY389" s="297">
        <f t="shared" si="187"/>
        <v>663.31594195525361</v>
      </c>
      <c r="AZ389" s="297">
        <f t="shared" si="188"/>
        <v>663.76036363636354</v>
      </c>
      <c r="BA389" s="297">
        <f t="shared" si="189"/>
        <v>663.76036363636354</v>
      </c>
      <c r="BB389" s="297">
        <f t="shared" si="190"/>
        <v>663.76036363636354</v>
      </c>
      <c r="BC389" s="298">
        <f t="shared" si="191"/>
        <v>2654.5970328643443</v>
      </c>
      <c r="BD389" s="292" t="s">
        <v>763</v>
      </c>
      <c r="BE389" s="299" t="str">
        <f t="shared" si="192"/>
        <v>Exhibit 1.5A_R North Shore EEPS_Adjustable_Savings_Goal_Template.xlsx, Unit Savings Calculations Tab</v>
      </c>
      <c r="BF389" s="298">
        <f t="shared" si="193"/>
        <v>13266.318839105072</v>
      </c>
      <c r="BG389" s="298">
        <f t="shared" si="193"/>
        <v>13266.318839105072</v>
      </c>
      <c r="BH389" s="298">
        <f t="shared" si="193"/>
        <v>13266.318839105072</v>
      </c>
      <c r="BI389" s="298">
        <f t="shared" si="193"/>
        <v>13266.318839105072</v>
      </c>
      <c r="BJ389" s="298">
        <f t="shared" si="194"/>
        <v>53065.275356420287</v>
      </c>
      <c r="BK389" s="482">
        <v>20</v>
      </c>
      <c r="BL389" s="482">
        <v>20</v>
      </c>
      <c r="BM389" s="482">
        <f>INDEX('Unit Savings Calculations'!$I$4:$I$421,MATCH('Measure-Level Adjustments Tab'!$A389&amp;"_"&amp;'Measure-Level Adjustments Tab'!$B389,'Unit Savings Calculations'!$A$4:$A$421,0))</f>
        <v>20</v>
      </c>
      <c r="BN389" s="482">
        <f t="shared" si="195"/>
        <v>20</v>
      </c>
      <c r="BO389" s="483">
        <f t="shared" si="196"/>
        <v>13266.318839105072</v>
      </c>
      <c r="BP389" s="483">
        <f t="shared" si="196"/>
        <v>13275.207272727272</v>
      </c>
      <c r="BQ389" s="483">
        <f t="shared" si="196"/>
        <v>13275.207272727272</v>
      </c>
      <c r="BR389" s="483">
        <f t="shared" si="196"/>
        <v>13275.207272727272</v>
      </c>
      <c r="BS389" s="483">
        <f t="shared" si="185"/>
        <v>53091.94065728689</v>
      </c>
    </row>
    <row r="390" spans="1:71" ht="15.75" customHeight="1">
      <c r="A390" s="292" t="str">
        <f>'Unit Savings Calculations'!C386</f>
        <v>Low Income - SF Retrofit</v>
      </c>
      <c r="B390" s="292" t="str">
        <f>'Unit Savings Calculations'!D386</f>
        <v>Foundation Insulation</v>
      </c>
      <c r="C390" s="293">
        <f t="shared" si="206"/>
        <v>1</v>
      </c>
      <c r="D390" s="292" t="str">
        <f>'Unit Savings Calculations'!T386</f>
        <v>5.6.2</v>
      </c>
      <c r="E390" s="438">
        <v>25</v>
      </c>
      <c r="F390" s="438">
        <v>25</v>
      </c>
      <c r="G390" s="292" t="str">
        <f>'Unit Savings Calculations'!E386</f>
        <v>sq ft</v>
      </c>
      <c r="H390" s="294">
        <f>'Unit Savings Calculations'!$F386*'Unit Savings Calculations'!J386</f>
        <v>550</v>
      </c>
      <c r="I390" s="294">
        <f>'Unit Savings Calculations'!$F386*'Unit Savings Calculations'!K386</f>
        <v>550</v>
      </c>
      <c r="J390" s="294">
        <f>'Unit Savings Calculations'!$F386*'Unit Savings Calculations'!L386</f>
        <v>550</v>
      </c>
      <c r="K390" s="294">
        <f>'Unit Savings Calculations'!$F386*'Unit Savings Calculations'!M386</f>
        <v>550</v>
      </c>
      <c r="L390" s="292" t="str">
        <f>'Unit Savings Calculations'!U386</f>
        <v>RS-SHL-BINS-V08-180101</v>
      </c>
      <c r="M390" s="383" t="str">
        <f>'Unit Savings Calculations'!R386</f>
        <v>Exhibit 1.5A_R North Shore EEPS_Adjustable_Savings_Goal_Template.xlsx, Unit Savings Calculations Tab</v>
      </c>
      <c r="N390" s="295">
        <v>8.2417994229580488E-2</v>
      </c>
      <c r="O390" s="295">
        <v>8.2417994229580488E-2</v>
      </c>
      <c r="P390" s="295">
        <v>8.2417994229580488E-2</v>
      </c>
      <c r="Q390" s="295">
        <v>8.2417994229580488E-2</v>
      </c>
      <c r="R390" s="296">
        <f>'Unit Savings Calculations'!$G386</f>
        <v>1</v>
      </c>
      <c r="S390" s="296">
        <f>'Unit Savings Calculations'!$G386</f>
        <v>1</v>
      </c>
      <c r="T390" s="296">
        <f>'Unit Savings Calculations'!$G386</f>
        <v>1</v>
      </c>
      <c r="U390" s="296">
        <f>'Unit Savings Calculations'!$G386</f>
        <v>1</v>
      </c>
      <c r="V390" s="297">
        <f t="shared" si="207"/>
        <v>45.32989682626927</v>
      </c>
      <c r="W390" s="297">
        <f t="shared" si="208"/>
        <v>45.32989682626927</v>
      </c>
      <c r="X390" s="297">
        <f t="shared" si="209"/>
        <v>45.32989682626927</v>
      </c>
      <c r="Y390" s="297">
        <f t="shared" si="210"/>
        <v>45.32989682626927</v>
      </c>
      <c r="Z390" s="297">
        <f t="shared" si="211"/>
        <v>181.31958730507708</v>
      </c>
      <c r="AA390" s="292"/>
      <c r="AB390" s="292"/>
      <c r="AC390" s="295">
        <v>8.2417994229580488E-2</v>
      </c>
      <c r="AD390" s="292"/>
      <c r="AE390" s="297">
        <f t="shared" si="197"/>
        <v>45.32989682626927</v>
      </c>
      <c r="AF390" s="294">
        <f t="shared" si="198"/>
        <v>0</v>
      </c>
      <c r="AG390" s="292"/>
      <c r="AH390" s="292">
        <f t="shared" si="199"/>
        <v>0</v>
      </c>
      <c r="AI390" s="295">
        <v>8.2417994229580488E-2</v>
      </c>
      <c r="AJ390" s="383" t="s">
        <v>878</v>
      </c>
      <c r="AK390" s="297">
        <f t="shared" si="200"/>
        <v>45.32989682626927</v>
      </c>
      <c r="AL390" s="294">
        <f t="shared" si="201"/>
        <v>0</v>
      </c>
      <c r="AM390" s="292"/>
      <c r="AN390" s="292"/>
      <c r="AO390" s="295">
        <f>'Unit Savings Calculations'!P386</f>
        <v>8.2417994229580488E-2</v>
      </c>
      <c r="AP390" s="383" t="s">
        <v>763</v>
      </c>
      <c r="AQ390" s="297">
        <f t="shared" si="202"/>
        <v>45.32989682626927</v>
      </c>
      <c r="AR390" s="294">
        <f t="shared" si="203"/>
        <v>0</v>
      </c>
      <c r="AS390" s="292"/>
      <c r="AT390" s="292"/>
      <c r="AU390" s="295">
        <f>'Unit Savings Calculations'!Q386</f>
        <v>8.2417994229580488E-2</v>
      </c>
      <c r="AV390" s="383" t="str">
        <f t="shared" si="186"/>
        <v>n/a</v>
      </c>
      <c r="AW390" s="297">
        <f t="shared" si="204"/>
        <v>45.32989682626927</v>
      </c>
      <c r="AX390" s="294">
        <f t="shared" si="205"/>
        <v>0</v>
      </c>
      <c r="AY390" s="297">
        <f t="shared" si="187"/>
        <v>45.32989682626927</v>
      </c>
      <c r="AZ390" s="297">
        <f t="shared" si="188"/>
        <v>45.32989682626927</v>
      </c>
      <c r="BA390" s="297">
        <f t="shared" si="189"/>
        <v>45.32989682626927</v>
      </c>
      <c r="BB390" s="297">
        <f t="shared" si="190"/>
        <v>45.32989682626927</v>
      </c>
      <c r="BC390" s="298">
        <f t="shared" si="191"/>
        <v>181.31958730507708</v>
      </c>
      <c r="BD390" s="292" t="s">
        <v>763</v>
      </c>
      <c r="BE390" s="299" t="str">
        <f t="shared" si="192"/>
        <v>Exhibit 1.5A_R North Shore EEPS_Adjustable_Savings_Goal_Template.xlsx, Unit Savings Calculations Tab</v>
      </c>
      <c r="BF390" s="298">
        <f t="shared" si="193"/>
        <v>1133.2474206567317</v>
      </c>
      <c r="BG390" s="298">
        <f t="shared" si="193"/>
        <v>1133.2474206567317</v>
      </c>
      <c r="BH390" s="298">
        <f t="shared" si="193"/>
        <v>1133.2474206567317</v>
      </c>
      <c r="BI390" s="298">
        <f t="shared" si="193"/>
        <v>1133.2474206567317</v>
      </c>
      <c r="BJ390" s="298">
        <f t="shared" si="194"/>
        <v>4532.9896826269269</v>
      </c>
      <c r="BK390" s="482">
        <v>25</v>
      </c>
      <c r="BL390" s="482">
        <v>25</v>
      </c>
      <c r="BM390" s="482">
        <f>INDEX('Unit Savings Calculations'!$I$4:$I$421,MATCH('Measure-Level Adjustments Tab'!$A390&amp;"_"&amp;'Measure-Level Adjustments Tab'!$B390,'Unit Savings Calculations'!$A$4:$A$421,0))</f>
        <v>25</v>
      </c>
      <c r="BN390" s="482">
        <f t="shared" si="195"/>
        <v>25</v>
      </c>
      <c r="BO390" s="483">
        <f t="shared" si="196"/>
        <v>1133.2474206567317</v>
      </c>
      <c r="BP390" s="483">
        <f t="shared" si="196"/>
        <v>1133.2474206567317</v>
      </c>
      <c r="BQ390" s="483">
        <f t="shared" si="196"/>
        <v>1133.2474206567317</v>
      </c>
      <c r="BR390" s="483">
        <f t="shared" si="196"/>
        <v>1133.2474206567317</v>
      </c>
      <c r="BS390" s="483">
        <f t="shared" si="185"/>
        <v>4532.9896826269269</v>
      </c>
    </row>
    <row r="391" spans="1:71" ht="15.75" customHeight="1">
      <c r="A391" s="292" t="str">
        <f>'Unit Savings Calculations'!C387</f>
        <v>Low Income - SF Retrofit</v>
      </c>
      <c r="B391" s="292" t="str">
        <f>'Unit Savings Calculations'!D387</f>
        <v>Rim Joist Insulation</v>
      </c>
      <c r="C391" s="293">
        <f t="shared" si="206"/>
        <v>1</v>
      </c>
      <c r="D391" s="292" t="str">
        <f>'Unit Savings Calculations'!T387</f>
        <v>5.6.4</v>
      </c>
      <c r="E391" s="438">
        <v>25</v>
      </c>
      <c r="F391" s="438">
        <v>25</v>
      </c>
      <c r="G391" s="292" t="str">
        <f>'Unit Savings Calculations'!E387</f>
        <v>sq ft</v>
      </c>
      <c r="H391" s="294">
        <f>'Unit Savings Calculations'!$F387*'Unit Savings Calculations'!J387</f>
        <v>550</v>
      </c>
      <c r="I391" s="294">
        <f>'Unit Savings Calculations'!$F387*'Unit Savings Calculations'!K387</f>
        <v>550</v>
      </c>
      <c r="J391" s="294">
        <f>'Unit Savings Calculations'!$F387*'Unit Savings Calculations'!L387</f>
        <v>550</v>
      </c>
      <c r="K391" s="294">
        <f>'Unit Savings Calculations'!$F387*'Unit Savings Calculations'!M387</f>
        <v>550</v>
      </c>
      <c r="L391" s="292" t="str">
        <f>'Unit Savings Calculations'!U387</f>
        <v>RS-SHL-AINS-V07-180101</v>
      </c>
      <c r="M391" s="383" t="str">
        <f>'Unit Savings Calculations'!R387</f>
        <v>Exhibit 1.5A_R North Shore EEPS_Adjustable_Savings_Goal_Template.xlsx, Unit Savings Calculations Tab</v>
      </c>
      <c r="N391" s="295">
        <v>0.51095765836889295</v>
      </c>
      <c r="O391" s="295">
        <v>0.51095765836889295</v>
      </c>
      <c r="P391" s="295">
        <v>0.51095765836889295</v>
      </c>
      <c r="Q391" s="295">
        <v>0.51095765836889295</v>
      </c>
      <c r="R391" s="296">
        <f>'Unit Savings Calculations'!$G387</f>
        <v>1</v>
      </c>
      <c r="S391" s="296">
        <f>'Unit Savings Calculations'!$G387</f>
        <v>1</v>
      </c>
      <c r="T391" s="296">
        <f>'Unit Savings Calculations'!$G387</f>
        <v>1</v>
      </c>
      <c r="U391" s="296">
        <f>'Unit Savings Calculations'!$G387</f>
        <v>1</v>
      </c>
      <c r="V391" s="297">
        <f t="shared" si="207"/>
        <v>281.02671210289111</v>
      </c>
      <c r="W391" s="297">
        <f t="shared" si="208"/>
        <v>281.02671210289111</v>
      </c>
      <c r="X391" s="297">
        <f t="shared" si="209"/>
        <v>281.02671210289111</v>
      </c>
      <c r="Y391" s="297">
        <f t="shared" si="210"/>
        <v>281.02671210289111</v>
      </c>
      <c r="Z391" s="297">
        <f t="shared" si="211"/>
        <v>1124.1068484115644</v>
      </c>
      <c r="AA391" s="292"/>
      <c r="AB391" s="292"/>
      <c r="AC391" s="295">
        <v>0.51095765836889295</v>
      </c>
      <c r="AD391" s="292"/>
      <c r="AE391" s="297">
        <f t="shared" si="197"/>
        <v>281.02671210289111</v>
      </c>
      <c r="AF391" s="294">
        <f t="shared" si="198"/>
        <v>0</v>
      </c>
      <c r="AG391" s="292"/>
      <c r="AH391" s="292">
        <f t="shared" si="199"/>
        <v>0</v>
      </c>
      <c r="AI391" s="295">
        <v>0.6476466666666667</v>
      </c>
      <c r="AJ391" s="383" t="s">
        <v>1045</v>
      </c>
      <c r="AK391" s="297">
        <f t="shared" si="200"/>
        <v>356.20566666666667</v>
      </c>
      <c r="AL391" s="294">
        <f t="shared" si="201"/>
        <v>75.178954563775562</v>
      </c>
      <c r="AM391" s="292"/>
      <c r="AN391" s="292"/>
      <c r="AO391" s="295">
        <f>'Unit Savings Calculations'!P387</f>
        <v>0.6476466666666667</v>
      </c>
      <c r="AP391" s="383" t="s">
        <v>763</v>
      </c>
      <c r="AQ391" s="297">
        <f t="shared" si="202"/>
        <v>356.20566666666667</v>
      </c>
      <c r="AR391" s="294">
        <f t="shared" si="203"/>
        <v>75.178954563775562</v>
      </c>
      <c r="AS391" s="292"/>
      <c r="AT391" s="292"/>
      <c r="AU391" s="295">
        <f>'Unit Savings Calculations'!Q387</f>
        <v>0.6476466666666667</v>
      </c>
      <c r="AV391" s="383" t="str">
        <f t="shared" si="186"/>
        <v>n/a</v>
      </c>
      <c r="AW391" s="297">
        <f t="shared" si="204"/>
        <v>356.20566666666667</v>
      </c>
      <c r="AX391" s="294">
        <f t="shared" si="205"/>
        <v>75.178954563775562</v>
      </c>
      <c r="AY391" s="297">
        <f t="shared" si="187"/>
        <v>281.02671210289111</v>
      </c>
      <c r="AZ391" s="297">
        <f t="shared" si="188"/>
        <v>356.20566666666667</v>
      </c>
      <c r="BA391" s="297">
        <f t="shared" si="189"/>
        <v>356.20566666666667</v>
      </c>
      <c r="BB391" s="297">
        <f t="shared" si="190"/>
        <v>356.20566666666667</v>
      </c>
      <c r="BC391" s="298">
        <f t="shared" si="191"/>
        <v>1349.6437121028912</v>
      </c>
      <c r="BD391" s="292" t="s">
        <v>763</v>
      </c>
      <c r="BE391" s="299" t="str">
        <f t="shared" si="192"/>
        <v>Exhibit 1.5A_R North Shore EEPS_Adjustable_Savings_Goal_Template.xlsx, Unit Savings Calculations Tab</v>
      </c>
      <c r="BF391" s="298">
        <f t="shared" si="193"/>
        <v>7025.6678025722777</v>
      </c>
      <c r="BG391" s="298">
        <f t="shared" si="193"/>
        <v>7025.6678025722777</v>
      </c>
      <c r="BH391" s="298">
        <f t="shared" si="193"/>
        <v>7025.6678025722777</v>
      </c>
      <c r="BI391" s="298">
        <f t="shared" si="193"/>
        <v>7025.6678025722777</v>
      </c>
      <c r="BJ391" s="298">
        <f t="shared" si="194"/>
        <v>28102.671210289111</v>
      </c>
      <c r="BK391" s="482">
        <v>25</v>
      </c>
      <c r="BL391" s="482">
        <v>25</v>
      </c>
      <c r="BM391" s="482">
        <f>INDEX('Unit Savings Calculations'!$I$4:$I$421,MATCH('Measure-Level Adjustments Tab'!$A391&amp;"_"&amp;'Measure-Level Adjustments Tab'!$B391,'Unit Savings Calculations'!$A$4:$A$421,0))</f>
        <v>25</v>
      </c>
      <c r="BN391" s="482">
        <f t="shared" si="195"/>
        <v>25</v>
      </c>
      <c r="BO391" s="483">
        <f t="shared" si="196"/>
        <v>7025.6678025722777</v>
      </c>
      <c r="BP391" s="483">
        <f t="shared" si="196"/>
        <v>8905.1416666666664</v>
      </c>
      <c r="BQ391" s="483">
        <f t="shared" si="196"/>
        <v>8905.1416666666664</v>
      </c>
      <c r="BR391" s="483">
        <f t="shared" si="196"/>
        <v>8905.1416666666664</v>
      </c>
      <c r="BS391" s="483">
        <f t="shared" si="185"/>
        <v>33741.092802572282</v>
      </c>
    </row>
    <row r="392" spans="1:71" ht="15.75" customHeight="1">
      <c r="A392" s="292" t="str">
        <f>'Unit Savings Calculations'!C388</f>
        <v>Low Income - SF Retrofit</v>
      </c>
      <c r="B392" s="292" t="str">
        <f>'Unit Savings Calculations'!D388</f>
        <v>Water Heater - Storage 0.67 EF</v>
      </c>
      <c r="C392" s="293">
        <f t="shared" si="206"/>
        <v>1</v>
      </c>
      <c r="D392" s="292" t="str">
        <f>'Unit Savings Calculations'!T388</f>
        <v>5.4.2</v>
      </c>
      <c r="E392" s="438">
        <v>13</v>
      </c>
      <c r="F392" s="438">
        <v>13</v>
      </c>
      <c r="G392" s="292" t="str">
        <f>'Unit Savings Calculations'!E388</f>
        <v>each</v>
      </c>
      <c r="H392" s="294">
        <f>'Unit Savings Calculations'!$F388*'Unit Savings Calculations'!J388</f>
        <v>3</v>
      </c>
      <c r="I392" s="294">
        <f>'Unit Savings Calculations'!$F388*'Unit Savings Calculations'!K388</f>
        <v>3</v>
      </c>
      <c r="J392" s="294">
        <f>'Unit Savings Calculations'!$F388*'Unit Savings Calculations'!L388</f>
        <v>3</v>
      </c>
      <c r="K392" s="294">
        <f>'Unit Savings Calculations'!$F388*'Unit Savings Calculations'!M388</f>
        <v>3</v>
      </c>
      <c r="L392" s="292" t="str">
        <f>'Unit Savings Calculations'!U388</f>
        <v>RS-HWE-GWHT-V07-180101</v>
      </c>
      <c r="M392" s="383" t="str">
        <f>'Unit Savings Calculations'!R388</f>
        <v>Exhibit 1.5A_R North Shore EEPS_Adjustable_Savings_Goal_Template.xlsx, Unit Savings Calculations Tab</v>
      </c>
      <c r="N392" s="295">
        <v>12.991490464011658</v>
      </c>
      <c r="O392" s="295">
        <v>12.991490464011658</v>
      </c>
      <c r="P392" s="295">
        <v>12.991490464011658</v>
      </c>
      <c r="Q392" s="295">
        <v>12.991490464011658</v>
      </c>
      <c r="R392" s="296">
        <f>'Unit Savings Calculations'!$G388</f>
        <v>1</v>
      </c>
      <c r="S392" s="296">
        <f>'Unit Savings Calculations'!$G388</f>
        <v>1</v>
      </c>
      <c r="T392" s="296">
        <f>'Unit Savings Calculations'!$G388</f>
        <v>1</v>
      </c>
      <c r="U392" s="296">
        <f>'Unit Savings Calculations'!$G388</f>
        <v>1</v>
      </c>
      <c r="V392" s="297">
        <f t="shared" si="207"/>
        <v>38.974471392034971</v>
      </c>
      <c r="W392" s="297">
        <f t="shared" si="208"/>
        <v>38.974471392034971</v>
      </c>
      <c r="X392" s="297">
        <f t="shared" si="209"/>
        <v>38.974471392034971</v>
      </c>
      <c r="Y392" s="297">
        <f t="shared" si="210"/>
        <v>38.974471392034971</v>
      </c>
      <c r="Z392" s="297">
        <f t="shared" si="211"/>
        <v>155.89788556813988</v>
      </c>
      <c r="AA392" s="292"/>
      <c r="AB392" s="292"/>
      <c r="AC392" s="295">
        <v>12.991490464011658</v>
      </c>
      <c r="AD392" s="292"/>
      <c r="AE392" s="297">
        <f t="shared" si="197"/>
        <v>38.974471392034971</v>
      </c>
      <c r="AF392" s="294">
        <f t="shared" si="198"/>
        <v>0</v>
      </c>
      <c r="AG392" s="292"/>
      <c r="AH392" s="292">
        <f t="shared" si="199"/>
        <v>0</v>
      </c>
      <c r="AI392" s="295">
        <v>15.645447674402874</v>
      </c>
      <c r="AJ392" s="383" t="s">
        <v>1012</v>
      </c>
      <c r="AK392" s="297">
        <f t="shared" si="200"/>
        <v>46.936343023208622</v>
      </c>
      <c r="AL392" s="294">
        <f t="shared" si="201"/>
        <v>7.9618716311736506</v>
      </c>
      <c r="AM392" s="292"/>
      <c r="AN392" s="292"/>
      <c r="AO392" s="295">
        <f>'Unit Savings Calculations'!P388</f>
        <v>15.645447674402874</v>
      </c>
      <c r="AP392" s="383" t="s">
        <v>763</v>
      </c>
      <c r="AQ392" s="297">
        <f t="shared" si="202"/>
        <v>46.936343023208622</v>
      </c>
      <c r="AR392" s="294">
        <f t="shared" si="203"/>
        <v>7.9618716311736506</v>
      </c>
      <c r="AS392" s="292"/>
      <c r="AT392" s="292"/>
      <c r="AU392" s="295">
        <f>'Unit Savings Calculations'!Q388</f>
        <v>15.645447674402874</v>
      </c>
      <c r="AV392" s="383" t="str">
        <f t="shared" si="186"/>
        <v>n/a</v>
      </c>
      <c r="AW392" s="297">
        <f t="shared" si="204"/>
        <v>46.936343023208622</v>
      </c>
      <c r="AX392" s="294">
        <f t="shared" si="205"/>
        <v>7.9618716311736506</v>
      </c>
      <c r="AY392" s="297">
        <f t="shared" si="187"/>
        <v>38.974471392034971</v>
      </c>
      <c r="AZ392" s="297">
        <f t="shared" si="188"/>
        <v>46.936343023208622</v>
      </c>
      <c r="BA392" s="297">
        <f t="shared" si="189"/>
        <v>46.936343023208622</v>
      </c>
      <c r="BB392" s="297">
        <f t="shared" si="190"/>
        <v>46.936343023208622</v>
      </c>
      <c r="BC392" s="298">
        <f t="shared" si="191"/>
        <v>179.78350046166082</v>
      </c>
      <c r="BD392" s="292" t="s">
        <v>763</v>
      </c>
      <c r="BE392" s="299" t="str">
        <f t="shared" si="192"/>
        <v>Exhibit 1.5A_R North Shore EEPS_Adjustable_Savings_Goal_Template.xlsx, Unit Savings Calculations Tab</v>
      </c>
      <c r="BF392" s="298">
        <f t="shared" si="193"/>
        <v>506.66812809645461</v>
      </c>
      <c r="BG392" s="298">
        <f t="shared" si="193"/>
        <v>506.66812809645461</v>
      </c>
      <c r="BH392" s="298">
        <f t="shared" si="193"/>
        <v>506.66812809645461</v>
      </c>
      <c r="BI392" s="298">
        <f t="shared" ref="BI392:BI425" si="212">$F392*Y392</f>
        <v>506.66812809645461</v>
      </c>
      <c r="BJ392" s="298">
        <f t="shared" si="194"/>
        <v>2026.6725123858184</v>
      </c>
      <c r="BK392" s="482">
        <v>13</v>
      </c>
      <c r="BL392" s="482">
        <v>13</v>
      </c>
      <c r="BM392" s="482">
        <f>INDEX('Unit Savings Calculations'!$I$4:$I$421,MATCH('Measure-Level Adjustments Tab'!$A392&amp;"_"&amp;'Measure-Level Adjustments Tab'!$B392,'Unit Savings Calculations'!$A$4:$A$421,0))</f>
        <v>13</v>
      </c>
      <c r="BN392" s="482">
        <f t="shared" si="195"/>
        <v>13</v>
      </c>
      <c r="BO392" s="483">
        <f t="shared" si="196"/>
        <v>506.66812809645461</v>
      </c>
      <c r="BP392" s="483">
        <f t="shared" si="196"/>
        <v>610.17245930171202</v>
      </c>
      <c r="BQ392" s="483">
        <f t="shared" si="196"/>
        <v>610.17245930171202</v>
      </c>
      <c r="BR392" s="483">
        <f t="shared" ref="BR392:BR425" si="213">BB392*BN392</f>
        <v>610.17245930171202</v>
      </c>
      <c r="BS392" s="483">
        <f t="shared" ref="BS392:BS425" si="214">SUM(BO392:BR392)</f>
        <v>2337.1855060015905</v>
      </c>
    </row>
    <row r="393" spans="1:71" ht="15.75" customHeight="1">
      <c r="A393" s="292" t="str">
        <f>'Unit Savings Calculations'!C389</f>
        <v>Low Income - SF Retrofit</v>
      </c>
      <c r="B393" s="292" t="str">
        <f>'Unit Savings Calculations'!D389</f>
        <v>Boiler ≥90% AFUE, &lt;300MBh</v>
      </c>
      <c r="C393" s="293">
        <f t="shared" si="206"/>
        <v>1</v>
      </c>
      <c r="D393" s="292" t="str">
        <f>'Unit Savings Calculations'!T389</f>
        <v>5.3.6</v>
      </c>
      <c r="E393" s="438">
        <v>25</v>
      </c>
      <c r="F393" s="438">
        <v>25</v>
      </c>
      <c r="G393" s="292" t="str">
        <f>'Unit Savings Calculations'!E389</f>
        <v>each</v>
      </c>
      <c r="H393" s="294">
        <f>'Unit Savings Calculations'!$F389*'Unit Savings Calculations'!J389</f>
        <v>3</v>
      </c>
      <c r="I393" s="294">
        <f>'Unit Savings Calculations'!$F389*'Unit Savings Calculations'!K389</f>
        <v>3</v>
      </c>
      <c r="J393" s="294">
        <f>'Unit Savings Calculations'!$F389*'Unit Savings Calculations'!L389</f>
        <v>3</v>
      </c>
      <c r="K393" s="294">
        <f>'Unit Savings Calculations'!$F389*'Unit Savings Calculations'!M389</f>
        <v>3</v>
      </c>
      <c r="L393" s="292" t="str">
        <f>'Unit Savings Calculations'!U389</f>
        <v>RS-HVC-GHEB-V06-180101</v>
      </c>
      <c r="M393" s="383" t="str">
        <f>'Unit Savings Calculations'!R389</f>
        <v>Exhibit 1.5A_R North Shore EEPS_Adjustable_Savings_Goal_Template.xlsx, Unit Savings Calculations Tab</v>
      </c>
      <c r="N393" s="295">
        <v>132.03252032520317</v>
      </c>
      <c r="O393" s="295">
        <v>132.03252032520317</v>
      </c>
      <c r="P393" s="295">
        <v>132.03252032520317</v>
      </c>
      <c r="Q393" s="295">
        <v>132.03252032520317</v>
      </c>
      <c r="R393" s="296">
        <f>'Unit Savings Calculations'!$G389</f>
        <v>1</v>
      </c>
      <c r="S393" s="296">
        <f>'Unit Savings Calculations'!$G389</f>
        <v>1</v>
      </c>
      <c r="T393" s="296">
        <f>'Unit Savings Calculations'!$G389</f>
        <v>1</v>
      </c>
      <c r="U393" s="296">
        <f>'Unit Savings Calculations'!$G389</f>
        <v>1</v>
      </c>
      <c r="V393" s="297">
        <f t="shared" si="207"/>
        <v>396.0975609756095</v>
      </c>
      <c r="W393" s="297">
        <f t="shared" si="208"/>
        <v>396.0975609756095</v>
      </c>
      <c r="X393" s="297">
        <f t="shared" si="209"/>
        <v>396.0975609756095</v>
      </c>
      <c r="Y393" s="297">
        <f t="shared" si="210"/>
        <v>396.0975609756095</v>
      </c>
      <c r="Z393" s="297">
        <f t="shared" si="211"/>
        <v>1584.390243902438</v>
      </c>
      <c r="AA393" s="292"/>
      <c r="AB393" s="292"/>
      <c r="AC393" s="295">
        <v>132.03252032520317</v>
      </c>
      <c r="AD393" s="292"/>
      <c r="AE393" s="297">
        <f t="shared" si="197"/>
        <v>396.0975609756095</v>
      </c>
      <c r="AF393" s="294">
        <f t="shared" si="198"/>
        <v>0</v>
      </c>
      <c r="AG393" s="292"/>
      <c r="AH393" s="292">
        <f t="shared" si="199"/>
        <v>0</v>
      </c>
      <c r="AI393" s="295">
        <v>95.219512195122036</v>
      </c>
      <c r="AJ393" s="383" t="s">
        <v>1000</v>
      </c>
      <c r="AK393" s="297">
        <f t="shared" si="200"/>
        <v>285.65853658536611</v>
      </c>
      <c r="AL393" s="294">
        <f t="shared" si="201"/>
        <v>-110.43902439024339</v>
      </c>
      <c r="AM393" s="292"/>
      <c r="AN393" s="292"/>
      <c r="AO393" s="295">
        <f>'Unit Savings Calculations'!P389</f>
        <v>95.219512195122036</v>
      </c>
      <c r="AP393" s="383" t="s">
        <v>763</v>
      </c>
      <c r="AQ393" s="297">
        <f t="shared" si="202"/>
        <v>285.65853658536611</v>
      </c>
      <c r="AR393" s="294">
        <f t="shared" si="203"/>
        <v>-110.43902439024339</v>
      </c>
      <c r="AS393" s="292"/>
      <c r="AT393" s="292"/>
      <c r="AU393" s="295">
        <f>'Unit Savings Calculations'!Q389</f>
        <v>95.219512195122036</v>
      </c>
      <c r="AV393" s="383" t="str">
        <f t="shared" ref="AV393:AV425" si="215">AP393</f>
        <v>n/a</v>
      </c>
      <c r="AW393" s="297">
        <f t="shared" si="204"/>
        <v>285.65853658536611</v>
      </c>
      <c r="AX393" s="294">
        <f t="shared" si="205"/>
        <v>-110.43902439024339</v>
      </c>
      <c r="AY393" s="297">
        <f t="shared" ref="AY393:AY425" si="216">IF(C393=1,AE393,V393)</f>
        <v>396.0975609756095</v>
      </c>
      <c r="AZ393" s="297">
        <f t="shared" ref="AZ393:AZ425" si="217">IF(C393=1,AK393,W393)</f>
        <v>285.65853658536611</v>
      </c>
      <c r="BA393" s="297">
        <f t="shared" ref="BA393:BA425" si="218">IF(C393=1,AQ393,X393)</f>
        <v>285.65853658536611</v>
      </c>
      <c r="BB393" s="297">
        <f t="shared" ref="BB393:BB425" si="219">IF(C393=1,AW393,Y393)</f>
        <v>285.65853658536611</v>
      </c>
      <c r="BC393" s="298">
        <f t="shared" ref="BC393:BC425" si="220">AY393+AZ393+BA393+BB393</f>
        <v>1253.0731707317079</v>
      </c>
      <c r="BD393" s="292" t="s">
        <v>763</v>
      </c>
      <c r="BE393" s="299" t="str">
        <f t="shared" ref="BE393:BE425" si="221">M393</f>
        <v>Exhibit 1.5A_R North Shore EEPS_Adjustable_Savings_Goal_Template.xlsx, Unit Savings Calculations Tab</v>
      </c>
      <c r="BF393" s="298">
        <f t="shared" ref="BF393:BH425" si="222">$F393*V393</f>
        <v>9902.439024390238</v>
      </c>
      <c r="BG393" s="298">
        <f t="shared" si="222"/>
        <v>9902.439024390238</v>
      </c>
      <c r="BH393" s="298">
        <f t="shared" si="222"/>
        <v>9902.439024390238</v>
      </c>
      <c r="BI393" s="298">
        <f t="shared" si="212"/>
        <v>9902.439024390238</v>
      </c>
      <c r="BJ393" s="298">
        <f t="shared" ref="BJ393:BJ425" si="223">SUM(BF393:BI393)</f>
        <v>39609.756097560952</v>
      </c>
      <c r="BK393" s="482">
        <v>25</v>
      </c>
      <c r="BL393" s="482">
        <v>25</v>
      </c>
      <c r="BM393" s="482">
        <f>INDEX('Unit Savings Calculations'!$I$4:$I$421,MATCH('Measure-Level Adjustments Tab'!$A393&amp;"_"&amp;'Measure-Level Adjustments Tab'!$B393,'Unit Savings Calculations'!$A$4:$A$421,0))</f>
        <v>25</v>
      </c>
      <c r="BN393" s="482">
        <f t="shared" ref="BN393:BN425" si="224">BM393</f>
        <v>25</v>
      </c>
      <c r="BO393" s="483">
        <f t="shared" ref="BO393:BQ425" si="225">AY393*BK393</f>
        <v>9902.439024390238</v>
      </c>
      <c r="BP393" s="483">
        <f t="shared" si="225"/>
        <v>7141.4634146341523</v>
      </c>
      <c r="BQ393" s="483">
        <f t="shared" si="225"/>
        <v>7141.4634146341523</v>
      </c>
      <c r="BR393" s="483">
        <f t="shared" si="213"/>
        <v>7141.4634146341523</v>
      </c>
      <c r="BS393" s="483">
        <f t="shared" si="214"/>
        <v>31326.829268292695</v>
      </c>
    </row>
    <row r="394" spans="1:71" ht="15.75" customHeight="1">
      <c r="A394" s="292" t="str">
        <f>'Unit Savings Calculations'!C390</f>
        <v>Low Income - SF Retrofit</v>
      </c>
      <c r="B394" s="292" t="str">
        <f>'Unit Savings Calculations'!D390</f>
        <v>Furnace &gt;95% AFUE</v>
      </c>
      <c r="C394" s="293">
        <f t="shared" si="206"/>
        <v>1</v>
      </c>
      <c r="D394" s="292" t="str">
        <f>'Unit Savings Calculations'!T390</f>
        <v>5.3.7</v>
      </c>
      <c r="E394" s="438">
        <v>20</v>
      </c>
      <c r="F394" s="438">
        <v>20</v>
      </c>
      <c r="G394" s="292" t="str">
        <f>'Unit Savings Calculations'!E390</f>
        <v>each</v>
      </c>
      <c r="H394" s="294">
        <f>'Unit Savings Calculations'!$F390*'Unit Savings Calculations'!J390</f>
        <v>3</v>
      </c>
      <c r="I394" s="294">
        <f>'Unit Savings Calculations'!$F390*'Unit Savings Calculations'!K390</f>
        <v>3</v>
      </c>
      <c r="J394" s="294">
        <f>'Unit Savings Calculations'!$F390*'Unit Savings Calculations'!L390</f>
        <v>3</v>
      </c>
      <c r="K394" s="294">
        <f>'Unit Savings Calculations'!$F390*'Unit Savings Calculations'!M390</f>
        <v>3</v>
      </c>
      <c r="L394" s="292" t="str">
        <f>'Unit Savings Calculations'!U390</f>
        <v>RS-HVC-GHEF-V07-180101</v>
      </c>
      <c r="M394" s="383" t="str">
        <f>'Unit Savings Calculations'!R390</f>
        <v>Exhibit 1.5A_R North Shore EEPS_Adjustable_Savings_Goal_Template.xlsx, Unit Savings Calculations Tab</v>
      </c>
      <c r="N394" s="295">
        <v>175.86032388663946</v>
      </c>
      <c r="O394" s="295">
        <v>175.86032388663946</v>
      </c>
      <c r="P394" s="295">
        <v>175.86032388663946</v>
      </c>
      <c r="Q394" s="295">
        <v>175.86032388663946</v>
      </c>
      <c r="R394" s="296">
        <f>'Unit Savings Calculations'!$G390</f>
        <v>1</v>
      </c>
      <c r="S394" s="296">
        <f>'Unit Savings Calculations'!$G390</f>
        <v>1</v>
      </c>
      <c r="T394" s="296">
        <f>'Unit Savings Calculations'!$G390</f>
        <v>1</v>
      </c>
      <c r="U394" s="296">
        <f>'Unit Savings Calculations'!$G390</f>
        <v>1</v>
      </c>
      <c r="V394" s="297">
        <f t="shared" si="207"/>
        <v>527.58097165991842</v>
      </c>
      <c r="W394" s="297">
        <f t="shared" si="208"/>
        <v>527.58097165991842</v>
      </c>
      <c r="X394" s="297">
        <f t="shared" si="209"/>
        <v>527.58097165991842</v>
      </c>
      <c r="Y394" s="297">
        <f t="shared" si="210"/>
        <v>527.58097165991842</v>
      </c>
      <c r="Z394" s="297">
        <f t="shared" si="211"/>
        <v>2110.3238866396737</v>
      </c>
      <c r="AA394" s="292"/>
      <c r="AB394" s="292"/>
      <c r="AC394" s="295">
        <v>175.86032388663946</v>
      </c>
      <c r="AD394" s="292"/>
      <c r="AE394" s="297">
        <f t="shared" ref="AE394:AE425" si="226">H394*AC394*R394</f>
        <v>527.58097165991842</v>
      </c>
      <c r="AF394" s="294">
        <f t="shared" ref="AF394:AF425" si="227">AE394-V394</f>
        <v>0</v>
      </c>
      <c r="AG394" s="292"/>
      <c r="AH394" s="292">
        <f t="shared" ref="AH394:AH425" si="228">AB394</f>
        <v>0</v>
      </c>
      <c r="AI394" s="295">
        <v>156.41025641025624</v>
      </c>
      <c r="AJ394" s="383" t="s">
        <v>1000</v>
      </c>
      <c r="AK394" s="297">
        <f t="shared" ref="AK394:AK425" si="229">I394*AI394*S394</f>
        <v>469.23076923076871</v>
      </c>
      <c r="AL394" s="294">
        <f t="shared" ref="AL394:AL425" si="230">AK394-W394</f>
        <v>-58.350202429149704</v>
      </c>
      <c r="AM394" s="292"/>
      <c r="AN394" s="292"/>
      <c r="AO394" s="295">
        <f>'Unit Savings Calculations'!P390</f>
        <v>156.41025641025624</v>
      </c>
      <c r="AP394" s="383" t="s">
        <v>763</v>
      </c>
      <c r="AQ394" s="297">
        <f t="shared" ref="AQ394:AQ425" si="231">J394*AO394*T394</f>
        <v>469.23076923076871</v>
      </c>
      <c r="AR394" s="294">
        <f t="shared" ref="AR394:AR425" si="232">AQ394-X394</f>
        <v>-58.350202429149704</v>
      </c>
      <c r="AS394" s="292"/>
      <c r="AT394" s="292"/>
      <c r="AU394" s="295">
        <f>'Unit Savings Calculations'!Q390</f>
        <v>156.41025641025624</v>
      </c>
      <c r="AV394" s="383" t="str">
        <f t="shared" si="215"/>
        <v>n/a</v>
      </c>
      <c r="AW394" s="297">
        <f t="shared" ref="AW394:AW425" si="233">K394*AU394*U394</f>
        <v>469.23076923076871</v>
      </c>
      <c r="AX394" s="294">
        <f t="shared" ref="AX394:AX425" si="234">AW394-Y394</f>
        <v>-58.350202429149704</v>
      </c>
      <c r="AY394" s="297">
        <f t="shared" si="216"/>
        <v>527.58097165991842</v>
      </c>
      <c r="AZ394" s="297">
        <f t="shared" si="217"/>
        <v>469.23076923076871</v>
      </c>
      <c r="BA394" s="297">
        <f t="shared" si="218"/>
        <v>469.23076923076871</v>
      </c>
      <c r="BB394" s="297">
        <f t="shared" si="219"/>
        <v>469.23076923076871</v>
      </c>
      <c r="BC394" s="298">
        <f t="shared" si="220"/>
        <v>1935.2732793522246</v>
      </c>
      <c r="BD394" s="292" t="s">
        <v>763</v>
      </c>
      <c r="BE394" s="299" t="str">
        <f t="shared" si="221"/>
        <v>Exhibit 1.5A_R North Shore EEPS_Adjustable_Savings_Goal_Template.xlsx, Unit Savings Calculations Tab</v>
      </c>
      <c r="BF394" s="298">
        <f t="shared" si="222"/>
        <v>10551.619433198368</v>
      </c>
      <c r="BG394" s="298">
        <f t="shared" si="222"/>
        <v>10551.619433198368</v>
      </c>
      <c r="BH394" s="298">
        <f t="shared" si="222"/>
        <v>10551.619433198368</v>
      </c>
      <c r="BI394" s="298">
        <f t="shared" si="212"/>
        <v>10551.619433198368</v>
      </c>
      <c r="BJ394" s="298">
        <f t="shared" si="223"/>
        <v>42206.477732793472</v>
      </c>
      <c r="BK394" s="482">
        <v>20</v>
      </c>
      <c r="BL394" s="482">
        <v>20</v>
      </c>
      <c r="BM394" s="482">
        <f>INDEX('Unit Savings Calculations'!$I$4:$I$421,MATCH('Measure-Level Adjustments Tab'!$A394&amp;"_"&amp;'Measure-Level Adjustments Tab'!$B394,'Unit Savings Calculations'!$A$4:$A$421,0))</f>
        <v>20</v>
      </c>
      <c r="BN394" s="482">
        <f t="shared" si="224"/>
        <v>20</v>
      </c>
      <c r="BO394" s="483">
        <f t="shared" si="225"/>
        <v>10551.619433198368</v>
      </c>
      <c r="BP394" s="483">
        <f t="shared" si="225"/>
        <v>9384.6153846153738</v>
      </c>
      <c r="BQ394" s="483">
        <f t="shared" si="225"/>
        <v>9384.6153846153738</v>
      </c>
      <c r="BR394" s="483">
        <f t="shared" si="213"/>
        <v>9384.6153846153738</v>
      </c>
      <c r="BS394" s="483">
        <f t="shared" si="214"/>
        <v>38705.465587044491</v>
      </c>
    </row>
    <row r="395" spans="1:71" ht="15.75" customHeight="1">
      <c r="A395" s="292" t="str">
        <f>'Unit Savings Calculations'!C391</f>
        <v>Low Income - SF Retrofit</v>
      </c>
      <c r="B395" s="292" t="str">
        <f>'Unit Savings Calculations'!D391</f>
        <v>Furnace Clean &amp; Tune</v>
      </c>
      <c r="C395" s="293">
        <f t="shared" si="206"/>
        <v>1</v>
      </c>
      <c r="D395" s="292" t="str">
        <f>'Unit Savings Calculations'!T391</f>
        <v>5.3.13</v>
      </c>
      <c r="E395" s="438">
        <v>2</v>
      </c>
      <c r="F395" s="438">
        <v>2</v>
      </c>
      <c r="G395" s="292" t="str">
        <f>'Unit Savings Calculations'!E391</f>
        <v>each</v>
      </c>
      <c r="H395" s="294">
        <f>'Unit Savings Calculations'!$F391*'Unit Savings Calculations'!J391</f>
        <v>56</v>
      </c>
      <c r="I395" s="294">
        <f>'Unit Savings Calculations'!$F391*'Unit Savings Calculations'!K391</f>
        <v>56</v>
      </c>
      <c r="J395" s="294">
        <f>'Unit Savings Calculations'!$F391*'Unit Savings Calculations'!L391</f>
        <v>56</v>
      </c>
      <c r="K395" s="294">
        <f>'Unit Savings Calculations'!$F391*'Unit Savings Calculations'!M391</f>
        <v>56</v>
      </c>
      <c r="L395" s="292" t="str">
        <f>'Unit Savings Calculations'!U391</f>
        <v>RS-HVC-FTUN-V03-180101</v>
      </c>
      <c r="M395" s="383" t="str">
        <f>'Unit Savings Calculations'!R391</f>
        <v>Exhibit 1.5A_R North Shore EEPS_Adjustable_Savings_Goal_Template.xlsx, Unit Savings Calculations Tab</v>
      </c>
      <c r="N395" s="295">
        <v>71.282051282051214</v>
      </c>
      <c r="O395" s="295">
        <v>71.282051282051214</v>
      </c>
      <c r="P395" s="295">
        <v>71.282051282051214</v>
      </c>
      <c r="Q395" s="295">
        <v>71.282051282051214</v>
      </c>
      <c r="R395" s="296">
        <f>'Unit Savings Calculations'!$G391</f>
        <v>1</v>
      </c>
      <c r="S395" s="296">
        <f>'Unit Savings Calculations'!$G391</f>
        <v>1</v>
      </c>
      <c r="T395" s="296">
        <f>'Unit Savings Calculations'!$G391</f>
        <v>1</v>
      </c>
      <c r="U395" s="296">
        <f>'Unit Savings Calculations'!$G391</f>
        <v>1</v>
      </c>
      <c r="V395" s="297">
        <f t="shared" si="207"/>
        <v>3991.794871794868</v>
      </c>
      <c r="W395" s="297">
        <f t="shared" si="208"/>
        <v>3991.794871794868</v>
      </c>
      <c r="X395" s="297">
        <f t="shared" si="209"/>
        <v>3991.794871794868</v>
      </c>
      <c r="Y395" s="297">
        <f t="shared" si="210"/>
        <v>3991.794871794868</v>
      </c>
      <c r="Z395" s="297">
        <f t="shared" si="211"/>
        <v>15967.179487179472</v>
      </c>
      <c r="AA395" s="292"/>
      <c r="AB395" s="292"/>
      <c r="AC395" s="295">
        <v>71.282051282051214</v>
      </c>
      <c r="AD395" s="292"/>
      <c r="AE395" s="297">
        <f t="shared" si="226"/>
        <v>3991.794871794868</v>
      </c>
      <c r="AF395" s="294">
        <f t="shared" si="227"/>
        <v>0</v>
      </c>
      <c r="AG395" s="292"/>
      <c r="AH395" s="292">
        <f t="shared" si="228"/>
        <v>0</v>
      </c>
      <c r="AI395" s="295">
        <v>71.282051282051214</v>
      </c>
      <c r="AJ395" s="383" t="s">
        <v>878</v>
      </c>
      <c r="AK395" s="297">
        <f t="shared" si="229"/>
        <v>3991.794871794868</v>
      </c>
      <c r="AL395" s="294">
        <f t="shared" si="230"/>
        <v>0</v>
      </c>
      <c r="AM395" s="292"/>
      <c r="AN395" s="292"/>
      <c r="AO395" s="295">
        <f>'Unit Savings Calculations'!P391</f>
        <v>71.282051282051214</v>
      </c>
      <c r="AP395" s="383" t="s">
        <v>763</v>
      </c>
      <c r="AQ395" s="297">
        <f t="shared" si="231"/>
        <v>3991.794871794868</v>
      </c>
      <c r="AR395" s="294">
        <f t="shared" si="232"/>
        <v>0</v>
      </c>
      <c r="AS395" s="292"/>
      <c r="AT395" s="292"/>
      <c r="AU395" s="295">
        <f>'Unit Savings Calculations'!Q391</f>
        <v>71.282051282051214</v>
      </c>
      <c r="AV395" s="383" t="str">
        <f t="shared" si="215"/>
        <v>n/a</v>
      </c>
      <c r="AW395" s="297">
        <f t="shared" si="233"/>
        <v>3991.794871794868</v>
      </c>
      <c r="AX395" s="294">
        <f t="shared" si="234"/>
        <v>0</v>
      </c>
      <c r="AY395" s="297">
        <f t="shared" si="216"/>
        <v>3991.794871794868</v>
      </c>
      <c r="AZ395" s="297">
        <f t="shared" si="217"/>
        <v>3991.794871794868</v>
      </c>
      <c r="BA395" s="297">
        <f t="shared" si="218"/>
        <v>3991.794871794868</v>
      </c>
      <c r="BB395" s="297">
        <f t="shared" si="219"/>
        <v>3991.794871794868</v>
      </c>
      <c r="BC395" s="298">
        <f t="shared" si="220"/>
        <v>15967.179487179472</v>
      </c>
      <c r="BD395" s="292" t="s">
        <v>763</v>
      </c>
      <c r="BE395" s="299" t="str">
        <f t="shared" si="221"/>
        <v>Exhibit 1.5A_R North Shore EEPS_Adjustable_Savings_Goal_Template.xlsx, Unit Savings Calculations Tab</v>
      </c>
      <c r="BF395" s="298">
        <f t="shared" si="222"/>
        <v>7983.5897435897359</v>
      </c>
      <c r="BG395" s="298">
        <f t="shared" si="222"/>
        <v>7983.5897435897359</v>
      </c>
      <c r="BH395" s="298">
        <f t="shared" si="222"/>
        <v>7983.5897435897359</v>
      </c>
      <c r="BI395" s="298">
        <f t="shared" si="212"/>
        <v>7983.5897435897359</v>
      </c>
      <c r="BJ395" s="298">
        <f t="shared" si="223"/>
        <v>31934.358974358944</v>
      </c>
      <c r="BK395" s="482">
        <v>2</v>
      </c>
      <c r="BL395" s="482">
        <v>2</v>
      </c>
      <c r="BM395" s="482">
        <f>INDEX('Unit Savings Calculations'!$I$4:$I$421,MATCH('Measure-Level Adjustments Tab'!$A395&amp;"_"&amp;'Measure-Level Adjustments Tab'!$B395,'Unit Savings Calculations'!$A$4:$A$421,0))</f>
        <v>2</v>
      </c>
      <c r="BN395" s="482">
        <f t="shared" si="224"/>
        <v>2</v>
      </c>
      <c r="BO395" s="483">
        <f t="shared" si="225"/>
        <v>7983.5897435897359</v>
      </c>
      <c r="BP395" s="483">
        <f t="shared" si="225"/>
        <v>7983.5897435897359</v>
      </c>
      <c r="BQ395" s="483">
        <f t="shared" si="225"/>
        <v>7983.5897435897359</v>
      </c>
      <c r="BR395" s="483">
        <f t="shared" si="213"/>
        <v>7983.5897435897359</v>
      </c>
      <c r="BS395" s="483">
        <f t="shared" si="214"/>
        <v>31934.358974358944</v>
      </c>
    </row>
    <row r="396" spans="1:71" ht="15.75" customHeight="1">
      <c r="A396" s="292" t="str">
        <f>'Unit Savings Calculations'!C392</f>
        <v>Low Income - SF Retrofit</v>
      </c>
      <c r="B396" s="292" t="str">
        <f>'Unit Savings Calculations'!D392</f>
        <v>Weatherstripping/Door Sweeps</v>
      </c>
      <c r="C396" s="293">
        <f t="shared" si="206"/>
        <v>1</v>
      </c>
      <c r="D396" s="292" t="str">
        <f>'Unit Savings Calculations'!T392</f>
        <v>5.6.1</v>
      </c>
      <c r="E396" s="438">
        <v>15</v>
      </c>
      <c r="F396" s="438">
        <v>15</v>
      </c>
      <c r="G396" s="292" t="str">
        <f>'Unit Savings Calculations'!E392</f>
        <v>door</v>
      </c>
      <c r="H396" s="294">
        <f>'Unit Savings Calculations'!$F392*'Unit Savings Calculations'!J392</f>
        <v>168</v>
      </c>
      <c r="I396" s="294">
        <f>'Unit Savings Calculations'!$F392*'Unit Savings Calculations'!K392</f>
        <v>168</v>
      </c>
      <c r="J396" s="294">
        <f>'Unit Savings Calculations'!$F392*'Unit Savings Calculations'!L392</f>
        <v>168</v>
      </c>
      <c r="K396" s="294">
        <f>'Unit Savings Calculations'!$F392*'Unit Savings Calculations'!M392</f>
        <v>168</v>
      </c>
      <c r="L396" s="292" t="str">
        <f>'Unit Savings Calculations'!U392</f>
        <v>RS-SHL-AIRS-V06-180101</v>
      </c>
      <c r="M396" s="383" t="str">
        <f>'Unit Savings Calculations'!R392</f>
        <v>Exhibit 1.5A_R North Shore EEPS_Adjustable_Savings_Goal_Template.xlsx, Unit Savings Calculations Tab</v>
      </c>
      <c r="N396" s="295">
        <v>98</v>
      </c>
      <c r="O396" s="295">
        <v>98</v>
      </c>
      <c r="P396" s="295">
        <v>98</v>
      </c>
      <c r="Q396" s="295">
        <v>98</v>
      </c>
      <c r="R396" s="296">
        <f>'Unit Savings Calculations'!$G392</f>
        <v>1</v>
      </c>
      <c r="S396" s="296">
        <f>'Unit Savings Calculations'!$G392</f>
        <v>1</v>
      </c>
      <c r="T396" s="296">
        <f>'Unit Savings Calculations'!$G392</f>
        <v>1</v>
      </c>
      <c r="U396" s="296">
        <f>'Unit Savings Calculations'!$G392</f>
        <v>1</v>
      </c>
      <c r="V396" s="297">
        <f t="shared" si="207"/>
        <v>16464</v>
      </c>
      <c r="W396" s="297">
        <f t="shared" si="208"/>
        <v>16464</v>
      </c>
      <c r="X396" s="297">
        <f t="shared" si="209"/>
        <v>16464</v>
      </c>
      <c r="Y396" s="297">
        <f t="shared" si="210"/>
        <v>16464</v>
      </c>
      <c r="Z396" s="297">
        <f t="shared" si="211"/>
        <v>65856</v>
      </c>
      <c r="AA396" s="292"/>
      <c r="AB396" s="292"/>
      <c r="AC396" s="295">
        <v>98</v>
      </c>
      <c r="AD396" s="292"/>
      <c r="AE396" s="297">
        <f t="shared" si="226"/>
        <v>16464</v>
      </c>
      <c r="AF396" s="294">
        <f t="shared" si="227"/>
        <v>0</v>
      </c>
      <c r="AG396" s="292"/>
      <c r="AH396" s="292">
        <f t="shared" si="228"/>
        <v>0</v>
      </c>
      <c r="AI396" s="295">
        <v>98</v>
      </c>
      <c r="AJ396" s="383" t="s">
        <v>1041</v>
      </c>
      <c r="AK396" s="297">
        <f t="shared" si="229"/>
        <v>16464</v>
      </c>
      <c r="AL396" s="294">
        <f t="shared" si="230"/>
        <v>0</v>
      </c>
      <c r="AM396" s="292"/>
      <c r="AN396" s="292"/>
      <c r="AO396" s="295">
        <f>'Unit Savings Calculations'!P392</f>
        <v>98</v>
      </c>
      <c r="AP396" s="383" t="s">
        <v>763</v>
      </c>
      <c r="AQ396" s="297">
        <f t="shared" si="231"/>
        <v>16464</v>
      </c>
      <c r="AR396" s="294">
        <f t="shared" si="232"/>
        <v>0</v>
      </c>
      <c r="AS396" s="292"/>
      <c r="AT396" s="292"/>
      <c r="AU396" s="295">
        <f>'Unit Savings Calculations'!Q392</f>
        <v>98</v>
      </c>
      <c r="AV396" s="383" t="str">
        <f t="shared" si="215"/>
        <v>n/a</v>
      </c>
      <c r="AW396" s="297">
        <f t="shared" si="233"/>
        <v>16464</v>
      </c>
      <c r="AX396" s="294">
        <f t="shared" si="234"/>
        <v>0</v>
      </c>
      <c r="AY396" s="297">
        <f t="shared" si="216"/>
        <v>16464</v>
      </c>
      <c r="AZ396" s="297">
        <f t="shared" si="217"/>
        <v>16464</v>
      </c>
      <c r="BA396" s="297">
        <f t="shared" si="218"/>
        <v>16464</v>
      </c>
      <c r="BB396" s="297">
        <f t="shared" si="219"/>
        <v>16464</v>
      </c>
      <c r="BC396" s="298">
        <f t="shared" si="220"/>
        <v>65856</v>
      </c>
      <c r="BD396" s="292" t="s">
        <v>763</v>
      </c>
      <c r="BE396" s="299" t="str">
        <f t="shared" si="221"/>
        <v>Exhibit 1.5A_R North Shore EEPS_Adjustable_Savings_Goal_Template.xlsx, Unit Savings Calculations Tab</v>
      </c>
      <c r="BF396" s="298">
        <f t="shared" si="222"/>
        <v>246960</v>
      </c>
      <c r="BG396" s="298">
        <f t="shared" si="222"/>
        <v>246960</v>
      </c>
      <c r="BH396" s="298">
        <f t="shared" si="222"/>
        <v>246960</v>
      </c>
      <c r="BI396" s="298">
        <f t="shared" si="212"/>
        <v>246960</v>
      </c>
      <c r="BJ396" s="298">
        <f t="shared" si="223"/>
        <v>987840</v>
      </c>
      <c r="BK396" s="482">
        <v>15</v>
      </c>
      <c r="BL396" s="482">
        <v>15</v>
      </c>
      <c r="BM396" s="482">
        <f>INDEX('Unit Savings Calculations'!$I$4:$I$421,MATCH('Measure-Level Adjustments Tab'!$A396&amp;"_"&amp;'Measure-Level Adjustments Tab'!$B396,'Unit Savings Calculations'!$A$4:$A$421,0))</f>
        <v>15</v>
      </c>
      <c r="BN396" s="482">
        <f t="shared" si="224"/>
        <v>15</v>
      </c>
      <c r="BO396" s="483">
        <f t="shared" si="225"/>
        <v>246960</v>
      </c>
      <c r="BP396" s="483">
        <f t="shared" si="225"/>
        <v>246960</v>
      </c>
      <c r="BQ396" s="483">
        <f t="shared" si="225"/>
        <v>246960</v>
      </c>
      <c r="BR396" s="483">
        <f t="shared" si="213"/>
        <v>246960</v>
      </c>
      <c r="BS396" s="483">
        <f t="shared" si="214"/>
        <v>987840</v>
      </c>
    </row>
    <row r="397" spans="1:71" ht="15.75" customHeight="1">
      <c r="A397" s="292" t="str">
        <f>'Unit Savings Calculations'!C393</f>
        <v>Low Income - MF Retrofit</v>
      </c>
      <c r="B397" s="292" t="str">
        <f>'Unit Savings Calculations'!D393</f>
        <v>Bathroom Aerator</v>
      </c>
      <c r="C397" s="293">
        <f t="shared" si="206"/>
        <v>1</v>
      </c>
      <c r="D397" s="292" t="str">
        <f>'Unit Savings Calculations'!T393</f>
        <v>5.4.4</v>
      </c>
      <c r="E397" s="438">
        <v>9</v>
      </c>
      <c r="F397" s="438">
        <v>10</v>
      </c>
      <c r="G397" s="292" t="str">
        <f>'Unit Savings Calculations'!E393</f>
        <v>each</v>
      </c>
      <c r="H397" s="294">
        <f>'Unit Savings Calculations'!$F393*'Unit Savings Calculations'!J393</f>
        <v>188</v>
      </c>
      <c r="I397" s="294">
        <f>'Unit Savings Calculations'!$F393*'Unit Savings Calculations'!K393</f>
        <v>188</v>
      </c>
      <c r="J397" s="294">
        <f>'Unit Savings Calculations'!$F393*'Unit Savings Calculations'!L393</f>
        <v>188</v>
      </c>
      <c r="K397" s="294">
        <f>'Unit Savings Calculations'!$F393*'Unit Savings Calculations'!M393</f>
        <v>188</v>
      </c>
      <c r="L397" s="292" t="str">
        <f>'Unit Savings Calculations'!U393</f>
        <v>RS-HWE-LFFA-V06-180101</v>
      </c>
      <c r="M397" s="383" t="str">
        <f>'Unit Savings Calculations'!R393</f>
        <v>Exhibit 1.5A_R North Shore EEPS_Adjustable_Savings_Goal_Template.xlsx, Unit Savings Calculations Tab</v>
      </c>
      <c r="N397" s="295">
        <v>1.2484689715316413</v>
      </c>
      <c r="O397" s="295">
        <v>1.2484689715316413</v>
      </c>
      <c r="P397" s="295">
        <v>1.2484689715316413</v>
      </c>
      <c r="Q397" s="295">
        <v>1.2484689715316413</v>
      </c>
      <c r="R397" s="296">
        <f>'Unit Savings Calculations'!$G393</f>
        <v>1</v>
      </c>
      <c r="S397" s="296">
        <f>'Unit Savings Calculations'!$G393</f>
        <v>1</v>
      </c>
      <c r="T397" s="296">
        <f>'Unit Savings Calculations'!$G393</f>
        <v>1</v>
      </c>
      <c r="U397" s="296">
        <f>'Unit Savings Calculations'!$G393</f>
        <v>1</v>
      </c>
      <c r="V397" s="297">
        <f t="shared" si="207"/>
        <v>234.71216664794855</v>
      </c>
      <c r="W397" s="297">
        <f t="shared" si="208"/>
        <v>234.71216664794855</v>
      </c>
      <c r="X397" s="297">
        <f t="shared" si="209"/>
        <v>234.71216664794855</v>
      </c>
      <c r="Y397" s="297">
        <f t="shared" si="210"/>
        <v>234.71216664794855</v>
      </c>
      <c r="Z397" s="297">
        <f t="shared" si="211"/>
        <v>938.8486665917942</v>
      </c>
      <c r="AA397" s="292"/>
      <c r="AB397" s="292"/>
      <c r="AC397" s="295">
        <v>1.2484689715316413</v>
      </c>
      <c r="AD397" s="292"/>
      <c r="AE397" s="297">
        <f t="shared" si="226"/>
        <v>234.71216664794855</v>
      </c>
      <c r="AF397" s="294">
        <f t="shared" si="227"/>
        <v>0</v>
      </c>
      <c r="AG397" s="292"/>
      <c r="AH397" s="292">
        <f t="shared" si="228"/>
        <v>0</v>
      </c>
      <c r="AI397" s="295">
        <v>1.6368815404525978</v>
      </c>
      <c r="AJ397" s="383" t="s">
        <v>1016</v>
      </c>
      <c r="AK397" s="297">
        <f t="shared" si="229"/>
        <v>307.7337296050884</v>
      </c>
      <c r="AL397" s="294">
        <f t="shared" si="230"/>
        <v>73.021562957139849</v>
      </c>
      <c r="AM397" s="292"/>
      <c r="AN397" s="292"/>
      <c r="AO397" s="295">
        <f>'Unit Savings Calculations'!P393</f>
        <v>1.6368815404525978</v>
      </c>
      <c r="AP397" s="383" t="s">
        <v>763</v>
      </c>
      <c r="AQ397" s="297">
        <f t="shared" si="231"/>
        <v>307.7337296050884</v>
      </c>
      <c r="AR397" s="294">
        <f t="shared" si="232"/>
        <v>73.021562957139849</v>
      </c>
      <c r="AS397" s="292"/>
      <c r="AT397" s="292"/>
      <c r="AU397" s="295">
        <f>'Unit Savings Calculations'!Q393</f>
        <v>1.6368815404525978</v>
      </c>
      <c r="AV397" s="383" t="str">
        <f t="shared" si="215"/>
        <v>n/a</v>
      </c>
      <c r="AW397" s="297">
        <f t="shared" si="233"/>
        <v>307.7337296050884</v>
      </c>
      <c r="AX397" s="294">
        <f t="shared" si="234"/>
        <v>73.021562957139849</v>
      </c>
      <c r="AY397" s="297">
        <f t="shared" si="216"/>
        <v>234.71216664794855</v>
      </c>
      <c r="AZ397" s="297">
        <f t="shared" si="217"/>
        <v>307.7337296050884</v>
      </c>
      <c r="BA397" s="297">
        <f t="shared" si="218"/>
        <v>307.7337296050884</v>
      </c>
      <c r="BB397" s="297">
        <f t="shared" si="219"/>
        <v>307.7337296050884</v>
      </c>
      <c r="BC397" s="298">
        <f t="shared" si="220"/>
        <v>1157.9133554632137</v>
      </c>
      <c r="BD397" s="292" t="s">
        <v>763</v>
      </c>
      <c r="BE397" s="299" t="str">
        <f t="shared" si="221"/>
        <v>Exhibit 1.5A_R North Shore EEPS_Adjustable_Savings_Goal_Template.xlsx, Unit Savings Calculations Tab</v>
      </c>
      <c r="BF397" s="298">
        <f t="shared" si="222"/>
        <v>2347.1216664794856</v>
      </c>
      <c r="BG397" s="298">
        <f t="shared" si="222"/>
        <v>2347.1216664794856</v>
      </c>
      <c r="BH397" s="298">
        <f t="shared" si="222"/>
        <v>2347.1216664794856</v>
      </c>
      <c r="BI397" s="298">
        <f t="shared" si="212"/>
        <v>2347.1216664794856</v>
      </c>
      <c r="BJ397" s="298">
        <f t="shared" si="223"/>
        <v>9388.4866659179424</v>
      </c>
      <c r="BK397" s="482">
        <v>10</v>
      </c>
      <c r="BL397" s="482">
        <v>10</v>
      </c>
      <c r="BM397" s="482">
        <f>INDEX('Unit Savings Calculations'!$I$4:$I$421,MATCH('Measure-Level Adjustments Tab'!$A397&amp;"_"&amp;'Measure-Level Adjustments Tab'!$B397,'Unit Savings Calculations'!$A$4:$A$421,0))</f>
        <v>10</v>
      </c>
      <c r="BN397" s="482">
        <f t="shared" si="224"/>
        <v>10</v>
      </c>
      <c r="BO397" s="483">
        <f t="shared" si="225"/>
        <v>2347.1216664794856</v>
      </c>
      <c r="BP397" s="483">
        <f t="shared" si="225"/>
        <v>3077.3372960508841</v>
      </c>
      <c r="BQ397" s="483">
        <f t="shared" si="225"/>
        <v>3077.3372960508841</v>
      </c>
      <c r="BR397" s="483">
        <f t="shared" si="213"/>
        <v>3077.3372960508841</v>
      </c>
      <c r="BS397" s="483">
        <f t="shared" si="214"/>
        <v>11579.133554632137</v>
      </c>
    </row>
    <row r="398" spans="1:71" ht="15.75" customHeight="1">
      <c r="A398" s="292" t="str">
        <f>'Unit Savings Calculations'!C394</f>
        <v>Low Income - MF Retrofit</v>
      </c>
      <c r="B398" s="292" t="str">
        <f>'Unit Savings Calculations'!D394</f>
        <v>Kitchen Aerator</v>
      </c>
      <c r="C398" s="293">
        <f t="shared" si="206"/>
        <v>1</v>
      </c>
      <c r="D398" s="292" t="str">
        <f>'Unit Savings Calculations'!T394</f>
        <v>5.4.4</v>
      </c>
      <c r="E398" s="438">
        <v>9</v>
      </c>
      <c r="F398" s="438">
        <v>10</v>
      </c>
      <c r="G398" s="292" t="str">
        <f>'Unit Savings Calculations'!E394</f>
        <v>each</v>
      </c>
      <c r="H398" s="294">
        <f>'Unit Savings Calculations'!$F394*'Unit Savings Calculations'!J394</f>
        <v>154</v>
      </c>
      <c r="I398" s="294">
        <f>'Unit Savings Calculations'!$F394*'Unit Savings Calculations'!K394</f>
        <v>154</v>
      </c>
      <c r="J398" s="294">
        <f>'Unit Savings Calculations'!$F394*'Unit Savings Calculations'!L394</f>
        <v>154</v>
      </c>
      <c r="K398" s="294">
        <f>'Unit Savings Calculations'!$F394*'Unit Savings Calculations'!M394</f>
        <v>154</v>
      </c>
      <c r="L398" s="292" t="str">
        <f>'Unit Savings Calculations'!U394</f>
        <v>RS-HWE-LFFA-V06-180101</v>
      </c>
      <c r="M398" s="383" t="str">
        <f>'Unit Savings Calculations'!R394</f>
        <v>Exhibit 1.5A_R North Shore EEPS_Adjustable_Savings_Goal_Template.xlsx, Unit Savings Calculations Tab</v>
      </c>
      <c r="N398" s="295">
        <v>5.1269254520350058</v>
      </c>
      <c r="O398" s="295">
        <v>5.1269254520350058</v>
      </c>
      <c r="P398" s="295">
        <v>5.1269254520350058</v>
      </c>
      <c r="Q398" s="295">
        <v>5.1269254520350058</v>
      </c>
      <c r="R398" s="296">
        <f>'Unit Savings Calculations'!$G394</f>
        <v>1</v>
      </c>
      <c r="S398" s="296">
        <f>'Unit Savings Calculations'!$G394</f>
        <v>1</v>
      </c>
      <c r="T398" s="296">
        <f>'Unit Savings Calculations'!$G394</f>
        <v>1</v>
      </c>
      <c r="U398" s="296">
        <f>'Unit Savings Calculations'!$G394</f>
        <v>1</v>
      </c>
      <c r="V398" s="297">
        <f t="shared" si="207"/>
        <v>789.54651961339084</v>
      </c>
      <c r="W398" s="297">
        <f t="shared" si="208"/>
        <v>789.54651961339084</v>
      </c>
      <c r="X398" s="297">
        <f t="shared" si="209"/>
        <v>789.54651961339084</v>
      </c>
      <c r="Y398" s="297">
        <f t="shared" si="210"/>
        <v>789.54651961339084</v>
      </c>
      <c r="Z398" s="297">
        <f t="shared" si="211"/>
        <v>3158.1860784535634</v>
      </c>
      <c r="AA398" s="292"/>
      <c r="AB398" s="292"/>
      <c r="AC398" s="295">
        <v>5.1269254520350058</v>
      </c>
      <c r="AD398" s="292"/>
      <c r="AE398" s="297">
        <f t="shared" si="226"/>
        <v>789.54651961339084</v>
      </c>
      <c r="AF398" s="294">
        <f t="shared" si="227"/>
        <v>0</v>
      </c>
      <c r="AG398" s="292"/>
      <c r="AH398" s="292">
        <f t="shared" si="228"/>
        <v>0</v>
      </c>
      <c r="AI398" s="295">
        <v>7.8612856931203403</v>
      </c>
      <c r="AJ398" s="383" t="s">
        <v>1016</v>
      </c>
      <c r="AK398" s="297">
        <f t="shared" si="229"/>
        <v>1210.6379967405323</v>
      </c>
      <c r="AL398" s="294">
        <f t="shared" si="230"/>
        <v>421.0914771271415</v>
      </c>
      <c r="AM398" s="292"/>
      <c r="AN398" s="292"/>
      <c r="AO398" s="295">
        <f>'Unit Savings Calculations'!P394</f>
        <v>7.8612856931203403</v>
      </c>
      <c r="AP398" s="383" t="s">
        <v>763</v>
      </c>
      <c r="AQ398" s="297">
        <f t="shared" si="231"/>
        <v>1210.6379967405323</v>
      </c>
      <c r="AR398" s="294">
        <f t="shared" si="232"/>
        <v>421.0914771271415</v>
      </c>
      <c r="AS398" s="292"/>
      <c r="AT398" s="292"/>
      <c r="AU398" s="295">
        <f>'Unit Savings Calculations'!Q394</f>
        <v>7.8612856931203403</v>
      </c>
      <c r="AV398" s="383" t="str">
        <f t="shared" si="215"/>
        <v>n/a</v>
      </c>
      <c r="AW398" s="297">
        <f t="shared" si="233"/>
        <v>1210.6379967405323</v>
      </c>
      <c r="AX398" s="294">
        <f t="shared" si="234"/>
        <v>421.0914771271415</v>
      </c>
      <c r="AY398" s="297">
        <f t="shared" si="216"/>
        <v>789.54651961339084</v>
      </c>
      <c r="AZ398" s="297">
        <f t="shared" si="217"/>
        <v>1210.6379967405323</v>
      </c>
      <c r="BA398" s="297">
        <f t="shared" si="218"/>
        <v>1210.6379967405323</v>
      </c>
      <c r="BB398" s="297">
        <f t="shared" si="219"/>
        <v>1210.6379967405323</v>
      </c>
      <c r="BC398" s="298">
        <f t="shared" si="220"/>
        <v>4421.4605098349875</v>
      </c>
      <c r="BD398" s="292" t="s">
        <v>763</v>
      </c>
      <c r="BE398" s="299" t="str">
        <f t="shared" si="221"/>
        <v>Exhibit 1.5A_R North Shore EEPS_Adjustable_Savings_Goal_Template.xlsx, Unit Savings Calculations Tab</v>
      </c>
      <c r="BF398" s="298">
        <f t="shared" si="222"/>
        <v>7895.4651961339086</v>
      </c>
      <c r="BG398" s="298">
        <f t="shared" si="222"/>
        <v>7895.4651961339086</v>
      </c>
      <c r="BH398" s="298">
        <f t="shared" si="222"/>
        <v>7895.4651961339086</v>
      </c>
      <c r="BI398" s="298">
        <f t="shared" si="212"/>
        <v>7895.4651961339086</v>
      </c>
      <c r="BJ398" s="298">
        <f t="shared" si="223"/>
        <v>31581.860784535635</v>
      </c>
      <c r="BK398" s="482">
        <v>10</v>
      </c>
      <c r="BL398" s="482">
        <v>10</v>
      </c>
      <c r="BM398" s="482">
        <f>INDEX('Unit Savings Calculations'!$I$4:$I$421,MATCH('Measure-Level Adjustments Tab'!$A398&amp;"_"&amp;'Measure-Level Adjustments Tab'!$B398,'Unit Savings Calculations'!$A$4:$A$421,0))</f>
        <v>10</v>
      </c>
      <c r="BN398" s="482">
        <f t="shared" si="224"/>
        <v>10</v>
      </c>
      <c r="BO398" s="483">
        <f t="shared" si="225"/>
        <v>7895.4651961339086</v>
      </c>
      <c r="BP398" s="483">
        <f t="shared" si="225"/>
        <v>12106.379967405323</v>
      </c>
      <c r="BQ398" s="483">
        <f t="shared" si="225"/>
        <v>12106.379967405323</v>
      </c>
      <c r="BR398" s="483">
        <f t="shared" si="213"/>
        <v>12106.379967405323</v>
      </c>
      <c r="BS398" s="483">
        <f t="shared" si="214"/>
        <v>44214.605098349872</v>
      </c>
    </row>
    <row r="399" spans="1:71" ht="15.75" customHeight="1">
      <c r="A399" s="292" t="str">
        <f>'Unit Savings Calculations'!C395</f>
        <v>Low Income - MF Retrofit</v>
      </c>
      <c r="B399" s="292" t="str">
        <f>'Unit Savings Calculations'!D395</f>
        <v>Showerhead</v>
      </c>
      <c r="C399" s="293">
        <f t="shared" si="206"/>
        <v>1</v>
      </c>
      <c r="D399" s="292" t="str">
        <f>'Unit Savings Calculations'!T395</f>
        <v>5.4.5</v>
      </c>
      <c r="E399" s="438">
        <v>10</v>
      </c>
      <c r="F399" s="438">
        <v>10</v>
      </c>
      <c r="G399" s="292" t="str">
        <f>'Unit Savings Calculations'!E395</f>
        <v>each</v>
      </c>
      <c r="H399" s="294">
        <f>'Unit Savings Calculations'!$F395*'Unit Savings Calculations'!J395</f>
        <v>190</v>
      </c>
      <c r="I399" s="294">
        <f>'Unit Savings Calculations'!$F395*'Unit Savings Calculations'!K395</f>
        <v>190</v>
      </c>
      <c r="J399" s="294">
        <f>'Unit Savings Calculations'!$F395*'Unit Savings Calculations'!L395</f>
        <v>190</v>
      </c>
      <c r="K399" s="294">
        <f>'Unit Savings Calculations'!$F395*'Unit Savings Calculations'!M395</f>
        <v>190</v>
      </c>
      <c r="L399" s="292" t="str">
        <f>'Unit Savings Calculations'!U395</f>
        <v>RS-HWE-LFSH-V05-180101</v>
      </c>
      <c r="M399" s="383" t="str">
        <f>'Unit Savings Calculations'!R395</f>
        <v>Exhibit 1.5A_R North Shore EEPS_Adjustable_Savings_Goal_Template.xlsx, Unit Savings Calculations Tab</v>
      </c>
      <c r="N399" s="295">
        <v>17.896352631884998</v>
      </c>
      <c r="O399" s="295">
        <v>17.896352631884998</v>
      </c>
      <c r="P399" s="295">
        <v>17.896352631884998</v>
      </c>
      <c r="Q399" s="295">
        <v>17.896352631884998</v>
      </c>
      <c r="R399" s="296">
        <f>'Unit Savings Calculations'!$G395</f>
        <v>1</v>
      </c>
      <c r="S399" s="296">
        <f>'Unit Savings Calculations'!$G395</f>
        <v>1</v>
      </c>
      <c r="T399" s="296">
        <f>'Unit Savings Calculations'!$G395</f>
        <v>1</v>
      </c>
      <c r="U399" s="296">
        <f>'Unit Savings Calculations'!$G395</f>
        <v>1</v>
      </c>
      <c r="V399" s="297">
        <f t="shared" si="207"/>
        <v>3400.3070000581497</v>
      </c>
      <c r="W399" s="297">
        <f t="shared" si="208"/>
        <v>3400.3070000581497</v>
      </c>
      <c r="X399" s="297">
        <f t="shared" si="209"/>
        <v>3400.3070000581497</v>
      </c>
      <c r="Y399" s="297">
        <f t="shared" si="210"/>
        <v>3400.3070000581497</v>
      </c>
      <c r="Z399" s="297">
        <f t="shared" si="211"/>
        <v>13601.228000232599</v>
      </c>
      <c r="AA399" s="292"/>
      <c r="AB399" s="292"/>
      <c r="AC399" s="295">
        <v>17.896352631884998</v>
      </c>
      <c r="AD399" s="292"/>
      <c r="AE399" s="297">
        <f t="shared" si="226"/>
        <v>3400.3070000581497</v>
      </c>
      <c r="AF399" s="294">
        <f t="shared" si="227"/>
        <v>0</v>
      </c>
      <c r="AG399" s="292"/>
      <c r="AH399" s="292">
        <f t="shared" si="228"/>
        <v>0</v>
      </c>
      <c r="AI399" s="295">
        <v>11.319060638970004</v>
      </c>
      <c r="AJ399" s="383" t="s">
        <v>1016</v>
      </c>
      <c r="AK399" s="297">
        <f t="shared" si="229"/>
        <v>2150.6215214043009</v>
      </c>
      <c r="AL399" s="294">
        <f t="shared" si="230"/>
        <v>-1249.6854786538488</v>
      </c>
      <c r="AM399" s="292"/>
      <c r="AN399" s="292"/>
      <c r="AO399" s="295">
        <f>'Unit Savings Calculations'!P395</f>
        <v>11.319060638970004</v>
      </c>
      <c r="AP399" s="383" t="s">
        <v>763</v>
      </c>
      <c r="AQ399" s="297">
        <f t="shared" si="231"/>
        <v>2150.6215214043009</v>
      </c>
      <c r="AR399" s="294">
        <f t="shared" si="232"/>
        <v>-1249.6854786538488</v>
      </c>
      <c r="AS399" s="292"/>
      <c r="AT399" s="292"/>
      <c r="AU399" s="295">
        <f>'Unit Savings Calculations'!Q395</f>
        <v>11.319060638970004</v>
      </c>
      <c r="AV399" s="383" t="str">
        <f t="shared" si="215"/>
        <v>n/a</v>
      </c>
      <c r="AW399" s="297">
        <f t="shared" si="233"/>
        <v>2150.6215214043009</v>
      </c>
      <c r="AX399" s="294">
        <f t="shared" si="234"/>
        <v>-1249.6854786538488</v>
      </c>
      <c r="AY399" s="297">
        <f t="shared" si="216"/>
        <v>3400.3070000581497</v>
      </c>
      <c r="AZ399" s="297">
        <f t="shared" si="217"/>
        <v>2150.6215214043009</v>
      </c>
      <c r="BA399" s="297">
        <f t="shared" si="218"/>
        <v>2150.6215214043009</v>
      </c>
      <c r="BB399" s="297">
        <f t="shared" si="219"/>
        <v>2150.6215214043009</v>
      </c>
      <c r="BC399" s="298">
        <f t="shared" si="220"/>
        <v>9852.1715642710515</v>
      </c>
      <c r="BD399" s="292" t="s">
        <v>763</v>
      </c>
      <c r="BE399" s="299" t="str">
        <f t="shared" si="221"/>
        <v>Exhibit 1.5A_R North Shore EEPS_Adjustable_Savings_Goal_Template.xlsx, Unit Savings Calculations Tab</v>
      </c>
      <c r="BF399" s="298">
        <f t="shared" si="222"/>
        <v>34003.070000581494</v>
      </c>
      <c r="BG399" s="298">
        <f t="shared" si="222"/>
        <v>34003.070000581494</v>
      </c>
      <c r="BH399" s="298">
        <f t="shared" si="222"/>
        <v>34003.070000581494</v>
      </c>
      <c r="BI399" s="298">
        <f t="shared" si="212"/>
        <v>34003.070000581494</v>
      </c>
      <c r="BJ399" s="298">
        <f t="shared" si="223"/>
        <v>136012.28000232598</v>
      </c>
      <c r="BK399" s="482">
        <v>10</v>
      </c>
      <c r="BL399" s="482">
        <v>10</v>
      </c>
      <c r="BM399" s="482">
        <f>INDEX('Unit Savings Calculations'!$I$4:$I$421,MATCH('Measure-Level Adjustments Tab'!$A399&amp;"_"&amp;'Measure-Level Adjustments Tab'!$B399,'Unit Savings Calculations'!$A$4:$A$421,0))</f>
        <v>10</v>
      </c>
      <c r="BN399" s="482">
        <f t="shared" si="224"/>
        <v>10</v>
      </c>
      <c r="BO399" s="483">
        <f t="shared" si="225"/>
        <v>34003.070000581494</v>
      </c>
      <c r="BP399" s="483">
        <f t="shared" si="225"/>
        <v>21506.215214043008</v>
      </c>
      <c r="BQ399" s="483">
        <f t="shared" si="225"/>
        <v>21506.215214043008</v>
      </c>
      <c r="BR399" s="483">
        <f t="shared" si="213"/>
        <v>21506.215214043008</v>
      </c>
      <c r="BS399" s="483">
        <f t="shared" si="214"/>
        <v>98521.715642710522</v>
      </c>
    </row>
    <row r="400" spans="1:71" ht="15.75" customHeight="1">
      <c r="A400" s="292" t="str">
        <f>'Unit Savings Calculations'!C396</f>
        <v>Low Income - MF Retrofit</v>
      </c>
      <c r="B400" s="292" t="str">
        <f>'Unit Savings Calculations'!D396</f>
        <v>Pipe Insulation (DHW)</v>
      </c>
      <c r="C400" s="293">
        <f t="shared" si="206"/>
        <v>1</v>
      </c>
      <c r="D400" s="292" t="str">
        <f>'Unit Savings Calculations'!T396</f>
        <v>5.4.1</v>
      </c>
      <c r="E400" s="438">
        <v>15</v>
      </c>
      <c r="F400" s="438">
        <v>15</v>
      </c>
      <c r="G400" s="292" t="str">
        <f>'Unit Savings Calculations'!E396</f>
        <v>ft</v>
      </c>
      <c r="H400" s="294">
        <f>'Unit Savings Calculations'!$F396*'Unit Savings Calculations'!J396</f>
        <v>390</v>
      </c>
      <c r="I400" s="294">
        <f>'Unit Savings Calculations'!$F396*'Unit Savings Calculations'!K396</f>
        <v>390</v>
      </c>
      <c r="J400" s="294">
        <f>'Unit Savings Calculations'!$F396*'Unit Savings Calculations'!L396</f>
        <v>390</v>
      </c>
      <c r="K400" s="294">
        <f>'Unit Savings Calculations'!$F396*'Unit Savings Calculations'!M396</f>
        <v>390</v>
      </c>
      <c r="L400" s="292" t="str">
        <f>'Unit Savings Calculations'!U396</f>
        <v>RS-HVC-PINS-V02-150601</v>
      </c>
      <c r="M400" s="383" t="str">
        <f>'Unit Savings Calculations'!R396</f>
        <v>Exhibit 1.5A_R North Shore EEPS_Adjustable_Savings_Goal_Template.xlsx, Unit Savings Calculations Tab</v>
      </c>
      <c r="N400" s="295">
        <v>0.99123230769230763</v>
      </c>
      <c r="O400" s="295">
        <v>0.99123230769230763</v>
      </c>
      <c r="P400" s="295">
        <v>0.99123230769230763</v>
      </c>
      <c r="Q400" s="295">
        <v>0.99123230769230763</v>
      </c>
      <c r="R400" s="296">
        <f>'Unit Savings Calculations'!$G396</f>
        <v>1</v>
      </c>
      <c r="S400" s="296">
        <f>'Unit Savings Calculations'!$G396</f>
        <v>1</v>
      </c>
      <c r="T400" s="296">
        <f>'Unit Savings Calculations'!$G396</f>
        <v>1</v>
      </c>
      <c r="U400" s="296">
        <f>'Unit Savings Calculations'!$G396</f>
        <v>1</v>
      </c>
      <c r="V400" s="297">
        <f t="shared" si="207"/>
        <v>386.5806</v>
      </c>
      <c r="W400" s="297">
        <f t="shared" si="208"/>
        <v>386.5806</v>
      </c>
      <c r="X400" s="297">
        <f t="shared" si="209"/>
        <v>386.5806</v>
      </c>
      <c r="Y400" s="297">
        <f t="shared" si="210"/>
        <v>386.5806</v>
      </c>
      <c r="Z400" s="297">
        <f t="shared" si="211"/>
        <v>1546.3224</v>
      </c>
      <c r="AA400" s="292"/>
      <c r="AB400" s="292"/>
      <c r="AC400" s="295">
        <v>0.99123230769230763</v>
      </c>
      <c r="AD400" s="292"/>
      <c r="AE400" s="297">
        <f t="shared" si="226"/>
        <v>386.5806</v>
      </c>
      <c r="AF400" s="294">
        <f t="shared" si="227"/>
        <v>0</v>
      </c>
      <c r="AG400" s="292"/>
      <c r="AH400" s="292">
        <f t="shared" si="228"/>
        <v>0</v>
      </c>
      <c r="AI400" s="295">
        <v>0.77039653846153844</v>
      </c>
      <c r="AJ400" s="383" t="s">
        <v>1011</v>
      </c>
      <c r="AK400" s="297">
        <f t="shared" si="229"/>
        <v>300.45465000000002</v>
      </c>
      <c r="AL400" s="294">
        <f t="shared" si="230"/>
        <v>-86.125949999999989</v>
      </c>
      <c r="AM400" s="292"/>
      <c r="AN400" s="292"/>
      <c r="AO400" s="295">
        <f>'Unit Savings Calculations'!P396</f>
        <v>0.77039653846153844</v>
      </c>
      <c r="AP400" s="383" t="s">
        <v>763</v>
      </c>
      <c r="AQ400" s="297">
        <f t="shared" si="231"/>
        <v>300.45465000000002</v>
      </c>
      <c r="AR400" s="294">
        <f t="shared" si="232"/>
        <v>-86.125949999999989</v>
      </c>
      <c r="AS400" s="292"/>
      <c r="AT400" s="292"/>
      <c r="AU400" s="295">
        <f>'Unit Savings Calculations'!Q396</f>
        <v>0.77039653846153844</v>
      </c>
      <c r="AV400" s="383" t="str">
        <f t="shared" si="215"/>
        <v>n/a</v>
      </c>
      <c r="AW400" s="297">
        <f t="shared" si="233"/>
        <v>300.45465000000002</v>
      </c>
      <c r="AX400" s="294">
        <f t="shared" si="234"/>
        <v>-86.125949999999989</v>
      </c>
      <c r="AY400" s="297">
        <f t="shared" si="216"/>
        <v>386.5806</v>
      </c>
      <c r="AZ400" s="297">
        <f t="shared" si="217"/>
        <v>300.45465000000002</v>
      </c>
      <c r="BA400" s="297">
        <f t="shared" si="218"/>
        <v>300.45465000000002</v>
      </c>
      <c r="BB400" s="297">
        <f t="shared" si="219"/>
        <v>300.45465000000002</v>
      </c>
      <c r="BC400" s="298">
        <f t="shared" si="220"/>
        <v>1287.9445500000002</v>
      </c>
      <c r="BD400" s="292" t="s">
        <v>763</v>
      </c>
      <c r="BE400" s="299" t="str">
        <f t="shared" si="221"/>
        <v>Exhibit 1.5A_R North Shore EEPS_Adjustable_Savings_Goal_Template.xlsx, Unit Savings Calculations Tab</v>
      </c>
      <c r="BF400" s="298">
        <f t="shared" si="222"/>
        <v>5798.7089999999998</v>
      </c>
      <c r="BG400" s="298">
        <f t="shared" si="222"/>
        <v>5798.7089999999998</v>
      </c>
      <c r="BH400" s="298">
        <f t="shared" si="222"/>
        <v>5798.7089999999998</v>
      </c>
      <c r="BI400" s="298">
        <f t="shared" si="212"/>
        <v>5798.7089999999998</v>
      </c>
      <c r="BJ400" s="298">
        <f t="shared" si="223"/>
        <v>23194.835999999999</v>
      </c>
      <c r="BK400" s="482">
        <v>15</v>
      </c>
      <c r="BL400" s="482">
        <v>15</v>
      </c>
      <c r="BM400" s="482">
        <f>INDEX('Unit Savings Calculations'!$I$4:$I$421,MATCH('Measure-Level Adjustments Tab'!$A400&amp;"_"&amp;'Measure-Level Adjustments Tab'!$B400,'Unit Savings Calculations'!$A$4:$A$421,0))</f>
        <v>15</v>
      </c>
      <c r="BN400" s="482">
        <f t="shared" si="224"/>
        <v>15</v>
      </c>
      <c r="BO400" s="483">
        <f t="shared" si="225"/>
        <v>5798.7089999999998</v>
      </c>
      <c r="BP400" s="483">
        <f t="shared" si="225"/>
        <v>4506.8197500000006</v>
      </c>
      <c r="BQ400" s="483">
        <f t="shared" si="225"/>
        <v>4506.8197500000006</v>
      </c>
      <c r="BR400" s="483">
        <f t="shared" si="213"/>
        <v>4506.8197500000006</v>
      </c>
      <c r="BS400" s="483">
        <f t="shared" si="214"/>
        <v>19319.168250000002</v>
      </c>
    </row>
    <row r="401" spans="1:71" ht="15.75" customHeight="1">
      <c r="A401" s="292" t="str">
        <f>'Unit Savings Calculations'!C397</f>
        <v>Low Income - MF Retrofit</v>
      </c>
      <c r="B401" s="292" t="str">
        <f>'Unit Savings Calculations'!D397</f>
        <v>Programmable Thermostat - Furnace</v>
      </c>
      <c r="C401" s="293">
        <f t="shared" si="206"/>
        <v>1</v>
      </c>
      <c r="D401" s="292" t="str">
        <f>'Unit Savings Calculations'!T397</f>
        <v>5.3.11</v>
      </c>
      <c r="E401" s="438">
        <v>5</v>
      </c>
      <c r="F401" s="438">
        <v>8</v>
      </c>
      <c r="G401" s="292" t="str">
        <f>'Unit Savings Calculations'!E397</f>
        <v>each</v>
      </c>
      <c r="H401" s="294">
        <f>'Unit Savings Calculations'!$F397*'Unit Savings Calculations'!J397</f>
        <v>130</v>
      </c>
      <c r="I401" s="294">
        <f>'Unit Savings Calculations'!$F397*'Unit Savings Calculations'!K397</f>
        <v>130</v>
      </c>
      <c r="J401" s="294">
        <f>'Unit Savings Calculations'!$F397*'Unit Savings Calculations'!L397</f>
        <v>130</v>
      </c>
      <c r="K401" s="294">
        <f>'Unit Savings Calculations'!$F397*'Unit Savings Calculations'!M397</f>
        <v>130</v>
      </c>
      <c r="L401" s="292" t="str">
        <f>'Unit Savings Calculations'!U397</f>
        <v>RS-HVC-PROG-V04-180101</v>
      </c>
      <c r="M401" s="383" t="str">
        <f>'Unit Savings Calculations'!R397</f>
        <v>Exhibit 1.5A_R North Shore EEPS_Adjustable_Savings_Goal_Template.xlsx, Unit Savings Calculations Tab</v>
      </c>
      <c r="N401" s="295">
        <v>40.5015</v>
      </c>
      <c r="O401" s="295">
        <v>40.5015</v>
      </c>
      <c r="P401" s="295">
        <v>40.5015</v>
      </c>
      <c r="Q401" s="295">
        <v>40.5015</v>
      </c>
      <c r="R401" s="296">
        <f>'Unit Savings Calculations'!$G397</f>
        <v>1</v>
      </c>
      <c r="S401" s="296">
        <f>'Unit Savings Calculations'!$G397</f>
        <v>1</v>
      </c>
      <c r="T401" s="296">
        <f>'Unit Savings Calculations'!$G397</f>
        <v>1</v>
      </c>
      <c r="U401" s="296">
        <f>'Unit Savings Calculations'!$G397</f>
        <v>1</v>
      </c>
      <c r="V401" s="297">
        <f t="shared" si="207"/>
        <v>5265.1949999999997</v>
      </c>
      <c r="W401" s="297">
        <f t="shared" si="208"/>
        <v>5265.1949999999997</v>
      </c>
      <c r="X401" s="297">
        <f t="shared" si="209"/>
        <v>5265.1949999999997</v>
      </c>
      <c r="Y401" s="297">
        <f t="shared" si="210"/>
        <v>5265.1949999999997</v>
      </c>
      <c r="Z401" s="297">
        <f t="shared" si="211"/>
        <v>21060.78</v>
      </c>
      <c r="AA401" s="292"/>
      <c r="AB401" s="292"/>
      <c r="AC401" s="295">
        <v>40.5015</v>
      </c>
      <c r="AD401" s="292"/>
      <c r="AE401" s="297">
        <f t="shared" si="226"/>
        <v>5265.1949999999997</v>
      </c>
      <c r="AF401" s="294">
        <f t="shared" si="227"/>
        <v>0</v>
      </c>
      <c r="AG401" s="292"/>
      <c r="AH401" s="292">
        <f t="shared" si="228"/>
        <v>0</v>
      </c>
      <c r="AI401" s="295">
        <v>40.5015</v>
      </c>
      <c r="AJ401" s="383" t="s">
        <v>878</v>
      </c>
      <c r="AK401" s="297">
        <f t="shared" si="229"/>
        <v>5265.1949999999997</v>
      </c>
      <c r="AL401" s="294">
        <f t="shared" si="230"/>
        <v>0</v>
      </c>
      <c r="AM401" s="292"/>
      <c r="AN401" s="292"/>
      <c r="AO401" s="295">
        <f>'Unit Savings Calculations'!P397</f>
        <v>40.5015</v>
      </c>
      <c r="AP401" s="383" t="s">
        <v>763</v>
      </c>
      <c r="AQ401" s="297">
        <f t="shared" si="231"/>
        <v>5265.1949999999997</v>
      </c>
      <c r="AR401" s="294">
        <f t="shared" si="232"/>
        <v>0</v>
      </c>
      <c r="AS401" s="292"/>
      <c r="AT401" s="292"/>
      <c r="AU401" s="295">
        <f>'Unit Savings Calculations'!Q397</f>
        <v>40.5015</v>
      </c>
      <c r="AV401" s="383" t="str">
        <f t="shared" si="215"/>
        <v>n/a</v>
      </c>
      <c r="AW401" s="297">
        <f t="shared" si="233"/>
        <v>5265.1949999999997</v>
      </c>
      <c r="AX401" s="294">
        <f t="shared" si="234"/>
        <v>0</v>
      </c>
      <c r="AY401" s="297">
        <f t="shared" si="216"/>
        <v>5265.1949999999997</v>
      </c>
      <c r="AZ401" s="297">
        <f t="shared" si="217"/>
        <v>5265.1949999999997</v>
      </c>
      <c r="BA401" s="297">
        <f t="shared" si="218"/>
        <v>5265.1949999999997</v>
      </c>
      <c r="BB401" s="297">
        <f t="shared" si="219"/>
        <v>5265.1949999999997</v>
      </c>
      <c r="BC401" s="298">
        <f t="shared" si="220"/>
        <v>21060.78</v>
      </c>
      <c r="BD401" s="292" t="s">
        <v>763</v>
      </c>
      <c r="BE401" s="299" t="str">
        <f t="shared" si="221"/>
        <v>Exhibit 1.5A_R North Shore EEPS_Adjustable_Savings_Goal_Template.xlsx, Unit Savings Calculations Tab</v>
      </c>
      <c r="BF401" s="298">
        <f t="shared" si="222"/>
        <v>42121.56</v>
      </c>
      <c r="BG401" s="298">
        <f t="shared" si="222"/>
        <v>42121.56</v>
      </c>
      <c r="BH401" s="298">
        <f t="shared" si="222"/>
        <v>42121.56</v>
      </c>
      <c r="BI401" s="298">
        <f t="shared" si="212"/>
        <v>42121.56</v>
      </c>
      <c r="BJ401" s="298">
        <f t="shared" si="223"/>
        <v>168486.24</v>
      </c>
      <c r="BK401" s="482">
        <v>8</v>
      </c>
      <c r="BL401" s="482">
        <v>8</v>
      </c>
      <c r="BM401" s="482">
        <f>INDEX('Unit Savings Calculations'!$I$4:$I$421,MATCH('Measure-Level Adjustments Tab'!$A401&amp;"_"&amp;'Measure-Level Adjustments Tab'!$B401,'Unit Savings Calculations'!$A$4:$A$421,0))</f>
        <v>8</v>
      </c>
      <c r="BN401" s="482">
        <f t="shared" si="224"/>
        <v>8</v>
      </c>
      <c r="BO401" s="483">
        <f t="shared" si="225"/>
        <v>42121.56</v>
      </c>
      <c r="BP401" s="483">
        <f t="shared" si="225"/>
        <v>42121.56</v>
      </c>
      <c r="BQ401" s="483">
        <f t="shared" si="225"/>
        <v>42121.56</v>
      </c>
      <c r="BR401" s="483">
        <f t="shared" si="213"/>
        <v>42121.56</v>
      </c>
      <c r="BS401" s="483">
        <f t="shared" si="214"/>
        <v>168486.24</v>
      </c>
    </row>
    <row r="402" spans="1:71" ht="15.75" customHeight="1">
      <c r="A402" s="292" t="str">
        <f>'Unit Savings Calculations'!C398</f>
        <v>Low Income - MF Retrofit</v>
      </c>
      <c r="B402" s="292" t="str">
        <f>'Unit Savings Calculations'!D398</f>
        <v>Programmable Thermostat - Boiler</v>
      </c>
      <c r="C402" s="293">
        <f t="shared" si="206"/>
        <v>1</v>
      </c>
      <c r="D402" s="292" t="str">
        <f>'Unit Savings Calculations'!T398</f>
        <v>5.3.11</v>
      </c>
      <c r="E402" s="438">
        <v>5</v>
      </c>
      <c r="F402" s="438">
        <v>8</v>
      </c>
      <c r="G402" s="292" t="str">
        <f>'Unit Savings Calculations'!E398</f>
        <v>each</v>
      </c>
      <c r="H402" s="294">
        <f>'Unit Savings Calculations'!$F398*'Unit Savings Calculations'!J398</f>
        <v>10</v>
      </c>
      <c r="I402" s="294">
        <f>'Unit Savings Calculations'!$F398*'Unit Savings Calculations'!K398</f>
        <v>10</v>
      </c>
      <c r="J402" s="294">
        <f>'Unit Savings Calculations'!$F398*'Unit Savings Calculations'!L398</f>
        <v>10</v>
      </c>
      <c r="K402" s="294">
        <f>'Unit Savings Calculations'!$F398*'Unit Savings Calculations'!M398</f>
        <v>10</v>
      </c>
      <c r="L402" s="292" t="str">
        <f>'Unit Savings Calculations'!U398</f>
        <v>RS-HVC-PROG-V04-180101</v>
      </c>
      <c r="M402" s="383" t="str">
        <f>'Unit Savings Calculations'!R398</f>
        <v>Exhibit 1.5A_R North Shore EEPS_Adjustable_Savings_Goal_Template.xlsx, Unit Savings Calculations Tab</v>
      </c>
      <c r="N402" s="295">
        <v>49.085400000000007</v>
      </c>
      <c r="O402" s="295">
        <v>49.085400000000007</v>
      </c>
      <c r="P402" s="295">
        <v>49.085400000000007</v>
      </c>
      <c r="Q402" s="295">
        <v>49.085400000000007</v>
      </c>
      <c r="R402" s="296">
        <f>'Unit Savings Calculations'!$G398</f>
        <v>1</v>
      </c>
      <c r="S402" s="296">
        <f>'Unit Savings Calculations'!$G398</f>
        <v>1</v>
      </c>
      <c r="T402" s="296">
        <f>'Unit Savings Calculations'!$G398</f>
        <v>1</v>
      </c>
      <c r="U402" s="296">
        <f>'Unit Savings Calculations'!$G398</f>
        <v>1</v>
      </c>
      <c r="V402" s="297">
        <f t="shared" si="207"/>
        <v>490.85400000000004</v>
      </c>
      <c r="W402" s="297">
        <f t="shared" si="208"/>
        <v>490.85400000000004</v>
      </c>
      <c r="X402" s="297">
        <f t="shared" si="209"/>
        <v>490.85400000000004</v>
      </c>
      <c r="Y402" s="297">
        <f t="shared" si="210"/>
        <v>490.85400000000004</v>
      </c>
      <c r="Z402" s="297">
        <f t="shared" si="211"/>
        <v>1963.4160000000002</v>
      </c>
      <c r="AA402" s="292"/>
      <c r="AB402" s="292"/>
      <c r="AC402" s="295">
        <v>49.085400000000007</v>
      </c>
      <c r="AD402" s="292"/>
      <c r="AE402" s="297">
        <f t="shared" si="226"/>
        <v>490.85400000000004</v>
      </c>
      <c r="AF402" s="294">
        <f t="shared" si="227"/>
        <v>0</v>
      </c>
      <c r="AG402" s="292"/>
      <c r="AH402" s="292">
        <f t="shared" si="228"/>
        <v>0</v>
      </c>
      <c r="AI402" s="295">
        <v>49.085400000000007</v>
      </c>
      <c r="AJ402" s="383" t="s">
        <v>878</v>
      </c>
      <c r="AK402" s="297">
        <f t="shared" si="229"/>
        <v>490.85400000000004</v>
      </c>
      <c r="AL402" s="294">
        <f t="shared" si="230"/>
        <v>0</v>
      </c>
      <c r="AM402" s="292"/>
      <c r="AN402" s="292"/>
      <c r="AO402" s="295">
        <f>'Unit Savings Calculations'!P398</f>
        <v>49.085400000000007</v>
      </c>
      <c r="AP402" s="383" t="s">
        <v>763</v>
      </c>
      <c r="AQ402" s="297">
        <f t="shared" si="231"/>
        <v>490.85400000000004</v>
      </c>
      <c r="AR402" s="294">
        <f t="shared" si="232"/>
        <v>0</v>
      </c>
      <c r="AS402" s="292"/>
      <c r="AT402" s="292"/>
      <c r="AU402" s="295">
        <f>'Unit Savings Calculations'!Q398</f>
        <v>49.085400000000007</v>
      </c>
      <c r="AV402" s="383" t="str">
        <f t="shared" si="215"/>
        <v>n/a</v>
      </c>
      <c r="AW402" s="297">
        <f t="shared" si="233"/>
        <v>490.85400000000004</v>
      </c>
      <c r="AX402" s="294">
        <f t="shared" si="234"/>
        <v>0</v>
      </c>
      <c r="AY402" s="297">
        <f t="shared" si="216"/>
        <v>490.85400000000004</v>
      </c>
      <c r="AZ402" s="297">
        <f t="shared" si="217"/>
        <v>490.85400000000004</v>
      </c>
      <c r="BA402" s="297">
        <f t="shared" si="218"/>
        <v>490.85400000000004</v>
      </c>
      <c r="BB402" s="297">
        <f t="shared" si="219"/>
        <v>490.85400000000004</v>
      </c>
      <c r="BC402" s="298">
        <f t="shared" si="220"/>
        <v>1963.4160000000002</v>
      </c>
      <c r="BD402" s="292" t="s">
        <v>763</v>
      </c>
      <c r="BE402" s="299" t="str">
        <f t="shared" si="221"/>
        <v>Exhibit 1.5A_R North Shore EEPS_Adjustable_Savings_Goal_Template.xlsx, Unit Savings Calculations Tab</v>
      </c>
      <c r="BF402" s="298">
        <f t="shared" si="222"/>
        <v>3926.8320000000003</v>
      </c>
      <c r="BG402" s="298">
        <f t="shared" si="222"/>
        <v>3926.8320000000003</v>
      </c>
      <c r="BH402" s="298">
        <f t="shared" si="222"/>
        <v>3926.8320000000003</v>
      </c>
      <c r="BI402" s="298">
        <f t="shared" si="212"/>
        <v>3926.8320000000003</v>
      </c>
      <c r="BJ402" s="298">
        <f t="shared" si="223"/>
        <v>15707.328000000001</v>
      </c>
      <c r="BK402" s="482">
        <v>8</v>
      </c>
      <c r="BL402" s="482">
        <v>8</v>
      </c>
      <c r="BM402" s="482">
        <f>INDEX('Unit Savings Calculations'!$I$4:$I$421,MATCH('Measure-Level Adjustments Tab'!$A402&amp;"_"&amp;'Measure-Level Adjustments Tab'!$B402,'Unit Savings Calculations'!$A$4:$A$421,0))</f>
        <v>8</v>
      </c>
      <c r="BN402" s="482">
        <f t="shared" si="224"/>
        <v>8</v>
      </c>
      <c r="BO402" s="483">
        <f t="shared" si="225"/>
        <v>3926.8320000000003</v>
      </c>
      <c r="BP402" s="483">
        <f t="shared" si="225"/>
        <v>3926.8320000000003</v>
      </c>
      <c r="BQ402" s="483">
        <f t="shared" si="225"/>
        <v>3926.8320000000003</v>
      </c>
      <c r="BR402" s="483">
        <f t="shared" si="213"/>
        <v>3926.8320000000003</v>
      </c>
      <c r="BS402" s="483">
        <f t="shared" si="214"/>
        <v>15707.328000000001</v>
      </c>
    </row>
    <row r="403" spans="1:71" ht="15.75" customHeight="1">
      <c r="A403" s="292" t="str">
        <f>'Unit Savings Calculations'!C399</f>
        <v>Low Income - MF Retrofit</v>
      </c>
      <c r="B403" s="292" t="str">
        <f>'Unit Savings Calculations'!D399</f>
        <v>Advanced Thermostat - Furnace (Replace Manual)</v>
      </c>
      <c r="C403" s="293">
        <f t="shared" si="206"/>
        <v>1</v>
      </c>
      <c r="D403" s="292" t="str">
        <f>'Unit Savings Calculations'!T399</f>
        <v>5.3.16</v>
      </c>
      <c r="E403" s="438">
        <v>10</v>
      </c>
      <c r="F403" s="438">
        <v>11</v>
      </c>
      <c r="G403" s="292" t="str">
        <f>'Unit Savings Calculations'!E399</f>
        <v>each</v>
      </c>
      <c r="H403" s="294">
        <f>'Unit Savings Calculations'!$F399*'Unit Savings Calculations'!J399</f>
        <v>0</v>
      </c>
      <c r="I403" s="294">
        <f>'Unit Savings Calculations'!$F399*'Unit Savings Calculations'!K399</f>
        <v>0</v>
      </c>
      <c r="J403" s="294">
        <f>'Unit Savings Calculations'!$F399*'Unit Savings Calculations'!L399</f>
        <v>0</v>
      </c>
      <c r="K403" s="294">
        <f>'Unit Savings Calculations'!$F399*'Unit Savings Calculations'!M399</f>
        <v>0</v>
      </c>
      <c r="L403" s="292" t="str">
        <f>'Unit Savings Calculations'!U399</f>
        <v>RS-HVC-ADTH-V02-180101</v>
      </c>
      <c r="M403" s="383" t="str">
        <f>'Unit Savings Calculations'!R399</f>
        <v>Exhibit 1.5A_R North Shore EEPS_Adjustable_Savings_Goal_Template.xlsx, Unit Savings Calculations Tab</v>
      </c>
      <c r="N403" s="295">
        <v>57.485999999999997</v>
      </c>
      <c r="O403" s="295">
        <v>57.485999999999997</v>
      </c>
      <c r="P403" s="295">
        <v>57.485999999999997</v>
      </c>
      <c r="Q403" s="295">
        <v>57.485999999999997</v>
      </c>
      <c r="R403" s="296">
        <f>'Unit Savings Calculations'!$G399</f>
        <v>1</v>
      </c>
      <c r="S403" s="296">
        <f>'Unit Savings Calculations'!$G399</f>
        <v>1</v>
      </c>
      <c r="T403" s="296">
        <f>'Unit Savings Calculations'!$G399</f>
        <v>1</v>
      </c>
      <c r="U403" s="296">
        <f>'Unit Savings Calculations'!$G399</f>
        <v>1</v>
      </c>
      <c r="V403" s="297">
        <f t="shared" si="207"/>
        <v>0</v>
      </c>
      <c r="W403" s="297">
        <f t="shared" si="208"/>
        <v>0</v>
      </c>
      <c r="X403" s="297">
        <f t="shared" si="209"/>
        <v>0</v>
      </c>
      <c r="Y403" s="297">
        <f t="shared" si="210"/>
        <v>0</v>
      </c>
      <c r="Z403" s="297">
        <f t="shared" si="211"/>
        <v>0</v>
      </c>
      <c r="AA403" s="292"/>
      <c r="AB403" s="292"/>
      <c r="AC403" s="295">
        <v>57.485999999999997</v>
      </c>
      <c r="AD403" s="292"/>
      <c r="AE403" s="297">
        <f t="shared" si="226"/>
        <v>0</v>
      </c>
      <c r="AF403" s="294">
        <f t="shared" si="227"/>
        <v>0</v>
      </c>
      <c r="AG403" s="292"/>
      <c r="AH403" s="292">
        <f t="shared" si="228"/>
        <v>0</v>
      </c>
      <c r="AI403" s="295">
        <v>57.485999999999997</v>
      </c>
      <c r="AJ403" s="383" t="s">
        <v>878</v>
      </c>
      <c r="AK403" s="297">
        <f t="shared" si="229"/>
        <v>0</v>
      </c>
      <c r="AL403" s="294">
        <f t="shared" si="230"/>
        <v>0</v>
      </c>
      <c r="AM403" s="292"/>
      <c r="AN403" s="292"/>
      <c r="AO403" s="295">
        <f>'Unit Savings Calculations'!P399</f>
        <v>57.485999999999997</v>
      </c>
      <c r="AP403" s="383" t="s">
        <v>763</v>
      </c>
      <c r="AQ403" s="297">
        <f t="shared" si="231"/>
        <v>0</v>
      </c>
      <c r="AR403" s="294">
        <f t="shared" si="232"/>
        <v>0</v>
      </c>
      <c r="AS403" s="292"/>
      <c r="AT403" s="292"/>
      <c r="AU403" s="295">
        <f>'Unit Savings Calculations'!Q399</f>
        <v>57.485999999999997</v>
      </c>
      <c r="AV403" s="383" t="str">
        <f t="shared" si="215"/>
        <v>n/a</v>
      </c>
      <c r="AW403" s="297">
        <f t="shared" si="233"/>
        <v>0</v>
      </c>
      <c r="AX403" s="294">
        <f t="shared" si="234"/>
        <v>0</v>
      </c>
      <c r="AY403" s="297">
        <f t="shared" si="216"/>
        <v>0</v>
      </c>
      <c r="AZ403" s="297">
        <f t="shared" si="217"/>
        <v>0</v>
      </c>
      <c r="BA403" s="297">
        <f t="shared" si="218"/>
        <v>0</v>
      </c>
      <c r="BB403" s="297">
        <f t="shared" si="219"/>
        <v>0</v>
      </c>
      <c r="BC403" s="298">
        <f t="shared" si="220"/>
        <v>0</v>
      </c>
      <c r="BD403" s="292" t="s">
        <v>763</v>
      </c>
      <c r="BE403" s="299" t="str">
        <f t="shared" si="221"/>
        <v>Exhibit 1.5A_R North Shore EEPS_Adjustable_Savings_Goal_Template.xlsx, Unit Savings Calculations Tab</v>
      </c>
      <c r="BF403" s="298">
        <f t="shared" si="222"/>
        <v>0</v>
      </c>
      <c r="BG403" s="298">
        <f t="shared" si="222"/>
        <v>0</v>
      </c>
      <c r="BH403" s="298">
        <f t="shared" si="222"/>
        <v>0</v>
      </c>
      <c r="BI403" s="298">
        <f t="shared" si="212"/>
        <v>0</v>
      </c>
      <c r="BJ403" s="298">
        <f t="shared" si="223"/>
        <v>0</v>
      </c>
      <c r="BK403" s="482">
        <v>11</v>
      </c>
      <c r="BL403" s="482">
        <v>11</v>
      </c>
      <c r="BM403" s="482">
        <f>INDEX('Unit Savings Calculations'!$I$4:$I$421,MATCH('Measure-Level Adjustments Tab'!$A403&amp;"_"&amp;'Measure-Level Adjustments Tab'!$B403,'Unit Savings Calculations'!$A$4:$A$421,0))</f>
        <v>11</v>
      </c>
      <c r="BN403" s="482">
        <f t="shared" si="224"/>
        <v>11</v>
      </c>
      <c r="BO403" s="483">
        <f t="shared" si="225"/>
        <v>0</v>
      </c>
      <c r="BP403" s="483">
        <f t="shared" si="225"/>
        <v>0</v>
      </c>
      <c r="BQ403" s="483">
        <f t="shared" si="225"/>
        <v>0</v>
      </c>
      <c r="BR403" s="483">
        <f t="shared" si="213"/>
        <v>0</v>
      </c>
      <c r="BS403" s="483">
        <f t="shared" si="214"/>
        <v>0</v>
      </c>
    </row>
    <row r="404" spans="1:71" ht="15.75" customHeight="1">
      <c r="A404" s="292" t="str">
        <f>'Unit Savings Calculations'!C400</f>
        <v>Low Income - MF Retrofit</v>
      </c>
      <c r="B404" s="292" t="str">
        <f>'Unit Savings Calculations'!D400</f>
        <v>Advanced Thermostat - Boiler (Replace Manual)</v>
      </c>
      <c r="C404" s="293">
        <f t="shared" si="206"/>
        <v>1</v>
      </c>
      <c r="D404" s="292" t="str">
        <f>'Unit Savings Calculations'!T400</f>
        <v>5.3.16</v>
      </c>
      <c r="E404" s="438">
        <v>10</v>
      </c>
      <c r="F404" s="438">
        <v>11</v>
      </c>
      <c r="G404" s="292" t="str">
        <f>'Unit Savings Calculations'!E400</f>
        <v>each</v>
      </c>
      <c r="H404" s="294">
        <f>'Unit Savings Calculations'!$F400*'Unit Savings Calculations'!J400</f>
        <v>4</v>
      </c>
      <c r="I404" s="294">
        <f>'Unit Savings Calculations'!$F400*'Unit Savings Calculations'!K400</f>
        <v>4</v>
      </c>
      <c r="J404" s="294">
        <f>'Unit Savings Calculations'!$F400*'Unit Savings Calculations'!L400</f>
        <v>4</v>
      </c>
      <c r="K404" s="294">
        <f>'Unit Savings Calculations'!$F400*'Unit Savings Calculations'!M400</f>
        <v>4</v>
      </c>
      <c r="L404" s="292" t="str">
        <f>'Unit Savings Calculations'!U400</f>
        <v>RS-HVC-ADTH-V02-180101</v>
      </c>
      <c r="M404" s="383" t="str">
        <f>'Unit Savings Calculations'!R400</f>
        <v>Exhibit 1.5A_R North Shore EEPS_Adjustable_Savings_Goal_Template.xlsx, Unit Savings Calculations Tab</v>
      </c>
      <c r="N404" s="295">
        <v>69.669600000000003</v>
      </c>
      <c r="O404" s="295">
        <v>69.669600000000003</v>
      </c>
      <c r="P404" s="295">
        <v>69.669600000000003</v>
      </c>
      <c r="Q404" s="295">
        <v>69.669600000000003</v>
      </c>
      <c r="R404" s="296">
        <f>'Unit Savings Calculations'!$G400</f>
        <v>1</v>
      </c>
      <c r="S404" s="296">
        <f>'Unit Savings Calculations'!$G400</f>
        <v>1</v>
      </c>
      <c r="T404" s="296">
        <f>'Unit Savings Calculations'!$G400</f>
        <v>1</v>
      </c>
      <c r="U404" s="296">
        <f>'Unit Savings Calculations'!$G400</f>
        <v>1</v>
      </c>
      <c r="V404" s="297">
        <f t="shared" si="207"/>
        <v>278.67840000000001</v>
      </c>
      <c r="W404" s="297">
        <f t="shared" si="208"/>
        <v>278.67840000000001</v>
      </c>
      <c r="X404" s="297">
        <f t="shared" si="209"/>
        <v>278.67840000000001</v>
      </c>
      <c r="Y404" s="297">
        <f t="shared" si="210"/>
        <v>278.67840000000001</v>
      </c>
      <c r="Z404" s="297">
        <f t="shared" si="211"/>
        <v>1114.7136</v>
      </c>
      <c r="AA404" s="292"/>
      <c r="AB404" s="292"/>
      <c r="AC404" s="295">
        <v>69.669600000000003</v>
      </c>
      <c r="AD404" s="292"/>
      <c r="AE404" s="297">
        <f t="shared" si="226"/>
        <v>278.67840000000001</v>
      </c>
      <c r="AF404" s="294">
        <f t="shared" si="227"/>
        <v>0</v>
      </c>
      <c r="AG404" s="292"/>
      <c r="AH404" s="292">
        <f t="shared" si="228"/>
        <v>0</v>
      </c>
      <c r="AI404" s="295">
        <v>69.669600000000003</v>
      </c>
      <c r="AJ404" s="383" t="s">
        <v>878</v>
      </c>
      <c r="AK404" s="297">
        <f t="shared" si="229"/>
        <v>278.67840000000001</v>
      </c>
      <c r="AL404" s="294">
        <f t="shared" si="230"/>
        <v>0</v>
      </c>
      <c r="AM404" s="292"/>
      <c r="AN404" s="292"/>
      <c r="AO404" s="295">
        <f>'Unit Savings Calculations'!P400</f>
        <v>69.669600000000003</v>
      </c>
      <c r="AP404" s="383" t="s">
        <v>763</v>
      </c>
      <c r="AQ404" s="297">
        <f t="shared" si="231"/>
        <v>278.67840000000001</v>
      </c>
      <c r="AR404" s="294">
        <f t="shared" si="232"/>
        <v>0</v>
      </c>
      <c r="AS404" s="292"/>
      <c r="AT404" s="292"/>
      <c r="AU404" s="295">
        <f>'Unit Savings Calculations'!Q400</f>
        <v>69.669600000000003</v>
      </c>
      <c r="AV404" s="383" t="str">
        <f t="shared" si="215"/>
        <v>n/a</v>
      </c>
      <c r="AW404" s="297">
        <f t="shared" si="233"/>
        <v>278.67840000000001</v>
      </c>
      <c r="AX404" s="294">
        <f t="shared" si="234"/>
        <v>0</v>
      </c>
      <c r="AY404" s="297">
        <f t="shared" si="216"/>
        <v>278.67840000000001</v>
      </c>
      <c r="AZ404" s="297">
        <f t="shared" si="217"/>
        <v>278.67840000000001</v>
      </c>
      <c r="BA404" s="297">
        <f t="shared" si="218"/>
        <v>278.67840000000001</v>
      </c>
      <c r="BB404" s="297">
        <f t="shared" si="219"/>
        <v>278.67840000000001</v>
      </c>
      <c r="BC404" s="298">
        <f t="shared" si="220"/>
        <v>1114.7136</v>
      </c>
      <c r="BD404" s="292" t="s">
        <v>763</v>
      </c>
      <c r="BE404" s="299" t="str">
        <f t="shared" si="221"/>
        <v>Exhibit 1.5A_R North Shore EEPS_Adjustable_Savings_Goal_Template.xlsx, Unit Savings Calculations Tab</v>
      </c>
      <c r="BF404" s="298">
        <f t="shared" si="222"/>
        <v>3065.4624000000003</v>
      </c>
      <c r="BG404" s="298">
        <f t="shared" si="222"/>
        <v>3065.4624000000003</v>
      </c>
      <c r="BH404" s="298">
        <f t="shared" si="222"/>
        <v>3065.4624000000003</v>
      </c>
      <c r="BI404" s="298">
        <f t="shared" si="212"/>
        <v>3065.4624000000003</v>
      </c>
      <c r="BJ404" s="298">
        <f t="shared" si="223"/>
        <v>12261.849600000001</v>
      </c>
      <c r="BK404" s="482">
        <v>11</v>
      </c>
      <c r="BL404" s="482">
        <v>11</v>
      </c>
      <c r="BM404" s="482">
        <f>INDEX('Unit Savings Calculations'!$I$4:$I$421,MATCH('Measure-Level Adjustments Tab'!$A404&amp;"_"&amp;'Measure-Level Adjustments Tab'!$B404,'Unit Savings Calculations'!$A$4:$A$421,0))</f>
        <v>11</v>
      </c>
      <c r="BN404" s="482">
        <f t="shared" si="224"/>
        <v>11</v>
      </c>
      <c r="BO404" s="483">
        <f t="shared" si="225"/>
        <v>3065.4624000000003</v>
      </c>
      <c r="BP404" s="483">
        <f t="shared" si="225"/>
        <v>3065.4624000000003</v>
      </c>
      <c r="BQ404" s="483">
        <f t="shared" si="225"/>
        <v>3065.4624000000003</v>
      </c>
      <c r="BR404" s="483">
        <f t="shared" si="213"/>
        <v>3065.4624000000003</v>
      </c>
      <c r="BS404" s="483">
        <f t="shared" si="214"/>
        <v>12261.849600000001</v>
      </c>
    </row>
    <row r="405" spans="1:71" ht="15.75" customHeight="1">
      <c r="A405" s="292" t="str">
        <f>'Unit Savings Calculations'!C401</f>
        <v>Low Income - MF Retrofit</v>
      </c>
      <c r="B405" s="292" t="str">
        <f>'Unit Savings Calculations'!D401</f>
        <v>Advanced Thermostat - Furnace (Replace Programmable)</v>
      </c>
      <c r="C405" s="293">
        <f t="shared" si="206"/>
        <v>1</v>
      </c>
      <c r="D405" s="292" t="str">
        <f>'Unit Savings Calculations'!T401</f>
        <v>5.3.16</v>
      </c>
      <c r="E405" s="438">
        <v>10</v>
      </c>
      <c r="F405" s="438">
        <v>11</v>
      </c>
      <c r="G405" s="292" t="str">
        <f>'Unit Savings Calculations'!E401</f>
        <v>each</v>
      </c>
      <c r="H405" s="294">
        <f>'Unit Savings Calculations'!$F401*'Unit Savings Calculations'!J401</f>
        <v>0</v>
      </c>
      <c r="I405" s="294">
        <f>'Unit Savings Calculations'!$F401*'Unit Savings Calculations'!K401</f>
        <v>0</v>
      </c>
      <c r="J405" s="294">
        <f>'Unit Savings Calculations'!$F401*'Unit Savings Calculations'!L401</f>
        <v>0</v>
      </c>
      <c r="K405" s="294">
        <f>'Unit Savings Calculations'!$F401*'Unit Savings Calculations'!M401</f>
        <v>0</v>
      </c>
      <c r="L405" s="292" t="str">
        <f>'Unit Savings Calculations'!U401</f>
        <v>RS-HVC-ADTH-V02-180101</v>
      </c>
      <c r="M405" s="383" t="str">
        <f>'Unit Savings Calculations'!R401</f>
        <v>Exhibit 1.5A_R North Shore EEPS_Adjustable_Savings_Goal_Template.xlsx, Unit Savings Calculations Tab</v>
      </c>
      <c r="N405" s="295">
        <v>36.582000000000001</v>
      </c>
      <c r="O405" s="295">
        <v>36.582000000000001</v>
      </c>
      <c r="P405" s="295">
        <v>36.582000000000001</v>
      </c>
      <c r="Q405" s="295">
        <v>36.582000000000001</v>
      </c>
      <c r="R405" s="296">
        <f>'Unit Savings Calculations'!$G401</f>
        <v>1</v>
      </c>
      <c r="S405" s="296">
        <f>'Unit Savings Calculations'!$G401</f>
        <v>1</v>
      </c>
      <c r="T405" s="296">
        <f>'Unit Savings Calculations'!$G401</f>
        <v>1</v>
      </c>
      <c r="U405" s="296">
        <f>'Unit Savings Calculations'!$G401</f>
        <v>1</v>
      </c>
      <c r="V405" s="297">
        <f t="shared" si="207"/>
        <v>0</v>
      </c>
      <c r="W405" s="297">
        <f t="shared" si="208"/>
        <v>0</v>
      </c>
      <c r="X405" s="297">
        <f t="shared" si="209"/>
        <v>0</v>
      </c>
      <c r="Y405" s="297">
        <f t="shared" si="210"/>
        <v>0</v>
      </c>
      <c r="Z405" s="297">
        <f t="shared" si="211"/>
        <v>0</v>
      </c>
      <c r="AA405" s="292"/>
      <c r="AB405" s="292"/>
      <c r="AC405" s="295">
        <v>36.582000000000001</v>
      </c>
      <c r="AD405" s="292"/>
      <c r="AE405" s="297">
        <f t="shared" si="226"/>
        <v>0</v>
      </c>
      <c r="AF405" s="294">
        <f t="shared" si="227"/>
        <v>0</v>
      </c>
      <c r="AG405" s="292"/>
      <c r="AH405" s="292">
        <f t="shared" si="228"/>
        <v>0</v>
      </c>
      <c r="AI405" s="295">
        <v>36.582000000000001</v>
      </c>
      <c r="AJ405" s="383" t="s">
        <v>878</v>
      </c>
      <c r="AK405" s="297">
        <f t="shared" si="229"/>
        <v>0</v>
      </c>
      <c r="AL405" s="294">
        <f t="shared" si="230"/>
        <v>0</v>
      </c>
      <c r="AM405" s="292"/>
      <c r="AN405" s="292"/>
      <c r="AO405" s="295">
        <f>'Unit Savings Calculations'!P401</f>
        <v>36.582000000000001</v>
      </c>
      <c r="AP405" s="383" t="s">
        <v>763</v>
      </c>
      <c r="AQ405" s="297">
        <f t="shared" si="231"/>
        <v>0</v>
      </c>
      <c r="AR405" s="294">
        <f t="shared" si="232"/>
        <v>0</v>
      </c>
      <c r="AS405" s="292"/>
      <c r="AT405" s="292"/>
      <c r="AU405" s="295">
        <f>'Unit Savings Calculations'!Q401</f>
        <v>36.582000000000001</v>
      </c>
      <c r="AV405" s="383" t="str">
        <f t="shared" si="215"/>
        <v>n/a</v>
      </c>
      <c r="AW405" s="297">
        <f t="shared" si="233"/>
        <v>0</v>
      </c>
      <c r="AX405" s="294">
        <f t="shared" si="234"/>
        <v>0</v>
      </c>
      <c r="AY405" s="297">
        <f t="shared" si="216"/>
        <v>0</v>
      </c>
      <c r="AZ405" s="297">
        <f t="shared" si="217"/>
        <v>0</v>
      </c>
      <c r="BA405" s="297">
        <f t="shared" si="218"/>
        <v>0</v>
      </c>
      <c r="BB405" s="297">
        <f t="shared" si="219"/>
        <v>0</v>
      </c>
      <c r="BC405" s="298">
        <f t="shared" si="220"/>
        <v>0</v>
      </c>
      <c r="BD405" s="292" t="s">
        <v>763</v>
      </c>
      <c r="BE405" s="299" t="str">
        <f t="shared" si="221"/>
        <v>Exhibit 1.5A_R North Shore EEPS_Adjustable_Savings_Goal_Template.xlsx, Unit Savings Calculations Tab</v>
      </c>
      <c r="BF405" s="298">
        <f t="shared" si="222"/>
        <v>0</v>
      </c>
      <c r="BG405" s="298">
        <f t="shared" si="222"/>
        <v>0</v>
      </c>
      <c r="BH405" s="298">
        <f t="shared" si="222"/>
        <v>0</v>
      </c>
      <c r="BI405" s="298">
        <f t="shared" si="212"/>
        <v>0</v>
      </c>
      <c r="BJ405" s="298">
        <f t="shared" si="223"/>
        <v>0</v>
      </c>
      <c r="BK405" s="482">
        <v>11</v>
      </c>
      <c r="BL405" s="482">
        <v>11</v>
      </c>
      <c r="BM405" s="482">
        <f>INDEX('Unit Savings Calculations'!$I$4:$I$421,MATCH('Measure-Level Adjustments Tab'!$A405&amp;"_"&amp;'Measure-Level Adjustments Tab'!$B405,'Unit Savings Calculations'!$A$4:$A$421,0))</f>
        <v>11</v>
      </c>
      <c r="BN405" s="482">
        <f t="shared" si="224"/>
        <v>11</v>
      </c>
      <c r="BO405" s="483">
        <f t="shared" si="225"/>
        <v>0</v>
      </c>
      <c r="BP405" s="483">
        <f t="shared" si="225"/>
        <v>0</v>
      </c>
      <c r="BQ405" s="483">
        <f t="shared" si="225"/>
        <v>0</v>
      </c>
      <c r="BR405" s="483">
        <f t="shared" si="213"/>
        <v>0</v>
      </c>
      <c r="BS405" s="483">
        <f t="shared" si="214"/>
        <v>0</v>
      </c>
    </row>
    <row r="406" spans="1:71" ht="15.75" customHeight="1">
      <c r="A406" s="292" t="str">
        <f>'Unit Savings Calculations'!C402</f>
        <v>Low Income - MF Retrofit</v>
      </c>
      <c r="B406" s="292" t="str">
        <f>'Unit Savings Calculations'!D402</f>
        <v>Advanced Thermostat - Boiler (Replace Programmable)</v>
      </c>
      <c r="C406" s="293">
        <f t="shared" si="206"/>
        <v>1</v>
      </c>
      <c r="D406" s="292" t="str">
        <f>'Unit Savings Calculations'!T402</f>
        <v>5.3.16</v>
      </c>
      <c r="E406" s="438">
        <v>10</v>
      </c>
      <c r="F406" s="438">
        <v>11</v>
      </c>
      <c r="G406" s="292" t="str">
        <f>'Unit Savings Calculations'!E402</f>
        <v>each</v>
      </c>
      <c r="H406" s="294">
        <f>'Unit Savings Calculations'!$F402*'Unit Savings Calculations'!J402</f>
        <v>4</v>
      </c>
      <c r="I406" s="294">
        <f>'Unit Savings Calculations'!$F402*'Unit Savings Calculations'!K402</f>
        <v>4</v>
      </c>
      <c r="J406" s="294">
        <f>'Unit Savings Calculations'!$F402*'Unit Savings Calculations'!L402</f>
        <v>4</v>
      </c>
      <c r="K406" s="294">
        <f>'Unit Savings Calculations'!$F402*'Unit Savings Calculations'!M402</f>
        <v>4</v>
      </c>
      <c r="L406" s="292" t="str">
        <f>'Unit Savings Calculations'!U402</f>
        <v>RS-HVC-ADTH-V02-180101</v>
      </c>
      <c r="M406" s="383" t="str">
        <f>'Unit Savings Calculations'!R402</f>
        <v>Exhibit 1.5A_R North Shore EEPS_Adjustable_Savings_Goal_Template.xlsx, Unit Savings Calculations Tab</v>
      </c>
      <c r="N406" s="295">
        <v>44.3352</v>
      </c>
      <c r="O406" s="295">
        <v>44.3352</v>
      </c>
      <c r="P406" s="295">
        <v>44.3352</v>
      </c>
      <c r="Q406" s="295">
        <v>44.3352</v>
      </c>
      <c r="R406" s="296">
        <f>'Unit Savings Calculations'!$G402</f>
        <v>1</v>
      </c>
      <c r="S406" s="296">
        <f>'Unit Savings Calculations'!$G402</f>
        <v>1</v>
      </c>
      <c r="T406" s="296">
        <f>'Unit Savings Calculations'!$G402</f>
        <v>1</v>
      </c>
      <c r="U406" s="296">
        <f>'Unit Savings Calculations'!$G402</f>
        <v>1</v>
      </c>
      <c r="V406" s="297">
        <f t="shared" si="207"/>
        <v>177.3408</v>
      </c>
      <c r="W406" s="297">
        <f t="shared" si="208"/>
        <v>177.3408</v>
      </c>
      <c r="X406" s="297">
        <f t="shared" si="209"/>
        <v>177.3408</v>
      </c>
      <c r="Y406" s="297">
        <f t="shared" si="210"/>
        <v>177.3408</v>
      </c>
      <c r="Z406" s="297">
        <f t="shared" si="211"/>
        <v>709.36320000000001</v>
      </c>
      <c r="AA406" s="292"/>
      <c r="AB406" s="292"/>
      <c r="AC406" s="295">
        <v>44.3352</v>
      </c>
      <c r="AD406" s="292"/>
      <c r="AE406" s="297">
        <f t="shared" si="226"/>
        <v>177.3408</v>
      </c>
      <c r="AF406" s="294">
        <f t="shared" si="227"/>
        <v>0</v>
      </c>
      <c r="AG406" s="292"/>
      <c r="AH406" s="292">
        <f t="shared" si="228"/>
        <v>0</v>
      </c>
      <c r="AI406" s="295">
        <v>44.3352</v>
      </c>
      <c r="AJ406" s="383" t="s">
        <v>878</v>
      </c>
      <c r="AK406" s="297">
        <f t="shared" si="229"/>
        <v>177.3408</v>
      </c>
      <c r="AL406" s="294">
        <f t="shared" si="230"/>
        <v>0</v>
      </c>
      <c r="AM406" s="292"/>
      <c r="AN406" s="292"/>
      <c r="AO406" s="295">
        <f>'Unit Savings Calculations'!P402</f>
        <v>44.3352</v>
      </c>
      <c r="AP406" s="383" t="s">
        <v>763</v>
      </c>
      <c r="AQ406" s="297">
        <f t="shared" si="231"/>
        <v>177.3408</v>
      </c>
      <c r="AR406" s="294">
        <f t="shared" si="232"/>
        <v>0</v>
      </c>
      <c r="AS406" s="292"/>
      <c r="AT406" s="292"/>
      <c r="AU406" s="295">
        <f>'Unit Savings Calculations'!Q402</f>
        <v>44.3352</v>
      </c>
      <c r="AV406" s="383" t="str">
        <f t="shared" si="215"/>
        <v>n/a</v>
      </c>
      <c r="AW406" s="297">
        <f t="shared" si="233"/>
        <v>177.3408</v>
      </c>
      <c r="AX406" s="294">
        <f t="shared" si="234"/>
        <v>0</v>
      </c>
      <c r="AY406" s="297">
        <f t="shared" si="216"/>
        <v>177.3408</v>
      </c>
      <c r="AZ406" s="297">
        <f t="shared" si="217"/>
        <v>177.3408</v>
      </c>
      <c r="BA406" s="297">
        <f t="shared" si="218"/>
        <v>177.3408</v>
      </c>
      <c r="BB406" s="297">
        <f t="shared" si="219"/>
        <v>177.3408</v>
      </c>
      <c r="BC406" s="298">
        <f t="shared" si="220"/>
        <v>709.36320000000001</v>
      </c>
      <c r="BD406" s="292" t="s">
        <v>763</v>
      </c>
      <c r="BE406" s="299" t="str">
        <f t="shared" si="221"/>
        <v>Exhibit 1.5A_R North Shore EEPS_Adjustable_Savings_Goal_Template.xlsx, Unit Savings Calculations Tab</v>
      </c>
      <c r="BF406" s="298">
        <f t="shared" si="222"/>
        <v>1950.7488000000001</v>
      </c>
      <c r="BG406" s="298">
        <f t="shared" si="222"/>
        <v>1950.7488000000001</v>
      </c>
      <c r="BH406" s="298">
        <f t="shared" si="222"/>
        <v>1950.7488000000001</v>
      </c>
      <c r="BI406" s="298">
        <f t="shared" si="212"/>
        <v>1950.7488000000001</v>
      </c>
      <c r="BJ406" s="298">
        <f t="shared" si="223"/>
        <v>7802.9952000000003</v>
      </c>
      <c r="BK406" s="482">
        <v>11</v>
      </c>
      <c r="BL406" s="482">
        <v>11</v>
      </c>
      <c r="BM406" s="482">
        <f>INDEX('Unit Savings Calculations'!$I$4:$I$421,MATCH('Measure-Level Adjustments Tab'!$A406&amp;"_"&amp;'Measure-Level Adjustments Tab'!$B406,'Unit Savings Calculations'!$A$4:$A$421,0))</f>
        <v>11</v>
      </c>
      <c r="BN406" s="482">
        <f t="shared" si="224"/>
        <v>11</v>
      </c>
      <c r="BO406" s="483">
        <f t="shared" si="225"/>
        <v>1950.7488000000001</v>
      </c>
      <c r="BP406" s="483">
        <f t="shared" si="225"/>
        <v>1950.7488000000001</v>
      </c>
      <c r="BQ406" s="483">
        <f t="shared" si="225"/>
        <v>1950.7488000000001</v>
      </c>
      <c r="BR406" s="483">
        <f t="shared" si="213"/>
        <v>1950.7488000000001</v>
      </c>
      <c r="BS406" s="483">
        <f t="shared" si="214"/>
        <v>7802.9952000000003</v>
      </c>
    </row>
    <row r="407" spans="1:71" ht="15.75" customHeight="1">
      <c r="A407" s="292" t="str">
        <f>'Unit Savings Calculations'!C403</f>
        <v>Low Income - MF Retrofit</v>
      </c>
      <c r="B407" s="292" t="str">
        <f>'Unit Savings Calculations'!D403</f>
        <v>Water Heater Setback</v>
      </c>
      <c r="C407" s="293">
        <f t="shared" si="206"/>
        <v>1</v>
      </c>
      <c r="D407" s="292" t="str">
        <f>'Unit Savings Calculations'!T403</f>
        <v>5.4.6</v>
      </c>
      <c r="E407" s="438">
        <v>2</v>
      </c>
      <c r="F407" s="438">
        <v>2</v>
      </c>
      <c r="G407" s="292" t="str">
        <f>'Unit Savings Calculations'!E403</f>
        <v>each</v>
      </c>
      <c r="H407" s="294">
        <f>'Unit Savings Calculations'!$F403*'Unit Savings Calculations'!J403</f>
        <v>100</v>
      </c>
      <c r="I407" s="294">
        <f>'Unit Savings Calculations'!$F403*'Unit Savings Calculations'!K403</f>
        <v>100</v>
      </c>
      <c r="J407" s="294">
        <f>'Unit Savings Calculations'!$F403*'Unit Savings Calculations'!L403</f>
        <v>100</v>
      </c>
      <c r="K407" s="294">
        <f>'Unit Savings Calculations'!$F403*'Unit Savings Calculations'!M403</f>
        <v>100</v>
      </c>
      <c r="L407" s="292" t="str">
        <f>'Unit Savings Calculations'!U403</f>
        <v>RS-HWE-TMPS-V05-160601</v>
      </c>
      <c r="M407" s="383" t="str">
        <f>'Unit Savings Calculations'!R403</f>
        <v>Exhibit 1.5A_R North Shore EEPS_Adjustable_Savings_Goal_Template.xlsx, Unit Savings Calculations Tab</v>
      </c>
      <c r="N407" s="295">
        <v>4.0706360194029854</v>
      </c>
      <c r="O407" s="295">
        <v>4.0706360194029854</v>
      </c>
      <c r="P407" s="295">
        <v>4.0706360194029854</v>
      </c>
      <c r="Q407" s="295">
        <v>4.0706360194029854</v>
      </c>
      <c r="R407" s="296">
        <f>'Unit Savings Calculations'!$G403</f>
        <v>1</v>
      </c>
      <c r="S407" s="296">
        <f>'Unit Savings Calculations'!$G403</f>
        <v>1</v>
      </c>
      <c r="T407" s="296">
        <f>'Unit Savings Calculations'!$G403</f>
        <v>1</v>
      </c>
      <c r="U407" s="296">
        <f>'Unit Savings Calculations'!$G403</f>
        <v>1</v>
      </c>
      <c r="V407" s="297">
        <f t="shared" si="207"/>
        <v>407.06360194029855</v>
      </c>
      <c r="W407" s="297">
        <f t="shared" si="208"/>
        <v>407.06360194029855</v>
      </c>
      <c r="X407" s="297">
        <f t="shared" si="209"/>
        <v>407.06360194029855</v>
      </c>
      <c r="Y407" s="297">
        <f t="shared" si="210"/>
        <v>407.06360194029855</v>
      </c>
      <c r="Z407" s="297">
        <f t="shared" si="211"/>
        <v>1628.2544077611942</v>
      </c>
      <c r="AA407" s="292"/>
      <c r="AB407" s="292"/>
      <c r="AC407" s="295">
        <v>4.0706360194029854</v>
      </c>
      <c r="AD407" s="292"/>
      <c r="AE407" s="297">
        <f t="shared" si="226"/>
        <v>407.06360194029855</v>
      </c>
      <c r="AF407" s="294">
        <f t="shared" si="227"/>
        <v>0</v>
      </c>
      <c r="AG407" s="292"/>
      <c r="AH407" s="292">
        <f t="shared" si="228"/>
        <v>0</v>
      </c>
      <c r="AI407" s="295">
        <v>4.0706360194029854</v>
      </c>
      <c r="AJ407" s="383" t="s">
        <v>878</v>
      </c>
      <c r="AK407" s="297">
        <f t="shared" si="229"/>
        <v>407.06360194029855</v>
      </c>
      <c r="AL407" s="294">
        <f t="shared" si="230"/>
        <v>0</v>
      </c>
      <c r="AM407" s="292"/>
      <c r="AN407" s="292"/>
      <c r="AO407" s="295">
        <f>'Unit Savings Calculations'!P403</f>
        <v>4.0706360194029854</v>
      </c>
      <c r="AP407" s="383" t="s">
        <v>763</v>
      </c>
      <c r="AQ407" s="297">
        <f t="shared" si="231"/>
        <v>407.06360194029855</v>
      </c>
      <c r="AR407" s="294">
        <f t="shared" si="232"/>
        <v>0</v>
      </c>
      <c r="AS407" s="292"/>
      <c r="AT407" s="292"/>
      <c r="AU407" s="295">
        <f>'Unit Savings Calculations'!Q403</f>
        <v>4.0706360194029854</v>
      </c>
      <c r="AV407" s="383" t="str">
        <f t="shared" si="215"/>
        <v>n/a</v>
      </c>
      <c r="AW407" s="297">
        <f t="shared" si="233"/>
        <v>407.06360194029855</v>
      </c>
      <c r="AX407" s="294">
        <f t="shared" si="234"/>
        <v>0</v>
      </c>
      <c r="AY407" s="297">
        <f t="shared" si="216"/>
        <v>407.06360194029855</v>
      </c>
      <c r="AZ407" s="297">
        <f t="shared" si="217"/>
        <v>407.06360194029855</v>
      </c>
      <c r="BA407" s="297">
        <f t="shared" si="218"/>
        <v>407.06360194029855</v>
      </c>
      <c r="BB407" s="297">
        <f t="shared" si="219"/>
        <v>407.06360194029855</v>
      </c>
      <c r="BC407" s="298">
        <f t="shared" si="220"/>
        <v>1628.2544077611942</v>
      </c>
      <c r="BD407" s="292" t="s">
        <v>763</v>
      </c>
      <c r="BE407" s="299" t="str">
        <f t="shared" si="221"/>
        <v>Exhibit 1.5A_R North Shore EEPS_Adjustable_Savings_Goal_Template.xlsx, Unit Savings Calculations Tab</v>
      </c>
      <c r="BF407" s="298">
        <f t="shared" si="222"/>
        <v>814.12720388059711</v>
      </c>
      <c r="BG407" s="298">
        <f t="shared" si="222"/>
        <v>814.12720388059711</v>
      </c>
      <c r="BH407" s="298">
        <f t="shared" si="222"/>
        <v>814.12720388059711</v>
      </c>
      <c r="BI407" s="298">
        <f t="shared" si="212"/>
        <v>814.12720388059711</v>
      </c>
      <c r="BJ407" s="298">
        <f t="shared" si="223"/>
        <v>3256.5088155223884</v>
      </c>
      <c r="BK407" s="482">
        <v>2</v>
      </c>
      <c r="BL407" s="482">
        <v>2</v>
      </c>
      <c r="BM407" s="482">
        <f>INDEX('Unit Savings Calculations'!$I$4:$I$421,MATCH('Measure-Level Adjustments Tab'!$A407&amp;"_"&amp;'Measure-Level Adjustments Tab'!$B407,'Unit Savings Calculations'!$A$4:$A$421,0))</f>
        <v>2</v>
      </c>
      <c r="BN407" s="482">
        <f t="shared" si="224"/>
        <v>2</v>
      </c>
      <c r="BO407" s="483">
        <f t="shared" si="225"/>
        <v>814.12720388059711</v>
      </c>
      <c r="BP407" s="483">
        <f t="shared" si="225"/>
        <v>814.12720388059711</v>
      </c>
      <c r="BQ407" s="483">
        <f t="shared" si="225"/>
        <v>814.12720388059711</v>
      </c>
      <c r="BR407" s="483">
        <f t="shared" si="213"/>
        <v>814.12720388059711</v>
      </c>
      <c r="BS407" s="483">
        <f t="shared" si="214"/>
        <v>3256.5088155223884</v>
      </c>
    </row>
    <row r="408" spans="1:71" ht="15.75" customHeight="1">
      <c r="A408" s="292" t="str">
        <f>'Unit Savings Calculations'!C404</f>
        <v>Low Income - MF Retrofit</v>
      </c>
      <c r="B408" s="292" t="str">
        <f>'Unit Savings Calculations'!D404</f>
        <v>Air Sealing</v>
      </c>
      <c r="C408" s="293">
        <f t="shared" si="206"/>
        <v>0</v>
      </c>
      <c r="D408" s="292" t="str">
        <f>'Unit Savings Calculations'!T404</f>
        <v>Custom</v>
      </c>
      <c r="E408" s="438">
        <v>15</v>
      </c>
      <c r="F408" s="438">
        <v>20</v>
      </c>
      <c r="G408" s="292" t="str">
        <f>'Unit Savings Calculations'!E404</f>
        <v>each</v>
      </c>
      <c r="H408" s="294">
        <f>'Unit Savings Calculations'!$F404*'Unit Savings Calculations'!J404</f>
        <v>5</v>
      </c>
      <c r="I408" s="294">
        <f>'Unit Savings Calculations'!$F404*'Unit Savings Calculations'!K404</f>
        <v>5</v>
      </c>
      <c r="J408" s="294">
        <f>'Unit Savings Calculations'!$F404*'Unit Savings Calculations'!L404</f>
        <v>5</v>
      </c>
      <c r="K408" s="294">
        <f>'Unit Savings Calculations'!$F404*'Unit Savings Calculations'!M404</f>
        <v>5</v>
      </c>
      <c r="L408" s="292" t="str">
        <f>'Unit Savings Calculations'!U404</f>
        <v>Custom</v>
      </c>
      <c r="M408" s="383" t="str">
        <f>'Unit Savings Calculations'!R404</f>
        <v>Custom</v>
      </c>
      <c r="N408" s="295">
        <v>600</v>
      </c>
      <c r="O408" s="295">
        <v>600</v>
      </c>
      <c r="P408" s="295">
        <v>600</v>
      </c>
      <c r="Q408" s="295">
        <v>600</v>
      </c>
      <c r="R408" s="296">
        <f>'Unit Savings Calculations'!$G404</f>
        <v>1</v>
      </c>
      <c r="S408" s="296">
        <f>'Unit Savings Calculations'!$G404</f>
        <v>1</v>
      </c>
      <c r="T408" s="296">
        <f>'Unit Savings Calculations'!$G404</f>
        <v>1</v>
      </c>
      <c r="U408" s="296">
        <f>'Unit Savings Calculations'!$G404</f>
        <v>1</v>
      </c>
      <c r="V408" s="297">
        <f t="shared" si="207"/>
        <v>3000</v>
      </c>
      <c r="W408" s="297">
        <f t="shared" si="208"/>
        <v>3000</v>
      </c>
      <c r="X408" s="297">
        <f t="shared" si="209"/>
        <v>3000</v>
      </c>
      <c r="Y408" s="297">
        <f t="shared" si="210"/>
        <v>3000</v>
      </c>
      <c r="Z408" s="297">
        <f t="shared" si="211"/>
        <v>12000</v>
      </c>
      <c r="AA408" s="384"/>
      <c r="AB408" s="384"/>
      <c r="AC408" s="387">
        <v>600</v>
      </c>
      <c r="AD408" s="384"/>
      <c r="AE408" s="385">
        <f t="shared" si="226"/>
        <v>3000</v>
      </c>
      <c r="AF408" s="386">
        <f t="shared" si="227"/>
        <v>0</v>
      </c>
      <c r="AG408" s="384"/>
      <c r="AH408" s="384">
        <f t="shared" si="228"/>
        <v>0</v>
      </c>
      <c r="AI408" s="387">
        <v>600</v>
      </c>
      <c r="AJ408" s="435" t="s">
        <v>878</v>
      </c>
      <c r="AK408" s="385">
        <f t="shared" si="229"/>
        <v>3000</v>
      </c>
      <c r="AL408" s="386">
        <f t="shared" si="230"/>
        <v>0</v>
      </c>
      <c r="AM408" s="384"/>
      <c r="AN408" s="384"/>
      <c r="AO408" s="387">
        <f>'Unit Savings Calculations'!P404</f>
        <v>600</v>
      </c>
      <c r="AP408" s="435" t="s">
        <v>763</v>
      </c>
      <c r="AQ408" s="385">
        <f t="shared" si="231"/>
        <v>3000</v>
      </c>
      <c r="AR408" s="386">
        <f t="shared" si="232"/>
        <v>0</v>
      </c>
      <c r="AS408" s="384"/>
      <c r="AT408" s="384"/>
      <c r="AU408" s="387">
        <f>'Unit Savings Calculations'!Q404</f>
        <v>600</v>
      </c>
      <c r="AV408" s="435" t="str">
        <f t="shared" si="215"/>
        <v>n/a</v>
      </c>
      <c r="AW408" s="385">
        <f t="shared" si="233"/>
        <v>3000</v>
      </c>
      <c r="AX408" s="386">
        <f t="shared" si="234"/>
        <v>0</v>
      </c>
      <c r="AY408" s="297">
        <f t="shared" si="216"/>
        <v>3000</v>
      </c>
      <c r="AZ408" s="297">
        <f t="shared" si="217"/>
        <v>3000</v>
      </c>
      <c r="BA408" s="297">
        <f t="shared" si="218"/>
        <v>3000</v>
      </c>
      <c r="BB408" s="297">
        <f t="shared" si="219"/>
        <v>3000</v>
      </c>
      <c r="BC408" s="298">
        <f t="shared" si="220"/>
        <v>12000</v>
      </c>
      <c r="BD408" s="292" t="s">
        <v>763</v>
      </c>
      <c r="BE408" s="299" t="str">
        <f t="shared" si="221"/>
        <v>Custom</v>
      </c>
      <c r="BF408" s="298">
        <f t="shared" si="222"/>
        <v>60000</v>
      </c>
      <c r="BG408" s="298">
        <f t="shared" si="222"/>
        <v>60000</v>
      </c>
      <c r="BH408" s="298">
        <f t="shared" si="222"/>
        <v>60000</v>
      </c>
      <c r="BI408" s="298">
        <f t="shared" si="212"/>
        <v>60000</v>
      </c>
      <c r="BJ408" s="298">
        <f t="shared" si="223"/>
        <v>240000</v>
      </c>
      <c r="BK408" s="482">
        <v>20</v>
      </c>
      <c r="BL408" s="482">
        <v>20</v>
      </c>
      <c r="BM408" s="482">
        <f>INDEX('Unit Savings Calculations'!$I$4:$I$421,MATCH('Measure-Level Adjustments Tab'!$A408&amp;"_"&amp;'Measure-Level Adjustments Tab'!$B408,'Unit Savings Calculations'!$A$4:$A$421,0))</f>
        <v>20</v>
      </c>
      <c r="BN408" s="482">
        <f t="shared" si="224"/>
        <v>20</v>
      </c>
      <c r="BO408" s="483">
        <f t="shared" si="225"/>
        <v>60000</v>
      </c>
      <c r="BP408" s="483">
        <f t="shared" si="225"/>
        <v>60000</v>
      </c>
      <c r="BQ408" s="483">
        <f t="shared" si="225"/>
        <v>60000</v>
      </c>
      <c r="BR408" s="483">
        <f t="shared" si="213"/>
        <v>60000</v>
      </c>
      <c r="BS408" s="483">
        <f t="shared" si="214"/>
        <v>240000</v>
      </c>
    </row>
    <row r="409" spans="1:71" ht="15.75" customHeight="1">
      <c r="A409" s="292" t="str">
        <f>'Unit Savings Calculations'!C405</f>
        <v>Low Income - MF Retrofit</v>
      </c>
      <c r="B409" s="292" t="str">
        <f>'Unit Savings Calculations'!D405</f>
        <v>Attic Insulation &amp; Air Sealing</v>
      </c>
      <c r="C409" s="293">
        <f t="shared" si="206"/>
        <v>0</v>
      </c>
      <c r="D409" s="292" t="str">
        <f>'Unit Savings Calculations'!T405</f>
        <v>Custom</v>
      </c>
      <c r="E409" s="438">
        <v>15</v>
      </c>
      <c r="F409" s="438">
        <v>20</v>
      </c>
      <c r="G409" s="292" t="str">
        <f>'Unit Savings Calculations'!E405</f>
        <v>each</v>
      </c>
      <c r="H409" s="294">
        <f>'Unit Savings Calculations'!$F405*'Unit Savings Calculations'!J405</f>
        <v>5</v>
      </c>
      <c r="I409" s="294">
        <f>'Unit Savings Calculations'!$F405*'Unit Savings Calculations'!K405</f>
        <v>5</v>
      </c>
      <c r="J409" s="294">
        <f>'Unit Savings Calculations'!$F405*'Unit Savings Calculations'!L405</f>
        <v>5</v>
      </c>
      <c r="K409" s="294">
        <f>'Unit Savings Calculations'!$F405*'Unit Savings Calculations'!M405</f>
        <v>5</v>
      </c>
      <c r="L409" s="292" t="str">
        <f>'Unit Savings Calculations'!U405</f>
        <v>Custom</v>
      </c>
      <c r="M409" s="383" t="str">
        <f>'Unit Savings Calculations'!R405</f>
        <v>Custom</v>
      </c>
      <c r="N409" s="295">
        <v>1400</v>
      </c>
      <c r="O409" s="295">
        <v>1400</v>
      </c>
      <c r="P409" s="295">
        <v>1400</v>
      </c>
      <c r="Q409" s="295">
        <v>1400</v>
      </c>
      <c r="R409" s="296">
        <f>'Unit Savings Calculations'!$G405</f>
        <v>1</v>
      </c>
      <c r="S409" s="296">
        <f>'Unit Savings Calculations'!$G405</f>
        <v>1</v>
      </c>
      <c r="T409" s="296">
        <f>'Unit Savings Calculations'!$G405</f>
        <v>1</v>
      </c>
      <c r="U409" s="296">
        <f>'Unit Savings Calculations'!$G405</f>
        <v>1</v>
      </c>
      <c r="V409" s="297">
        <f t="shared" si="207"/>
        <v>7000</v>
      </c>
      <c r="W409" s="297">
        <f t="shared" si="208"/>
        <v>7000</v>
      </c>
      <c r="X409" s="297">
        <f t="shared" si="209"/>
        <v>7000</v>
      </c>
      <c r="Y409" s="297">
        <f t="shared" si="210"/>
        <v>7000</v>
      </c>
      <c r="Z409" s="297">
        <f t="shared" si="211"/>
        <v>28000</v>
      </c>
      <c r="AA409" s="384"/>
      <c r="AB409" s="384"/>
      <c r="AC409" s="387">
        <v>1400</v>
      </c>
      <c r="AD409" s="384"/>
      <c r="AE409" s="385">
        <f t="shared" si="226"/>
        <v>7000</v>
      </c>
      <c r="AF409" s="386">
        <f t="shared" si="227"/>
        <v>0</v>
      </c>
      <c r="AG409" s="384"/>
      <c r="AH409" s="384">
        <f t="shared" si="228"/>
        <v>0</v>
      </c>
      <c r="AI409" s="387">
        <v>1400</v>
      </c>
      <c r="AJ409" s="435" t="s">
        <v>878</v>
      </c>
      <c r="AK409" s="385">
        <f t="shared" si="229"/>
        <v>7000</v>
      </c>
      <c r="AL409" s="386">
        <f t="shared" si="230"/>
        <v>0</v>
      </c>
      <c r="AM409" s="384"/>
      <c r="AN409" s="384"/>
      <c r="AO409" s="387">
        <f>'Unit Savings Calculations'!P405</f>
        <v>1400</v>
      </c>
      <c r="AP409" s="435" t="s">
        <v>763</v>
      </c>
      <c r="AQ409" s="385">
        <f t="shared" si="231"/>
        <v>7000</v>
      </c>
      <c r="AR409" s="386">
        <f t="shared" si="232"/>
        <v>0</v>
      </c>
      <c r="AS409" s="384"/>
      <c r="AT409" s="384"/>
      <c r="AU409" s="387">
        <f>'Unit Savings Calculations'!Q405</f>
        <v>1400</v>
      </c>
      <c r="AV409" s="435" t="str">
        <f t="shared" si="215"/>
        <v>n/a</v>
      </c>
      <c r="AW409" s="385">
        <f t="shared" si="233"/>
        <v>7000</v>
      </c>
      <c r="AX409" s="386">
        <f t="shared" si="234"/>
        <v>0</v>
      </c>
      <c r="AY409" s="297">
        <f t="shared" si="216"/>
        <v>7000</v>
      </c>
      <c r="AZ409" s="297">
        <f t="shared" si="217"/>
        <v>7000</v>
      </c>
      <c r="BA409" s="297">
        <f t="shared" si="218"/>
        <v>7000</v>
      </c>
      <c r="BB409" s="297">
        <f t="shared" si="219"/>
        <v>7000</v>
      </c>
      <c r="BC409" s="298">
        <f t="shared" si="220"/>
        <v>28000</v>
      </c>
      <c r="BD409" s="292" t="s">
        <v>763</v>
      </c>
      <c r="BE409" s="299" t="str">
        <f t="shared" si="221"/>
        <v>Custom</v>
      </c>
      <c r="BF409" s="298">
        <f t="shared" si="222"/>
        <v>140000</v>
      </c>
      <c r="BG409" s="298">
        <f t="shared" si="222"/>
        <v>140000</v>
      </c>
      <c r="BH409" s="298">
        <f t="shared" si="222"/>
        <v>140000</v>
      </c>
      <c r="BI409" s="298">
        <f t="shared" si="212"/>
        <v>140000</v>
      </c>
      <c r="BJ409" s="298">
        <f t="shared" si="223"/>
        <v>560000</v>
      </c>
      <c r="BK409" s="482">
        <v>20</v>
      </c>
      <c r="BL409" s="482">
        <v>20</v>
      </c>
      <c r="BM409" s="482">
        <f>INDEX('Unit Savings Calculations'!$I$4:$I$421,MATCH('Measure-Level Adjustments Tab'!$A409&amp;"_"&amp;'Measure-Level Adjustments Tab'!$B409,'Unit Savings Calculations'!$A$4:$A$421,0))</f>
        <v>20</v>
      </c>
      <c r="BN409" s="482">
        <f t="shared" si="224"/>
        <v>20</v>
      </c>
      <c r="BO409" s="483">
        <f t="shared" si="225"/>
        <v>140000</v>
      </c>
      <c r="BP409" s="483">
        <f t="shared" si="225"/>
        <v>140000</v>
      </c>
      <c r="BQ409" s="483">
        <f t="shared" si="225"/>
        <v>140000</v>
      </c>
      <c r="BR409" s="483">
        <f t="shared" si="213"/>
        <v>140000</v>
      </c>
      <c r="BS409" s="483">
        <f t="shared" si="214"/>
        <v>560000</v>
      </c>
    </row>
    <row r="410" spans="1:71" ht="15.75" customHeight="1">
      <c r="A410" s="292" t="str">
        <f>'Unit Savings Calculations'!C406</f>
        <v>Low Income - MF Retrofit</v>
      </c>
      <c r="B410" s="292" t="str">
        <f>'Unit Savings Calculations'!D406</f>
        <v>Wall Insulation</v>
      </c>
      <c r="C410" s="293">
        <f t="shared" si="206"/>
        <v>0</v>
      </c>
      <c r="D410" s="292" t="str">
        <f>'Unit Savings Calculations'!T406</f>
        <v>Custom</v>
      </c>
      <c r="E410" s="438">
        <v>25</v>
      </c>
      <c r="F410" s="438">
        <v>20</v>
      </c>
      <c r="G410" s="292" t="str">
        <f>'Unit Savings Calculations'!E406</f>
        <v>each</v>
      </c>
      <c r="H410" s="294">
        <f>'Unit Savings Calculations'!$F406*'Unit Savings Calculations'!J406</f>
        <v>1</v>
      </c>
      <c r="I410" s="294">
        <f>'Unit Savings Calculations'!$F406*'Unit Savings Calculations'!K406</f>
        <v>1</v>
      </c>
      <c r="J410" s="294">
        <f>'Unit Savings Calculations'!$F406*'Unit Savings Calculations'!L406</f>
        <v>1</v>
      </c>
      <c r="K410" s="294">
        <f>'Unit Savings Calculations'!$F406*'Unit Savings Calculations'!M406</f>
        <v>1</v>
      </c>
      <c r="L410" s="292" t="str">
        <f>'Unit Savings Calculations'!U406</f>
        <v>Custom</v>
      </c>
      <c r="M410" s="383" t="str">
        <f>'Unit Savings Calculations'!R406</f>
        <v>Custom</v>
      </c>
      <c r="N410" s="295">
        <v>1500</v>
      </c>
      <c r="O410" s="295">
        <v>1500</v>
      </c>
      <c r="P410" s="295">
        <v>1500</v>
      </c>
      <c r="Q410" s="295">
        <v>1500</v>
      </c>
      <c r="R410" s="296">
        <f>'Unit Savings Calculations'!$G406</f>
        <v>1</v>
      </c>
      <c r="S410" s="296">
        <f>'Unit Savings Calculations'!$G406</f>
        <v>1</v>
      </c>
      <c r="T410" s="296">
        <f>'Unit Savings Calculations'!$G406</f>
        <v>1</v>
      </c>
      <c r="U410" s="296">
        <f>'Unit Savings Calculations'!$G406</f>
        <v>1</v>
      </c>
      <c r="V410" s="297">
        <f t="shared" si="207"/>
        <v>1500</v>
      </c>
      <c r="W410" s="297">
        <f t="shared" si="208"/>
        <v>1500</v>
      </c>
      <c r="X410" s="297">
        <f t="shared" si="209"/>
        <v>1500</v>
      </c>
      <c r="Y410" s="297">
        <f t="shared" si="210"/>
        <v>1500</v>
      </c>
      <c r="Z410" s="297">
        <f t="shared" si="211"/>
        <v>6000</v>
      </c>
      <c r="AA410" s="384"/>
      <c r="AB410" s="384"/>
      <c r="AC410" s="387">
        <v>1500</v>
      </c>
      <c r="AD410" s="384"/>
      <c r="AE410" s="385">
        <f t="shared" si="226"/>
        <v>1500</v>
      </c>
      <c r="AF410" s="386">
        <f t="shared" si="227"/>
        <v>0</v>
      </c>
      <c r="AG410" s="384"/>
      <c r="AH410" s="384">
        <f t="shared" si="228"/>
        <v>0</v>
      </c>
      <c r="AI410" s="387">
        <v>1500</v>
      </c>
      <c r="AJ410" s="435" t="s">
        <v>878</v>
      </c>
      <c r="AK410" s="385">
        <f t="shared" si="229"/>
        <v>1500</v>
      </c>
      <c r="AL410" s="386">
        <f t="shared" si="230"/>
        <v>0</v>
      </c>
      <c r="AM410" s="384"/>
      <c r="AN410" s="384"/>
      <c r="AO410" s="387">
        <f>'Unit Savings Calculations'!P406</f>
        <v>1500</v>
      </c>
      <c r="AP410" s="435" t="s">
        <v>763</v>
      </c>
      <c r="AQ410" s="385">
        <f t="shared" si="231"/>
        <v>1500</v>
      </c>
      <c r="AR410" s="386">
        <f t="shared" si="232"/>
        <v>0</v>
      </c>
      <c r="AS410" s="384"/>
      <c r="AT410" s="384"/>
      <c r="AU410" s="387">
        <f>'Unit Savings Calculations'!Q406</f>
        <v>1500</v>
      </c>
      <c r="AV410" s="435" t="str">
        <f t="shared" si="215"/>
        <v>n/a</v>
      </c>
      <c r="AW410" s="385">
        <f t="shared" si="233"/>
        <v>1500</v>
      </c>
      <c r="AX410" s="386">
        <f t="shared" si="234"/>
        <v>0</v>
      </c>
      <c r="AY410" s="297">
        <f t="shared" si="216"/>
        <v>1500</v>
      </c>
      <c r="AZ410" s="297">
        <f t="shared" si="217"/>
        <v>1500</v>
      </c>
      <c r="BA410" s="297">
        <f t="shared" si="218"/>
        <v>1500</v>
      </c>
      <c r="BB410" s="297">
        <f t="shared" si="219"/>
        <v>1500</v>
      </c>
      <c r="BC410" s="298">
        <f t="shared" si="220"/>
        <v>6000</v>
      </c>
      <c r="BD410" s="292" t="s">
        <v>763</v>
      </c>
      <c r="BE410" s="299" t="str">
        <f t="shared" si="221"/>
        <v>Custom</v>
      </c>
      <c r="BF410" s="298">
        <f t="shared" si="222"/>
        <v>30000</v>
      </c>
      <c r="BG410" s="298">
        <f t="shared" si="222"/>
        <v>30000</v>
      </c>
      <c r="BH410" s="298">
        <f t="shared" si="222"/>
        <v>30000</v>
      </c>
      <c r="BI410" s="298">
        <f t="shared" si="212"/>
        <v>30000</v>
      </c>
      <c r="BJ410" s="298">
        <f t="shared" si="223"/>
        <v>120000</v>
      </c>
      <c r="BK410" s="482">
        <v>20</v>
      </c>
      <c r="BL410" s="482">
        <v>20</v>
      </c>
      <c r="BM410" s="482">
        <f>INDEX('Unit Savings Calculations'!$I$4:$I$421,MATCH('Measure-Level Adjustments Tab'!$A410&amp;"_"&amp;'Measure-Level Adjustments Tab'!$B410,'Unit Savings Calculations'!$A$4:$A$421,0))</f>
        <v>20</v>
      </c>
      <c r="BN410" s="482">
        <f t="shared" si="224"/>
        <v>20</v>
      </c>
      <c r="BO410" s="483">
        <f t="shared" si="225"/>
        <v>30000</v>
      </c>
      <c r="BP410" s="483">
        <f t="shared" si="225"/>
        <v>30000</v>
      </c>
      <c r="BQ410" s="483">
        <f t="shared" si="225"/>
        <v>30000</v>
      </c>
      <c r="BR410" s="483">
        <f t="shared" si="213"/>
        <v>30000</v>
      </c>
      <c r="BS410" s="483">
        <f t="shared" si="214"/>
        <v>120000</v>
      </c>
    </row>
    <row r="411" spans="1:71" ht="15.75" customHeight="1">
      <c r="A411" s="292" t="str">
        <f>'Unit Savings Calculations'!C407</f>
        <v>Low Income - MF Retrofit</v>
      </c>
      <c r="B411" s="292" t="str">
        <f>'Unit Savings Calculations'!D407</f>
        <v>Pipe Insulation - DHW</v>
      </c>
      <c r="C411" s="293">
        <f t="shared" si="206"/>
        <v>0</v>
      </c>
      <c r="D411" s="292" t="str">
        <f>'Unit Savings Calculations'!T407</f>
        <v>Custom</v>
      </c>
      <c r="E411" s="438">
        <v>15</v>
      </c>
      <c r="F411" s="438">
        <v>15</v>
      </c>
      <c r="G411" s="292" t="str">
        <f>'Unit Savings Calculations'!E407</f>
        <v>each</v>
      </c>
      <c r="H411" s="294">
        <f>'Unit Savings Calculations'!$F407*'Unit Savings Calculations'!J407</f>
        <v>3</v>
      </c>
      <c r="I411" s="294">
        <f>'Unit Savings Calculations'!$F407*'Unit Savings Calculations'!K407</f>
        <v>3</v>
      </c>
      <c r="J411" s="294">
        <f>'Unit Savings Calculations'!$F407*'Unit Savings Calculations'!L407</f>
        <v>3</v>
      </c>
      <c r="K411" s="294">
        <f>'Unit Savings Calculations'!$F407*'Unit Savings Calculations'!M407</f>
        <v>3</v>
      </c>
      <c r="L411" s="292" t="str">
        <f>'Unit Savings Calculations'!U407</f>
        <v>Custom</v>
      </c>
      <c r="M411" s="383" t="str">
        <f>'Unit Savings Calculations'!R407</f>
        <v>Custom</v>
      </c>
      <c r="N411" s="295">
        <v>700</v>
      </c>
      <c r="O411" s="295">
        <v>700</v>
      </c>
      <c r="P411" s="295">
        <v>700</v>
      </c>
      <c r="Q411" s="295">
        <v>700</v>
      </c>
      <c r="R411" s="296">
        <f>'Unit Savings Calculations'!$G407</f>
        <v>1</v>
      </c>
      <c r="S411" s="296">
        <f>'Unit Savings Calculations'!$G407</f>
        <v>1</v>
      </c>
      <c r="T411" s="296">
        <f>'Unit Savings Calculations'!$G407</f>
        <v>1</v>
      </c>
      <c r="U411" s="296">
        <f>'Unit Savings Calculations'!$G407</f>
        <v>1</v>
      </c>
      <c r="V411" s="297">
        <f t="shared" si="207"/>
        <v>2100</v>
      </c>
      <c r="W411" s="297">
        <f t="shared" si="208"/>
        <v>2100</v>
      </c>
      <c r="X411" s="297">
        <f t="shared" si="209"/>
        <v>2100</v>
      </c>
      <c r="Y411" s="297">
        <f t="shared" si="210"/>
        <v>2100</v>
      </c>
      <c r="Z411" s="297">
        <f t="shared" si="211"/>
        <v>8400</v>
      </c>
      <c r="AA411" s="384"/>
      <c r="AB411" s="384"/>
      <c r="AC411" s="387">
        <v>700</v>
      </c>
      <c r="AD411" s="384"/>
      <c r="AE411" s="385">
        <f t="shared" si="226"/>
        <v>2100</v>
      </c>
      <c r="AF411" s="386">
        <f t="shared" si="227"/>
        <v>0</v>
      </c>
      <c r="AG411" s="384"/>
      <c r="AH411" s="384">
        <f t="shared" si="228"/>
        <v>0</v>
      </c>
      <c r="AI411" s="387">
        <v>700</v>
      </c>
      <c r="AJ411" s="435" t="s">
        <v>878</v>
      </c>
      <c r="AK411" s="385">
        <f t="shared" si="229"/>
        <v>2100</v>
      </c>
      <c r="AL411" s="386">
        <f t="shared" si="230"/>
        <v>0</v>
      </c>
      <c r="AM411" s="384"/>
      <c r="AN411" s="384"/>
      <c r="AO411" s="387">
        <f>'Unit Savings Calculations'!P407</f>
        <v>700</v>
      </c>
      <c r="AP411" s="435" t="s">
        <v>763</v>
      </c>
      <c r="AQ411" s="385">
        <f t="shared" si="231"/>
        <v>2100</v>
      </c>
      <c r="AR411" s="386">
        <f t="shared" si="232"/>
        <v>0</v>
      </c>
      <c r="AS411" s="384"/>
      <c r="AT411" s="384"/>
      <c r="AU411" s="387">
        <f>'Unit Savings Calculations'!Q407</f>
        <v>700</v>
      </c>
      <c r="AV411" s="435" t="str">
        <f t="shared" si="215"/>
        <v>n/a</v>
      </c>
      <c r="AW411" s="385">
        <f t="shared" si="233"/>
        <v>2100</v>
      </c>
      <c r="AX411" s="386">
        <f t="shared" si="234"/>
        <v>0</v>
      </c>
      <c r="AY411" s="297">
        <f t="shared" si="216"/>
        <v>2100</v>
      </c>
      <c r="AZ411" s="297">
        <f t="shared" si="217"/>
        <v>2100</v>
      </c>
      <c r="BA411" s="297">
        <f t="shared" si="218"/>
        <v>2100</v>
      </c>
      <c r="BB411" s="297">
        <f t="shared" si="219"/>
        <v>2100</v>
      </c>
      <c r="BC411" s="298">
        <f t="shared" si="220"/>
        <v>8400</v>
      </c>
      <c r="BD411" s="292" t="s">
        <v>763</v>
      </c>
      <c r="BE411" s="299" t="str">
        <f t="shared" si="221"/>
        <v>Custom</v>
      </c>
      <c r="BF411" s="298">
        <f t="shared" si="222"/>
        <v>31500</v>
      </c>
      <c r="BG411" s="298">
        <f t="shared" si="222"/>
        <v>31500</v>
      </c>
      <c r="BH411" s="298">
        <f t="shared" si="222"/>
        <v>31500</v>
      </c>
      <c r="BI411" s="298">
        <f t="shared" si="212"/>
        <v>31500</v>
      </c>
      <c r="BJ411" s="298">
        <f t="shared" si="223"/>
        <v>126000</v>
      </c>
      <c r="BK411" s="482">
        <v>15</v>
      </c>
      <c r="BL411" s="482">
        <v>15</v>
      </c>
      <c r="BM411" s="482">
        <f>INDEX('Unit Savings Calculations'!$I$4:$I$421,MATCH('Measure-Level Adjustments Tab'!$A411&amp;"_"&amp;'Measure-Level Adjustments Tab'!$B411,'Unit Savings Calculations'!$A$4:$A$421,0))</f>
        <v>15</v>
      </c>
      <c r="BN411" s="482">
        <f t="shared" si="224"/>
        <v>15</v>
      </c>
      <c r="BO411" s="483">
        <f t="shared" si="225"/>
        <v>31500</v>
      </c>
      <c r="BP411" s="483">
        <f t="shared" si="225"/>
        <v>31500</v>
      </c>
      <c r="BQ411" s="483">
        <f t="shared" si="225"/>
        <v>31500</v>
      </c>
      <c r="BR411" s="483">
        <f t="shared" si="213"/>
        <v>31500</v>
      </c>
      <c r="BS411" s="483">
        <f t="shared" si="214"/>
        <v>126000</v>
      </c>
    </row>
    <row r="412" spans="1:71" ht="15.75" customHeight="1">
      <c r="A412" s="292" t="str">
        <f>'Unit Savings Calculations'!C408</f>
        <v>Low Income - MF Retrofit</v>
      </c>
      <c r="B412" s="292" t="str">
        <f>'Unit Savings Calculations'!D408</f>
        <v>Pipe Insulation - Heating</v>
      </c>
      <c r="C412" s="293">
        <f t="shared" si="206"/>
        <v>0</v>
      </c>
      <c r="D412" s="292" t="str">
        <f>'Unit Savings Calculations'!T408</f>
        <v>Custom</v>
      </c>
      <c r="E412" s="438">
        <v>15</v>
      </c>
      <c r="F412" s="438">
        <v>15</v>
      </c>
      <c r="G412" s="292" t="str">
        <f>'Unit Savings Calculations'!E408</f>
        <v>each</v>
      </c>
      <c r="H412" s="294">
        <f>'Unit Savings Calculations'!$F408*'Unit Savings Calculations'!J408</f>
        <v>4</v>
      </c>
      <c r="I412" s="294">
        <f>'Unit Savings Calculations'!$F408*'Unit Savings Calculations'!K408</f>
        <v>4</v>
      </c>
      <c r="J412" s="294">
        <f>'Unit Savings Calculations'!$F408*'Unit Savings Calculations'!L408</f>
        <v>4</v>
      </c>
      <c r="K412" s="294">
        <f>'Unit Savings Calculations'!$F408*'Unit Savings Calculations'!M408</f>
        <v>4</v>
      </c>
      <c r="L412" s="292" t="str">
        <f>'Unit Savings Calculations'!U408</f>
        <v>Custom</v>
      </c>
      <c r="M412" s="383" t="str">
        <f>'Unit Savings Calculations'!R408</f>
        <v>Custom</v>
      </c>
      <c r="N412" s="295">
        <v>1100</v>
      </c>
      <c r="O412" s="295">
        <v>1100</v>
      </c>
      <c r="P412" s="295">
        <v>1100</v>
      </c>
      <c r="Q412" s="295">
        <v>1100</v>
      </c>
      <c r="R412" s="296">
        <f>'Unit Savings Calculations'!$G408</f>
        <v>1</v>
      </c>
      <c r="S412" s="296">
        <f>'Unit Savings Calculations'!$G408</f>
        <v>1</v>
      </c>
      <c r="T412" s="296">
        <f>'Unit Savings Calculations'!$G408</f>
        <v>1</v>
      </c>
      <c r="U412" s="296">
        <f>'Unit Savings Calculations'!$G408</f>
        <v>1</v>
      </c>
      <c r="V412" s="297">
        <f t="shared" si="207"/>
        <v>4400</v>
      </c>
      <c r="W412" s="297">
        <f t="shared" si="208"/>
        <v>4400</v>
      </c>
      <c r="X412" s="297">
        <f t="shared" si="209"/>
        <v>4400</v>
      </c>
      <c r="Y412" s="297">
        <f t="shared" si="210"/>
        <v>4400</v>
      </c>
      <c r="Z412" s="297">
        <f t="shared" si="211"/>
        <v>17600</v>
      </c>
      <c r="AA412" s="384"/>
      <c r="AB412" s="384"/>
      <c r="AC412" s="387">
        <v>1100</v>
      </c>
      <c r="AD412" s="384"/>
      <c r="AE412" s="385">
        <f t="shared" si="226"/>
        <v>4400</v>
      </c>
      <c r="AF412" s="386">
        <f t="shared" si="227"/>
        <v>0</v>
      </c>
      <c r="AG412" s="384"/>
      <c r="AH412" s="384">
        <f t="shared" si="228"/>
        <v>0</v>
      </c>
      <c r="AI412" s="387">
        <v>1100</v>
      </c>
      <c r="AJ412" s="435" t="s">
        <v>878</v>
      </c>
      <c r="AK412" s="385">
        <f t="shared" si="229"/>
        <v>4400</v>
      </c>
      <c r="AL412" s="386">
        <f t="shared" si="230"/>
        <v>0</v>
      </c>
      <c r="AM412" s="384"/>
      <c r="AN412" s="384"/>
      <c r="AO412" s="387">
        <f>'Unit Savings Calculations'!P408</f>
        <v>1100</v>
      </c>
      <c r="AP412" s="435" t="s">
        <v>763</v>
      </c>
      <c r="AQ412" s="385">
        <f t="shared" si="231"/>
        <v>4400</v>
      </c>
      <c r="AR412" s="386">
        <f t="shared" si="232"/>
        <v>0</v>
      </c>
      <c r="AS412" s="384"/>
      <c r="AT412" s="384"/>
      <c r="AU412" s="387">
        <f>'Unit Savings Calculations'!Q408</f>
        <v>1100</v>
      </c>
      <c r="AV412" s="435" t="str">
        <f t="shared" si="215"/>
        <v>n/a</v>
      </c>
      <c r="AW412" s="385">
        <f t="shared" si="233"/>
        <v>4400</v>
      </c>
      <c r="AX412" s="386">
        <f t="shared" si="234"/>
        <v>0</v>
      </c>
      <c r="AY412" s="297">
        <f t="shared" si="216"/>
        <v>4400</v>
      </c>
      <c r="AZ412" s="297">
        <f t="shared" si="217"/>
        <v>4400</v>
      </c>
      <c r="BA412" s="297">
        <f t="shared" si="218"/>
        <v>4400</v>
      </c>
      <c r="BB412" s="297">
        <f t="shared" si="219"/>
        <v>4400</v>
      </c>
      <c r="BC412" s="298">
        <f t="shared" si="220"/>
        <v>17600</v>
      </c>
      <c r="BD412" s="292" t="s">
        <v>763</v>
      </c>
      <c r="BE412" s="299" t="str">
        <f t="shared" si="221"/>
        <v>Custom</v>
      </c>
      <c r="BF412" s="298">
        <f t="shared" si="222"/>
        <v>66000</v>
      </c>
      <c r="BG412" s="298">
        <f t="shared" si="222"/>
        <v>66000</v>
      </c>
      <c r="BH412" s="298">
        <f t="shared" si="222"/>
        <v>66000</v>
      </c>
      <c r="BI412" s="298">
        <f t="shared" si="212"/>
        <v>66000</v>
      </c>
      <c r="BJ412" s="298">
        <f t="shared" si="223"/>
        <v>264000</v>
      </c>
      <c r="BK412" s="482">
        <v>15</v>
      </c>
      <c r="BL412" s="482">
        <v>15</v>
      </c>
      <c r="BM412" s="482">
        <f>INDEX('Unit Savings Calculations'!$I$4:$I$421,MATCH('Measure-Level Adjustments Tab'!$A412&amp;"_"&amp;'Measure-Level Adjustments Tab'!$B412,'Unit Savings Calculations'!$A$4:$A$421,0))</f>
        <v>15</v>
      </c>
      <c r="BN412" s="482">
        <f t="shared" si="224"/>
        <v>15</v>
      </c>
      <c r="BO412" s="483">
        <f t="shared" si="225"/>
        <v>66000</v>
      </c>
      <c r="BP412" s="483">
        <f t="shared" si="225"/>
        <v>66000</v>
      </c>
      <c r="BQ412" s="483">
        <f t="shared" si="225"/>
        <v>66000</v>
      </c>
      <c r="BR412" s="483">
        <f t="shared" si="213"/>
        <v>66000</v>
      </c>
      <c r="BS412" s="483">
        <f t="shared" si="214"/>
        <v>264000</v>
      </c>
    </row>
    <row r="413" spans="1:71" ht="15.75" customHeight="1">
      <c r="A413" s="292" t="str">
        <f>'Unit Savings Calculations'!C409</f>
        <v>Low Income - MF Retrofit</v>
      </c>
      <c r="B413" s="292" t="str">
        <f>'Unit Savings Calculations'!D409</f>
        <v>Boiler Tune-ups</v>
      </c>
      <c r="C413" s="293">
        <f t="shared" ref="C413:C425" si="235">IF(D413="Custom",0,1)</f>
        <v>0</v>
      </c>
      <c r="D413" s="292" t="str">
        <f>'Unit Savings Calculations'!T409</f>
        <v>Custom</v>
      </c>
      <c r="E413" s="438">
        <v>3</v>
      </c>
      <c r="F413" s="438">
        <v>3</v>
      </c>
      <c r="G413" s="292" t="str">
        <f>'Unit Savings Calculations'!E409</f>
        <v>each</v>
      </c>
      <c r="H413" s="294">
        <f>'Unit Savings Calculations'!$F409*'Unit Savings Calculations'!J409</f>
        <v>1</v>
      </c>
      <c r="I413" s="294">
        <f>'Unit Savings Calculations'!$F409*'Unit Savings Calculations'!K409</f>
        <v>1</v>
      </c>
      <c r="J413" s="294">
        <f>'Unit Savings Calculations'!$F409*'Unit Savings Calculations'!L409</f>
        <v>1</v>
      </c>
      <c r="K413" s="294">
        <f>'Unit Savings Calculations'!$F409*'Unit Savings Calculations'!M409</f>
        <v>1</v>
      </c>
      <c r="L413" s="292" t="str">
        <f>'Unit Savings Calculations'!U409</f>
        <v>Custom</v>
      </c>
      <c r="M413" s="383" t="str">
        <f>'Unit Savings Calculations'!R409</f>
        <v>Custom</v>
      </c>
      <c r="N413" s="295">
        <v>130</v>
      </c>
      <c r="O413" s="295">
        <v>130</v>
      </c>
      <c r="P413" s="295">
        <v>130</v>
      </c>
      <c r="Q413" s="295">
        <v>130</v>
      </c>
      <c r="R413" s="296">
        <f>'Unit Savings Calculations'!$G409</f>
        <v>1</v>
      </c>
      <c r="S413" s="296">
        <f>'Unit Savings Calculations'!$G409</f>
        <v>1</v>
      </c>
      <c r="T413" s="296">
        <f>'Unit Savings Calculations'!$G409</f>
        <v>1</v>
      </c>
      <c r="U413" s="296">
        <f>'Unit Savings Calculations'!$G409</f>
        <v>1</v>
      </c>
      <c r="V413" s="297">
        <f t="shared" si="207"/>
        <v>130</v>
      </c>
      <c r="W413" s="297">
        <f t="shared" si="208"/>
        <v>130</v>
      </c>
      <c r="X413" s="297">
        <f t="shared" si="209"/>
        <v>130</v>
      </c>
      <c r="Y413" s="297">
        <f t="shared" si="210"/>
        <v>130</v>
      </c>
      <c r="Z413" s="297">
        <f t="shared" si="211"/>
        <v>520</v>
      </c>
      <c r="AA413" s="384"/>
      <c r="AB413" s="384"/>
      <c r="AC413" s="387">
        <v>130</v>
      </c>
      <c r="AD413" s="384"/>
      <c r="AE413" s="385">
        <f t="shared" si="226"/>
        <v>130</v>
      </c>
      <c r="AF413" s="386">
        <f t="shared" si="227"/>
        <v>0</v>
      </c>
      <c r="AG413" s="384"/>
      <c r="AH413" s="384">
        <f t="shared" si="228"/>
        <v>0</v>
      </c>
      <c r="AI413" s="387">
        <v>130</v>
      </c>
      <c r="AJ413" s="435" t="s">
        <v>878</v>
      </c>
      <c r="AK413" s="385">
        <f t="shared" si="229"/>
        <v>130</v>
      </c>
      <c r="AL413" s="386">
        <f t="shared" si="230"/>
        <v>0</v>
      </c>
      <c r="AM413" s="384"/>
      <c r="AN413" s="384"/>
      <c r="AO413" s="387">
        <f>'Unit Savings Calculations'!P409</f>
        <v>130</v>
      </c>
      <c r="AP413" s="435" t="s">
        <v>763</v>
      </c>
      <c r="AQ413" s="385">
        <f t="shared" si="231"/>
        <v>130</v>
      </c>
      <c r="AR413" s="386">
        <f t="shared" si="232"/>
        <v>0</v>
      </c>
      <c r="AS413" s="384"/>
      <c r="AT413" s="384"/>
      <c r="AU413" s="387">
        <f>'Unit Savings Calculations'!Q409</f>
        <v>130</v>
      </c>
      <c r="AV413" s="435" t="str">
        <f t="shared" si="215"/>
        <v>n/a</v>
      </c>
      <c r="AW413" s="385">
        <f t="shared" si="233"/>
        <v>130</v>
      </c>
      <c r="AX413" s="386">
        <f t="shared" si="234"/>
        <v>0</v>
      </c>
      <c r="AY413" s="297">
        <f t="shared" si="216"/>
        <v>130</v>
      </c>
      <c r="AZ413" s="297">
        <f t="shared" si="217"/>
        <v>130</v>
      </c>
      <c r="BA413" s="297">
        <f t="shared" si="218"/>
        <v>130</v>
      </c>
      <c r="BB413" s="297">
        <f t="shared" si="219"/>
        <v>130</v>
      </c>
      <c r="BC413" s="298">
        <f t="shared" si="220"/>
        <v>520</v>
      </c>
      <c r="BD413" s="292" t="s">
        <v>763</v>
      </c>
      <c r="BE413" s="299" t="str">
        <f t="shared" si="221"/>
        <v>Custom</v>
      </c>
      <c r="BF413" s="298">
        <f t="shared" si="222"/>
        <v>390</v>
      </c>
      <c r="BG413" s="298">
        <f t="shared" si="222"/>
        <v>390</v>
      </c>
      <c r="BH413" s="298">
        <f t="shared" si="222"/>
        <v>390</v>
      </c>
      <c r="BI413" s="298">
        <f t="shared" si="212"/>
        <v>390</v>
      </c>
      <c r="BJ413" s="298">
        <f t="shared" si="223"/>
        <v>1560</v>
      </c>
      <c r="BK413" s="482">
        <v>3</v>
      </c>
      <c r="BL413" s="482">
        <v>3</v>
      </c>
      <c r="BM413" s="482">
        <f>INDEX('Unit Savings Calculations'!$I$4:$I$421,MATCH('Measure-Level Adjustments Tab'!$A413&amp;"_"&amp;'Measure-Level Adjustments Tab'!$B413,'Unit Savings Calculations'!$A$4:$A$421,0))</f>
        <v>3</v>
      </c>
      <c r="BN413" s="482">
        <f t="shared" si="224"/>
        <v>3</v>
      </c>
      <c r="BO413" s="483">
        <f t="shared" si="225"/>
        <v>390</v>
      </c>
      <c r="BP413" s="483">
        <f t="shared" si="225"/>
        <v>390</v>
      </c>
      <c r="BQ413" s="483">
        <f t="shared" si="225"/>
        <v>390</v>
      </c>
      <c r="BR413" s="483">
        <f t="shared" si="213"/>
        <v>390</v>
      </c>
      <c r="BS413" s="483">
        <f t="shared" si="214"/>
        <v>1560</v>
      </c>
    </row>
    <row r="414" spans="1:71" ht="15.75" customHeight="1">
      <c r="A414" s="292" t="str">
        <f>'Unit Savings Calculations'!C410</f>
        <v>Low Income - MF Retrofit</v>
      </c>
      <c r="B414" s="292" t="str">
        <f>'Unit Savings Calculations'!D410</f>
        <v>Outdoor Resets/Cutouts</v>
      </c>
      <c r="C414" s="293">
        <f t="shared" si="235"/>
        <v>0</v>
      </c>
      <c r="D414" s="292" t="str">
        <f>'Unit Savings Calculations'!T410</f>
        <v>Custom</v>
      </c>
      <c r="E414" s="438">
        <v>20</v>
      </c>
      <c r="F414" s="438">
        <v>20</v>
      </c>
      <c r="G414" s="292" t="str">
        <f>'Unit Savings Calculations'!E410</f>
        <v>each</v>
      </c>
      <c r="H414" s="294">
        <f>'Unit Savings Calculations'!$F410*'Unit Savings Calculations'!J410</f>
        <v>0</v>
      </c>
      <c r="I414" s="294">
        <f>'Unit Savings Calculations'!$F410*'Unit Savings Calculations'!K410</f>
        <v>0</v>
      </c>
      <c r="J414" s="294">
        <f>'Unit Savings Calculations'!$F410*'Unit Savings Calculations'!L410</f>
        <v>0</v>
      </c>
      <c r="K414" s="294">
        <f>'Unit Savings Calculations'!$F410*'Unit Savings Calculations'!M410</f>
        <v>0</v>
      </c>
      <c r="L414" s="292" t="str">
        <f>'Unit Savings Calculations'!U410</f>
        <v>Custom</v>
      </c>
      <c r="M414" s="383" t="str">
        <f>'Unit Savings Calculations'!R410</f>
        <v>Custom</v>
      </c>
      <c r="N414" s="295">
        <v>1000</v>
      </c>
      <c r="O414" s="295">
        <v>1000</v>
      </c>
      <c r="P414" s="295">
        <v>1000</v>
      </c>
      <c r="Q414" s="295">
        <v>1000</v>
      </c>
      <c r="R414" s="296">
        <f>'Unit Savings Calculations'!$G410</f>
        <v>1</v>
      </c>
      <c r="S414" s="296">
        <f>'Unit Savings Calculations'!$G410</f>
        <v>1</v>
      </c>
      <c r="T414" s="296">
        <f>'Unit Savings Calculations'!$G410</f>
        <v>1</v>
      </c>
      <c r="U414" s="296">
        <f>'Unit Savings Calculations'!$G410</f>
        <v>1</v>
      </c>
      <c r="V414" s="297">
        <f t="shared" ref="V414:V425" si="236">H414*N414*R414</f>
        <v>0</v>
      </c>
      <c r="W414" s="297">
        <f t="shared" ref="W414:W425" si="237">I414*O414*S414</f>
        <v>0</v>
      </c>
      <c r="X414" s="297">
        <f t="shared" ref="X414:X425" si="238">J414*P414*T414</f>
        <v>0</v>
      </c>
      <c r="Y414" s="297">
        <f t="shared" ref="Y414:Y425" si="239">K414*Q414*U414</f>
        <v>0</v>
      </c>
      <c r="Z414" s="297">
        <f t="shared" ref="Z414:Z425" si="240">V414+W414+X414+Y414</f>
        <v>0</v>
      </c>
      <c r="AA414" s="384"/>
      <c r="AB414" s="384"/>
      <c r="AC414" s="387">
        <v>1000</v>
      </c>
      <c r="AD414" s="384"/>
      <c r="AE414" s="385">
        <f t="shared" si="226"/>
        <v>0</v>
      </c>
      <c r="AF414" s="386">
        <f t="shared" si="227"/>
        <v>0</v>
      </c>
      <c r="AG414" s="384"/>
      <c r="AH414" s="384">
        <f t="shared" si="228"/>
        <v>0</v>
      </c>
      <c r="AI414" s="387">
        <v>1000</v>
      </c>
      <c r="AJ414" s="435" t="s">
        <v>878</v>
      </c>
      <c r="AK414" s="385">
        <f t="shared" si="229"/>
        <v>0</v>
      </c>
      <c r="AL414" s="386">
        <f t="shared" si="230"/>
        <v>0</v>
      </c>
      <c r="AM414" s="384"/>
      <c r="AN414" s="384"/>
      <c r="AO414" s="387">
        <f>'Unit Savings Calculations'!P410</f>
        <v>1000</v>
      </c>
      <c r="AP414" s="435" t="s">
        <v>763</v>
      </c>
      <c r="AQ414" s="385">
        <f t="shared" si="231"/>
        <v>0</v>
      </c>
      <c r="AR414" s="386">
        <f t="shared" si="232"/>
        <v>0</v>
      </c>
      <c r="AS414" s="384"/>
      <c r="AT414" s="384"/>
      <c r="AU414" s="387">
        <f>'Unit Savings Calculations'!Q410</f>
        <v>1000</v>
      </c>
      <c r="AV414" s="435" t="str">
        <f t="shared" si="215"/>
        <v>n/a</v>
      </c>
      <c r="AW414" s="385">
        <f t="shared" si="233"/>
        <v>0</v>
      </c>
      <c r="AX414" s="386">
        <f t="shared" si="234"/>
        <v>0</v>
      </c>
      <c r="AY414" s="297">
        <f t="shared" si="216"/>
        <v>0</v>
      </c>
      <c r="AZ414" s="297">
        <f t="shared" si="217"/>
        <v>0</v>
      </c>
      <c r="BA414" s="297">
        <f t="shared" si="218"/>
        <v>0</v>
      </c>
      <c r="BB414" s="297">
        <f t="shared" si="219"/>
        <v>0</v>
      </c>
      <c r="BC414" s="298">
        <f t="shared" si="220"/>
        <v>0</v>
      </c>
      <c r="BD414" s="292" t="s">
        <v>763</v>
      </c>
      <c r="BE414" s="299" t="str">
        <f t="shared" si="221"/>
        <v>Custom</v>
      </c>
      <c r="BF414" s="298">
        <f t="shared" si="222"/>
        <v>0</v>
      </c>
      <c r="BG414" s="298">
        <f t="shared" si="222"/>
        <v>0</v>
      </c>
      <c r="BH414" s="298">
        <f t="shared" si="222"/>
        <v>0</v>
      </c>
      <c r="BI414" s="298">
        <f t="shared" si="212"/>
        <v>0</v>
      </c>
      <c r="BJ414" s="298">
        <f t="shared" si="223"/>
        <v>0</v>
      </c>
      <c r="BK414" s="482">
        <v>20</v>
      </c>
      <c r="BL414" s="482">
        <v>20</v>
      </c>
      <c r="BM414" s="482">
        <f>INDEX('Unit Savings Calculations'!$I$4:$I$421,MATCH('Measure-Level Adjustments Tab'!$A414&amp;"_"&amp;'Measure-Level Adjustments Tab'!$B414,'Unit Savings Calculations'!$A$4:$A$421,0))</f>
        <v>20</v>
      </c>
      <c r="BN414" s="482">
        <f t="shared" si="224"/>
        <v>20</v>
      </c>
      <c r="BO414" s="483">
        <f t="shared" si="225"/>
        <v>0</v>
      </c>
      <c r="BP414" s="483">
        <f t="shared" si="225"/>
        <v>0</v>
      </c>
      <c r="BQ414" s="483">
        <f t="shared" si="225"/>
        <v>0</v>
      </c>
      <c r="BR414" s="483">
        <f t="shared" si="213"/>
        <v>0</v>
      </c>
      <c r="BS414" s="483">
        <f t="shared" si="214"/>
        <v>0</v>
      </c>
    </row>
    <row r="415" spans="1:71" ht="15.75" customHeight="1">
      <c r="A415" s="292" t="str">
        <f>'Unit Savings Calculations'!C411</f>
        <v>Low Income - MF Retrofit</v>
      </c>
      <c r="B415" s="292" t="str">
        <f>'Unit Savings Calculations'!D411</f>
        <v>Steam Trap</v>
      </c>
      <c r="C415" s="293">
        <f t="shared" si="235"/>
        <v>0</v>
      </c>
      <c r="D415" s="292" t="str">
        <f>'Unit Savings Calculations'!T411</f>
        <v>Custom</v>
      </c>
      <c r="E415" s="438">
        <v>6</v>
      </c>
      <c r="F415" s="438">
        <v>6</v>
      </c>
      <c r="G415" s="292" t="str">
        <f>'Unit Savings Calculations'!E411</f>
        <v>each</v>
      </c>
      <c r="H415" s="294">
        <f>'Unit Savings Calculations'!$F411*'Unit Savings Calculations'!J411</f>
        <v>75</v>
      </c>
      <c r="I415" s="294">
        <f>'Unit Savings Calculations'!$F411*'Unit Savings Calculations'!K411</f>
        <v>75</v>
      </c>
      <c r="J415" s="294">
        <f>'Unit Savings Calculations'!$F411*'Unit Savings Calculations'!L411</f>
        <v>75</v>
      </c>
      <c r="K415" s="294">
        <f>'Unit Savings Calculations'!$F411*'Unit Savings Calculations'!M411</f>
        <v>75</v>
      </c>
      <c r="L415" s="292" t="str">
        <f>'Unit Savings Calculations'!U411</f>
        <v>Custom</v>
      </c>
      <c r="M415" s="383" t="str">
        <f>'Unit Savings Calculations'!R411</f>
        <v>Custom</v>
      </c>
      <c r="N415" s="295">
        <v>110</v>
      </c>
      <c r="O415" s="295">
        <v>110</v>
      </c>
      <c r="P415" s="295">
        <v>110</v>
      </c>
      <c r="Q415" s="295">
        <v>110</v>
      </c>
      <c r="R415" s="296">
        <f>'Unit Savings Calculations'!$G411</f>
        <v>1</v>
      </c>
      <c r="S415" s="296">
        <f>'Unit Savings Calculations'!$G411</f>
        <v>1</v>
      </c>
      <c r="T415" s="296">
        <f>'Unit Savings Calculations'!$G411</f>
        <v>1</v>
      </c>
      <c r="U415" s="296">
        <f>'Unit Savings Calculations'!$G411</f>
        <v>1</v>
      </c>
      <c r="V415" s="297">
        <f t="shared" si="236"/>
        <v>8250</v>
      </c>
      <c r="W415" s="297">
        <f t="shared" si="237"/>
        <v>8250</v>
      </c>
      <c r="X415" s="297">
        <f t="shared" si="238"/>
        <v>8250</v>
      </c>
      <c r="Y415" s="297">
        <f t="shared" si="239"/>
        <v>8250</v>
      </c>
      <c r="Z415" s="297">
        <f t="shared" si="240"/>
        <v>33000</v>
      </c>
      <c r="AA415" s="384"/>
      <c r="AB415" s="384"/>
      <c r="AC415" s="387">
        <v>110</v>
      </c>
      <c r="AD415" s="384"/>
      <c r="AE415" s="385">
        <f t="shared" si="226"/>
        <v>8250</v>
      </c>
      <c r="AF415" s="386">
        <f t="shared" si="227"/>
        <v>0</v>
      </c>
      <c r="AG415" s="384"/>
      <c r="AH415" s="384">
        <f t="shared" si="228"/>
        <v>0</v>
      </c>
      <c r="AI415" s="387">
        <v>110</v>
      </c>
      <c r="AJ415" s="435" t="s">
        <v>878</v>
      </c>
      <c r="AK415" s="385">
        <f t="shared" si="229"/>
        <v>8250</v>
      </c>
      <c r="AL415" s="386">
        <f t="shared" si="230"/>
        <v>0</v>
      </c>
      <c r="AM415" s="384"/>
      <c r="AN415" s="384"/>
      <c r="AO415" s="387">
        <f>'Unit Savings Calculations'!P411</f>
        <v>110</v>
      </c>
      <c r="AP415" s="435" t="s">
        <v>763</v>
      </c>
      <c r="AQ415" s="385">
        <f t="shared" si="231"/>
        <v>8250</v>
      </c>
      <c r="AR415" s="386">
        <f t="shared" si="232"/>
        <v>0</v>
      </c>
      <c r="AS415" s="384"/>
      <c r="AT415" s="384"/>
      <c r="AU415" s="387">
        <f>'Unit Savings Calculations'!Q411</f>
        <v>110</v>
      </c>
      <c r="AV415" s="435" t="str">
        <f t="shared" si="215"/>
        <v>n/a</v>
      </c>
      <c r="AW415" s="385">
        <f t="shared" si="233"/>
        <v>8250</v>
      </c>
      <c r="AX415" s="386">
        <f t="shared" si="234"/>
        <v>0</v>
      </c>
      <c r="AY415" s="297">
        <f t="shared" si="216"/>
        <v>8250</v>
      </c>
      <c r="AZ415" s="297">
        <f t="shared" si="217"/>
        <v>8250</v>
      </c>
      <c r="BA415" s="297">
        <f t="shared" si="218"/>
        <v>8250</v>
      </c>
      <c r="BB415" s="297">
        <f t="shared" si="219"/>
        <v>8250</v>
      </c>
      <c r="BC415" s="298">
        <f t="shared" si="220"/>
        <v>33000</v>
      </c>
      <c r="BD415" s="292" t="s">
        <v>763</v>
      </c>
      <c r="BE415" s="299" t="str">
        <f t="shared" si="221"/>
        <v>Custom</v>
      </c>
      <c r="BF415" s="298">
        <f t="shared" si="222"/>
        <v>49500</v>
      </c>
      <c r="BG415" s="298">
        <f t="shared" si="222"/>
        <v>49500</v>
      </c>
      <c r="BH415" s="298">
        <f t="shared" si="222"/>
        <v>49500</v>
      </c>
      <c r="BI415" s="298">
        <f t="shared" si="212"/>
        <v>49500</v>
      </c>
      <c r="BJ415" s="298">
        <f t="shared" si="223"/>
        <v>198000</v>
      </c>
      <c r="BK415" s="482">
        <v>6</v>
      </c>
      <c r="BL415" s="482">
        <v>6</v>
      </c>
      <c r="BM415" s="482">
        <f>INDEX('Unit Savings Calculations'!$I$4:$I$421,MATCH('Measure-Level Adjustments Tab'!$A415&amp;"_"&amp;'Measure-Level Adjustments Tab'!$B415,'Unit Savings Calculations'!$A$4:$A$421,0))</f>
        <v>6</v>
      </c>
      <c r="BN415" s="482">
        <f t="shared" si="224"/>
        <v>6</v>
      </c>
      <c r="BO415" s="483">
        <f t="shared" si="225"/>
        <v>49500</v>
      </c>
      <c r="BP415" s="483">
        <f t="shared" si="225"/>
        <v>49500</v>
      </c>
      <c r="BQ415" s="483">
        <f t="shared" si="225"/>
        <v>49500</v>
      </c>
      <c r="BR415" s="483">
        <f t="shared" si="213"/>
        <v>49500</v>
      </c>
      <c r="BS415" s="483">
        <f t="shared" si="214"/>
        <v>198000</v>
      </c>
    </row>
    <row r="416" spans="1:71" ht="15.75" customHeight="1">
      <c r="A416" s="292" t="str">
        <f>'Unit Savings Calculations'!C412</f>
        <v>Low Income - MF Retrofit</v>
      </c>
      <c r="B416" s="292" t="str">
        <f>'Unit Savings Calculations'!D412</f>
        <v>Controls for Central DHW Pumps</v>
      </c>
      <c r="C416" s="293">
        <f t="shared" si="235"/>
        <v>0</v>
      </c>
      <c r="D416" s="292" t="str">
        <f>'Unit Savings Calculations'!T412</f>
        <v>Custom</v>
      </c>
      <c r="E416" s="438">
        <v>15</v>
      </c>
      <c r="F416" s="438">
        <v>15</v>
      </c>
      <c r="G416" s="292" t="str">
        <f>'Unit Savings Calculations'!E412</f>
        <v>each</v>
      </c>
      <c r="H416" s="294">
        <f>'Unit Savings Calculations'!$F412*'Unit Savings Calculations'!J412</f>
        <v>1</v>
      </c>
      <c r="I416" s="294">
        <f>'Unit Savings Calculations'!$F412*'Unit Savings Calculations'!K412</f>
        <v>1</v>
      </c>
      <c r="J416" s="294">
        <f>'Unit Savings Calculations'!$F412*'Unit Savings Calculations'!L412</f>
        <v>1</v>
      </c>
      <c r="K416" s="294">
        <f>'Unit Savings Calculations'!$F412*'Unit Savings Calculations'!M412</f>
        <v>1</v>
      </c>
      <c r="L416" s="292" t="str">
        <f>'Unit Savings Calculations'!U412</f>
        <v>Custom</v>
      </c>
      <c r="M416" s="383" t="str">
        <f>'Unit Savings Calculations'!R412</f>
        <v>Custom</v>
      </c>
      <c r="N416" s="295">
        <v>1300</v>
      </c>
      <c r="O416" s="295">
        <v>1300</v>
      </c>
      <c r="P416" s="295">
        <v>1300</v>
      </c>
      <c r="Q416" s="295">
        <v>1300</v>
      </c>
      <c r="R416" s="296">
        <f>'Unit Savings Calculations'!$G412</f>
        <v>1</v>
      </c>
      <c r="S416" s="296">
        <f>'Unit Savings Calculations'!$G412</f>
        <v>1</v>
      </c>
      <c r="T416" s="296">
        <f>'Unit Savings Calculations'!$G412</f>
        <v>1</v>
      </c>
      <c r="U416" s="296">
        <f>'Unit Savings Calculations'!$G412</f>
        <v>1</v>
      </c>
      <c r="V416" s="297">
        <f t="shared" si="236"/>
        <v>1300</v>
      </c>
      <c r="W416" s="297">
        <f t="shared" si="237"/>
        <v>1300</v>
      </c>
      <c r="X416" s="297">
        <f t="shared" si="238"/>
        <v>1300</v>
      </c>
      <c r="Y416" s="297">
        <f t="shared" si="239"/>
        <v>1300</v>
      </c>
      <c r="Z416" s="297">
        <f t="shared" si="240"/>
        <v>5200</v>
      </c>
      <c r="AA416" s="384"/>
      <c r="AB416" s="384"/>
      <c r="AC416" s="387">
        <v>1300</v>
      </c>
      <c r="AD416" s="384"/>
      <c r="AE416" s="385">
        <f t="shared" si="226"/>
        <v>1300</v>
      </c>
      <c r="AF416" s="386">
        <f t="shared" si="227"/>
        <v>0</v>
      </c>
      <c r="AG416" s="384"/>
      <c r="AH416" s="384">
        <f t="shared" si="228"/>
        <v>0</v>
      </c>
      <c r="AI416" s="387">
        <v>1300</v>
      </c>
      <c r="AJ416" s="435" t="s">
        <v>878</v>
      </c>
      <c r="AK416" s="385">
        <f t="shared" si="229"/>
        <v>1300</v>
      </c>
      <c r="AL416" s="386">
        <f t="shared" si="230"/>
        <v>0</v>
      </c>
      <c r="AM416" s="384"/>
      <c r="AN416" s="384"/>
      <c r="AO416" s="387">
        <f>'Unit Savings Calculations'!P412</f>
        <v>1300</v>
      </c>
      <c r="AP416" s="435" t="s">
        <v>763</v>
      </c>
      <c r="AQ416" s="385">
        <f t="shared" si="231"/>
        <v>1300</v>
      </c>
      <c r="AR416" s="386">
        <f t="shared" si="232"/>
        <v>0</v>
      </c>
      <c r="AS416" s="384"/>
      <c r="AT416" s="384"/>
      <c r="AU416" s="387">
        <f>'Unit Savings Calculations'!Q412</f>
        <v>1300</v>
      </c>
      <c r="AV416" s="435" t="str">
        <f t="shared" si="215"/>
        <v>n/a</v>
      </c>
      <c r="AW416" s="385">
        <f t="shared" si="233"/>
        <v>1300</v>
      </c>
      <c r="AX416" s="386">
        <f t="shared" si="234"/>
        <v>0</v>
      </c>
      <c r="AY416" s="297">
        <f t="shared" si="216"/>
        <v>1300</v>
      </c>
      <c r="AZ416" s="297">
        <f t="shared" si="217"/>
        <v>1300</v>
      </c>
      <c r="BA416" s="297">
        <f t="shared" si="218"/>
        <v>1300</v>
      </c>
      <c r="BB416" s="297">
        <f t="shared" si="219"/>
        <v>1300</v>
      </c>
      <c r="BC416" s="298">
        <f t="shared" si="220"/>
        <v>5200</v>
      </c>
      <c r="BD416" s="292" t="s">
        <v>763</v>
      </c>
      <c r="BE416" s="299" t="str">
        <f t="shared" si="221"/>
        <v>Custom</v>
      </c>
      <c r="BF416" s="298">
        <f t="shared" si="222"/>
        <v>19500</v>
      </c>
      <c r="BG416" s="298">
        <f t="shared" si="222"/>
        <v>19500</v>
      </c>
      <c r="BH416" s="298">
        <f t="shared" si="222"/>
        <v>19500</v>
      </c>
      <c r="BI416" s="298">
        <f t="shared" si="212"/>
        <v>19500</v>
      </c>
      <c r="BJ416" s="298">
        <f t="shared" si="223"/>
        <v>78000</v>
      </c>
      <c r="BK416" s="482">
        <v>15</v>
      </c>
      <c r="BL416" s="482">
        <v>15</v>
      </c>
      <c r="BM416" s="482">
        <f>INDEX('Unit Savings Calculations'!$I$4:$I$421,MATCH('Measure-Level Adjustments Tab'!$A416&amp;"_"&amp;'Measure-Level Adjustments Tab'!$B416,'Unit Savings Calculations'!$A$4:$A$421,0))</f>
        <v>15</v>
      </c>
      <c r="BN416" s="482">
        <f t="shared" si="224"/>
        <v>15</v>
      </c>
      <c r="BO416" s="483">
        <f t="shared" si="225"/>
        <v>19500</v>
      </c>
      <c r="BP416" s="483">
        <f t="shared" si="225"/>
        <v>19500</v>
      </c>
      <c r="BQ416" s="483">
        <f t="shared" si="225"/>
        <v>19500</v>
      </c>
      <c r="BR416" s="483">
        <f t="shared" si="213"/>
        <v>19500</v>
      </c>
      <c r="BS416" s="483">
        <f t="shared" si="214"/>
        <v>78000</v>
      </c>
    </row>
    <row r="417" spans="1:71" ht="15.75" customHeight="1">
      <c r="A417" s="292" t="str">
        <f>'Unit Savings Calculations'!C413</f>
        <v>Low Income - MF Retrofit</v>
      </c>
      <c r="B417" s="292" t="str">
        <f>'Unit Savings Calculations'!D413</f>
        <v>Steam Boiler Averaging Controls</v>
      </c>
      <c r="C417" s="293">
        <f t="shared" si="235"/>
        <v>0</v>
      </c>
      <c r="D417" s="292" t="str">
        <f>'Unit Savings Calculations'!T413</f>
        <v>Custom</v>
      </c>
      <c r="E417" s="438">
        <v>15</v>
      </c>
      <c r="F417" s="438">
        <v>15</v>
      </c>
      <c r="G417" s="292" t="str">
        <f>'Unit Savings Calculations'!E413</f>
        <v>each</v>
      </c>
      <c r="H417" s="294">
        <f>'Unit Savings Calculations'!$F413*'Unit Savings Calculations'!J413</f>
        <v>1</v>
      </c>
      <c r="I417" s="294">
        <f>'Unit Savings Calculations'!$F413*'Unit Savings Calculations'!K413</f>
        <v>1</v>
      </c>
      <c r="J417" s="294">
        <f>'Unit Savings Calculations'!$F413*'Unit Savings Calculations'!L413</f>
        <v>1</v>
      </c>
      <c r="K417" s="294">
        <f>'Unit Savings Calculations'!$F413*'Unit Savings Calculations'!M413</f>
        <v>1</v>
      </c>
      <c r="L417" s="292" t="str">
        <f>'Unit Savings Calculations'!U413</f>
        <v>Custom</v>
      </c>
      <c r="M417" s="383" t="str">
        <f>'Unit Savings Calculations'!R413</f>
        <v>Custom</v>
      </c>
      <c r="N417" s="295">
        <v>1200</v>
      </c>
      <c r="O417" s="295">
        <v>1200</v>
      </c>
      <c r="P417" s="295">
        <v>1200</v>
      </c>
      <c r="Q417" s="295">
        <v>1200</v>
      </c>
      <c r="R417" s="296">
        <f>'Unit Savings Calculations'!$G413</f>
        <v>1</v>
      </c>
      <c r="S417" s="296">
        <f>'Unit Savings Calculations'!$G413</f>
        <v>1</v>
      </c>
      <c r="T417" s="296">
        <f>'Unit Savings Calculations'!$G413</f>
        <v>1</v>
      </c>
      <c r="U417" s="296">
        <f>'Unit Savings Calculations'!$G413</f>
        <v>1</v>
      </c>
      <c r="V417" s="297">
        <f t="shared" si="236"/>
        <v>1200</v>
      </c>
      <c r="W417" s="297">
        <f t="shared" si="237"/>
        <v>1200</v>
      </c>
      <c r="X417" s="297">
        <f t="shared" si="238"/>
        <v>1200</v>
      </c>
      <c r="Y417" s="297">
        <f t="shared" si="239"/>
        <v>1200</v>
      </c>
      <c r="Z417" s="297">
        <f t="shared" si="240"/>
        <v>4800</v>
      </c>
      <c r="AA417" s="384"/>
      <c r="AB417" s="384"/>
      <c r="AC417" s="387">
        <v>1200</v>
      </c>
      <c r="AD417" s="384"/>
      <c r="AE417" s="385">
        <f t="shared" si="226"/>
        <v>1200</v>
      </c>
      <c r="AF417" s="386">
        <f t="shared" si="227"/>
        <v>0</v>
      </c>
      <c r="AG417" s="384"/>
      <c r="AH417" s="384">
        <f t="shared" si="228"/>
        <v>0</v>
      </c>
      <c r="AI417" s="387">
        <v>1200</v>
      </c>
      <c r="AJ417" s="435" t="s">
        <v>878</v>
      </c>
      <c r="AK417" s="385">
        <f t="shared" si="229"/>
        <v>1200</v>
      </c>
      <c r="AL417" s="386">
        <f t="shared" si="230"/>
        <v>0</v>
      </c>
      <c r="AM417" s="384"/>
      <c r="AN417" s="384"/>
      <c r="AO417" s="387">
        <f>'Unit Savings Calculations'!P413</f>
        <v>1200</v>
      </c>
      <c r="AP417" s="435" t="s">
        <v>763</v>
      </c>
      <c r="AQ417" s="385">
        <f t="shared" si="231"/>
        <v>1200</v>
      </c>
      <c r="AR417" s="386">
        <f t="shared" si="232"/>
        <v>0</v>
      </c>
      <c r="AS417" s="384"/>
      <c r="AT417" s="384"/>
      <c r="AU417" s="387">
        <f>'Unit Savings Calculations'!Q413</f>
        <v>1200</v>
      </c>
      <c r="AV417" s="435" t="str">
        <f t="shared" si="215"/>
        <v>n/a</v>
      </c>
      <c r="AW417" s="385">
        <f t="shared" si="233"/>
        <v>1200</v>
      </c>
      <c r="AX417" s="386">
        <f t="shared" si="234"/>
        <v>0</v>
      </c>
      <c r="AY417" s="297">
        <f t="shared" si="216"/>
        <v>1200</v>
      </c>
      <c r="AZ417" s="297">
        <f t="shared" si="217"/>
        <v>1200</v>
      </c>
      <c r="BA417" s="297">
        <f t="shared" si="218"/>
        <v>1200</v>
      </c>
      <c r="BB417" s="297">
        <f t="shared" si="219"/>
        <v>1200</v>
      </c>
      <c r="BC417" s="298">
        <f t="shared" si="220"/>
        <v>4800</v>
      </c>
      <c r="BD417" s="292" t="s">
        <v>763</v>
      </c>
      <c r="BE417" s="299" t="str">
        <f t="shared" si="221"/>
        <v>Custom</v>
      </c>
      <c r="BF417" s="298">
        <f t="shared" si="222"/>
        <v>18000</v>
      </c>
      <c r="BG417" s="298">
        <f t="shared" si="222"/>
        <v>18000</v>
      </c>
      <c r="BH417" s="298">
        <f t="shared" si="222"/>
        <v>18000</v>
      </c>
      <c r="BI417" s="298">
        <f t="shared" si="212"/>
        <v>18000</v>
      </c>
      <c r="BJ417" s="298">
        <f t="shared" si="223"/>
        <v>72000</v>
      </c>
      <c r="BK417" s="482">
        <v>15</v>
      </c>
      <c r="BL417" s="482">
        <v>15</v>
      </c>
      <c r="BM417" s="482">
        <f>INDEX('Unit Savings Calculations'!$I$4:$I$421,MATCH('Measure-Level Adjustments Tab'!$A417&amp;"_"&amp;'Measure-Level Adjustments Tab'!$B417,'Unit Savings Calculations'!$A$4:$A$421,0))</f>
        <v>15</v>
      </c>
      <c r="BN417" s="482">
        <f t="shared" si="224"/>
        <v>15</v>
      </c>
      <c r="BO417" s="483">
        <f t="shared" si="225"/>
        <v>18000</v>
      </c>
      <c r="BP417" s="483">
        <f t="shared" si="225"/>
        <v>18000</v>
      </c>
      <c r="BQ417" s="483">
        <f t="shared" si="225"/>
        <v>18000</v>
      </c>
      <c r="BR417" s="483">
        <f t="shared" si="213"/>
        <v>18000</v>
      </c>
      <c r="BS417" s="483">
        <f t="shared" si="214"/>
        <v>72000</v>
      </c>
    </row>
    <row r="418" spans="1:71" ht="15.75" customHeight="1">
      <c r="A418" s="292" t="str">
        <f>'Unit Savings Calculations'!C414</f>
        <v>Low Income - MF Retrofit</v>
      </c>
      <c r="B418" s="292" t="str">
        <f>'Unit Savings Calculations'!D414</f>
        <v>Boiler Replacement</v>
      </c>
      <c r="C418" s="293">
        <f t="shared" si="235"/>
        <v>0</v>
      </c>
      <c r="D418" s="292" t="str">
        <f>'Unit Savings Calculations'!T414</f>
        <v>Custom</v>
      </c>
      <c r="E418" s="438">
        <v>20</v>
      </c>
      <c r="F418" s="438">
        <v>20</v>
      </c>
      <c r="G418" s="292" t="str">
        <f>'Unit Savings Calculations'!E414</f>
        <v>each</v>
      </c>
      <c r="H418" s="294">
        <f>'Unit Savings Calculations'!$F414*'Unit Savings Calculations'!J414</f>
        <v>1</v>
      </c>
      <c r="I418" s="294">
        <f>'Unit Savings Calculations'!$F414*'Unit Savings Calculations'!K414</f>
        <v>1</v>
      </c>
      <c r="J418" s="294">
        <f>'Unit Savings Calculations'!$F414*'Unit Savings Calculations'!L414</f>
        <v>1</v>
      </c>
      <c r="K418" s="294">
        <f>'Unit Savings Calculations'!$F414*'Unit Savings Calculations'!M414</f>
        <v>1</v>
      </c>
      <c r="L418" s="292" t="str">
        <f>'Unit Savings Calculations'!U414</f>
        <v>Custom</v>
      </c>
      <c r="M418" s="383" t="str">
        <f>'Unit Savings Calculations'!R414</f>
        <v>Custom</v>
      </c>
      <c r="N418" s="295">
        <v>1300</v>
      </c>
      <c r="O418" s="295">
        <v>1300</v>
      </c>
      <c r="P418" s="295">
        <v>1300</v>
      </c>
      <c r="Q418" s="295">
        <v>1300</v>
      </c>
      <c r="R418" s="296">
        <f>'Unit Savings Calculations'!$G414</f>
        <v>1</v>
      </c>
      <c r="S418" s="296">
        <f>'Unit Savings Calculations'!$G414</f>
        <v>1</v>
      </c>
      <c r="T418" s="296">
        <f>'Unit Savings Calculations'!$G414</f>
        <v>1</v>
      </c>
      <c r="U418" s="296">
        <f>'Unit Savings Calculations'!$G414</f>
        <v>1</v>
      </c>
      <c r="V418" s="297">
        <f t="shared" si="236"/>
        <v>1300</v>
      </c>
      <c r="W418" s="297">
        <f t="shared" si="237"/>
        <v>1300</v>
      </c>
      <c r="X418" s="297">
        <f t="shared" si="238"/>
        <v>1300</v>
      </c>
      <c r="Y418" s="297">
        <f t="shared" si="239"/>
        <v>1300</v>
      </c>
      <c r="Z418" s="297">
        <f t="shared" si="240"/>
        <v>5200</v>
      </c>
      <c r="AA418" s="384"/>
      <c r="AB418" s="384"/>
      <c r="AC418" s="387">
        <v>1300</v>
      </c>
      <c r="AD418" s="384"/>
      <c r="AE418" s="385">
        <f t="shared" si="226"/>
        <v>1300</v>
      </c>
      <c r="AF418" s="386">
        <f t="shared" si="227"/>
        <v>0</v>
      </c>
      <c r="AG418" s="384"/>
      <c r="AH418" s="384">
        <f t="shared" si="228"/>
        <v>0</v>
      </c>
      <c r="AI418" s="387">
        <v>1300</v>
      </c>
      <c r="AJ418" s="435" t="s">
        <v>878</v>
      </c>
      <c r="AK418" s="385">
        <f t="shared" si="229"/>
        <v>1300</v>
      </c>
      <c r="AL418" s="386">
        <f t="shared" si="230"/>
        <v>0</v>
      </c>
      <c r="AM418" s="384"/>
      <c r="AN418" s="384"/>
      <c r="AO418" s="387">
        <f>'Unit Savings Calculations'!P414</f>
        <v>1300</v>
      </c>
      <c r="AP418" s="435" t="s">
        <v>763</v>
      </c>
      <c r="AQ418" s="385">
        <f t="shared" si="231"/>
        <v>1300</v>
      </c>
      <c r="AR418" s="386">
        <f t="shared" si="232"/>
        <v>0</v>
      </c>
      <c r="AS418" s="384"/>
      <c r="AT418" s="384"/>
      <c r="AU418" s="387">
        <f>'Unit Savings Calculations'!Q414</f>
        <v>1300</v>
      </c>
      <c r="AV418" s="435" t="str">
        <f t="shared" si="215"/>
        <v>n/a</v>
      </c>
      <c r="AW418" s="385">
        <f t="shared" si="233"/>
        <v>1300</v>
      </c>
      <c r="AX418" s="386">
        <f t="shared" si="234"/>
        <v>0</v>
      </c>
      <c r="AY418" s="297">
        <f t="shared" si="216"/>
        <v>1300</v>
      </c>
      <c r="AZ418" s="297">
        <f t="shared" si="217"/>
        <v>1300</v>
      </c>
      <c r="BA418" s="297">
        <f t="shared" si="218"/>
        <v>1300</v>
      </c>
      <c r="BB418" s="297">
        <f t="shared" si="219"/>
        <v>1300</v>
      </c>
      <c r="BC418" s="298">
        <f t="shared" si="220"/>
        <v>5200</v>
      </c>
      <c r="BD418" s="292" t="s">
        <v>763</v>
      </c>
      <c r="BE418" s="299" t="str">
        <f t="shared" si="221"/>
        <v>Custom</v>
      </c>
      <c r="BF418" s="298">
        <f t="shared" si="222"/>
        <v>26000</v>
      </c>
      <c r="BG418" s="298">
        <f t="shared" si="222"/>
        <v>26000</v>
      </c>
      <c r="BH418" s="298">
        <f t="shared" si="222"/>
        <v>26000</v>
      </c>
      <c r="BI418" s="298">
        <f t="shared" si="212"/>
        <v>26000</v>
      </c>
      <c r="BJ418" s="298">
        <f t="shared" si="223"/>
        <v>104000</v>
      </c>
      <c r="BK418" s="482">
        <v>20</v>
      </c>
      <c r="BL418" s="482">
        <v>20</v>
      </c>
      <c r="BM418" s="482">
        <f>INDEX('Unit Savings Calculations'!$I$4:$I$421,MATCH('Measure-Level Adjustments Tab'!$A418&amp;"_"&amp;'Measure-Level Adjustments Tab'!$B418,'Unit Savings Calculations'!$A$4:$A$421,0))</f>
        <v>20</v>
      </c>
      <c r="BN418" s="482">
        <f t="shared" si="224"/>
        <v>20</v>
      </c>
      <c r="BO418" s="483">
        <f t="shared" si="225"/>
        <v>26000</v>
      </c>
      <c r="BP418" s="483">
        <f t="shared" si="225"/>
        <v>26000</v>
      </c>
      <c r="BQ418" s="483">
        <f t="shared" si="225"/>
        <v>26000</v>
      </c>
      <c r="BR418" s="483">
        <f t="shared" si="213"/>
        <v>26000</v>
      </c>
      <c r="BS418" s="483">
        <f t="shared" si="214"/>
        <v>104000</v>
      </c>
    </row>
    <row r="419" spans="1:71" ht="15.75" customHeight="1">
      <c r="A419" s="292" t="str">
        <f>'Unit Savings Calculations'!C415</f>
        <v>Low Income - MF Retrofit</v>
      </c>
      <c r="B419" s="292" t="str">
        <f>'Unit Savings Calculations'!D415</f>
        <v>DHW Replacement</v>
      </c>
      <c r="C419" s="293">
        <f t="shared" si="235"/>
        <v>0</v>
      </c>
      <c r="D419" s="292" t="str">
        <f>'Unit Savings Calculations'!T415</f>
        <v>Custom</v>
      </c>
      <c r="E419" s="438">
        <v>15</v>
      </c>
      <c r="F419" s="438">
        <v>15</v>
      </c>
      <c r="G419" s="292" t="str">
        <f>'Unit Savings Calculations'!E415</f>
        <v>each</v>
      </c>
      <c r="H419" s="294">
        <f>'Unit Savings Calculations'!$F415*'Unit Savings Calculations'!J415</f>
        <v>1</v>
      </c>
      <c r="I419" s="294">
        <f>'Unit Savings Calculations'!$F415*'Unit Savings Calculations'!K415</f>
        <v>1</v>
      </c>
      <c r="J419" s="294">
        <f>'Unit Savings Calculations'!$F415*'Unit Savings Calculations'!L415</f>
        <v>1</v>
      </c>
      <c r="K419" s="294">
        <f>'Unit Savings Calculations'!$F415*'Unit Savings Calculations'!M415</f>
        <v>1</v>
      </c>
      <c r="L419" s="292" t="str">
        <f>'Unit Savings Calculations'!U415</f>
        <v>Custom</v>
      </c>
      <c r="M419" s="383" t="str">
        <f>'Unit Savings Calculations'!R415</f>
        <v>Custom</v>
      </c>
      <c r="N419" s="295">
        <v>800</v>
      </c>
      <c r="O419" s="295">
        <v>800</v>
      </c>
      <c r="P419" s="295">
        <v>800</v>
      </c>
      <c r="Q419" s="295">
        <v>800</v>
      </c>
      <c r="R419" s="296">
        <f>'Unit Savings Calculations'!$G415</f>
        <v>1</v>
      </c>
      <c r="S419" s="296">
        <f>'Unit Savings Calculations'!$G415</f>
        <v>1</v>
      </c>
      <c r="T419" s="296">
        <f>'Unit Savings Calculations'!$G415</f>
        <v>1</v>
      </c>
      <c r="U419" s="296">
        <f>'Unit Savings Calculations'!$G415</f>
        <v>1</v>
      </c>
      <c r="V419" s="297">
        <f t="shared" si="236"/>
        <v>800</v>
      </c>
      <c r="W419" s="297">
        <f t="shared" si="237"/>
        <v>800</v>
      </c>
      <c r="X419" s="297">
        <f t="shared" si="238"/>
        <v>800</v>
      </c>
      <c r="Y419" s="297">
        <f t="shared" si="239"/>
        <v>800</v>
      </c>
      <c r="Z419" s="297">
        <f t="shared" si="240"/>
        <v>3200</v>
      </c>
      <c r="AA419" s="384"/>
      <c r="AB419" s="384"/>
      <c r="AC419" s="387">
        <v>800</v>
      </c>
      <c r="AD419" s="384"/>
      <c r="AE419" s="385">
        <f t="shared" si="226"/>
        <v>800</v>
      </c>
      <c r="AF419" s="386">
        <f t="shared" si="227"/>
        <v>0</v>
      </c>
      <c r="AG419" s="384"/>
      <c r="AH419" s="384">
        <f t="shared" si="228"/>
        <v>0</v>
      </c>
      <c r="AI419" s="387">
        <v>800</v>
      </c>
      <c r="AJ419" s="435" t="s">
        <v>878</v>
      </c>
      <c r="AK419" s="385">
        <f t="shared" si="229"/>
        <v>800</v>
      </c>
      <c r="AL419" s="386">
        <f t="shared" si="230"/>
        <v>0</v>
      </c>
      <c r="AM419" s="384"/>
      <c r="AN419" s="384"/>
      <c r="AO419" s="387">
        <f>'Unit Savings Calculations'!P415</f>
        <v>800</v>
      </c>
      <c r="AP419" s="435" t="s">
        <v>763</v>
      </c>
      <c r="AQ419" s="385">
        <f t="shared" si="231"/>
        <v>800</v>
      </c>
      <c r="AR419" s="386">
        <f t="shared" si="232"/>
        <v>0</v>
      </c>
      <c r="AS419" s="384"/>
      <c r="AT419" s="384"/>
      <c r="AU419" s="387">
        <f>'Unit Savings Calculations'!Q415</f>
        <v>800</v>
      </c>
      <c r="AV419" s="435" t="str">
        <f t="shared" si="215"/>
        <v>n/a</v>
      </c>
      <c r="AW419" s="385">
        <f t="shared" si="233"/>
        <v>800</v>
      </c>
      <c r="AX419" s="386">
        <f t="shared" si="234"/>
        <v>0</v>
      </c>
      <c r="AY419" s="297">
        <f t="shared" si="216"/>
        <v>800</v>
      </c>
      <c r="AZ419" s="297">
        <f t="shared" si="217"/>
        <v>800</v>
      </c>
      <c r="BA419" s="297">
        <f t="shared" si="218"/>
        <v>800</v>
      </c>
      <c r="BB419" s="297">
        <f t="shared" si="219"/>
        <v>800</v>
      </c>
      <c r="BC419" s="298">
        <f t="shared" si="220"/>
        <v>3200</v>
      </c>
      <c r="BD419" s="292" t="s">
        <v>763</v>
      </c>
      <c r="BE419" s="299" t="str">
        <f t="shared" si="221"/>
        <v>Custom</v>
      </c>
      <c r="BF419" s="298">
        <f t="shared" si="222"/>
        <v>12000</v>
      </c>
      <c r="BG419" s="298">
        <f t="shared" si="222"/>
        <v>12000</v>
      </c>
      <c r="BH419" s="298">
        <f t="shared" si="222"/>
        <v>12000</v>
      </c>
      <c r="BI419" s="298">
        <f t="shared" si="212"/>
        <v>12000</v>
      </c>
      <c r="BJ419" s="298">
        <f t="shared" si="223"/>
        <v>48000</v>
      </c>
      <c r="BK419" s="482">
        <v>15</v>
      </c>
      <c r="BL419" s="482">
        <v>15</v>
      </c>
      <c r="BM419" s="482">
        <f>INDEX('Unit Savings Calculations'!$I$4:$I$421,MATCH('Measure-Level Adjustments Tab'!$A419&amp;"_"&amp;'Measure-Level Adjustments Tab'!$B419,'Unit Savings Calculations'!$A$4:$A$421,0))</f>
        <v>15</v>
      </c>
      <c r="BN419" s="482">
        <f t="shared" si="224"/>
        <v>15</v>
      </c>
      <c r="BO419" s="483">
        <f t="shared" si="225"/>
        <v>12000</v>
      </c>
      <c r="BP419" s="483">
        <f t="shared" si="225"/>
        <v>12000</v>
      </c>
      <c r="BQ419" s="483">
        <f t="shared" si="225"/>
        <v>12000</v>
      </c>
      <c r="BR419" s="483">
        <f t="shared" si="213"/>
        <v>12000</v>
      </c>
      <c r="BS419" s="483">
        <f t="shared" si="214"/>
        <v>48000</v>
      </c>
    </row>
    <row r="420" spans="1:71" ht="15.75" customHeight="1">
      <c r="A420" s="292" t="str">
        <f>'Unit Savings Calculations'!C416</f>
        <v>Low Income - MF Retrofit</v>
      </c>
      <c r="B420" s="292" t="str">
        <f>'Unit Savings Calculations'!D416</f>
        <v>HVAC Balancing/Optimizing</v>
      </c>
      <c r="C420" s="293">
        <f t="shared" si="235"/>
        <v>0</v>
      </c>
      <c r="D420" s="292" t="str">
        <f>'Unit Savings Calculations'!T416</f>
        <v>Custom</v>
      </c>
      <c r="E420" s="438">
        <v>15</v>
      </c>
      <c r="F420" s="438">
        <v>15</v>
      </c>
      <c r="G420" s="292" t="str">
        <f>'Unit Savings Calculations'!E416</f>
        <v>each</v>
      </c>
      <c r="H420" s="294">
        <f>'Unit Savings Calculations'!$F416*'Unit Savings Calculations'!J416</f>
        <v>1</v>
      </c>
      <c r="I420" s="294">
        <f>'Unit Savings Calculations'!$F416*'Unit Savings Calculations'!K416</f>
        <v>1</v>
      </c>
      <c r="J420" s="294">
        <f>'Unit Savings Calculations'!$F416*'Unit Savings Calculations'!L416</f>
        <v>1</v>
      </c>
      <c r="K420" s="294">
        <f>'Unit Savings Calculations'!$F416*'Unit Savings Calculations'!M416</f>
        <v>1</v>
      </c>
      <c r="L420" s="292" t="str">
        <f>'Unit Savings Calculations'!U416</f>
        <v>Custom</v>
      </c>
      <c r="M420" s="383" t="str">
        <f>'Unit Savings Calculations'!R416</f>
        <v>Custom</v>
      </c>
      <c r="N420" s="295">
        <v>680</v>
      </c>
      <c r="O420" s="295">
        <v>680</v>
      </c>
      <c r="P420" s="295">
        <v>680</v>
      </c>
      <c r="Q420" s="295">
        <v>680</v>
      </c>
      <c r="R420" s="296">
        <f>'Unit Savings Calculations'!$G416</f>
        <v>1</v>
      </c>
      <c r="S420" s="296">
        <f>'Unit Savings Calculations'!$G416</f>
        <v>1</v>
      </c>
      <c r="T420" s="296">
        <f>'Unit Savings Calculations'!$G416</f>
        <v>1</v>
      </c>
      <c r="U420" s="296">
        <f>'Unit Savings Calculations'!$G416</f>
        <v>1</v>
      </c>
      <c r="V420" s="297">
        <f t="shared" si="236"/>
        <v>680</v>
      </c>
      <c r="W420" s="297">
        <f t="shared" si="237"/>
        <v>680</v>
      </c>
      <c r="X420" s="297">
        <f t="shared" si="238"/>
        <v>680</v>
      </c>
      <c r="Y420" s="297">
        <f t="shared" si="239"/>
        <v>680</v>
      </c>
      <c r="Z420" s="297">
        <f t="shared" si="240"/>
        <v>2720</v>
      </c>
      <c r="AA420" s="384"/>
      <c r="AB420" s="384"/>
      <c r="AC420" s="387">
        <v>680</v>
      </c>
      <c r="AD420" s="384"/>
      <c r="AE420" s="385">
        <f t="shared" si="226"/>
        <v>680</v>
      </c>
      <c r="AF420" s="386">
        <f t="shared" si="227"/>
        <v>0</v>
      </c>
      <c r="AG420" s="384"/>
      <c r="AH420" s="384">
        <f t="shared" si="228"/>
        <v>0</v>
      </c>
      <c r="AI420" s="387">
        <v>680</v>
      </c>
      <c r="AJ420" s="435" t="s">
        <v>878</v>
      </c>
      <c r="AK420" s="385">
        <f t="shared" si="229"/>
        <v>680</v>
      </c>
      <c r="AL420" s="386">
        <f t="shared" si="230"/>
        <v>0</v>
      </c>
      <c r="AM420" s="384"/>
      <c r="AN420" s="384"/>
      <c r="AO420" s="387">
        <f>'Unit Savings Calculations'!P416</f>
        <v>680</v>
      </c>
      <c r="AP420" s="435" t="s">
        <v>763</v>
      </c>
      <c r="AQ420" s="385">
        <f t="shared" si="231"/>
        <v>680</v>
      </c>
      <c r="AR420" s="386">
        <f t="shared" si="232"/>
        <v>0</v>
      </c>
      <c r="AS420" s="384"/>
      <c r="AT420" s="384"/>
      <c r="AU420" s="387">
        <f>'Unit Savings Calculations'!Q416</f>
        <v>680</v>
      </c>
      <c r="AV420" s="435" t="str">
        <f t="shared" si="215"/>
        <v>n/a</v>
      </c>
      <c r="AW420" s="385">
        <f t="shared" si="233"/>
        <v>680</v>
      </c>
      <c r="AX420" s="386">
        <f t="shared" si="234"/>
        <v>0</v>
      </c>
      <c r="AY420" s="297">
        <f t="shared" si="216"/>
        <v>680</v>
      </c>
      <c r="AZ420" s="297">
        <f t="shared" si="217"/>
        <v>680</v>
      </c>
      <c r="BA420" s="297">
        <f t="shared" si="218"/>
        <v>680</v>
      </c>
      <c r="BB420" s="297">
        <f t="shared" si="219"/>
        <v>680</v>
      </c>
      <c r="BC420" s="298">
        <f t="shared" si="220"/>
        <v>2720</v>
      </c>
      <c r="BD420" s="292" t="s">
        <v>763</v>
      </c>
      <c r="BE420" s="299" t="str">
        <f t="shared" si="221"/>
        <v>Custom</v>
      </c>
      <c r="BF420" s="298">
        <f t="shared" si="222"/>
        <v>10200</v>
      </c>
      <c r="BG420" s="298">
        <f t="shared" si="222"/>
        <v>10200</v>
      </c>
      <c r="BH420" s="298">
        <f t="shared" si="222"/>
        <v>10200</v>
      </c>
      <c r="BI420" s="298">
        <f t="shared" si="212"/>
        <v>10200</v>
      </c>
      <c r="BJ420" s="298">
        <f t="shared" si="223"/>
        <v>40800</v>
      </c>
      <c r="BK420" s="482">
        <v>15</v>
      </c>
      <c r="BL420" s="482">
        <v>15</v>
      </c>
      <c r="BM420" s="482">
        <f>INDEX('Unit Savings Calculations'!$I$4:$I$421,MATCH('Measure-Level Adjustments Tab'!$A420&amp;"_"&amp;'Measure-Level Adjustments Tab'!$B420,'Unit Savings Calculations'!$A$4:$A$421,0))</f>
        <v>15</v>
      </c>
      <c r="BN420" s="482">
        <f t="shared" si="224"/>
        <v>15</v>
      </c>
      <c r="BO420" s="483">
        <f t="shared" si="225"/>
        <v>10200</v>
      </c>
      <c r="BP420" s="483">
        <f t="shared" si="225"/>
        <v>10200</v>
      </c>
      <c r="BQ420" s="483">
        <f t="shared" si="225"/>
        <v>10200</v>
      </c>
      <c r="BR420" s="483">
        <f t="shared" si="213"/>
        <v>10200</v>
      </c>
      <c r="BS420" s="483">
        <f t="shared" si="214"/>
        <v>40800</v>
      </c>
    </row>
    <row r="421" spans="1:71" ht="15.75" customHeight="1">
      <c r="A421" s="292" t="str">
        <f>'Unit Savings Calculations'!C417</f>
        <v>Low Income - SF New Construction</v>
      </c>
      <c r="B421" s="292" t="str">
        <f>'Unit Savings Calculations'!D417</f>
        <v>Furnace &gt;95% AFUE</v>
      </c>
      <c r="C421" s="293">
        <f t="shared" si="235"/>
        <v>1</v>
      </c>
      <c r="D421" s="292" t="str">
        <f>'Unit Savings Calculations'!T417</f>
        <v>5.3.7</v>
      </c>
      <c r="E421" s="438">
        <v>20</v>
      </c>
      <c r="F421" s="438">
        <v>20</v>
      </c>
      <c r="G421" s="292" t="str">
        <f>'Unit Savings Calculations'!E417</f>
        <v>each</v>
      </c>
      <c r="H421" s="294">
        <f>'Unit Savings Calculations'!$F417*'Unit Savings Calculations'!J417</f>
        <v>0</v>
      </c>
      <c r="I421" s="294">
        <f>'Unit Savings Calculations'!$F417*'Unit Savings Calculations'!K417</f>
        <v>0</v>
      </c>
      <c r="J421" s="294">
        <f>'Unit Savings Calculations'!$F417*'Unit Savings Calculations'!L417</f>
        <v>0</v>
      </c>
      <c r="K421" s="294">
        <f>'Unit Savings Calculations'!$F417*'Unit Savings Calculations'!M417</f>
        <v>0</v>
      </c>
      <c r="L421" s="292" t="str">
        <f>'Unit Savings Calculations'!U417</f>
        <v>RS-HVC-GHEF-V07-180101</v>
      </c>
      <c r="M421" s="383" t="str">
        <f>'Unit Savings Calculations'!R417</f>
        <v>Exhibit 1.5A_R North Shore EEPS_Adjustable_Savings_Goal_Template.xlsx, Unit Savings Calculations Tab</v>
      </c>
      <c r="N421" s="295">
        <v>175.86032388663946</v>
      </c>
      <c r="O421" s="295">
        <v>175.86032388663946</v>
      </c>
      <c r="P421" s="295">
        <v>175.86032388663946</v>
      </c>
      <c r="Q421" s="295">
        <v>175.86032388663946</v>
      </c>
      <c r="R421" s="296">
        <f>'Unit Savings Calculations'!$G417</f>
        <v>1</v>
      </c>
      <c r="S421" s="296">
        <f>'Unit Savings Calculations'!$G417</f>
        <v>1</v>
      </c>
      <c r="T421" s="296">
        <f>'Unit Savings Calculations'!$G417</f>
        <v>1</v>
      </c>
      <c r="U421" s="296">
        <f>'Unit Savings Calculations'!$G417</f>
        <v>1</v>
      </c>
      <c r="V421" s="297">
        <f t="shared" si="236"/>
        <v>0</v>
      </c>
      <c r="W421" s="297">
        <f t="shared" si="237"/>
        <v>0</v>
      </c>
      <c r="X421" s="297">
        <f t="shared" si="238"/>
        <v>0</v>
      </c>
      <c r="Y421" s="297">
        <f t="shared" si="239"/>
        <v>0</v>
      </c>
      <c r="Z421" s="297">
        <f t="shared" si="240"/>
        <v>0</v>
      </c>
      <c r="AA421" s="292"/>
      <c r="AB421" s="292"/>
      <c r="AC421" s="295">
        <v>175.86032388663946</v>
      </c>
      <c r="AD421" s="292"/>
      <c r="AE421" s="297">
        <f t="shared" si="226"/>
        <v>0</v>
      </c>
      <c r="AF421" s="294">
        <f t="shared" si="227"/>
        <v>0</v>
      </c>
      <c r="AG421" s="292"/>
      <c r="AH421" s="292">
        <f t="shared" si="228"/>
        <v>0</v>
      </c>
      <c r="AI421" s="295">
        <v>156.41025641025624</v>
      </c>
      <c r="AJ421" s="383" t="s">
        <v>1000</v>
      </c>
      <c r="AK421" s="297">
        <f t="shared" si="229"/>
        <v>0</v>
      </c>
      <c r="AL421" s="294">
        <f t="shared" si="230"/>
        <v>0</v>
      </c>
      <c r="AM421" s="292"/>
      <c r="AN421" s="292"/>
      <c r="AO421" s="295">
        <f>'Unit Savings Calculations'!P417</f>
        <v>156.41025641025624</v>
      </c>
      <c r="AP421" s="383" t="s">
        <v>763</v>
      </c>
      <c r="AQ421" s="297">
        <f t="shared" si="231"/>
        <v>0</v>
      </c>
      <c r="AR421" s="294">
        <f t="shared" si="232"/>
        <v>0</v>
      </c>
      <c r="AS421" s="292"/>
      <c r="AT421" s="292"/>
      <c r="AU421" s="295">
        <f>'Unit Savings Calculations'!Q417</f>
        <v>156.41025641025624</v>
      </c>
      <c r="AV421" s="383" t="str">
        <f t="shared" si="215"/>
        <v>n/a</v>
      </c>
      <c r="AW421" s="297">
        <f t="shared" si="233"/>
        <v>0</v>
      </c>
      <c r="AX421" s="294">
        <f t="shared" si="234"/>
        <v>0</v>
      </c>
      <c r="AY421" s="297">
        <f t="shared" si="216"/>
        <v>0</v>
      </c>
      <c r="AZ421" s="297">
        <f t="shared" si="217"/>
        <v>0</v>
      </c>
      <c r="BA421" s="297">
        <f t="shared" si="218"/>
        <v>0</v>
      </c>
      <c r="BB421" s="297">
        <f t="shared" si="219"/>
        <v>0</v>
      </c>
      <c r="BC421" s="298">
        <f t="shared" si="220"/>
        <v>0</v>
      </c>
      <c r="BD421" s="292" t="s">
        <v>763</v>
      </c>
      <c r="BE421" s="299" t="str">
        <f t="shared" si="221"/>
        <v>Exhibit 1.5A_R North Shore EEPS_Adjustable_Savings_Goal_Template.xlsx, Unit Savings Calculations Tab</v>
      </c>
      <c r="BF421" s="298">
        <f t="shared" si="222"/>
        <v>0</v>
      </c>
      <c r="BG421" s="298">
        <f t="shared" si="222"/>
        <v>0</v>
      </c>
      <c r="BH421" s="298">
        <f t="shared" si="222"/>
        <v>0</v>
      </c>
      <c r="BI421" s="298">
        <f t="shared" si="212"/>
        <v>0</v>
      </c>
      <c r="BJ421" s="298">
        <f t="shared" si="223"/>
        <v>0</v>
      </c>
      <c r="BK421" s="482">
        <v>20</v>
      </c>
      <c r="BL421" s="482">
        <v>20</v>
      </c>
      <c r="BM421" s="482">
        <f>INDEX('Unit Savings Calculations'!$I$4:$I$421,MATCH('Measure-Level Adjustments Tab'!$A421&amp;"_"&amp;'Measure-Level Adjustments Tab'!$B421,'Unit Savings Calculations'!$A$4:$A$421,0))</f>
        <v>20</v>
      </c>
      <c r="BN421" s="482">
        <f t="shared" si="224"/>
        <v>20</v>
      </c>
      <c r="BO421" s="483">
        <f t="shared" si="225"/>
        <v>0</v>
      </c>
      <c r="BP421" s="483">
        <f t="shared" si="225"/>
        <v>0</v>
      </c>
      <c r="BQ421" s="483">
        <f t="shared" si="225"/>
        <v>0</v>
      </c>
      <c r="BR421" s="483">
        <f t="shared" si="213"/>
        <v>0</v>
      </c>
      <c r="BS421" s="483">
        <f t="shared" si="214"/>
        <v>0</v>
      </c>
    </row>
    <row r="422" spans="1:71" ht="15.75" customHeight="1">
      <c r="A422" s="292" t="str">
        <f>'Unit Savings Calculations'!C418</f>
        <v>Low Income - SF New Construction</v>
      </c>
      <c r="B422" s="292" t="str">
        <f>'Unit Savings Calculations'!D418</f>
        <v>Water Heater - Storage 0.67 EF</v>
      </c>
      <c r="C422" s="293">
        <f t="shared" si="235"/>
        <v>1</v>
      </c>
      <c r="D422" s="292" t="str">
        <f>'Unit Savings Calculations'!T418</f>
        <v>5.4.2</v>
      </c>
      <c r="E422" s="438">
        <v>13</v>
      </c>
      <c r="F422" s="438">
        <v>13</v>
      </c>
      <c r="G422" s="292" t="str">
        <f>'Unit Savings Calculations'!E418</f>
        <v>each</v>
      </c>
      <c r="H422" s="294">
        <f>'Unit Savings Calculations'!$F418*'Unit Savings Calculations'!J418</f>
        <v>0</v>
      </c>
      <c r="I422" s="294">
        <f>'Unit Savings Calculations'!$F418*'Unit Savings Calculations'!K418</f>
        <v>0</v>
      </c>
      <c r="J422" s="294">
        <f>'Unit Savings Calculations'!$F418*'Unit Savings Calculations'!L418</f>
        <v>0</v>
      </c>
      <c r="K422" s="294">
        <f>'Unit Savings Calculations'!$F418*'Unit Savings Calculations'!M418</f>
        <v>0</v>
      </c>
      <c r="L422" s="292" t="str">
        <f>'Unit Savings Calculations'!U418</f>
        <v>RS-HWE-GWHT-V07-180101</v>
      </c>
      <c r="M422" s="383" t="str">
        <f>'Unit Savings Calculations'!R418</f>
        <v>Exhibit 1.5A_R North Shore EEPS_Adjustable_Savings_Goal_Template.xlsx, Unit Savings Calculations Tab</v>
      </c>
      <c r="N422" s="295">
        <v>12.991490464011658</v>
      </c>
      <c r="O422" s="295">
        <v>12.991490464011658</v>
      </c>
      <c r="P422" s="295">
        <v>12.991490464011658</v>
      </c>
      <c r="Q422" s="295">
        <v>12.991490464011658</v>
      </c>
      <c r="R422" s="296">
        <f>'Unit Savings Calculations'!$G418</f>
        <v>1</v>
      </c>
      <c r="S422" s="296">
        <f>'Unit Savings Calculations'!$G418</f>
        <v>1</v>
      </c>
      <c r="T422" s="296">
        <f>'Unit Savings Calculations'!$G418</f>
        <v>1</v>
      </c>
      <c r="U422" s="296">
        <f>'Unit Savings Calculations'!$G418</f>
        <v>1</v>
      </c>
      <c r="V422" s="297">
        <f t="shared" si="236"/>
        <v>0</v>
      </c>
      <c r="W422" s="297">
        <f t="shared" si="237"/>
        <v>0</v>
      </c>
      <c r="X422" s="297">
        <f t="shared" si="238"/>
        <v>0</v>
      </c>
      <c r="Y422" s="297">
        <f t="shared" si="239"/>
        <v>0</v>
      </c>
      <c r="Z422" s="297">
        <f t="shared" si="240"/>
        <v>0</v>
      </c>
      <c r="AA422" s="292"/>
      <c r="AB422" s="292"/>
      <c r="AC422" s="295">
        <v>12.991490464011658</v>
      </c>
      <c r="AD422" s="292"/>
      <c r="AE422" s="297">
        <f t="shared" si="226"/>
        <v>0</v>
      </c>
      <c r="AF422" s="294">
        <f t="shared" si="227"/>
        <v>0</v>
      </c>
      <c r="AG422" s="292"/>
      <c r="AH422" s="292">
        <f t="shared" si="228"/>
        <v>0</v>
      </c>
      <c r="AI422" s="295">
        <v>15.645447674402874</v>
      </c>
      <c r="AJ422" s="383" t="s">
        <v>1012</v>
      </c>
      <c r="AK422" s="297">
        <f t="shared" si="229"/>
        <v>0</v>
      </c>
      <c r="AL422" s="294">
        <f t="shared" si="230"/>
        <v>0</v>
      </c>
      <c r="AM422" s="292"/>
      <c r="AN422" s="292"/>
      <c r="AO422" s="295">
        <f>'Unit Savings Calculations'!P418</f>
        <v>15.645447674402874</v>
      </c>
      <c r="AP422" s="383" t="s">
        <v>763</v>
      </c>
      <c r="AQ422" s="297">
        <f t="shared" si="231"/>
        <v>0</v>
      </c>
      <c r="AR422" s="294">
        <f t="shared" si="232"/>
        <v>0</v>
      </c>
      <c r="AS422" s="292"/>
      <c r="AT422" s="292"/>
      <c r="AU422" s="295">
        <f>'Unit Savings Calculations'!Q418</f>
        <v>15.645447674402874</v>
      </c>
      <c r="AV422" s="383" t="str">
        <f t="shared" si="215"/>
        <v>n/a</v>
      </c>
      <c r="AW422" s="297">
        <f t="shared" si="233"/>
        <v>0</v>
      </c>
      <c r="AX422" s="294">
        <f t="shared" si="234"/>
        <v>0</v>
      </c>
      <c r="AY422" s="297">
        <f t="shared" si="216"/>
        <v>0</v>
      </c>
      <c r="AZ422" s="297">
        <f t="shared" si="217"/>
        <v>0</v>
      </c>
      <c r="BA422" s="297">
        <f t="shared" si="218"/>
        <v>0</v>
      </c>
      <c r="BB422" s="297">
        <f t="shared" si="219"/>
        <v>0</v>
      </c>
      <c r="BC422" s="298">
        <f t="shared" si="220"/>
        <v>0</v>
      </c>
      <c r="BD422" s="292" t="s">
        <v>763</v>
      </c>
      <c r="BE422" s="299" t="str">
        <f t="shared" si="221"/>
        <v>Exhibit 1.5A_R North Shore EEPS_Adjustable_Savings_Goal_Template.xlsx, Unit Savings Calculations Tab</v>
      </c>
      <c r="BF422" s="298">
        <f t="shared" si="222"/>
        <v>0</v>
      </c>
      <c r="BG422" s="298">
        <f t="shared" si="222"/>
        <v>0</v>
      </c>
      <c r="BH422" s="298">
        <f t="shared" si="222"/>
        <v>0</v>
      </c>
      <c r="BI422" s="298">
        <f t="shared" si="212"/>
        <v>0</v>
      </c>
      <c r="BJ422" s="298">
        <f t="shared" si="223"/>
        <v>0</v>
      </c>
      <c r="BK422" s="482">
        <v>13</v>
      </c>
      <c r="BL422" s="482">
        <v>13</v>
      </c>
      <c r="BM422" s="482">
        <f>INDEX('Unit Savings Calculations'!$I$4:$I$421,MATCH('Measure-Level Adjustments Tab'!$A422&amp;"_"&amp;'Measure-Level Adjustments Tab'!$B422,'Unit Savings Calculations'!$A$4:$A$421,0))</f>
        <v>13</v>
      </c>
      <c r="BN422" s="482">
        <f t="shared" si="224"/>
        <v>13</v>
      </c>
      <c r="BO422" s="483">
        <f t="shared" si="225"/>
        <v>0</v>
      </c>
      <c r="BP422" s="483">
        <f t="shared" si="225"/>
        <v>0</v>
      </c>
      <c r="BQ422" s="483">
        <f t="shared" si="225"/>
        <v>0</v>
      </c>
      <c r="BR422" s="483">
        <f t="shared" si="213"/>
        <v>0</v>
      </c>
      <c r="BS422" s="483">
        <f t="shared" si="214"/>
        <v>0</v>
      </c>
    </row>
    <row r="423" spans="1:71" ht="15.75" customHeight="1">
      <c r="A423" s="292" t="str">
        <f>'Unit Savings Calculations'!C419</f>
        <v>Low Income - SF New Construction</v>
      </c>
      <c r="B423" s="292" t="str">
        <f>'Unit Savings Calculations'!D419</f>
        <v>Programmable Thermostat - Furnace</v>
      </c>
      <c r="C423" s="293">
        <f t="shared" si="235"/>
        <v>1</v>
      </c>
      <c r="D423" s="292" t="str">
        <f>'Unit Savings Calculations'!T419</f>
        <v>5.3.11</v>
      </c>
      <c r="E423" s="438">
        <v>5</v>
      </c>
      <c r="F423" s="438">
        <v>8</v>
      </c>
      <c r="G423" s="292" t="str">
        <f>'Unit Savings Calculations'!E419</f>
        <v>each</v>
      </c>
      <c r="H423" s="294">
        <f>'Unit Savings Calculations'!$F419*'Unit Savings Calculations'!J419</f>
        <v>0</v>
      </c>
      <c r="I423" s="294">
        <f>'Unit Savings Calculations'!$F419*'Unit Savings Calculations'!K419</f>
        <v>0</v>
      </c>
      <c r="J423" s="294">
        <f>'Unit Savings Calculations'!$F419*'Unit Savings Calculations'!L419</f>
        <v>0</v>
      </c>
      <c r="K423" s="294">
        <f>'Unit Savings Calculations'!$F419*'Unit Savings Calculations'!M419</f>
        <v>0</v>
      </c>
      <c r="L423" s="292" t="str">
        <f>'Unit Savings Calculations'!U419</f>
        <v>RS-HVC-PROG-V04-180101</v>
      </c>
      <c r="M423" s="383" t="str">
        <f>'Unit Savings Calculations'!R419</f>
        <v>Exhibit 1.5A_R North Shore EEPS_Adjustable_Savings_Goal_Template.xlsx, Unit Savings Calculations Tab</v>
      </c>
      <c r="N423" s="295">
        <v>34.893600000000006</v>
      </c>
      <c r="O423" s="295">
        <v>34.893600000000006</v>
      </c>
      <c r="P423" s="295">
        <v>34.893600000000006</v>
      </c>
      <c r="Q423" s="295">
        <v>34.893600000000006</v>
      </c>
      <c r="R423" s="296">
        <f>'Unit Savings Calculations'!$G419</f>
        <v>1</v>
      </c>
      <c r="S423" s="296">
        <f>'Unit Savings Calculations'!$G419</f>
        <v>1</v>
      </c>
      <c r="T423" s="296">
        <f>'Unit Savings Calculations'!$G419</f>
        <v>1</v>
      </c>
      <c r="U423" s="296">
        <f>'Unit Savings Calculations'!$G419</f>
        <v>1</v>
      </c>
      <c r="V423" s="297">
        <f t="shared" si="236"/>
        <v>0</v>
      </c>
      <c r="W423" s="297">
        <f t="shared" si="237"/>
        <v>0</v>
      </c>
      <c r="X423" s="297">
        <f t="shared" si="238"/>
        <v>0</v>
      </c>
      <c r="Y423" s="297">
        <f t="shared" si="239"/>
        <v>0</v>
      </c>
      <c r="Z423" s="297">
        <f t="shared" si="240"/>
        <v>0</v>
      </c>
      <c r="AA423" s="292"/>
      <c r="AB423" s="292"/>
      <c r="AC423" s="295">
        <v>34.893600000000006</v>
      </c>
      <c r="AD423" s="292"/>
      <c r="AE423" s="297">
        <f t="shared" si="226"/>
        <v>0</v>
      </c>
      <c r="AF423" s="294">
        <f t="shared" si="227"/>
        <v>0</v>
      </c>
      <c r="AG423" s="292"/>
      <c r="AH423" s="292">
        <f t="shared" si="228"/>
        <v>0</v>
      </c>
      <c r="AI423" s="295">
        <v>34.893600000000006</v>
      </c>
      <c r="AJ423" s="383" t="s">
        <v>878</v>
      </c>
      <c r="AK423" s="297">
        <f t="shared" si="229"/>
        <v>0</v>
      </c>
      <c r="AL423" s="294">
        <f t="shared" si="230"/>
        <v>0</v>
      </c>
      <c r="AM423" s="292"/>
      <c r="AN423" s="292"/>
      <c r="AO423" s="295">
        <f>'Unit Savings Calculations'!P419</f>
        <v>34.893600000000006</v>
      </c>
      <c r="AP423" s="383" t="s">
        <v>763</v>
      </c>
      <c r="AQ423" s="297">
        <f t="shared" si="231"/>
        <v>0</v>
      </c>
      <c r="AR423" s="294">
        <f t="shared" si="232"/>
        <v>0</v>
      </c>
      <c r="AS423" s="292"/>
      <c r="AT423" s="292"/>
      <c r="AU423" s="295">
        <f>'Unit Savings Calculations'!Q419</f>
        <v>34.893600000000006</v>
      </c>
      <c r="AV423" s="383" t="str">
        <f t="shared" si="215"/>
        <v>n/a</v>
      </c>
      <c r="AW423" s="297">
        <f t="shared" si="233"/>
        <v>0</v>
      </c>
      <c r="AX423" s="294">
        <f t="shared" si="234"/>
        <v>0</v>
      </c>
      <c r="AY423" s="297">
        <f t="shared" si="216"/>
        <v>0</v>
      </c>
      <c r="AZ423" s="297">
        <f t="shared" si="217"/>
        <v>0</v>
      </c>
      <c r="BA423" s="297">
        <f t="shared" si="218"/>
        <v>0</v>
      </c>
      <c r="BB423" s="297">
        <f t="shared" si="219"/>
        <v>0</v>
      </c>
      <c r="BC423" s="298">
        <f t="shared" si="220"/>
        <v>0</v>
      </c>
      <c r="BD423" s="292" t="s">
        <v>763</v>
      </c>
      <c r="BE423" s="299" t="str">
        <f t="shared" si="221"/>
        <v>Exhibit 1.5A_R North Shore EEPS_Adjustable_Savings_Goal_Template.xlsx, Unit Savings Calculations Tab</v>
      </c>
      <c r="BF423" s="298">
        <f t="shared" si="222"/>
        <v>0</v>
      </c>
      <c r="BG423" s="298">
        <f t="shared" si="222"/>
        <v>0</v>
      </c>
      <c r="BH423" s="298">
        <f t="shared" si="222"/>
        <v>0</v>
      </c>
      <c r="BI423" s="298">
        <f t="shared" si="212"/>
        <v>0</v>
      </c>
      <c r="BJ423" s="298">
        <f t="shared" si="223"/>
        <v>0</v>
      </c>
      <c r="BK423" s="482">
        <v>8</v>
      </c>
      <c r="BL423" s="482">
        <v>8</v>
      </c>
      <c r="BM423" s="482">
        <f>INDEX('Unit Savings Calculations'!$I$4:$I$421,MATCH('Measure-Level Adjustments Tab'!$A423&amp;"_"&amp;'Measure-Level Adjustments Tab'!$B423,'Unit Savings Calculations'!$A$4:$A$421,0))</f>
        <v>8</v>
      </c>
      <c r="BN423" s="482">
        <f t="shared" si="224"/>
        <v>8</v>
      </c>
      <c r="BO423" s="483">
        <f t="shared" si="225"/>
        <v>0</v>
      </c>
      <c r="BP423" s="483">
        <f t="shared" si="225"/>
        <v>0</v>
      </c>
      <c r="BQ423" s="483">
        <f t="shared" si="225"/>
        <v>0</v>
      </c>
      <c r="BR423" s="483">
        <f t="shared" si="213"/>
        <v>0</v>
      </c>
      <c r="BS423" s="483">
        <f t="shared" si="214"/>
        <v>0</v>
      </c>
    </row>
    <row r="424" spans="1:71" ht="15.75" customHeight="1">
      <c r="A424" s="292" t="str">
        <f>'Unit Savings Calculations'!C420</f>
        <v>Low Income - SF New Construction</v>
      </c>
      <c r="B424" s="292" t="str">
        <f>'Unit Savings Calculations'!D420</f>
        <v>Duct Sealing</v>
      </c>
      <c r="C424" s="293">
        <f t="shared" si="235"/>
        <v>1</v>
      </c>
      <c r="D424" s="292" t="str">
        <f>'Unit Savings Calculations'!T420</f>
        <v>5.3.4</v>
      </c>
      <c r="E424" s="438">
        <v>20</v>
      </c>
      <c r="F424" s="438">
        <v>20</v>
      </c>
      <c r="G424" s="292" t="str">
        <f>'Unit Savings Calculations'!E420</f>
        <v>CFM_25</v>
      </c>
      <c r="H424" s="294">
        <f>'Unit Savings Calculations'!$F420*'Unit Savings Calculations'!J420</f>
        <v>0</v>
      </c>
      <c r="I424" s="294">
        <f>'Unit Savings Calculations'!$F420*'Unit Savings Calculations'!K420</f>
        <v>0</v>
      </c>
      <c r="J424" s="294">
        <f>'Unit Savings Calculations'!$F420*'Unit Savings Calculations'!L420</f>
        <v>0</v>
      </c>
      <c r="K424" s="294">
        <f>'Unit Savings Calculations'!$F420*'Unit Savings Calculations'!M420</f>
        <v>0</v>
      </c>
      <c r="L424" s="292" t="str">
        <f>'Unit Savings Calculations'!U420</f>
        <v>RS-HVC-DINS-V06-160601</v>
      </c>
      <c r="M424" s="383" t="str">
        <f>'Unit Savings Calculations'!R420</f>
        <v>Exhibit 1.5A_R North Shore EEPS_Adjustable_Savings_Goal_Template.xlsx, Unit Savings Calculations Tab</v>
      </c>
      <c r="N424" s="295">
        <v>0.70950058072009281</v>
      </c>
      <c r="O424" s="295">
        <v>0.70950058072009281</v>
      </c>
      <c r="P424" s="295">
        <v>0.70950058072009281</v>
      </c>
      <c r="Q424" s="295">
        <v>0.70950058072009281</v>
      </c>
      <c r="R424" s="296">
        <f>'Unit Savings Calculations'!$G420</f>
        <v>1</v>
      </c>
      <c r="S424" s="296">
        <f>'Unit Savings Calculations'!$G420</f>
        <v>1</v>
      </c>
      <c r="T424" s="296">
        <f>'Unit Savings Calculations'!$G420</f>
        <v>1</v>
      </c>
      <c r="U424" s="296">
        <f>'Unit Savings Calculations'!$G420</f>
        <v>1</v>
      </c>
      <c r="V424" s="297">
        <f t="shared" si="236"/>
        <v>0</v>
      </c>
      <c r="W424" s="297">
        <f t="shared" si="237"/>
        <v>0</v>
      </c>
      <c r="X424" s="297">
        <f t="shared" si="238"/>
        <v>0</v>
      </c>
      <c r="Y424" s="297">
        <f t="shared" si="239"/>
        <v>0</v>
      </c>
      <c r="Z424" s="297">
        <f t="shared" si="240"/>
        <v>0</v>
      </c>
      <c r="AA424" s="292"/>
      <c r="AB424" s="292"/>
      <c r="AC424" s="295">
        <v>0.70950058072009281</v>
      </c>
      <c r="AD424" s="292"/>
      <c r="AE424" s="297">
        <f t="shared" si="226"/>
        <v>0</v>
      </c>
      <c r="AF424" s="294">
        <f t="shared" si="227"/>
        <v>0</v>
      </c>
      <c r="AG424" s="292"/>
      <c r="AH424" s="292">
        <f t="shared" si="228"/>
        <v>0</v>
      </c>
      <c r="AI424" s="295">
        <v>0.70950058072009281</v>
      </c>
      <c r="AJ424" s="383" t="s">
        <v>878</v>
      </c>
      <c r="AK424" s="297">
        <f t="shared" si="229"/>
        <v>0</v>
      </c>
      <c r="AL424" s="294">
        <f t="shared" si="230"/>
        <v>0</v>
      </c>
      <c r="AM424" s="292"/>
      <c r="AN424" s="292"/>
      <c r="AO424" s="295">
        <f>'Unit Savings Calculations'!P420</f>
        <v>0.70950058072009281</v>
      </c>
      <c r="AP424" s="383" t="s">
        <v>763</v>
      </c>
      <c r="AQ424" s="297">
        <f t="shared" si="231"/>
        <v>0</v>
      </c>
      <c r="AR424" s="294">
        <f t="shared" si="232"/>
        <v>0</v>
      </c>
      <c r="AS424" s="292"/>
      <c r="AT424" s="292"/>
      <c r="AU424" s="295">
        <f>'Unit Savings Calculations'!Q420</f>
        <v>0.70950058072009281</v>
      </c>
      <c r="AV424" s="383" t="str">
        <f t="shared" si="215"/>
        <v>n/a</v>
      </c>
      <c r="AW424" s="297">
        <f t="shared" si="233"/>
        <v>0</v>
      </c>
      <c r="AX424" s="294">
        <f t="shared" si="234"/>
        <v>0</v>
      </c>
      <c r="AY424" s="297">
        <f t="shared" si="216"/>
        <v>0</v>
      </c>
      <c r="AZ424" s="297">
        <f t="shared" si="217"/>
        <v>0</v>
      </c>
      <c r="BA424" s="297">
        <f t="shared" si="218"/>
        <v>0</v>
      </c>
      <c r="BB424" s="297">
        <f t="shared" si="219"/>
        <v>0</v>
      </c>
      <c r="BC424" s="298">
        <f t="shared" si="220"/>
        <v>0</v>
      </c>
      <c r="BD424" s="292" t="s">
        <v>763</v>
      </c>
      <c r="BE424" s="299" t="str">
        <f t="shared" si="221"/>
        <v>Exhibit 1.5A_R North Shore EEPS_Adjustable_Savings_Goal_Template.xlsx, Unit Savings Calculations Tab</v>
      </c>
      <c r="BF424" s="298">
        <f t="shared" si="222"/>
        <v>0</v>
      </c>
      <c r="BG424" s="298">
        <f t="shared" si="222"/>
        <v>0</v>
      </c>
      <c r="BH424" s="298">
        <f t="shared" si="222"/>
        <v>0</v>
      </c>
      <c r="BI424" s="298">
        <f t="shared" si="212"/>
        <v>0</v>
      </c>
      <c r="BJ424" s="298">
        <f t="shared" si="223"/>
        <v>0</v>
      </c>
      <c r="BK424" s="482">
        <v>20</v>
      </c>
      <c r="BL424" s="482">
        <v>20</v>
      </c>
      <c r="BM424" s="482">
        <f>INDEX('Unit Savings Calculations'!$I$4:$I$421,MATCH('Measure-Level Adjustments Tab'!$A424&amp;"_"&amp;'Measure-Level Adjustments Tab'!$B424,'Unit Savings Calculations'!$A$4:$A$421,0))</f>
        <v>20</v>
      </c>
      <c r="BN424" s="482">
        <f t="shared" si="224"/>
        <v>20</v>
      </c>
      <c r="BO424" s="483">
        <f t="shared" si="225"/>
        <v>0</v>
      </c>
      <c r="BP424" s="483">
        <f t="shared" si="225"/>
        <v>0</v>
      </c>
      <c r="BQ424" s="483">
        <f t="shared" si="225"/>
        <v>0</v>
      </c>
      <c r="BR424" s="483">
        <f t="shared" si="213"/>
        <v>0</v>
      </c>
      <c r="BS424" s="483">
        <f t="shared" si="214"/>
        <v>0</v>
      </c>
    </row>
    <row r="425" spans="1:71" ht="15.75" customHeight="1" thickBot="1">
      <c r="A425" s="292" t="str">
        <f>'Unit Savings Calculations'!C421</f>
        <v>Low Income - MF New Construction</v>
      </c>
      <c r="B425" s="292" t="str">
        <f>'Unit Savings Calculations'!D421</f>
        <v>New Construction</v>
      </c>
      <c r="C425" s="293">
        <f t="shared" si="235"/>
        <v>0</v>
      </c>
      <c r="D425" s="292" t="str">
        <f>'Unit Savings Calculations'!T421</f>
        <v>Custom</v>
      </c>
      <c r="E425" s="438">
        <v>15</v>
      </c>
      <c r="F425" s="438">
        <v>15</v>
      </c>
      <c r="G425" s="292" t="str">
        <f>'Unit Savings Calculations'!E421</f>
        <v>each</v>
      </c>
      <c r="H425" s="294">
        <f>'Unit Savings Calculations'!$F421*'Unit Savings Calculations'!J421</f>
        <v>0</v>
      </c>
      <c r="I425" s="294">
        <f>'Unit Savings Calculations'!$F421*'Unit Savings Calculations'!K421</f>
        <v>0</v>
      </c>
      <c r="J425" s="294">
        <f>'Unit Savings Calculations'!$F421*'Unit Savings Calculations'!L421</f>
        <v>0</v>
      </c>
      <c r="K425" s="294">
        <f>'Unit Savings Calculations'!$F421*'Unit Savings Calculations'!M421</f>
        <v>0</v>
      </c>
      <c r="L425" s="292" t="str">
        <f>'Unit Savings Calculations'!U421</f>
        <v>Custom</v>
      </c>
      <c r="M425" s="383" t="str">
        <f>'Unit Savings Calculations'!R421</f>
        <v>Custom</v>
      </c>
      <c r="N425" s="295">
        <v>6100</v>
      </c>
      <c r="O425" s="295">
        <v>6100</v>
      </c>
      <c r="P425" s="295">
        <v>6100</v>
      </c>
      <c r="Q425" s="295">
        <v>6100</v>
      </c>
      <c r="R425" s="296">
        <f>'Unit Savings Calculations'!$G421</f>
        <v>1</v>
      </c>
      <c r="S425" s="296">
        <f>'Unit Savings Calculations'!$G421</f>
        <v>1</v>
      </c>
      <c r="T425" s="296">
        <f>'Unit Savings Calculations'!$G421</f>
        <v>1</v>
      </c>
      <c r="U425" s="296">
        <f>'Unit Savings Calculations'!$G421</f>
        <v>1</v>
      </c>
      <c r="V425" s="297">
        <f t="shared" si="236"/>
        <v>0</v>
      </c>
      <c r="W425" s="297">
        <f t="shared" si="237"/>
        <v>0</v>
      </c>
      <c r="X425" s="297">
        <f t="shared" si="238"/>
        <v>0</v>
      </c>
      <c r="Y425" s="297">
        <f t="shared" si="239"/>
        <v>0</v>
      </c>
      <c r="Z425" s="297">
        <f t="shared" si="240"/>
        <v>0</v>
      </c>
      <c r="AA425" s="384"/>
      <c r="AB425" s="384"/>
      <c r="AC425" s="387">
        <v>6100</v>
      </c>
      <c r="AD425" s="384"/>
      <c r="AE425" s="385">
        <f t="shared" si="226"/>
        <v>0</v>
      </c>
      <c r="AF425" s="386">
        <f t="shared" si="227"/>
        <v>0</v>
      </c>
      <c r="AG425" s="384"/>
      <c r="AH425" s="384">
        <f t="shared" si="228"/>
        <v>0</v>
      </c>
      <c r="AI425" s="387">
        <v>6100</v>
      </c>
      <c r="AJ425" s="435" t="s">
        <v>878</v>
      </c>
      <c r="AK425" s="385">
        <f t="shared" si="229"/>
        <v>0</v>
      </c>
      <c r="AL425" s="386">
        <f t="shared" si="230"/>
        <v>0</v>
      </c>
      <c r="AM425" s="384"/>
      <c r="AN425" s="384"/>
      <c r="AO425" s="387">
        <f>'Unit Savings Calculations'!P421</f>
        <v>6100</v>
      </c>
      <c r="AP425" s="435" t="s">
        <v>763</v>
      </c>
      <c r="AQ425" s="385">
        <f t="shared" si="231"/>
        <v>0</v>
      </c>
      <c r="AR425" s="386">
        <f t="shared" si="232"/>
        <v>0</v>
      </c>
      <c r="AS425" s="384"/>
      <c r="AT425" s="384"/>
      <c r="AU425" s="387">
        <f>'Unit Savings Calculations'!Q421</f>
        <v>6100</v>
      </c>
      <c r="AV425" s="435" t="str">
        <f t="shared" si="215"/>
        <v>n/a</v>
      </c>
      <c r="AW425" s="385">
        <f t="shared" si="233"/>
        <v>0</v>
      </c>
      <c r="AX425" s="386">
        <f t="shared" si="234"/>
        <v>0</v>
      </c>
      <c r="AY425" s="297">
        <f t="shared" si="216"/>
        <v>0</v>
      </c>
      <c r="AZ425" s="297">
        <f t="shared" si="217"/>
        <v>0</v>
      </c>
      <c r="BA425" s="297">
        <f t="shared" si="218"/>
        <v>0</v>
      </c>
      <c r="BB425" s="297">
        <f t="shared" si="219"/>
        <v>0</v>
      </c>
      <c r="BC425" s="298">
        <f t="shared" si="220"/>
        <v>0</v>
      </c>
      <c r="BD425" s="292" t="s">
        <v>763</v>
      </c>
      <c r="BE425" s="299" t="str">
        <f t="shared" si="221"/>
        <v>Custom</v>
      </c>
      <c r="BF425" s="298">
        <f t="shared" si="222"/>
        <v>0</v>
      </c>
      <c r="BG425" s="298">
        <f t="shared" si="222"/>
        <v>0</v>
      </c>
      <c r="BH425" s="298">
        <f t="shared" si="222"/>
        <v>0</v>
      </c>
      <c r="BI425" s="298">
        <f t="shared" si="212"/>
        <v>0</v>
      </c>
      <c r="BJ425" s="298">
        <f t="shared" si="223"/>
        <v>0</v>
      </c>
      <c r="BK425" s="482">
        <v>15</v>
      </c>
      <c r="BL425" s="482">
        <v>15</v>
      </c>
      <c r="BM425" s="482">
        <f>INDEX('Unit Savings Calculations'!$I$4:$I$421,MATCH('Measure-Level Adjustments Tab'!$A425&amp;"_"&amp;'Measure-Level Adjustments Tab'!$B425,'Unit Savings Calculations'!$A$4:$A$421,0))</f>
        <v>15</v>
      </c>
      <c r="BN425" s="482">
        <f t="shared" si="224"/>
        <v>15</v>
      </c>
      <c r="BO425" s="483">
        <f t="shared" si="225"/>
        <v>0</v>
      </c>
      <c r="BP425" s="483">
        <f t="shared" si="225"/>
        <v>0</v>
      </c>
      <c r="BQ425" s="483">
        <f t="shared" si="225"/>
        <v>0</v>
      </c>
      <c r="BR425" s="483">
        <f t="shared" si="213"/>
        <v>0</v>
      </c>
      <c r="BS425" s="483">
        <f t="shared" si="214"/>
        <v>0</v>
      </c>
    </row>
    <row r="426" spans="1:71" ht="14.5" thickTop="1">
      <c r="A426" s="300" t="s">
        <v>41</v>
      </c>
      <c r="B426" s="301"/>
      <c r="C426" s="302"/>
      <c r="D426" s="303"/>
      <c r="E426" s="303"/>
      <c r="F426" s="303"/>
      <c r="G426" s="303"/>
      <c r="H426" s="303"/>
      <c r="I426" s="303"/>
      <c r="J426" s="303"/>
      <c r="K426" s="303"/>
      <c r="L426" s="303"/>
      <c r="M426" s="303"/>
      <c r="N426" s="303"/>
      <c r="O426" s="303"/>
      <c r="P426" s="303"/>
      <c r="Q426" s="303"/>
      <c r="R426" s="303"/>
      <c r="S426" s="303"/>
      <c r="T426" s="304"/>
      <c r="U426" s="304"/>
      <c r="V426" s="305">
        <f>SUM(V8:V425)</f>
        <v>2196540.0407004463</v>
      </c>
      <c r="W426" s="305">
        <f>SUM(W8:W425)</f>
        <v>1941718.0737004799</v>
      </c>
      <c r="X426" s="305">
        <f>SUM(X8:X425)</f>
        <v>1790399.0887795179</v>
      </c>
      <c r="Y426" s="305">
        <f>SUM(Y8:Y425)</f>
        <v>1931439.4754877191</v>
      </c>
      <c r="Z426" s="306">
        <f>SUM(Z8:Z425)</f>
        <v>7860096.6786681628</v>
      </c>
      <c r="AA426" s="307"/>
      <c r="AB426" s="308"/>
      <c r="AC426" s="308"/>
      <c r="AD426" s="308"/>
      <c r="AE426" s="309"/>
      <c r="AF426" s="310">
        <f>SUM(AF8:AF425)</f>
        <v>0</v>
      </c>
      <c r="AG426" s="307"/>
      <c r="AH426" s="308"/>
      <c r="AI426" s="308"/>
      <c r="AJ426" s="308"/>
      <c r="AK426" s="309"/>
      <c r="AL426" s="310">
        <f>SUM(AL8:AL425)</f>
        <v>-23543.47793405885</v>
      </c>
      <c r="AM426" s="307"/>
      <c r="AN426" s="308"/>
      <c r="AO426" s="308"/>
      <c r="AP426" s="308"/>
      <c r="AQ426" s="309"/>
      <c r="AR426" s="310">
        <f>SUM(AR8:AR425)</f>
        <v>-18795.625201473627</v>
      </c>
      <c r="AS426" s="307"/>
      <c r="AT426" s="308"/>
      <c r="AU426" s="308"/>
      <c r="AV426" s="308"/>
      <c r="AW426" s="309"/>
      <c r="AX426" s="310">
        <f t="shared" ref="AX426:BC426" si="241">SUM(AX8:AX425)</f>
        <v>-19170.870294069075</v>
      </c>
      <c r="AY426" s="311">
        <f t="shared" si="241"/>
        <v>2196540.0407004463</v>
      </c>
      <c r="AZ426" s="312">
        <f t="shared" si="241"/>
        <v>1918174.5957664212</v>
      </c>
      <c r="BA426" s="313">
        <f t="shared" si="241"/>
        <v>1771603.4635780444</v>
      </c>
      <c r="BB426" s="314">
        <f t="shared" si="241"/>
        <v>1912268.6051936499</v>
      </c>
      <c r="BC426" s="315">
        <f t="shared" si="241"/>
        <v>7798586.7052385584</v>
      </c>
      <c r="BD426" s="307"/>
      <c r="BE426" s="316"/>
      <c r="BF426" s="310">
        <f>SUM(BF8:BF425)</f>
        <v>21780506.462772027</v>
      </c>
      <c r="BG426" s="310">
        <f>SUM(BG8:BG425)</f>
        <v>21525684.49577206</v>
      </c>
      <c r="BH426" s="310">
        <f>SUM(BH8:BH425)</f>
        <v>19339952.811794516</v>
      </c>
      <c r="BI426" s="310">
        <f>SUM(BI8:BI425)</f>
        <v>21515405.8975593</v>
      </c>
      <c r="BJ426" s="310">
        <f>SUM(BJ8:BJ425)</f>
        <v>84161549.66789791</v>
      </c>
      <c r="BK426" s="303"/>
      <c r="BL426" s="303"/>
      <c r="BM426" s="303"/>
      <c r="BN426" s="303"/>
      <c r="BO426" s="310">
        <f>SUM(BO8:BO425)</f>
        <v>21780506.462772027</v>
      </c>
      <c r="BP426" s="310">
        <f>SUM(BP8:BP425)</f>
        <v>21222681.871567175</v>
      </c>
      <c r="BQ426" s="310">
        <f>SUM(BQ8:BQ425)</f>
        <v>19161644.954775959</v>
      </c>
      <c r="BR426" s="310">
        <f>SUM(BR8:BR425)</f>
        <v>21333174.894606959</v>
      </c>
      <c r="BS426" s="310">
        <f>SUM(BS8:BS425)</f>
        <v>83498008.183722109</v>
      </c>
    </row>
    <row r="428" spans="1:71">
      <c r="Z428" s="317"/>
    </row>
  </sheetData>
  <autoFilter ref="A6:BS6" xr:uid="{00000000-0009-0000-0000-000002000000}"/>
  <mergeCells count="20">
    <mergeCell ref="G4:K4"/>
    <mergeCell ref="G5:K5"/>
    <mergeCell ref="AG4:AL4"/>
    <mergeCell ref="AG5:AJ5"/>
    <mergeCell ref="AM4:AR4"/>
    <mergeCell ref="AM5:AP5"/>
    <mergeCell ref="AA4:AF4"/>
    <mergeCell ref="AA5:AD5"/>
    <mergeCell ref="L5:Q5"/>
    <mergeCell ref="L4:Q4"/>
    <mergeCell ref="R4:Z4"/>
    <mergeCell ref="R5:U5"/>
    <mergeCell ref="V5:Z5"/>
    <mergeCell ref="BF4:BJ5"/>
    <mergeCell ref="BK4:BN5"/>
    <mergeCell ref="BO4:BS5"/>
    <mergeCell ref="AS4:AX4"/>
    <mergeCell ref="AS5:AV5"/>
    <mergeCell ref="BD4:BE4"/>
    <mergeCell ref="AY4:BC5"/>
  </mergeCells>
  <printOptions headings="1" gridLines="1"/>
  <pageMargins left="0.25" right="0.25" top="0.75" bottom="0.75" header="0.3" footer="0.3"/>
  <pageSetup scale="27" fitToWidth="5" orientation="landscape" r:id="rId1"/>
  <headerFooter>
    <oddFooter>&amp;L&amp;"Arial,Regular"&amp;14&amp;A
&amp;F&amp;C&amp;"Arial,Regular"&amp;14&amp;P</oddFooter>
  </headerFooter>
  <colBreaks count="4" manualBreakCount="4">
    <brk id="13" max="427" man="1"/>
    <brk id="26" max="26" man="1"/>
    <brk id="38" max="26" man="1"/>
    <brk id="50" max="26"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C6:I19"/>
  <sheetViews>
    <sheetView zoomScale="90" zoomScaleNormal="90" workbookViewId="0"/>
  </sheetViews>
  <sheetFormatPr defaultColWidth="9.1796875" defaultRowHeight="14.5"/>
  <cols>
    <col min="1" max="2" width="9.1796875" style="442"/>
    <col min="3" max="3" width="21.54296875" style="442" customWidth="1"/>
    <col min="4" max="7" width="14.26953125" style="442" bestFit="1" customWidth="1"/>
    <col min="8" max="8" width="18" style="442" customWidth="1"/>
    <col min="9" max="9" width="5.7265625" style="442" customWidth="1"/>
    <col min="10" max="16384" width="9.1796875" style="442"/>
  </cols>
  <sheetData>
    <row r="6" spans="3:9" ht="15" customHeight="1">
      <c r="C6" s="18" t="s">
        <v>805</v>
      </c>
      <c r="D6" s="545" t="s">
        <v>1062</v>
      </c>
      <c r="E6" s="545"/>
      <c r="F6" s="545"/>
      <c r="G6" s="545"/>
      <c r="H6" s="545"/>
    </row>
    <row r="7" spans="3:9">
      <c r="C7" s="18"/>
      <c r="D7" s="498" t="s">
        <v>1478</v>
      </c>
      <c r="E7" s="498" t="s">
        <v>1479</v>
      </c>
      <c r="F7" s="498" t="s">
        <v>1480</v>
      </c>
      <c r="G7" s="498" t="s">
        <v>1481</v>
      </c>
      <c r="H7" s="498" t="s">
        <v>1063</v>
      </c>
    </row>
    <row r="8" spans="3:9">
      <c r="C8" s="18" t="s">
        <v>1067</v>
      </c>
      <c r="D8" s="449">
        <v>8.1570827949835536</v>
      </c>
      <c r="E8" s="449">
        <v>9.7082365120917764</v>
      </c>
      <c r="F8" s="449">
        <v>9.3727925871321265</v>
      </c>
      <c r="G8" s="449">
        <v>9.784224831932125</v>
      </c>
      <c r="H8" s="449">
        <v>9.198061288219737</v>
      </c>
    </row>
    <row r="9" spans="3:9">
      <c r="C9" s="18" t="s">
        <v>1068</v>
      </c>
      <c r="D9" s="452">
        <f>'Program-Level Adjustments Tab'!U28</f>
        <v>9.9158249151818456</v>
      </c>
      <c r="E9" s="452">
        <f>'Program-Level Adjustments Tab'!V28</f>
        <v>11.085895932744203</v>
      </c>
      <c r="F9" s="452">
        <f>'Program-Level Adjustments Tab'!W28</f>
        <v>10.802034548050516</v>
      </c>
      <c r="G9" s="452">
        <f>'Program-Level Adjustments Tab'!X28</f>
        <v>11.139570341507241</v>
      </c>
      <c r="H9" s="452">
        <f>'Program-Level Adjustments Tab'!Y28</f>
        <v>10.707444591146999</v>
      </c>
    </row>
    <row r="10" spans="3:9">
      <c r="C10" s="18" t="s">
        <v>1069</v>
      </c>
      <c r="D10" s="451">
        <f>'Program-Level Adjustments Tab'!Z28</f>
        <v>9.9158249151818456</v>
      </c>
      <c r="E10" s="451">
        <f>'Program-Level Adjustments Tab'!AA28</f>
        <v>11.063999032417323</v>
      </c>
      <c r="F10" s="451">
        <f>'Program-Level Adjustments Tab'!AB28</f>
        <v>10.815989779155135</v>
      </c>
      <c r="G10" s="451">
        <f>'Program-Level Adjustments Tab'!AC28</f>
        <v>11.155951018945176</v>
      </c>
      <c r="H10" s="451">
        <f>'Program-Level Adjustments Tab'!AD28</f>
        <v>10.706812829000649</v>
      </c>
    </row>
    <row r="11" spans="3:9">
      <c r="C11" s="450"/>
      <c r="D11" s="450"/>
      <c r="E11" s="450"/>
      <c r="F11" s="450"/>
      <c r="G11" s="450"/>
      <c r="H11" s="450"/>
    </row>
    <row r="12" spans="3:9">
      <c r="C12" s="546" t="s">
        <v>1071</v>
      </c>
      <c r="D12" s="546"/>
      <c r="E12" s="546"/>
      <c r="F12" s="546"/>
      <c r="G12" s="546"/>
      <c r="H12" s="546"/>
    </row>
    <row r="13" spans="3:9">
      <c r="C13" s="546" t="s">
        <v>1070</v>
      </c>
      <c r="D13" s="546"/>
      <c r="E13" s="546"/>
      <c r="F13" s="546"/>
      <c r="G13" s="546"/>
      <c r="H13" s="546"/>
    </row>
    <row r="14" spans="3:9">
      <c r="I14" s="442" t="s">
        <v>1066</v>
      </c>
    </row>
    <row r="17" spans="4:7">
      <c r="D17" s="448"/>
      <c r="E17" s="448"/>
      <c r="F17" s="448"/>
      <c r="G17" s="448"/>
    </row>
    <row r="18" spans="4:7">
      <c r="D18" s="448"/>
      <c r="E18" s="448"/>
      <c r="F18" s="448"/>
      <c r="G18" s="448"/>
    </row>
    <row r="19" spans="4:7">
      <c r="D19" s="448"/>
      <c r="E19" s="448"/>
      <c r="F19" s="448"/>
      <c r="G19" s="448"/>
    </row>
  </sheetData>
  <mergeCells count="3">
    <mergeCell ref="D6:H6"/>
    <mergeCell ref="C12:H12"/>
    <mergeCell ref="C13:H13"/>
  </mergeCells>
  <pageMargins left="0.7" right="0.7" top="0.75" bottom="0.75" header="0.3" footer="0.3"/>
  <pageSetup scale="76" orientation="portrait" r:id="rId1"/>
  <headerFooter>
    <oddHeader>&amp;CNS-PG (NS) Adjustable Savings Goal Template - WAML</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499984740745262"/>
  </sheetPr>
  <dimension ref="A1:BB426"/>
  <sheetViews>
    <sheetView showRuler="0" zoomScale="70" zoomScaleNormal="70" zoomScaleSheetLayoutView="70" zoomScalePageLayoutView="70" workbookViewId="0">
      <pane ySplit="3" topLeftCell="A4" activePane="bottomLeft" state="frozen"/>
      <selection pane="bottomLeft"/>
    </sheetView>
  </sheetViews>
  <sheetFormatPr defaultColWidth="9.1796875" defaultRowHeight="13"/>
  <cols>
    <col min="1" max="1" width="3.1796875" style="2" customWidth="1"/>
    <col min="2" max="2" width="10.26953125" style="2" bestFit="1" customWidth="1"/>
    <col min="3" max="3" width="24.54296875" style="2" bestFit="1" customWidth="1"/>
    <col min="4" max="4" width="47" style="2" bestFit="1" customWidth="1"/>
    <col min="5" max="7" width="13.1796875" style="2" bestFit="1" customWidth="1"/>
    <col min="8" max="8" width="9" style="2" customWidth="1"/>
    <col min="9" max="9" width="8.453125" style="2" customWidth="1"/>
    <col min="10" max="13" width="9.453125" style="2" customWidth="1"/>
    <col min="14" max="17" width="10.7265625" style="441" customWidth="1"/>
    <col min="18" max="18" width="28.1796875" style="2" hidden="1" customWidth="1"/>
    <col min="19" max="19" width="19.54296875" style="2" customWidth="1"/>
    <col min="20" max="20" width="9.453125" style="2" customWidth="1"/>
    <col min="21" max="21" width="13" style="9" customWidth="1"/>
    <col min="22" max="22" width="88.7265625" style="109" customWidth="1"/>
    <col min="23" max="23" width="22.54296875" style="10" customWidth="1"/>
    <col min="24" max="24" width="8.54296875" style="10" customWidth="1"/>
    <col min="25" max="25" width="18.1796875" style="9" customWidth="1"/>
    <col min="26" max="26" width="13.7265625" style="8" customWidth="1"/>
    <col min="27" max="27" width="17.7265625" style="7" customWidth="1"/>
    <col min="28" max="28" width="11.1796875" style="2" customWidth="1"/>
    <col min="29" max="29" width="17.26953125" style="6" customWidth="1"/>
    <col min="30" max="30" width="9.54296875" style="2" customWidth="1"/>
    <col min="31" max="31" width="12.26953125" style="6" customWidth="1"/>
    <col min="32" max="32" width="10.1796875" style="2" customWidth="1"/>
    <col min="33" max="33" width="11" style="2" customWidth="1"/>
    <col min="34" max="34" width="9.26953125" style="2" customWidth="1"/>
    <col min="35" max="35" width="9.81640625" style="2" customWidth="1"/>
    <col min="36" max="36" width="9.54296875" style="2" customWidth="1"/>
    <col min="37" max="37" width="12" style="2" customWidth="1"/>
    <col min="38" max="38" width="8.54296875" style="2" customWidth="1"/>
    <col min="39" max="39" width="6.7265625" style="2" customWidth="1"/>
    <col min="40" max="40" width="7.81640625" style="2" customWidth="1"/>
    <col min="41" max="41" width="11.453125" style="2" customWidth="1"/>
    <col min="42" max="44" width="6.26953125" style="2" customWidth="1"/>
    <col min="45" max="45" width="11" style="2" customWidth="1"/>
    <col min="46" max="46" width="6.26953125" style="2" customWidth="1"/>
    <col min="47" max="47" width="32.26953125" style="2" customWidth="1"/>
    <col min="48" max="48" width="24.54296875" style="2" customWidth="1"/>
    <col min="49" max="49" width="33.1796875" style="2" customWidth="1"/>
    <col min="50" max="50" width="14.7265625" style="2" customWidth="1"/>
    <col min="51" max="16384" width="9.1796875" style="2"/>
  </cols>
  <sheetData>
    <row r="1" spans="1:53">
      <c r="B1" s="70"/>
      <c r="C1" s="70" t="s">
        <v>667</v>
      </c>
      <c r="D1" s="25"/>
      <c r="J1" s="12"/>
      <c r="K1" s="12"/>
      <c r="L1" s="12"/>
      <c r="M1" s="12"/>
      <c r="N1" s="439"/>
      <c r="O1" s="439"/>
      <c r="P1" s="439"/>
      <c r="Q1" s="439"/>
      <c r="R1" s="4"/>
      <c r="S1" s="4"/>
      <c r="T1" s="3"/>
      <c r="U1" s="4"/>
      <c r="W1" s="2"/>
      <c r="X1" s="2"/>
      <c r="Y1" s="2"/>
      <c r="Z1" s="2"/>
      <c r="AA1" s="2"/>
      <c r="AC1" s="2"/>
      <c r="AE1" s="2"/>
    </row>
    <row r="2" spans="1:53" ht="15" customHeight="1">
      <c r="B2" s="4"/>
      <c r="C2" s="4"/>
      <c r="D2" s="4"/>
      <c r="E2" s="153"/>
      <c r="F2" s="153"/>
      <c r="J2" s="547" t="s">
        <v>697</v>
      </c>
      <c r="K2" s="548"/>
      <c r="L2" s="548"/>
      <c r="M2" s="549"/>
      <c r="N2" s="550" t="s">
        <v>784</v>
      </c>
      <c r="O2" s="551"/>
      <c r="P2" s="551"/>
      <c r="Q2" s="552"/>
      <c r="R2" s="11"/>
      <c r="S2" s="11"/>
      <c r="T2" s="11"/>
      <c r="U2" s="11"/>
      <c r="W2" s="2"/>
      <c r="X2" s="2"/>
      <c r="Y2" s="2"/>
      <c r="Z2" s="2"/>
      <c r="AA2" s="6"/>
    </row>
    <row r="3" spans="1:53" s="5" customFormat="1">
      <c r="B3" s="427" t="s">
        <v>869</v>
      </c>
      <c r="C3" s="427"/>
      <c r="D3" s="427" t="s">
        <v>1</v>
      </c>
      <c r="E3" s="428" t="s">
        <v>499</v>
      </c>
      <c r="F3" s="428" t="s">
        <v>499</v>
      </c>
      <c r="G3" s="429" t="s">
        <v>696</v>
      </c>
      <c r="H3" s="429" t="s">
        <v>1064</v>
      </c>
      <c r="I3" s="429" t="s">
        <v>1065</v>
      </c>
      <c r="J3" s="430" t="s">
        <v>695</v>
      </c>
      <c r="K3" s="430" t="s">
        <v>694</v>
      </c>
      <c r="L3" s="430" t="s">
        <v>693</v>
      </c>
      <c r="M3" s="430" t="s">
        <v>692</v>
      </c>
      <c r="N3" s="440" t="s">
        <v>695</v>
      </c>
      <c r="O3" s="440" t="s">
        <v>694</v>
      </c>
      <c r="P3" s="440" t="s">
        <v>693</v>
      </c>
      <c r="Q3" s="440" t="s">
        <v>692</v>
      </c>
      <c r="R3" s="156" t="s">
        <v>832</v>
      </c>
      <c r="S3" s="388" t="s">
        <v>498</v>
      </c>
      <c r="T3" s="388" t="s">
        <v>497</v>
      </c>
      <c r="U3" s="388" t="s">
        <v>496</v>
      </c>
      <c r="V3" s="431" t="s">
        <v>471</v>
      </c>
      <c r="W3" s="431" t="s">
        <v>495</v>
      </c>
      <c r="X3" s="431" t="s">
        <v>494</v>
      </c>
      <c r="Y3" s="431" t="s">
        <v>493</v>
      </c>
      <c r="Z3" s="431" t="s">
        <v>492</v>
      </c>
      <c r="AA3" s="432" t="s">
        <v>491</v>
      </c>
      <c r="AB3" s="431" t="s">
        <v>490</v>
      </c>
      <c r="AC3" s="432" t="s">
        <v>489</v>
      </c>
      <c r="AD3" s="431" t="s">
        <v>488</v>
      </c>
      <c r="AE3" s="432" t="s">
        <v>487</v>
      </c>
      <c r="AF3" s="431" t="s">
        <v>486</v>
      </c>
      <c r="AG3" s="431" t="s">
        <v>485</v>
      </c>
      <c r="AH3" s="431" t="s">
        <v>484</v>
      </c>
      <c r="AI3" s="431" t="s">
        <v>483</v>
      </c>
      <c r="AJ3" s="431" t="s">
        <v>482</v>
      </c>
      <c r="AK3" s="431" t="s">
        <v>481</v>
      </c>
      <c r="AL3" s="431" t="s">
        <v>480</v>
      </c>
      <c r="AM3" s="431" t="s">
        <v>479</v>
      </c>
      <c r="AN3" s="431" t="s">
        <v>478</v>
      </c>
      <c r="AO3" s="431" t="s">
        <v>477</v>
      </c>
      <c r="AP3" s="431" t="s">
        <v>476</v>
      </c>
      <c r="AQ3" s="431" t="s">
        <v>475</v>
      </c>
      <c r="AR3" s="431" t="s">
        <v>474</v>
      </c>
      <c r="AS3" s="431" t="s">
        <v>473</v>
      </c>
      <c r="AT3" s="431" t="s">
        <v>472</v>
      </c>
    </row>
    <row r="4" spans="1:53">
      <c r="A4" s="2" t="str">
        <f>C4&amp;"_"&amp;D4</f>
        <v>Res - Outreach &amp; Education_Behavior 2018 1st Year</v>
      </c>
      <c r="B4" s="18">
        <v>1</v>
      </c>
      <c r="C4" s="18" t="s">
        <v>698</v>
      </c>
      <c r="D4" s="18" t="s">
        <v>780</v>
      </c>
      <c r="E4" s="23" t="s">
        <v>150</v>
      </c>
      <c r="F4" s="23">
        <v>1</v>
      </c>
      <c r="G4" s="154">
        <v>1</v>
      </c>
      <c r="H4" s="447">
        <v>1</v>
      </c>
      <c r="I4" s="436">
        <v>1</v>
      </c>
      <c r="J4" s="23">
        <v>54000</v>
      </c>
      <c r="K4" s="23">
        <v>0</v>
      </c>
      <c r="L4" s="23">
        <v>0</v>
      </c>
      <c r="M4" s="23">
        <v>0</v>
      </c>
      <c r="N4" s="215">
        <v>10.648148148148149</v>
      </c>
      <c r="O4" s="215">
        <v>0</v>
      </c>
      <c r="P4" s="215">
        <v>0</v>
      </c>
      <c r="Q4" s="215">
        <v>0</v>
      </c>
      <c r="R4" s="15" t="s">
        <v>834</v>
      </c>
      <c r="S4" s="15" t="s">
        <v>840</v>
      </c>
      <c r="T4" s="18" t="s">
        <v>758</v>
      </c>
      <c r="U4" s="18" t="s">
        <v>759</v>
      </c>
      <c r="V4" s="390"/>
      <c r="W4" s="390"/>
      <c r="X4" s="390"/>
      <c r="Y4" s="390"/>
      <c r="Z4" s="390"/>
      <c r="AA4" s="390"/>
      <c r="AB4" s="390"/>
      <c r="AC4" s="390"/>
      <c r="AD4" s="390"/>
      <c r="AE4" s="390"/>
      <c r="AF4" s="390"/>
      <c r="AG4" s="390"/>
      <c r="AH4" s="390"/>
      <c r="AI4" s="390"/>
      <c r="AJ4" s="390"/>
      <c r="AK4" s="390"/>
      <c r="AL4" s="390"/>
      <c r="AM4" s="390"/>
      <c r="AN4" s="390"/>
      <c r="AO4" s="390"/>
      <c r="AP4" s="390"/>
      <c r="AQ4" s="390"/>
      <c r="AR4" s="390"/>
      <c r="AS4" s="390"/>
      <c r="AT4" s="390"/>
      <c r="AU4" s="343"/>
      <c r="AV4" s="343"/>
      <c r="AW4" s="343"/>
      <c r="AX4" s="343"/>
      <c r="AY4" s="344"/>
      <c r="AZ4" s="345"/>
      <c r="BA4" s="346"/>
    </row>
    <row r="5" spans="1:53">
      <c r="A5" s="2" t="str">
        <f t="shared" ref="A5:A68" si="0">C5&amp;"_"&amp;D5</f>
        <v>Res - Outreach &amp; Education_Behavior 2019 1st Year</v>
      </c>
      <c r="B5" s="18">
        <v>2</v>
      </c>
      <c r="C5" s="18" t="s">
        <v>698</v>
      </c>
      <c r="D5" s="18" t="s">
        <v>781</v>
      </c>
      <c r="E5" s="23" t="s">
        <v>150</v>
      </c>
      <c r="F5" s="23">
        <v>1</v>
      </c>
      <c r="G5" s="154">
        <v>1</v>
      </c>
      <c r="H5" s="447">
        <v>1</v>
      </c>
      <c r="I5" s="436">
        <v>1</v>
      </c>
      <c r="J5" s="23"/>
      <c r="K5" s="23">
        <v>52800</v>
      </c>
      <c r="L5" s="23"/>
      <c r="M5" s="23"/>
      <c r="N5" s="215">
        <v>0</v>
      </c>
      <c r="O5" s="215">
        <v>6.0639778977279111</v>
      </c>
      <c r="P5" s="215">
        <v>0</v>
      </c>
      <c r="Q5" s="215">
        <v>0</v>
      </c>
      <c r="R5" s="15" t="s">
        <v>834</v>
      </c>
      <c r="S5" s="15" t="s">
        <v>840</v>
      </c>
      <c r="T5" s="18" t="s">
        <v>758</v>
      </c>
      <c r="U5" s="18" t="s">
        <v>759</v>
      </c>
      <c r="V5" s="390"/>
      <c r="W5" s="390"/>
      <c r="X5" s="390"/>
      <c r="Y5" s="390"/>
      <c r="Z5" s="390"/>
      <c r="AA5" s="390"/>
      <c r="AB5" s="390"/>
      <c r="AC5" s="390"/>
      <c r="AD5" s="390"/>
      <c r="AE5" s="390"/>
      <c r="AF5" s="390"/>
      <c r="AG5" s="390"/>
      <c r="AH5" s="390"/>
      <c r="AI5" s="390"/>
      <c r="AJ5" s="390"/>
      <c r="AK5" s="390"/>
      <c r="AL5" s="390"/>
      <c r="AM5" s="390"/>
      <c r="AN5" s="390"/>
      <c r="AO5" s="390"/>
      <c r="AP5" s="390"/>
      <c r="AQ5" s="390"/>
      <c r="AR5" s="390"/>
      <c r="AS5" s="390"/>
      <c r="AT5" s="390"/>
      <c r="AU5" s="343"/>
      <c r="AV5" s="343"/>
      <c r="AW5" s="343"/>
      <c r="AX5" s="343"/>
      <c r="AY5" s="344"/>
      <c r="AZ5" s="345"/>
      <c r="BA5" s="346"/>
    </row>
    <row r="6" spans="1:53">
      <c r="A6" s="2" t="str">
        <f t="shared" si="0"/>
        <v>Res - Outreach &amp; Education_Behavior 2020 1st Year</v>
      </c>
      <c r="B6" s="18">
        <v>3</v>
      </c>
      <c r="C6" s="18" t="s">
        <v>698</v>
      </c>
      <c r="D6" s="18" t="s">
        <v>782</v>
      </c>
      <c r="E6" s="23" t="s">
        <v>150</v>
      </c>
      <c r="F6" s="23">
        <v>1</v>
      </c>
      <c r="G6" s="154">
        <v>1</v>
      </c>
      <c r="H6" s="447">
        <v>1</v>
      </c>
      <c r="I6" s="436">
        <v>1</v>
      </c>
      <c r="J6" s="23"/>
      <c r="K6" s="23"/>
      <c r="L6" s="23">
        <v>51600</v>
      </c>
      <c r="M6" s="23"/>
      <c r="N6" s="215">
        <v>0</v>
      </c>
      <c r="O6" s="215">
        <v>0</v>
      </c>
      <c r="P6" s="215">
        <v>6.1129806441341552</v>
      </c>
      <c r="Q6" s="215">
        <v>0</v>
      </c>
      <c r="R6" s="15" t="s">
        <v>834</v>
      </c>
      <c r="S6" s="15" t="s">
        <v>840</v>
      </c>
      <c r="T6" s="18" t="s">
        <v>758</v>
      </c>
      <c r="U6" s="18" t="s">
        <v>759</v>
      </c>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c r="AT6" s="390"/>
      <c r="AU6" s="343"/>
      <c r="AV6" s="343"/>
      <c r="AW6" s="343"/>
      <c r="AX6" s="343"/>
      <c r="AY6" s="344"/>
      <c r="AZ6" s="345"/>
      <c r="BA6" s="346"/>
    </row>
    <row r="7" spans="1:53">
      <c r="A7" s="2" t="str">
        <f t="shared" si="0"/>
        <v>Res - Outreach &amp; Education_Behavior 2021 1st Year</v>
      </c>
      <c r="B7" s="18">
        <v>4</v>
      </c>
      <c r="C7" s="18" t="s">
        <v>698</v>
      </c>
      <c r="D7" s="18" t="s">
        <v>783</v>
      </c>
      <c r="E7" s="23" t="s">
        <v>150</v>
      </c>
      <c r="F7" s="23">
        <v>1</v>
      </c>
      <c r="G7" s="154">
        <v>1</v>
      </c>
      <c r="H7" s="447">
        <v>1</v>
      </c>
      <c r="I7" s="436">
        <v>1</v>
      </c>
      <c r="J7" s="23"/>
      <c r="K7" s="23"/>
      <c r="L7" s="23"/>
      <c r="M7" s="23">
        <v>50400</v>
      </c>
      <c r="N7" s="215">
        <v>0</v>
      </c>
      <c r="O7" s="215">
        <v>0</v>
      </c>
      <c r="P7" s="215">
        <v>0</v>
      </c>
      <c r="Q7" s="215">
        <v>6.1487983092712835</v>
      </c>
      <c r="R7" s="15" t="s">
        <v>834</v>
      </c>
      <c r="S7" s="15" t="s">
        <v>840</v>
      </c>
      <c r="T7" s="18" t="s">
        <v>758</v>
      </c>
      <c r="U7" s="18" t="s">
        <v>759</v>
      </c>
      <c r="V7" s="390"/>
      <c r="W7" s="390"/>
      <c r="X7" s="390"/>
      <c r="Y7" s="390"/>
      <c r="Z7" s="390"/>
      <c r="AA7" s="390"/>
      <c r="AB7" s="390"/>
      <c r="AC7" s="390"/>
      <c r="AD7" s="390"/>
      <c r="AE7" s="390"/>
      <c r="AF7" s="390"/>
      <c r="AG7" s="390"/>
      <c r="AH7" s="390"/>
      <c r="AI7" s="390"/>
      <c r="AJ7" s="390"/>
      <c r="AK7" s="390"/>
      <c r="AL7" s="390"/>
      <c r="AM7" s="390"/>
      <c r="AN7" s="390"/>
      <c r="AO7" s="390"/>
      <c r="AP7" s="390"/>
      <c r="AQ7" s="390"/>
      <c r="AR7" s="390"/>
      <c r="AS7" s="390"/>
      <c r="AT7" s="390"/>
      <c r="AU7" s="343"/>
      <c r="AV7" s="343"/>
      <c r="AW7" s="343"/>
      <c r="AX7" s="343"/>
      <c r="AY7" s="344"/>
      <c r="AZ7" s="345"/>
      <c r="BA7" s="346"/>
    </row>
    <row r="8" spans="1:53">
      <c r="A8" s="2" t="str">
        <f t="shared" si="0"/>
        <v>Res - Outreach &amp; Education_Behavior 2018 Y1 Persistence</v>
      </c>
      <c r="B8" s="18">
        <v>5</v>
      </c>
      <c r="C8" s="18" t="s">
        <v>698</v>
      </c>
      <c r="D8" s="18" t="s">
        <v>764</v>
      </c>
      <c r="E8" s="23" t="s">
        <v>150</v>
      </c>
      <c r="F8" s="23">
        <v>1</v>
      </c>
      <c r="G8" s="154">
        <v>1</v>
      </c>
      <c r="H8" s="447">
        <v>0</v>
      </c>
      <c r="I8" s="436">
        <v>0</v>
      </c>
      <c r="J8" s="23">
        <v>54000</v>
      </c>
      <c r="K8" s="23"/>
      <c r="L8" s="23"/>
      <c r="M8" s="23"/>
      <c r="N8" s="215">
        <v>4.681888277777154</v>
      </c>
      <c r="O8" s="215">
        <v>0</v>
      </c>
      <c r="P8" s="215">
        <v>0</v>
      </c>
      <c r="Q8" s="215">
        <v>0</v>
      </c>
      <c r="R8" s="15" t="s">
        <v>834</v>
      </c>
      <c r="S8" s="15" t="s">
        <v>840</v>
      </c>
      <c r="T8" s="18" t="s">
        <v>758</v>
      </c>
      <c r="U8" s="18" t="s">
        <v>759</v>
      </c>
      <c r="V8" s="390"/>
      <c r="W8" s="390"/>
      <c r="X8" s="390"/>
      <c r="Y8" s="390"/>
      <c r="Z8" s="390"/>
      <c r="AA8" s="390"/>
      <c r="AB8" s="390"/>
      <c r="AC8" s="390"/>
      <c r="AD8" s="390"/>
      <c r="AE8" s="390"/>
      <c r="AF8" s="390"/>
      <c r="AG8" s="390"/>
      <c r="AH8" s="390"/>
      <c r="AI8" s="390"/>
      <c r="AJ8" s="390"/>
      <c r="AK8" s="390"/>
      <c r="AL8" s="390"/>
      <c r="AM8" s="390"/>
      <c r="AN8" s="390"/>
      <c r="AO8" s="390"/>
      <c r="AP8" s="390"/>
      <c r="AQ8" s="390"/>
      <c r="AR8" s="390"/>
      <c r="AS8" s="390"/>
      <c r="AT8" s="390"/>
      <c r="AU8" s="343"/>
      <c r="AV8" s="343"/>
      <c r="AW8" s="343"/>
      <c r="AX8" s="343"/>
      <c r="AY8" s="344"/>
      <c r="AZ8" s="345"/>
      <c r="BA8" s="346"/>
    </row>
    <row r="9" spans="1:53">
      <c r="A9" s="2" t="str">
        <f t="shared" si="0"/>
        <v>Res - Outreach &amp; Education_Behavior 2018 Y2 Persistence</v>
      </c>
      <c r="B9" s="18">
        <v>6</v>
      </c>
      <c r="C9" s="18" t="s">
        <v>698</v>
      </c>
      <c r="D9" s="18" t="s">
        <v>765</v>
      </c>
      <c r="E9" s="23" t="s">
        <v>150</v>
      </c>
      <c r="F9" s="23">
        <v>1</v>
      </c>
      <c r="G9" s="154">
        <v>1</v>
      </c>
      <c r="H9" s="447">
        <v>0</v>
      </c>
      <c r="I9" s="436">
        <v>0</v>
      </c>
      <c r="J9" s="23">
        <v>54000</v>
      </c>
      <c r="K9" s="23"/>
      <c r="L9" s="23"/>
      <c r="M9" s="23"/>
      <c r="N9" s="215">
        <v>2.0331666407501103</v>
      </c>
      <c r="O9" s="215">
        <v>0</v>
      </c>
      <c r="P9" s="215">
        <v>0</v>
      </c>
      <c r="Q9" s="215">
        <v>0</v>
      </c>
      <c r="R9" s="15" t="s">
        <v>834</v>
      </c>
      <c r="S9" s="15" t="s">
        <v>840</v>
      </c>
      <c r="T9" s="18" t="s">
        <v>758</v>
      </c>
      <c r="U9" s="18" t="s">
        <v>759</v>
      </c>
      <c r="V9" s="390"/>
      <c r="W9" s="390"/>
      <c r="X9" s="390"/>
      <c r="Y9" s="390"/>
      <c r="Z9" s="390"/>
      <c r="AA9" s="390"/>
      <c r="AB9" s="390"/>
      <c r="AC9" s="390"/>
      <c r="AD9" s="390"/>
      <c r="AE9" s="390"/>
      <c r="AF9" s="390"/>
      <c r="AG9" s="390"/>
      <c r="AH9" s="390"/>
      <c r="AI9" s="390"/>
      <c r="AJ9" s="390"/>
      <c r="AK9" s="390"/>
      <c r="AL9" s="390"/>
      <c r="AM9" s="390"/>
      <c r="AN9" s="390"/>
      <c r="AO9" s="390"/>
      <c r="AP9" s="390"/>
      <c r="AQ9" s="390"/>
      <c r="AR9" s="390"/>
      <c r="AS9" s="390"/>
      <c r="AT9" s="390"/>
      <c r="AU9" s="343"/>
      <c r="AV9" s="343"/>
      <c r="AW9" s="343"/>
      <c r="AX9" s="343"/>
      <c r="AY9" s="344"/>
      <c r="AZ9" s="345"/>
      <c r="BA9" s="346"/>
    </row>
    <row r="10" spans="1:53">
      <c r="A10" s="2" t="str">
        <f t="shared" si="0"/>
        <v>Res - Outreach &amp; Education_Behavior 2018 Y3 Persistence</v>
      </c>
      <c r="B10" s="18">
        <v>7</v>
      </c>
      <c r="C10" s="18" t="s">
        <v>698</v>
      </c>
      <c r="D10" s="18" t="s">
        <v>766</v>
      </c>
      <c r="E10" s="23" t="s">
        <v>150</v>
      </c>
      <c r="F10" s="23">
        <v>1</v>
      </c>
      <c r="G10" s="154">
        <v>1</v>
      </c>
      <c r="H10" s="447">
        <v>0</v>
      </c>
      <c r="I10" s="436">
        <v>0</v>
      </c>
      <c r="J10" s="23">
        <v>54000</v>
      </c>
      <c r="K10" s="23"/>
      <c r="L10" s="23"/>
      <c r="M10" s="23"/>
      <c r="N10" s="215">
        <v>0.89396380757070759</v>
      </c>
      <c r="O10" s="215">
        <v>0</v>
      </c>
      <c r="P10" s="215">
        <v>0</v>
      </c>
      <c r="Q10" s="215">
        <v>0</v>
      </c>
      <c r="R10" s="15" t="s">
        <v>834</v>
      </c>
      <c r="S10" s="15" t="s">
        <v>840</v>
      </c>
      <c r="T10" s="18" t="s">
        <v>758</v>
      </c>
      <c r="U10" s="18" t="s">
        <v>759</v>
      </c>
      <c r="V10" s="390"/>
      <c r="W10" s="390"/>
      <c r="X10" s="390"/>
      <c r="Y10" s="390"/>
      <c r="Z10" s="390"/>
      <c r="AA10" s="390"/>
      <c r="AB10" s="390"/>
      <c r="AC10" s="390"/>
      <c r="AD10" s="390"/>
      <c r="AE10" s="390"/>
      <c r="AF10" s="390"/>
      <c r="AG10" s="390"/>
      <c r="AH10" s="390"/>
      <c r="AI10" s="390"/>
      <c r="AJ10" s="390"/>
      <c r="AK10" s="390"/>
      <c r="AL10" s="390"/>
      <c r="AM10" s="390"/>
      <c r="AN10" s="390"/>
      <c r="AO10" s="390"/>
      <c r="AP10" s="390"/>
      <c r="AQ10" s="390"/>
      <c r="AR10" s="390"/>
      <c r="AS10" s="390"/>
      <c r="AT10" s="390"/>
      <c r="AU10" s="343"/>
      <c r="AV10" s="343"/>
      <c r="AW10" s="343"/>
      <c r="AX10" s="343"/>
      <c r="AY10" s="344"/>
      <c r="AZ10" s="345"/>
      <c r="BA10" s="346"/>
    </row>
    <row r="11" spans="1:53">
      <c r="A11" s="2" t="str">
        <f t="shared" si="0"/>
        <v>Res - Outreach &amp; Education_Behavior 2018 Y4 Persistence</v>
      </c>
      <c r="B11" s="18">
        <v>8</v>
      </c>
      <c r="C11" s="18" t="s">
        <v>698</v>
      </c>
      <c r="D11" s="18" t="s">
        <v>767</v>
      </c>
      <c r="E11" s="23" t="s">
        <v>150</v>
      </c>
      <c r="F11" s="23">
        <v>1</v>
      </c>
      <c r="G11" s="154">
        <v>1</v>
      </c>
      <c r="H11" s="447">
        <v>0</v>
      </c>
      <c r="I11" s="436">
        <v>0</v>
      </c>
      <c r="J11" s="23">
        <v>54000</v>
      </c>
      <c r="K11" s="23"/>
      <c r="L11" s="23"/>
      <c r="M11" s="23"/>
      <c r="N11" s="215">
        <v>0.38821460140728836</v>
      </c>
      <c r="O11" s="215">
        <v>0</v>
      </c>
      <c r="P11" s="215">
        <v>0</v>
      </c>
      <c r="Q11" s="215">
        <v>0</v>
      </c>
      <c r="R11" s="15" t="s">
        <v>834</v>
      </c>
      <c r="S11" s="15" t="s">
        <v>840</v>
      </c>
      <c r="T11" s="18" t="s">
        <v>758</v>
      </c>
      <c r="U11" s="18" t="s">
        <v>759</v>
      </c>
      <c r="V11" s="390"/>
      <c r="W11" s="390"/>
      <c r="X11" s="390"/>
      <c r="Y11" s="390"/>
      <c r="Z11" s="390"/>
      <c r="AA11" s="390"/>
      <c r="AB11" s="390"/>
      <c r="AC11" s="390"/>
      <c r="AD11" s="390"/>
      <c r="AE11" s="390"/>
      <c r="AF11" s="390"/>
      <c r="AG11" s="390"/>
      <c r="AH11" s="390"/>
      <c r="AI11" s="390"/>
      <c r="AJ11" s="390"/>
      <c r="AK11" s="390"/>
      <c r="AL11" s="390"/>
      <c r="AM11" s="390"/>
      <c r="AN11" s="390"/>
      <c r="AO11" s="390"/>
      <c r="AP11" s="390"/>
      <c r="AQ11" s="390"/>
      <c r="AR11" s="390"/>
      <c r="AS11" s="390"/>
      <c r="AT11" s="390"/>
      <c r="AU11" s="343"/>
      <c r="AV11" s="343"/>
      <c r="AW11" s="343"/>
      <c r="AX11" s="343"/>
      <c r="AY11" s="344"/>
      <c r="AZ11" s="345"/>
      <c r="BA11" s="346"/>
    </row>
    <row r="12" spans="1:53">
      <c r="A12" s="2" t="str">
        <f t="shared" si="0"/>
        <v>Res - Outreach &amp; Education_Behavior 2019 Y1 Persistence</v>
      </c>
      <c r="B12" s="18">
        <v>9</v>
      </c>
      <c r="C12" s="18" t="s">
        <v>698</v>
      </c>
      <c r="D12" s="18" t="s">
        <v>768</v>
      </c>
      <c r="E12" s="23" t="s">
        <v>150</v>
      </c>
      <c r="F12" s="23">
        <v>1</v>
      </c>
      <c r="G12" s="154">
        <v>1</v>
      </c>
      <c r="H12" s="447">
        <v>0</v>
      </c>
      <c r="I12" s="436">
        <v>0</v>
      </c>
      <c r="J12" s="23"/>
      <c r="K12" s="23">
        <v>52800</v>
      </c>
      <c r="L12" s="23"/>
      <c r="M12" s="23"/>
      <c r="N12" s="215">
        <v>0</v>
      </c>
      <c r="O12" s="215">
        <v>2.6662727303441587</v>
      </c>
      <c r="P12" s="215">
        <v>0</v>
      </c>
      <c r="Q12" s="215">
        <v>0</v>
      </c>
      <c r="R12" s="15" t="s">
        <v>834</v>
      </c>
      <c r="S12" s="15" t="s">
        <v>840</v>
      </c>
      <c r="T12" s="18" t="s">
        <v>758</v>
      </c>
      <c r="U12" s="18" t="s">
        <v>759</v>
      </c>
      <c r="V12" s="390"/>
      <c r="W12" s="390"/>
      <c r="X12" s="390"/>
      <c r="Y12" s="390"/>
      <c r="Z12" s="390"/>
      <c r="AA12" s="390"/>
      <c r="AB12" s="390"/>
      <c r="AC12" s="390"/>
      <c r="AD12" s="390"/>
      <c r="AE12" s="390"/>
      <c r="AF12" s="390"/>
      <c r="AG12" s="390"/>
      <c r="AH12" s="390"/>
      <c r="AI12" s="390"/>
      <c r="AJ12" s="390"/>
      <c r="AK12" s="390"/>
      <c r="AL12" s="390"/>
      <c r="AM12" s="390"/>
      <c r="AN12" s="390"/>
      <c r="AO12" s="390"/>
      <c r="AP12" s="390"/>
      <c r="AQ12" s="390"/>
      <c r="AR12" s="390"/>
      <c r="AS12" s="390"/>
      <c r="AT12" s="390"/>
      <c r="AU12" s="343"/>
      <c r="AV12" s="343"/>
      <c r="AW12" s="343"/>
      <c r="AX12" s="343"/>
      <c r="AY12" s="344"/>
      <c r="AZ12" s="345"/>
      <c r="BA12" s="346"/>
    </row>
    <row r="13" spans="1:53">
      <c r="A13" s="2" t="str">
        <f t="shared" si="0"/>
        <v>Res - Outreach &amp; Education_Behavior 2019 Y2 Persistence</v>
      </c>
      <c r="B13" s="18">
        <v>10</v>
      </c>
      <c r="C13" s="18" t="s">
        <v>698</v>
      </c>
      <c r="D13" s="18" t="s">
        <v>769</v>
      </c>
      <c r="E13" s="23" t="s">
        <v>150</v>
      </c>
      <c r="F13" s="23">
        <v>1</v>
      </c>
      <c r="G13" s="154">
        <v>1</v>
      </c>
      <c r="H13" s="447">
        <v>0</v>
      </c>
      <c r="I13" s="436">
        <v>0</v>
      </c>
      <c r="J13" s="23"/>
      <c r="K13" s="23">
        <v>52800</v>
      </c>
      <c r="L13" s="23"/>
      <c r="M13" s="23"/>
      <c r="N13" s="215">
        <v>0</v>
      </c>
      <c r="O13" s="215">
        <v>1.1578611980572944</v>
      </c>
      <c r="P13" s="215">
        <v>0</v>
      </c>
      <c r="Q13" s="215">
        <v>0</v>
      </c>
      <c r="R13" s="15" t="s">
        <v>834</v>
      </c>
      <c r="S13" s="15" t="s">
        <v>840</v>
      </c>
      <c r="T13" s="18" t="s">
        <v>758</v>
      </c>
      <c r="U13" s="18" t="s">
        <v>759</v>
      </c>
      <c r="V13" s="390"/>
      <c r="W13" s="390"/>
      <c r="X13" s="390"/>
      <c r="Y13" s="390"/>
      <c r="Z13" s="390"/>
      <c r="AA13" s="390"/>
      <c r="AB13" s="390"/>
      <c r="AC13" s="390"/>
      <c r="AD13" s="390"/>
      <c r="AE13" s="390"/>
      <c r="AF13" s="390"/>
      <c r="AG13" s="390"/>
      <c r="AH13" s="390"/>
      <c r="AI13" s="390"/>
      <c r="AJ13" s="390"/>
      <c r="AK13" s="390"/>
      <c r="AL13" s="390"/>
      <c r="AM13" s="390"/>
      <c r="AN13" s="390"/>
      <c r="AO13" s="390"/>
      <c r="AP13" s="390"/>
      <c r="AQ13" s="390"/>
      <c r="AR13" s="390"/>
      <c r="AS13" s="390"/>
      <c r="AT13" s="390"/>
      <c r="AU13" s="343"/>
      <c r="AV13" s="343"/>
      <c r="AW13" s="343"/>
      <c r="AX13" s="343"/>
      <c r="AY13" s="344"/>
      <c r="AZ13" s="345"/>
      <c r="BA13" s="346"/>
    </row>
    <row r="14" spans="1:53">
      <c r="A14" s="2" t="str">
        <f t="shared" si="0"/>
        <v>Res - Outreach &amp; Education_Behavior 2019 Y3 Persistence</v>
      </c>
      <c r="B14" s="18">
        <v>11</v>
      </c>
      <c r="C14" s="18" t="s">
        <v>698</v>
      </c>
      <c r="D14" s="18" t="s">
        <v>770</v>
      </c>
      <c r="E14" s="23" t="s">
        <v>150</v>
      </c>
      <c r="F14" s="23">
        <v>1</v>
      </c>
      <c r="G14" s="154">
        <v>1</v>
      </c>
      <c r="H14" s="447">
        <v>0</v>
      </c>
      <c r="I14" s="436">
        <v>0</v>
      </c>
      <c r="J14" s="23"/>
      <c r="K14" s="23">
        <v>52800</v>
      </c>
      <c r="L14" s="23"/>
      <c r="M14" s="23"/>
      <c r="N14" s="215">
        <v>0</v>
      </c>
      <c r="O14" s="215">
        <v>0.50910042714049175</v>
      </c>
      <c r="P14" s="215">
        <v>0</v>
      </c>
      <c r="Q14" s="215">
        <v>0</v>
      </c>
      <c r="R14" s="15" t="s">
        <v>834</v>
      </c>
      <c r="S14" s="15" t="s">
        <v>840</v>
      </c>
      <c r="T14" s="18" t="s">
        <v>758</v>
      </c>
      <c r="U14" s="18" t="s">
        <v>759</v>
      </c>
      <c r="V14" s="390"/>
      <c r="W14" s="390"/>
      <c r="X14" s="390"/>
      <c r="Y14" s="390"/>
      <c r="Z14" s="390"/>
      <c r="AA14" s="390"/>
      <c r="AB14" s="390"/>
      <c r="AC14" s="390"/>
      <c r="AD14" s="390"/>
      <c r="AE14" s="390"/>
      <c r="AF14" s="390"/>
      <c r="AG14" s="390"/>
      <c r="AH14" s="390"/>
      <c r="AI14" s="390"/>
      <c r="AJ14" s="390"/>
      <c r="AK14" s="390"/>
      <c r="AL14" s="390"/>
      <c r="AM14" s="390"/>
      <c r="AN14" s="390"/>
      <c r="AO14" s="390"/>
      <c r="AP14" s="390"/>
      <c r="AQ14" s="390"/>
      <c r="AR14" s="390"/>
      <c r="AS14" s="390"/>
      <c r="AT14" s="390"/>
      <c r="AU14" s="343"/>
      <c r="AV14" s="343"/>
      <c r="AW14" s="343"/>
      <c r="AX14" s="343"/>
      <c r="AY14" s="344"/>
      <c r="AZ14" s="345"/>
      <c r="BA14" s="346"/>
    </row>
    <row r="15" spans="1:53">
      <c r="A15" s="2" t="str">
        <f t="shared" si="0"/>
        <v>Res - Outreach &amp; Education_Behavior 2019 Y4 Persistence</v>
      </c>
      <c r="B15" s="18">
        <v>12</v>
      </c>
      <c r="C15" s="18" t="s">
        <v>698</v>
      </c>
      <c r="D15" s="18" t="s">
        <v>771</v>
      </c>
      <c r="E15" s="23" t="s">
        <v>150</v>
      </c>
      <c r="F15" s="23">
        <v>1</v>
      </c>
      <c r="G15" s="154">
        <v>1</v>
      </c>
      <c r="H15" s="447">
        <v>0</v>
      </c>
      <c r="I15" s="436">
        <v>0</v>
      </c>
      <c r="J15" s="23"/>
      <c r="K15" s="23">
        <v>52800</v>
      </c>
      <c r="L15" s="23"/>
      <c r="M15" s="23"/>
      <c r="N15" s="215">
        <v>0</v>
      </c>
      <c r="O15" s="215">
        <v>0.22108302117476269</v>
      </c>
      <c r="P15" s="215">
        <v>0</v>
      </c>
      <c r="Q15" s="215">
        <v>0</v>
      </c>
      <c r="R15" s="15" t="s">
        <v>834</v>
      </c>
      <c r="S15" s="15" t="s">
        <v>840</v>
      </c>
      <c r="T15" s="18" t="s">
        <v>758</v>
      </c>
      <c r="U15" s="18" t="s">
        <v>759</v>
      </c>
      <c r="V15" s="390"/>
      <c r="W15" s="390"/>
      <c r="X15" s="390"/>
      <c r="Y15" s="390"/>
      <c r="Z15" s="390"/>
      <c r="AA15" s="390"/>
      <c r="AB15" s="390"/>
      <c r="AC15" s="390"/>
      <c r="AD15" s="390"/>
      <c r="AE15" s="390"/>
      <c r="AF15" s="390"/>
      <c r="AG15" s="390"/>
      <c r="AH15" s="390"/>
      <c r="AI15" s="390"/>
      <c r="AJ15" s="390"/>
      <c r="AK15" s="390"/>
      <c r="AL15" s="390"/>
      <c r="AM15" s="390"/>
      <c r="AN15" s="390"/>
      <c r="AO15" s="390"/>
      <c r="AP15" s="390"/>
      <c r="AQ15" s="390"/>
      <c r="AR15" s="390"/>
      <c r="AS15" s="390"/>
      <c r="AT15" s="390"/>
      <c r="AU15" s="343"/>
      <c r="AV15" s="343"/>
      <c r="AW15" s="343"/>
      <c r="AX15" s="343"/>
      <c r="AY15" s="344"/>
      <c r="AZ15" s="345"/>
      <c r="BA15" s="346"/>
    </row>
    <row r="16" spans="1:53">
      <c r="A16" s="2" t="str">
        <f t="shared" si="0"/>
        <v>Res - Outreach &amp; Education_Behavior 2020 Y1 Persistence</v>
      </c>
      <c r="B16" s="18">
        <v>13</v>
      </c>
      <c r="C16" s="18" t="s">
        <v>698</v>
      </c>
      <c r="D16" s="18" t="s">
        <v>772</v>
      </c>
      <c r="E16" s="23" t="s">
        <v>150</v>
      </c>
      <c r="F16" s="23">
        <v>1</v>
      </c>
      <c r="G16" s="154">
        <v>1</v>
      </c>
      <c r="H16" s="447">
        <v>0</v>
      </c>
      <c r="I16" s="436">
        <v>0</v>
      </c>
      <c r="J16" s="23"/>
      <c r="K16" s="23"/>
      <c r="L16" s="23">
        <v>51600</v>
      </c>
      <c r="M16" s="23"/>
      <c r="N16" s="215">
        <v>0</v>
      </c>
      <c r="O16" s="215">
        <v>0</v>
      </c>
      <c r="P16" s="215">
        <v>2.6878187664047273</v>
      </c>
      <c r="Q16" s="215">
        <v>0</v>
      </c>
      <c r="R16" s="15" t="s">
        <v>834</v>
      </c>
      <c r="S16" s="15" t="s">
        <v>840</v>
      </c>
      <c r="T16" s="18" t="s">
        <v>758</v>
      </c>
      <c r="U16" s="18" t="s">
        <v>759</v>
      </c>
      <c r="V16" s="390"/>
      <c r="W16" s="390"/>
      <c r="X16" s="390"/>
      <c r="Y16" s="390"/>
      <c r="Z16" s="390"/>
      <c r="AA16" s="390"/>
      <c r="AB16" s="390"/>
      <c r="AC16" s="390"/>
      <c r="AD16" s="390"/>
      <c r="AE16" s="390"/>
      <c r="AF16" s="390"/>
      <c r="AG16" s="390"/>
      <c r="AH16" s="390"/>
      <c r="AI16" s="390"/>
      <c r="AJ16" s="390"/>
      <c r="AK16" s="390"/>
      <c r="AL16" s="390"/>
      <c r="AM16" s="390"/>
      <c r="AN16" s="390"/>
      <c r="AO16" s="390"/>
      <c r="AP16" s="390"/>
      <c r="AQ16" s="390"/>
      <c r="AR16" s="390"/>
      <c r="AS16" s="390"/>
      <c r="AT16" s="390"/>
      <c r="AU16" s="343"/>
      <c r="AV16" s="343"/>
      <c r="AW16" s="343"/>
      <c r="AX16" s="343"/>
      <c r="AY16" s="344"/>
      <c r="AZ16" s="345"/>
      <c r="BA16" s="346"/>
    </row>
    <row r="17" spans="1:53">
      <c r="A17" s="2" t="str">
        <f t="shared" si="0"/>
        <v>Res - Outreach &amp; Education_Behavior 2020 Y2 Persistence</v>
      </c>
      <c r="B17" s="18">
        <v>14</v>
      </c>
      <c r="C17" s="18" t="s">
        <v>698</v>
      </c>
      <c r="D17" s="18" t="s">
        <v>773</v>
      </c>
      <c r="E17" s="23" t="s">
        <v>150</v>
      </c>
      <c r="F17" s="23">
        <v>1</v>
      </c>
      <c r="G17" s="154">
        <v>1</v>
      </c>
      <c r="H17" s="447">
        <v>0</v>
      </c>
      <c r="I17" s="436">
        <v>0</v>
      </c>
      <c r="J17" s="23"/>
      <c r="K17" s="23"/>
      <c r="L17" s="23">
        <v>51600</v>
      </c>
      <c r="M17" s="23"/>
      <c r="N17" s="215">
        <v>0</v>
      </c>
      <c r="O17" s="215">
        <v>0</v>
      </c>
      <c r="P17" s="215">
        <v>1.1672178249479184</v>
      </c>
      <c r="Q17" s="215">
        <v>0</v>
      </c>
      <c r="R17" s="15" t="s">
        <v>834</v>
      </c>
      <c r="S17" s="15" t="s">
        <v>840</v>
      </c>
      <c r="T17" s="18" t="s">
        <v>758</v>
      </c>
      <c r="U17" s="18" t="s">
        <v>759</v>
      </c>
      <c r="V17" s="390"/>
      <c r="W17" s="390"/>
      <c r="X17" s="390"/>
      <c r="Y17" s="390"/>
      <c r="Z17" s="390"/>
      <c r="AA17" s="390"/>
      <c r="AB17" s="390"/>
      <c r="AC17" s="390"/>
      <c r="AD17" s="390"/>
      <c r="AE17" s="390"/>
      <c r="AF17" s="390"/>
      <c r="AG17" s="390"/>
      <c r="AH17" s="390"/>
      <c r="AI17" s="390"/>
      <c r="AJ17" s="390"/>
      <c r="AK17" s="390"/>
      <c r="AL17" s="390"/>
      <c r="AM17" s="390"/>
      <c r="AN17" s="390"/>
      <c r="AO17" s="390"/>
      <c r="AP17" s="390"/>
      <c r="AQ17" s="390"/>
      <c r="AR17" s="390"/>
      <c r="AS17" s="390"/>
      <c r="AT17" s="390"/>
      <c r="AU17" s="343"/>
      <c r="AV17" s="343"/>
      <c r="AW17" s="343"/>
      <c r="AX17" s="343"/>
      <c r="AY17" s="344"/>
      <c r="AZ17" s="345"/>
      <c r="BA17" s="346"/>
    </row>
    <row r="18" spans="1:53">
      <c r="A18" s="2" t="str">
        <f t="shared" si="0"/>
        <v>Res - Outreach &amp; Education_Behavior 2020 Y3 Persistence</v>
      </c>
      <c r="B18" s="18">
        <v>15</v>
      </c>
      <c r="C18" s="18" t="s">
        <v>698</v>
      </c>
      <c r="D18" s="18" t="s">
        <v>774</v>
      </c>
      <c r="E18" s="23" t="s">
        <v>150</v>
      </c>
      <c r="F18" s="23">
        <v>1</v>
      </c>
      <c r="G18" s="154">
        <v>1</v>
      </c>
      <c r="H18" s="447">
        <v>0</v>
      </c>
      <c r="I18" s="436">
        <v>0</v>
      </c>
      <c r="J18" s="23"/>
      <c r="K18" s="23"/>
      <c r="L18" s="23">
        <v>51600</v>
      </c>
      <c r="M18" s="23"/>
      <c r="N18" s="215">
        <v>0</v>
      </c>
      <c r="O18" s="215">
        <v>0</v>
      </c>
      <c r="P18" s="215">
        <v>0.51321444594913934</v>
      </c>
      <c r="Q18" s="215">
        <v>0</v>
      </c>
      <c r="R18" s="15" t="s">
        <v>834</v>
      </c>
      <c r="S18" s="15" t="s">
        <v>840</v>
      </c>
      <c r="T18" s="18" t="s">
        <v>758</v>
      </c>
      <c r="U18" s="18" t="s">
        <v>759</v>
      </c>
      <c r="V18" s="390"/>
      <c r="W18" s="390"/>
      <c r="X18" s="390"/>
      <c r="Y18" s="390"/>
      <c r="Z18" s="390"/>
      <c r="AA18" s="390"/>
      <c r="AB18" s="390"/>
      <c r="AC18" s="390"/>
      <c r="AD18" s="390"/>
      <c r="AE18" s="390"/>
      <c r="AF18" s="390"/>
      <c r="AG18" s="390"/>
      <c r="AH18" s="390"/>
      <c r="AI18" s="390"/>
      <c r="AJ18" s="390"/>
      <c r="AK18" s="390"/>
      <c r="AL18" s="390"/>
      <c r="AM18" s="390"/>
      <c r="AN18" s="390"/>
      <c r="AO18" s="390"/>
      <c r="AP18" s="390"/>
      <c r="AQ18" s="390"/>
      <c r="AR18" s="390"/>
      <c r="AS18" s="390"/>
      <c r="AT18" s="390"/>
      <c r="AU18" s="343"/>
      <c r="AV18" s="343"/>
      <c r="AW18" s="343"/>
      <c r="AX18" s="343"/>
      <c r="AY18" s="344"/>
      <c r="AZ18" s="345"/>
      <c r="BA18" s="346"/>
    </row>
    <row r="19" spans="1:53">
      <c r="A19" s="2" t="str">
        <f t="shared" si="0"/>
        <v>Res - Outreach &amp; Education_Behavior 2020 Y4 Persistence</v>
      </c>
      <c r="B19" s="18">
        <v>16</v>
      </c>
      <c r="C19" s="18" t="s">
        <v>698</v>
      </c>
      <c r="D19" s="18" t="s">
        <v>775</v>
      </c>
      <c r="E19" s="23" t="s">
        <v>150</v>
      </c>
      <c r="F19" s="23">
        <v>1</v>
      </c>
      <c r="G19" s="154">
        <v>1</v>
      </c>
      <c r="H19" s="447">
        <v>0</v>
      </c>
      <c r="I19" s="436">
        <v>0</v>
      </c>
      <c r="J19" s="23"/>
      <c r="K19" s="23"/>
      <c r="L19" s="23">
        <v>51600</v>
      </c>
      <c r="M19" s="23"/>
      <c r="N19" s="215">
        <v>0</v>
      </c>
      <c r="O19" s="215">
        <v>0</v>
      </c>
      <c r="P19" s="215">
        <v>0.22286958362668266</v>
      </c>
      <c r="Q19" s="215">
        <v>0</v>
      </c>
      <c r="R19" s="15" t="s">
        <v>834</v>
      </c>
      <c r="S19" s="15" t="s">
        <v>840</v>
      </c>
      <c r="T19" s="18" t="s">
        <v>758</v>
      </c>
      <c r="U19" s="18" t="s">
        <v>759</v>
      </c>
      <c r="V19" s="390"/>
      <c r="W19" s="390"/>
      <c r="X19" s="390"/>
      <c r="Y19" s="390"/>
      <c r="Z19" s="390"/>
      <c r="AA19" s="390"/>
      <c r="AB19" s="390"/>
      <c r="AC19" s="390"/>
      <c r="AD19" s="390"/>
      <c r="AE19" s="390"/>
      <c r="AF19" s="390"/>
      <c r="AG19" s="390"/>
      <c r="AH19" s="390"/>
      <c r="AI19" s="390"/>
      <c r="AJ19" s="390"/>
      <c r="AK19" s="390"/>
      <c r="AL19" s="390"/>
      <c r="AM19" s="390"/>
      <c r="AN19" s="390"/>
      <c r="AO19" s="390"/>
      <c r="AP19" s="390"/>
      <c r="AQ19" s="390"/>
      <c r="AR19" s="390"/>
      <c r="AS19" s="390"/>
      <c r="AT19" s="390"/>
      <c r="AU19" s="343"/>
      <c r="AV19" s="343"/>
      <c r="AW19" s="343"/>
      <c r="AX19" s="343"/>
      <c r="AY19" s="344"/>
      <c r="AZ19" s="345"/>
      <c r="BA19" s="346"/>
    </row>
    <row r="20" spans="1:53">
      <c r="A20" s="2" t="str">
        <f t="shared" si="0"/>
        <v>Res - Outreach &amp; Education_Behavior 2021 Y1 Persistence</v>
      </c>
      <c r="B20" s="18">
        <v>17</v>
      </c>
      <c r="C20" s="18" t="s">
        <v>698</v>
      </c>
      <c r="D20" s="18" t="s">
        <v>776</v>
      </c>
      <c r="E20" s="23" t="s">
        <v>150</v>
      </c>
      <c r="F20" s="23">
        <v>1</v>
      </c>
      <c r="G20" s="154">
        <v>1</v>
      </c>
      <c r="H20" s="447">
        <v>0</v>
      </c>
      <c r="I20" s="436">
        <v>0</v>
      </c>
      <c r="J20" s="23"/>
      <c r="K20" s="23"/>
      <c r="L20" s="23"/>
      <c r="M20" s="23">
        <v>50400</v>
      </c>
      <c r="N20" s="215">
        <v>0</v>
      </c>
      <c r="O20" s="215">
        <v>0</v>
      </c>
      <c r="P20" s="215">
        <v>0</v>
      </c>
      <c r="Q20" s="215">
        <v>2.7035674491061457</v>
      </c>
      <c r="R20" s="15" t="s">
        <v>834</v>
      </c>
      <c r="S20" s="15" t="s">
        <v>840</v>
      </c>
      <c r="T20" s="18" t="s">
        <v>758</v>
      </c>
      <c r="U20" s="18" t="s">
        <v>759</v>
      </c>
      <c r="V20" s="390"/>
      <c r="W20" s="390"/>
      <c r="X20" s="390"/>
      <c r="Y20" s="390"/>
      <c r="Z20" s="390"/>
      <c r="AA20" s="390"/>
      <c r="AB20" s="390"/>
      <c r="AC20" s="390"/>
      <c r="AD20" s="390"/>
      <c r="AE20" s="390"/>
      <c r="AF20" s="390"/>
      <c r="AG20" s="390"/>
      <c r="AH20" s="390"/>
      <c r="AI20" s="390"/>
      <c r="AJ20" s="390"/>
      <c r="AK20" s="390"/>
      <c r="AL20" s="390"/>
      <c r="AM20" s="390"/>
      <c r="AN20" s="390"/>
      <c r="AO20" s="390"/>
      <c r="AP20" s="390"/>
      <c r="AQ20" s="390"/>
      <c r="AR20" s="390"/>
      <c r="AS20" s="390"/>
      <c r="AT20" s="390"/>
      <c r="AU20" s="343"/>
      <c r="AV20" s="343"/>
      <c r="AW20" s="343"/>
      <c r="AX20" s="343"/>
      <c r="AY20" s="344"/>
      <c r="AZ20" s="345"/>
      <c r="BA20" s="346"/>
    </row>
    <row r="21" spans="1:53">
      <c r="A21" s="2" t="str">
        <f t="shared" si="0"/>
        <v>Res - Outreach &amp; Education_Behavior 2021 Y2 Persistence</v>
      </c>
      <c r="B21" s="18">
        <v>18</v>
      </c>
      <c r="C21" s="18" t="s">
        <v>698</v>
      </c>
      <c r="D21" s="18" t="s">
        <v>777</v>
      </c>
      <c r="E21" s="23" t="s">
        <v>150</v>
      </c>
      <c r="F21" s="23">
        <v>1</v>
      </c>
      <c r="G21" s="154">
        <v>1</v>
      </c>
      <c r="H21" s="447">
        <v>0</v>
      </c>
      <c r="I21" s="436">
        <v>0</v>
      </c>
      <c r="J21" s="23"/>
      <c r="K21" s="23"/>
      <c r="L21" s="23"/>
      <c r="M21" s="23">
        <v>50400</v>
      </c>
      <c r="N21" s="215">
        <v>0</v>
      </c>
      <c r="O21" s="215">
        <v>0</v>
      </c>
      <c r="P21" s="215">
        <v>0</v>
      </c>
      <c r="Q21" s="215">
        <v>1.1740568809878209</v>
      </c>
      <c r="R21" s="15" t="s">
        <v>834</v>
      </c>
      <c r="S21" s="15" t="s">
        <v>840</v>
      </c>
      <c r="T21" s="18" t="s">
        <v>758</v>
      </c>
      <c r="U21" s="18" t="s">
        <v>759</v>
      </c>
      <c r="V21" s="390"/>
      <c r="W21" s="390"/>
      <c r="X21" s="390"/>
      <c r="Y21" s="390"/>
      <c r="Z21" s="390"/>
      <c r="AA21" s="390"/>
      <c r="AB21" s="390"/>
      <c r="AC21" s="390"/>
      <c r="AD21" s="390"/>
      <c r="AE21" s="390"/>
      <c r="AF21" s="390"/>
      <c r="AG21" s="390"/>
      <c r="AH21" s="390"/>
      <c r="AI21" s="390"/>
      <c r="AJ21" s="390"/>
      <c r="AK21" s="390"/>
      <c r="AL21" s="390"/>
      <c r="AM21" s="390"/>
      <c r="AN21" s="390"/>
      <c r="AO21" s="390"/>
      <c r="AP21" s="390"/>
      <c r="AQ21" s="390"/>
      <c r="AR21" s="390"/>
      <c r="AS21" s="390"/>
      <c r="AT21" s="390"/>
      <c r="AU21" s="343"/>
      <c r="AV21" s="343"/>
      <c r="AW21" s="343"/>
      <c r="AX21" s="343"/>
      <c r="AY21" s="344"/>
      <c r="AZ21" s="345"/>
      <c r="BA21" s="346"/>
    </row>
    <row r="22" spans="1:53">
      <c r="A22" s="2" t="str">
        <f t="shared" si="0"/>
        <v>Res - Outreach &amp; Education_Behavior 2021 Y3 Persistence</v>
      </c>
      <c r="B22" s="18">
        <v>19</v>
      </c>
      <c r="C22" s="18" t="s">
        <v>698</v>
      </c>
      <c r="D22" s="18" t="s">
        <v>778</v>
      </c>
      <c r="E22" s="23" t="s">
        <v>150</v>
      </c>
      <c r="F22" s="23">
        <v>1</v>
      </c>
      <c r="G22" s="154">
        <v>1</v>
      </c>
      <c r="H22" s="447">
        <v>0</v>
      </c>
      <c r="I22" s="436">
        <v>0</v>
      </c>
      <c r="J22" s="23"/>
      <c r="K22" s="23"/>
      <c r="L22" s="23"/>
      <c r="M22" s="23">
        <v>50400</v>
      </c>
      <c r="N22" s="215">
        <v>0</v>
      </c>
      <c r="O22" s="215">
        <v>0</v>
      </c>
      <c r="P22" s="215">
        <v>0</v>
      </c>
      <c r="Q22" s="215">
        <v>0.51622151308032393</v>
      </c>
      <c r="R22" s="15" t="s">
        <v>834</v>
      </c>
      <c r="S22" s="15" t="s">
        <v>840</v>
      </c>
      <c r="T22" s="18" t="s">
        <v>758</v>
      </c>
      <c r="U22" s="18" t="s">
        <v>759</v>
      </c>
      <c r="V22" s="390"/>
      <c r="W22" s="390"/>
      <c r="X22" s="390"/>
      <c r="Y22" s="390"/>
      <c r="Z22" s="390"/>
      <c r="AA22" s="390"/>
      <c r="AB22" s="390"/>
      <c r="AC22" s="390"/>
      <c r="AD22" s="390"/>
      <c r="AE22" s="390"/>
      <c r="AF22" s="390"/>
      <c r="AG22" s="390"/>
      <c r="AH22" s="390"/>
      <c r="AI22" s="390"/>
      <c r="AJ22" s="390"/>
      <c r="AK22" s="390"/>
      <c r="AL22" s="390"/>
      <c r="AM22" s="390"/>
      <c r="AN22" s="390"/>
      <c r="AO22" s="390"/>
      <c r="AP22" s="390"/>
      <c r="AQ22" s="390"/>
      <c r="AR22" s="390"/>
      <c r="AS22" s="390"/>
      <c r="AT22" s="390"/>
      <c r="AU22" s="343"/>
      <c r="AV22" s="343"/>
      <c r="AW22" s="343"/>
      <c r="AX22" s="343"/>
      <c r="AY22" s="344"/>
      <c r="AZ22" s="345"/>
      <c r="BA22" s="346"/>
    </row>
    <row r="23" spans="1:53">
      <c r="A23" s="2" t="str">
        <f t="shared" si="0"/>
        <v>Res - Outreach &amp; Education_Behavior 2021 Y4 Persistence</v>
      </c>
      <c r="B23" s="18">
        <v>20</v>
      </c>
      <c r="C23" s="18" t="s">
        <v>698</v>
      </c>
      <c r="D23" s="18" t="s">
        <v>779</v>
      </c>
      <c r="E23" s="23" t="s">
        <v>150</v>
      </c>
      <c r="F23" s="23">
        <v>1</v>
      </c>
      <c r="G23" s="154">
        <v>1</v>
      </c>
      <c r="H23" s="447">
        <v>0</v>
      </c>
      <c r="I23" s="436">
        <v>0</v>
      </c>
      <c r="J23" s="23"/>
      <c r="K23" s="23"/>
      <c r="L23" s="23"/>
      <c r="M23" s="23">
        <v>50400</v>
      </c>
      <c r="N23" s="215">
        <v>0</v>
      </c>
      <c r="O23" s="215">
        <v>0</v>
      </c>
      <c r="P23" s="215">
        <v>0</v>
      </c>
      <c r="Q23" s="215">
        <v>0.22417543891730132</v>
      </c>
      <c r="R23" s="15" t="s">
        <v>834</v>
      </c>
      <c r="S23" s="15" t="s">
        <v>840</v>
      </c>
      <c r="T23" s="18" t="s">
        <v>758</v>
      </c>
      <c r="U23" s="18" t="s">
        <v>759</v>
      </c>
      <c r="V23" s="390"/>
      <c r="W23" s="390"/>
      <c r="X23" s="390"/>
      <c r="Y23" s="390"/>
      <c r="Z23" s="390"/>
      <c r="AA23" s="390"/>
      <c r="AB23" s="390"/>
      <c r="AC23" s="390"/>
      <c r="AD23" s="390"/>
      <c r="AE23" s="390"/>
      <c r="AF23" s="390"/>
      <c r="AG23" s="390"/>
      <c r="AH23" s="390"/>
      <c r="AI23" s="390"/>
      <c r="AJ23" s="390"/>
      <c r="AK23" s="390"/>
      <c r="AL23" s="390"/>
      <c r="AM23" s="390"/>
      <c r="AN23" s="390"/>
      <c r="AO23" s="390"/>
      <c r="AP23" s="390"/>
      <c r="AQ23" s="390"/>
      <c r="AR23" s="390"/>
      <c r="AS23" s="390"/>
      <c r="AT23" s="390"/>
      <c r="AU23" s="343"/>
      <c r="AV23" s="343"/>
      <c r="AW23" s="343"/>
      <c r="AX23" s="343"/>
      <c r="AY23" s="344"/>
      <c r="AZ23" s="345"/>
      <c r="BA23" s="346"/>
    </row>
    <row r="24" spans="1:53">
      <c r="A24" s="2" t="str">
        <f t="shared" si="0"/>
        <v>Res - Outreach &amp; Education_Energy Education</v>
      </c>
      <c r="B24" s="18">
        <v>21</v>
      </c>
      <c r="C24" s="18" t="s">
        <v>698</v>
      </c>
      <c r="D24" s="18" t="s">
        <v>668</v>
      </c>
      <c r="E24" s="23" t="s">
        <v>150</v>
      </c>
      <c r="F24" s="23">
        <v>1</v>
      </c>
      <c r="G24" s="154">
        <v>1</v>
      </c>
      <c r="H24" s="447">
        <v>4</v>
      </c>
      <c r="I24" s="436">
        <v>4</v>
      </c>
      <c r="J24" s="23">
        <v>1375</v>
      </c>
      <c r="K24" s="23">
        <v>1375</v>
      </c>
      <c r="L24" s="23">
        <v>1375</v>
      </c>
      <c r="M24" s="23">
        <v>1375</v>
      </c>
      <c r="N24" s="215">
        <v>10</v>
      </c>
      <c r="O24" s="215">
        <v>10</v>
      </c>
      <c r="P24" s="215">
        <v>10</v>
      </c>
      <c r="Q24" s="215">
        <v>10</v>
      </c>
      <c r="R24" s="18" t="s">
        <v>140</v>
      </c>
      <c r="S24" s="18" t="s">
        <v>140</v>
      </c>
      <c r="T24" s="18" t="s">
        <v>140</v>
      </c>
      <c r="U24" s="18" t="s">
        <v>140</v>
      </c>
      <c r="V24" s="390" t="s">
        <v>140</v>
      </c>
      <c r="W24" s="390"/>
      <c r="X24" s="390"/>
      <c r="Y24" s="390"/>
      <c r="Z24" s="390"/>
      <c r="AA24" s="390"/>
      <c r="AB24" s="390"/>
      <c r="AC24" s="390"/>
      <c r="AD24" s="390"/>
      <c r="AE24" s="390"/>
      <c r="AF24" s="390"/>
      <c r="AG24" s="390"/>
      <c r="AH24" s="390"/>
      <c r="AI24" s="390"/>
      <c r="AJ24" s="390"/>
      <c r="AK24" s="390"/>
      <c r="AL24" s="390"/>
      <c r="AM24" s="390"/>
      <c r="AN24" s="390"/>
      <c r="AO24" s="390"/>
      <c r="AP24" s="390"/>
      <c r="AQ24" s="390"/>
      <c r="AR24" s="390"/>
      <c r="AS24" s="390"/>
      <c r="AT24" s="390"/>
      <c r="AU24" s="343"/>
      <c r="AV24" s="343"/>
      <c r="AW24" s="343"/>
      <c r="AX24" s="343"/>
      <c r="AY24" s="344"/>
      <c r="AZ24" s="345"/>
      <c r="BA24" s="346"/>
    </row>
    <row r="25" spans="1:53">
      <c r="A25" s="2" t="str">
        <f t="shared" si="0"/>
        <v>Res - SF Assessments_Bathroom Aerator</v>
      </c>
      <c r="B25" s="18">
        <v>22</v>
      </c>
      <c r="C25" s="18" t="s">
        <v>690</v>
      </c>
      <c r="D25" s="18" t="s">
        <v>733</v>
      </c>
      <c r="E25" s="23" t="s">
        <v>150</v>
      </c>
      <c r="F25" s="23">
        <v>1</v>
      </c>
      <c r="G25" s="154">
        <v>0.96</v>
      </c>
      <c r="H25" s="447">
        <v>9</v>
      </c>
      <c r="I25" s="443">
        <v>10</v>
      </c>
      <c r="J25" s="23">
        <v>3920</v>
      </c>
      <c r="K25" s="23">
        <v>3920</v>
      </c>
      <c r="L25" s="23">
        <v>3864</v>
      </c>
      <c r="M25" s="23">
        <v>3920</v>
      </c>
      <c r="N25" s="215">
        <f>100%*(((X25*AB25)-(Z25*AB25))*AL25*365.25*AD25/AF25)*AH25*AJ25</f>
        <v>0.90849584455671673</v>
      </c>
      <c r="O25" s="215">
        <f t="shared" ref="O25:Q44" si="1">N25</f>
        <v>0.90849584455671673</v>
      </c>
      <c r="P25" s="215">
        <f t="shared" si="1"/>
        <v>0.90849584455671673</v>
      </c>
      <c r="Q25" s="215">
        <f t="shared" si="1"/>
        <v>0.90849584455671673</v>
      </c>
      <c r="R25" s="15" t="s">
        <v>838</v>
      </c>
      <c r="S25" s="15" t="s">
        <v>840</v>
      </c>
      <c r="T25" s="15" t="s">
        <v>470</v>
      </c>
      <c r="U25" s="15" t="s">
        <v>469</v>
      </c>
      <c r="V25" s="390" t="s">
        <v>467</v>
      </c>
      <c r="W25" s="391" t="s">
        <v>359</v>
      </c>
      <c r="X25" s="391">
        <v>1.53</v>
      </c>
      <c r="Y25" s="390" t="s">
        <v>358</v>
      </c>
      <c r="Z25" s="390">
        <v>0.94</v>
      </c>
      <c r="AA25" s="157" t="s">
        <v>357</v>
      </c>
      <c r="AB25" s="390">
        <v>1.6</v>
      </c>
      <c r="AC25" s="157" t="s">
        <v>468</v>
      </c>
      <c r="AD25" s="392">
        <v>0.9</v>
      </c>
      <c r="AE25" s="157" t="s">
        <v>364</v>
      </c>
      <c r="AF25" s="390">
        <v>2.83</v>
      </c>
      <c r="AG25" s="390" t="s">
        <v>355</v>
      </c>
      <c r="AH25" s="393">
        <f>8.33*1*(86-54.1)/(AN25*100000)</f>
        <v>3.4067564102564099E-3</v>
      </c>
      <c r="AI25" s="390" t="s">
        <v>354</v>
      </c>
      <c r="AJ25" s="390">
        <v>0.95</v>
      </c>
      <c r="AK25" s="390" t="s">
        <v>462</v>
      </c>
      <c r="AL25" s="390">
        <v>2.56</v>
      </c>
      <c r="AM25" s="390" t="s">
        <v>461</v>
      </c>
      <c r="AN25" s="392">
        <v>0.78</v>
      </c>
      <c r="AO25" s="166"/>
      <c r="AP25" s="166"/>
      <c r="AQ25" s="166"/>
      <c r="AR25" s="166"/>
      <c r="AS25" s="166"/>
      <c r="AT25" s="166"/>
      <c r="AU25" s="343"/>
      <c r="AV25" s="343"/>
      <c r="AW25" s="343"/>
      <c r="AX25" s="343"/>
      <c r="AY25" s="344"/>
      <c r="AZ25" s="345"/>
      <c r="BA25" s="346"/>
    </row>
    <row r="26" spans="1:53">
      <c r="A26" s="2" t="str">
        <f t="shared" si="0"/>
        <v>Res - SF Assessments_Kitchen Aerator</v>
      </c>
      <c r="B26" s="18">
        <v>23</v>
      </c>
      <c r="C26" s="18" t="s">
        <v>690</v>
      </c>
      <c r="D26" s="18" t="s">
        <v>732</v>
      </c>
      <c r="E26" s="23" t="s">
        <v>150</v>
      </c>
      <c r="F26" s="23">
        <v>1</v>
      </c>
      <c r="G26" s="154">
        <v>0.96</v>
      </c>
      <c r="H26" s="447">
        <v>9</v>
      </c>
      <c r="I26" s="443">
        <v>10</v>
      </c>
      <c r="J26" s="23">
        <v>823</v>
      </c>
      <c r="K26" s="23">
        <v>823</v>
      </c>
      <c r="L26" s="23">
        <v>811</v>
      </c>
      <c r="M26" s="23">
        <v>823</v>
      </c>
      <c r="N26" s="215">
        <f>100%*(((X26*AB26)-(Z26*AB26))*AL26*365.25*AD26/AF26)*AH26*AJ26</f>
        <v>8.5936302377584592</v>
      </c>
      <c r="O26" s="215">
        <f t="shared" si="1"/>
        <v>8.5936302377584592</v>
      </c>
      <c r="P26" s="215">
        <f t="shared" si="1"/>
        <v>8.5936302377584592</v>
      </c>
      <c r="Q26" s="215">
        <f t="shared" si="1"/>
        <v>8.5936302377584592</v>
      </c>
      <c r="R26" s="15" t="s">
        <v>838</v>
      </c>
      <c r="S26" s="15" t="s">
        <v>840</v>
      </c>
      <c r="T26" s="15" t="s">
        <v>470</v>
      </c>
      <c r="U26" s="15" t="s">
        <v>469</v>
      </c>
      <c r="V26" s="390" t="s">
        <v>467</v>
      </c>
      <c r="W26" s="391" t="s">
        <v>359</v>
      </c>
      <c r="X26" s="391">
        <v>1.63</v>
      </c>
      <c r="Y26" s="390" t="s">
        <v>358</v>
      </c>
      <c r="Z26" s="390">
        <v>0.94</v>
      </c>
      <c r="AA26" s="157" t="s">
        <v>357</v>
      </c>
      <c r="AB26" s="390">
        <v>4.5</v>
      </c>
      <c r="AC26" s="157" t="s">
        <v>468</v>
      </c>
      <c r="AD26" s="392">
        <v>0.75</v>
      </c>
      <c r="AE26" s="157" t="s">
        <v>364</v>
      </c>
      <c r="AF26" s="390">
        <v>1</v>
      </c>
      <c r="AG26" s="390" t="s">
        <v>355</v>
      </c>
      <c r="AH26" s="393">
        <f>8.33*1*(93-54.1)/(AN26*100000)</f>
        <v>4.1543205128205122E-3</v>
      </c>
      <c r="AI26" s="390" t="s">
        <v>354</v>
      </c>
      <c r="AJ26" s="390">
        <v>0.95</v>
      </c>
      <c r="AK26" s="390" t="s">
        <v>462</v>
      </c>
      <c r="AL26" s="390">
        <v>2.56</v>
      </c>
      <c r="AM26" s="390" t="s">
        <v>461</v>
      </c>
      <c r="AN26" s="392">
        <v>0.78</v>
      </c>
      <c r="AO26" s="166"/>
      <c r="AP26" s="166"/>
      <c r="AQ26" s="166"/>
      <c r="AR26" s="166"/>
      <c r="AS26" s="166"/>
      <c r="AT26" s="166"/>
      <c r="AU26" s="343"/>
      <c r="AV26" s="343"/>
      <c r="AW26" s="343"/>
      <c r="AX26" s="343"/>
      <c r="AY26" s="344"/>
      <c r="AZ26" s="347"/>
      <c r="BA26" s="346"/>
    </row>
    <row r="27" spans="1:53">
      <c r="A27" s="2" t="str">
        <f t="shared" si="0"/>
        <v>Res - SF Assessments_Showerhead</v>
      </c>
      <c r="B27" s="18">
        <v>24</v>
      </c>
      <c r="C27" s="18" t="s">
        <v>690</v>
      </c>
      <c r="D27" s="18" t="s">
        <v>731</v>
      </c>
      <c r="E27" s="23" t="s">
        <v>150</v>
      </c>
      <c r="F27" s="23">
        <v>1</v>
      </c>
      <c r="G27" s="154">
        <v>0.96</v>
      </c>
      <c r="H27" s="447">
        <v>10</v>
      </c>
      <c r="I27" s="436">
        <v>10</v>
      </c>
      <c r="J27" s="23">
        <v>3315</v>
      </c>
      <c r="K27" s="23">
        <v>3315</v>
      </c>
      <c r="L27" s="23">
        <v>3267</v>
      </c>
      <c r="M27" s="23">
        <v>3315</v>
      </c>
      <c r="N27" s="215">
        <f>100%*((X27*AB27-Z27*AB27)*AL27*AF27*365.25/AH27)*AD27*AJ27</f>
        <v>8.7892072937103034</v>
      </c>
      <c r="O27" s="215">
        <f t="shared" si="1"/>
        <v>8.7892072937103034</v>
      </c>
      <c r="P27" s="215">
        <f t="shared" si="1"/>
        <v>8.7892072937103034</v>
      </c>
      <c r="Q27" s="215">
        <f t="shared" si="1"/>
        <v>8.7892072937103034</v>
      </c>
      <c r="R27" s="15" t="s">
        <v>838</v>
      </c>
      <c r="S27" s="15" t="s">
        <v>840</v>
      </c>
      <c r="T27" s="15" t="s">
        <v>466</v>
      </c>
      <c r="U27" s="15" t="s">
        <v>465</v>
      </c>
      <c r="V27" s="390" t="s">
        <v>460</v>
      </c>
      <c r="W27" s="391" t="s">
        <v>359</v>
      </c>
      <c r="X27" s="391">
        <v>2.2400000000000002</v>
      </c>
      <c r="Y27" s="390" t="s">
        <v>358</v>
      </c>
      <c r="Z27" s="390">
        <v>1.5</v>
      </c>
      <c r="AA27" s="157" t="s">
        <v>357</v>
      </c>
      <c r="AB27" s="390">
        <v>7.8</v>
      </c>
      <c r="AC27" s="157" t="s">
        <v>355</v>
      </c>
      <c r="AD27" s="393">
        <f>8.33*1*(101-54.1)/(AN27*100000)</f>
        <v>5.0086794871794871E-3</v>
      </c>
      <c r="AE27" s="157" t="s">
        <v>464</v>
      </c>
      <c r="AF27" s="390">
        <v>0.6</v>
      </c>
      <c r="AG27" s="390" t="s">
        <v>463</v>
      </c>
      <c r="AH27" s="390">
        <v>1.79</v>
      </c>
      <c r="AI27" s="461" t="s">
        <v>354</v>
      </c>
      <c r="AJ27" s="461">
        <v>0.97</v>
      </c>
      <c r="AK27" s="390" t="s">
        <v>462</v>
      </c>
      <c r="AL27" s="390">
        <v>2.56</v>
      </c>
      <c r="AM27" s="390" t="s">
        <v>461</v>
      </c>
      <c r="AN27" s="392">
        <v>0.78</v>
      </c>
      <c r="AO27" s="166"/>
      <c r="AP27" s="166"/>
      <c r="AQ27" s="166"/>
      <c r="AR27" s="166"/>
      <c r="AS27" s="166"/>
      <c r="AT27" s="166"/>
      <c r="AU27" s="343"/>
      <c r="AV27" s="343"/>
      <c r="AW27" s="343"/>
      <c r="AX27" s="343"/>
      <c r="AY27" s="344"/>
      <c r="AZ27" s="345"/>
      <c r="BA27" s="346"/>
    </row>
    <row r="28" spans="1:53">
      <c r="A28" s="2" t="str">
        <f t="shared" si="0"/>
        <v>Res - SF Assessments_Pipe Insulation (DHW)</v>
      </c>
      <c r="B28" s="18">
        <v>25</v>
      </c>
      <c r="C28" s="18" t="s">
        <v>690</v>
      </c>
      <c r="D28" s="18" t="s">
        <v>1052</v>
      </c>
      <c r="E28" s="23" t="s">
        <v>210</v>
      </c>
      <c r="F28" s="23">
        <v>3</v>
      </c>
      <c r="G28" s="154">
        <v>0.96</v>
      </c>
      <c r="H28" s="447">
        <v>15</v>
      </c>
      <c r="I28" s="436">
        <v>15</v>
      </c>
      <c r="J28" s="23">
        <v>1905</v>
      </c>
      <c r="K28" s="23">
        <v>1905</v>
      </c>
      <c r="L28" s="23">
        <v>1877</v>
      </c>
      <c r="M28" s="23">
        <v>1905</v>
      </c>
      <c r="N28" s="389">
        <f xml:space="preserve"> ((X28 / Z28 - AB28 / AD28) * AF28 * AH28 * 8766) / AJ28 / 100000</f>
        <v>0.77039653846153844</v>
      </c>
      <c r="O28" s="215">
        <f t="shared" si="1"/>
        <v>0.77039653846153844</v>
      </c>
      <c r="P28" s="215">
        <f t="shared" si="1"/>
        <v>0.77039653846153844</v>
      </c>
      <c r="Q28" s="215">
        <f t="shared" si="1"/>
        <v>0.77039653846153844</v>
      </c>
      <c r="R28" s="15" t="s">
        <v>838</v>
      </c>
      <c r="S28" s="15" t="s">
        <v>840</v>
      </c>
      <c r="T28" s="15" t="s">
        <v>459</v>
      </c>
      <c r="U28" s="15" t="s">
        <v>458</v>
      </c>
      <c r="V28" s="394" t="s">
        <v>841</v>
      </c>
      <c r="W28" s="158" t="s">
        <v>451</v>
      </c>
      <c r="X28" s="166">
        <v>0.19600000000000001</v>
      </c>
      <c r="Y28" s="166" t="s">
        <v>454</v>
      </c>
      <c r="Z28" s="166">
        <v>1</v>
      </c>
      <c r="AA28" s="395" t="s">
        <v>842</v>
      </c>
      <c r="AB28" s="394">
        <v>0.32700000000000001</v>
      </c>
      <c r="AC28" s="166" t="s">
        <v>453</v>
      </c>
      <c r="AD28" s="166">
        <f>(1+3)</f>
        <v>4</v>
      </c>
      <c r="AE28" s="158" t="s">
        <v>260</v>
      </c>
      <c r="AF28" s="166">
        <v>1</v>
      </c>
      <c r="AG28" s="158" t="s">
        <v>304</v>
      </c>
      <c r="AH28" s="166">
        <v>60</v>
      </c>
      <c r="AI28" s="166" t="s">
        <v>457</v>
      </c>
      <c r="AJ28" s="166">
        <v>0.78</v>
      </c>
      <c r="AK28" s="166"/>
      <c r="AL28" s="166"/>
      <c r="AM28" s="166"/>
      <c r="AN28" s="166"/>
      <c r="AO28" s="166"/>
      <c r="AP28" s="166"/>
      <c r="AQ28" s="166"/>
      <c r="AR28" s="166"/>
      <c r="AS28" s="166"/>
      <c r="AT28" s="166"/>
      <c r="AU28" s="343"/>
      <c r="AV28" s="343"/>
      <c r="AW28" s="343"/>
      <c r="AX28" s="343"/>
      <c r="AY28" s="344"/>
      <c r="AZ28" s="345"/>
      <c r="BA28" s="346"/>
    </row>
    <row r="29" spans="1:53">
      <c r="A29" s="2" t="str">
        <f t="shared" si="0"/>
        <v>Res - SF Assessments_Pipe Insulation (Boiler)</v>
      </c>
      <c r="B29" s="18">
        <v>26</v>
      </c>
      <c r="C29" s="18" t="s">
        <v>690</v>
      </c>
      <c r="D29" s="18" t="s">
        <v>701</v>
      </c>
      <c r="E29" s="23" t="s">
        <v>210</v>
      </c>
      <c r="F29" s="23">
        <v>3</v>
      </c>
      <c r="G29" s="154">
        <v>0.96</v>
      </c>
      <c r="H29" s="447">
        <v>15</v>
      </c>
      <c r="I29" s="436">
        <v>15</v>
      </c>
      <c r="J29" s="23">
        <v>24</v>
      </c>
      <c r="K29" s="23">
        <v>24</v>
      </c>
      <c r="L29" s="23">
        <v>24</v>
      </c>
      <c r="M29" s="23">
        <v>24</v>
      </c>
      <c r="N29" s="342">
        <f>((1/X29*AD29-1/Z29*AF29)*AB29*AH29*AJ29/AL29/100000)</f>
        <v>0.41554055468341189</v>
      </c>
      <c r="O29" s="215">
        <f t="shared" si="1"/>
        <v>0.41554055468341189</v>
      </c>
      <c r="P29" s="215">
        <f t="shared" si="1"/>
        <v>0.41554055468341189</v>
      </c>
      <c r="Q29" s="215">
        <f t="shared" si="1"/>
        <v>0.41554055468341189</v>
      </c>
      <c r="R29" s="15" t="s">
        <v>838</v>
      </c>
      <c r="S29" s="15" t="s">
        <v>840</v>
      </c>
      <c r="T29" s="15" t="s">
        <v>456</v>
      </c>
      <c r="U29" s="15" t="s">
        <v>455</v>
      </c>
      <c r="V29" s="166" t="s">
        <v>448</v>
      </c>
      <c r="W29" s="166" t="s">
        <v>454</v>
      </c>
      <c r="X29" s="166">
        <v>0.5</v>
      </c>
      <c r="Y29" s="166" t="s">
        <v>453</v>
      </c>
      <c r="Z29" s="166">
        <f>3+0.5</f>
        <v>3.5</v>
      </c>
      <c r="AA29" s="158" t="s">
        <v>452</v>
      </c>
      <c r="AB29" s="166">
        <v>1840</v>
      </c>
      <c r="AC29" s="158" t="s">
        <v>451</v>
      </c>
      <c r="AD29" s="166">
        <f>(0.131+0.196)/2</f>
        <v>0.16350000000000001</v>
      </c>
      <c r="AE29" s="158" t="s">
        <v>450</v>
      </c>
      <c r="AF29" s="396">
        <f>(((0.5+1)+(0.75+1))/2)*3.14/12</f>
        <v>0.42520833333333335</v>
      </c>
      <c r="AG29" s="166" t="s">
        <v>260</v>
      </c>
      <c r="AH29" s="166">
        <v>1</v>
      </c>
      <c r="AI29" s="166" t="s">
        <v>304</v>
      </c>
      <c r="AJ29" s="166">
        <f>(110+70)/2</f>
        <v>90</v>
      </c>
      <c r="AK29" s="166" t="s">
        <v>449</v>
      </c>
      <c r="AL29" s="166">
        <v>0.81899999999999995</v>
      </c>
      <c r="AM29" s="166"/>
      <c r="AN29" s="166"/>
      <c r="AO29" s="166"/>
      <c r="AP29" s="166"/>
      <c r="AQ29" s="166"/>
      <c r="AR29" s="166"/>
      <c r="AS29" s="166"/>
      <c r="AT29" s="166"/>
      <c r="AU29" s="343"/>
      <c r="AV29" s="343"/>
      <c r="AW29" s="343"/>
      <c r="AX29" s="343"/>
      <c r="AY29" s="344"/>
      <c r="AZ29" s="345"/>
      <c r="BA29" s="346"/>
    </row>
    <row r="30" spans="1:53">
      <c r="A30" s="2" t="str">
        <f t="shared" si="0"/>
        <v>Res - SF Assessments_Programmable Thermostat - Furnace</v>
      </c>
      <c r="B30" s="18">
        <v>27</v>
      </c>
      <c r="C30" s="18" t="s">
        <v>690</v>
      </c>
      <c r="D30" s="18" t="s">
        <v>702</v>
      </c>
      <c r="E30" s="23" t="s">
        <v>150</v>
      </c>
      <c r="F30" s="23">
        <v>1</v>
      </c>
      <c r="G30" s="154">
        <v>0.96</v>
      </c>
      <c r="H30" s="447">
        <v>5</v>
      </c>
      <c r="I30" s="443">
        <v>8</v>
      </c>
      <c r="J30" s="23">
        <v>484</v>
      </c>
      <c r="K30" s="23">
        <v>484</v>
      </c>
      <c r="L30" s="23">
        <v>477</v>
      </c>
      <c r="M30" s="23">
        <v>484</v>
      </c>
      <c r="N30" s="354">
        <f t="shared" ref="N30:N36" si="2">X30*Z30*AB30*AD30</f>
        <v>62.31</v>
      </c>
      <c r="O30" s="215">
        <f t="shared" si="1"/>
        <v>62.31</v>
      </c>
      <c r="P30" s="215">
        <f t="shared" si="1"/>
        <v>62.31</v>
      </c>
      <c r="Q30" s="215">
        <f t="shared" si="1"/>
        <v>62.31</v>
      </c>
      <c r="R30" s="15" t="s">
        <v>838</v>
      </c>
      <c r="S30" s="15" t="s">
        <v>840</v>
      </c>
      <c r="T30" s="15" t="s">
        <v>447</v>
      </c>
      <c r="U30" s="15" t="s">
        <v>446</v>
      </c>
      <c r="V30" s="390" t="s">
        <v>734</v>
      </c>
      <c r="W30" s="159" t="s">
        <v>445</v>
      </c>
      <c r="X30" s="160">
        <v>1005</v>
      </c>
      <c r="Y30" s="161" t="s">
        <v>444</v>
      </c>
      <c r="Z30" s="162">
        <v>6.2E-2</v>
      </c>
      <c r="AA30" s="157" t="s">
        <v>392</v>
      </c>
      <c r="AB30" s="163">
        <v>1</v>
      </c>
      <c r="AC30" s="157" t="s">
        <v>443</v>
      </c>
      <c r="AD30" s="163">
        <v>1</v>
      </c>
      <c r="AE30" s="157" t="s">
        <v>442</v>
      </c>
      <c r="AF30" s="164">
        <v>3.1399999999999997E-2</v>
      </c>
      <c r="AG30" s="166"/>
      <c r="AH30" s="166"/>
      <c r="AI30" s="166"/>
      <c r="AJ30" s="166"/>
      <c r="AK30" s="166"/>
      <c r="AL30" s="166"/>
      <c r="AM30" s="166"/>
      <c r="AN30" s="166"/>
      <c r="AO30" s="166"/>
      <c r="AP30" s="166"/>
      <c r="AQ30" s="166"/>
      <c r="AR30" s="166"/>
      <c r="AS30" s="166"/>
      <c r="AT30" s="166"/>
      <c r="AU30" s="343"/>
      <c r="AV30" s="343"/>
      <c r="AW30" s="343"/>
      <c r="AX30" s="343"/>
      <c r="AY30" s="344"/>
      <c r="AZ30" s="345"/>
      <c r="BA30" s="346"/>
    </row>
    <row r="31" spans="1:53">
      <c r="A31" s="2" t="str">
        <f t="shared" si="0"/>
        <v>Res - SF Assessments_Programmable Thermostat - Boiler</v>
      </c>
      <c r="B31" s="18">
        <v>28</v>
      </c>
      <c r="C31" s="18" t="s">
        <v>690</v>
      </c>
      <c r="D31" s="18" t="s">
        <v>1053</v>
      </c>
      <c r="E31" s="23" t="s">
        <v>150</v>
      </c>
      <c r="F31" s="23">
        <v>1</v>
      </c>
      <c r="G31" s="154">
        <v>0.96</v>
      </c>
      <c r="H31" s="447">
        <v>5</v>
      </c>
      <c r="I31" s="443">
        <v>8</v>
      </c>
      <c r="J31" s="23">
        <v>0</v>
      </c>
      <c r="K31" s="23">
        <v>0</v>
      </c>
      <c r="L31" s="23">
        <v>0</v>
      </c>
      <c r="M31" s="23">
        <v>0</v>
      </c>
      <c r="N31" s="354">
        <f t="shared" si="2"/>
        <v>75.516000000000005</v>
      </c>
      <c r="O31" s="215">
        <f t="shared" si="1"/>
        <v>75.516000000000005</v>
      </c>
      <c r="P31" s="215">
        <f t="shared" si="1"/>
        <v>75.516000000000005</v>
      </c>
      <c r="Q31" s="215">
        <f t="shared" si="1"/>
        <v>75.516000000000005</v>
      </c>
      <c r="R31" s="15" t="s">
        <v>838</v>
      </c>
      <c r="S31" s="15" t="s">
        <v>840</v>
      </c>
      <c r="T31" s="15" t="s">
        <v>447</v>
      </c>
      <c r="U31" s="15" t="s">
        <v>446</v>
      </c>
      <c r="V31" s="390" t="s">
        <v>734</v>
      </c>
      <c r="W31" s="159" t="s">
        <v>445</v>
      </c>
      <c r="X31" s="160">
        <v>1218</v>
      </c>
      <c r="Y31" s="161" t="s">
        <v>444</v>
      </c>
      <c r="Z31" s="162">
        <v>6.2E-2</v>
      </c>
      <c r="AA31" s="157" t="s">
        <v>392</v>
      </c>
      <c r="AB31" s="163">
        <v>1</v>
      </c>
      <c r="AC31" s="157" t="s">
        <v>443</v>
      </c>
      <c r="AD31" s="163">
        <v>1</v>
      </c>
      <c r="AE31" s="157" t="s">
        <v>442</v>
      </c>
      <c r="AF31" s="164">
        <v>3.1399999999999997E-2</v>
      </c>
      <c r="AG31" s="166"/>
      <c r="AH31" s="166"/>
      <c r="AI31" s="166"/>
      <c r="AJ31" s="166"/>
      <c r="AK31" s="166"/>
      <c r="AL31" s="166"/>
      <c r="AM31" s="166"/>
      <c r="AN31" s="166"/>
      <c r="AO31" s="166"/>
      <c r="AP31" s="166"/>
      <c r="AQ31" s="166"/>
      <c r="AR31" s="166"/>
      <c r="AS31" s="166"/>
      <c r="AT31" s="166"/>
      <c r="AU31" s="343"/>
      <c r="AV31" s="343"/>
      <c r="AW31" s="343"/>
      <c r="AX31" s="343"/>
      <c r="AY31" s="344"/>
      <c r="AZ31" s="345"/>
      <c r="BA31" s="346"/>
    </row>
    <row r="32" spans="1:53">
      <c r="A32" s="2" t="str">
        <f t="shared" si="0"/>
        <v>Res - SF Assessments_Advanced Thermostat - Furnace (Replace Manual)</v>
      </c>
      <c r="B32" s="18">
        <v>29</v>
      </c>
      <c r="C32" s="18" t="s">
        <v>690</v>
      </c>
      <c r="D32" s="18" t="s">
        <v>699</v>
      </c>
      <c r="E32" s="23" t="s">
        <v>150</v>
      </c>
      <c r="F32" s="23">
        <v>1</v>
      </c>
      <c r="G32" s="154">
        <v>1</v>
      </c>
      <c r="H32" s="447">
        <v>10</v>
      </c>
      <c r="I32" s="443">
        <v>11</v>
      </c>
      <c r="J32" s="23">
        <v>12</v>
      </c>
      <c r="K32" s="23">
        <v>12</v>
      </c>
      <c r="L32" s="23">
        <v>12</v>
      </c>
      <c r="M32" s="23">
        <v>12</v>
      </c>
      <c r="N32" s="217">
        <f t="shared" si="2"/>
        <v>88.44</v>
      </c>
      <c r="O32" s="215">
        <f t="shared" si="1"/>
        <v>88.44</v>
      </c>
      <c r="P32" s="215">
        <f t="shared" si="1"/>
        <v>88.44</v>
      </c>
      <c r="Q32" s="215">
        <f t="shared" si="1"/>
        <v>88.44</v>
      </c>
      <c r="R32" s="15" t="s">
        <v>838</v>
      </c>
      <c r="S32" s="15" t="s">
        <v>840</v>
      </c>
      <c r="T32" s="15" t="s">
        <v>49</v>
      </c>
      <c r="U32" s="15" t="s">
        <v>60</v>
      </c>
      <c r="V32" s="390" t="s">
        <v>734</v>
      </c>
      <c r="W32" s="159" t="s">
        <v>445</v>
      </c>
      <c r="X32" s="160">
        <v>1005</v>
      </c>
      <c r="Y32" s="161" t="s">
        <v>444</v>
      </c>
      <c r="Z32" s="162">
        <v>8.7999999999999995E-2</v>
      </c>
      <c r="AA32" s="157" t="s">
        <v>392</v>
      </c>
      <c r="AB32" s="163">
        <v>1</v>
      </c>
      <c r="AC32" s="157" t="s">
        <v>443</v>
      </c>
      <c r="AD32" s="163">
        <v>1</v>
      </c>
      <c r="AE32" s="157" t="s">
        <v>442</v>
      </c>
      <c r="AF32" s="164">
        <v>3.1399999999999997E-2</v>
      </c>
      <c r="AG32" s="166"/>
      <c r="AH32" s="166"/>
      <c r="AI32" s="166"/>
      <c r="AJ32" s="166"/>
      <c r="AK32" s="166"/>
      <c r="AL32" s="166"/>
      <c r="AM32" s="166"/>
      <c r="AN32" s="166"/>
      <c r="AO32" s="166"/>
      <c r="AP32" s="166"/>
      <c r="AQ32" s="166"/>
      <c r="AR32" s="166"/>
      <c r="AS32" s="166"/>
      <c r="AT32" s="166"/>
      <c r="AU32" s="343"/>
      <c r="AV32" s="343"/>
      <c r="AW32" s="343"/>
      <c r="AX32" s="343"/>
      <c r="AY32" s="344"/>
      <c r="AZ32" s="345"/>
      <c r="BA32" s="346"/>
    </row>
    <row r="33" spans="1:53">
      <c r="A33" s="2" t="str">
        <f t="shared" si="0"/>
        <v>Res - SF Assessments_Advanced Thermostat - Boiler (Replace Manual)</v>
      </c>
      <c r="B33" s="18">
        <v>30</v>
      </c>
      <c r="C33" s="18" t="s">
        <v>690</v>
      </c>
      <c r="D33" s="18" t="s">
        <v>1054</v>
      </c>
      <c r="E33" s="23" t="s">
        <v>150</v>
      </c>
      <c r="F33" s="23">
        <v>1</v>
      </c>
      <c r="G33" s="154">
        <v>1</v>
      </c>
      <c r="H33" s="447">
        <v>10</v>
      </c>
      <c r="I33" s="443">
        <v>11</v>
      </c>
      <c r="J33" s="23">
        <v>0</v>
      </c>
      <c r="K33" s="23">
        <v>0</v>
      </c>
      <c r="L33" s="23">
        <v>0</v>
      </c>
      <c r="M33" s="23">
        <v>0</v>
      </c>
      <c r="N33" s="217">
        <f t="shared" si="2"/>
        <v>107.184</v>
      </c>
      <c r="O33" s="215">
        <f t="shared" si="1"/>
        <v>107.184</v>
      </c>
      <c r="P33" s="215">
        <f t="shared" si="1"/>
        <v>107.184</v>
      </c>
      <c r="Q33" s="215">
        <f t="shared" si="1"/>
        <v>107.184</v>
      </c>
      <c r="R33" s="15" t="s">
        <v>838</v>
      </c>
      <c r="S33" s="15" t="s">
        <v>840</v>
      </c>
      <c r="T33" s="15" t="s">
        <v>49</v>
      </c>
      <c r="U33" s="15" t="s">
        <v>60</v>
      </c>
      <c r="V33" s="390" t="s">
        <v>734</v>
      </c>
      <c r="W33" s="159" t="s">
        <v>445</v>
      </c>
      <c r="X33" s="160">
        <v>1218</v>
      </c>
      <c r="Y33" s="161" t="s">
        <v>444</v>
      </c>
      <c r="Z33" s="162">
        <v>8.7999999999999995E-2</v>
      </c>
      <c r="AA33" s="157" t="s">
        <v>392</v>
      </c>
      <c r="AB33" s="163">
        <v>1</v>
      </c>
      <c r="AC33" s="157" t="s">
        <v>443</v>
      </c>
      <c r="AD33" s="163">
        <v>1</v>
      </c>
      <c r="AE33" s="157" t="s">
        <v>442</v>
      </c>
      <c r="AF33" s="164">
        <v>3.1399999999999997E-2</v>
      </c>
      <c r="AG33" s="166"/>
      <c r="AH33" s="166"/>
      <c r="AI33" s="166"/>
      <c r="AJ33" s="166"/>
      <c r="AK33" s="166"/>
      <c r="AL33" s="166"/>
      <c r="AM33" s="166"/>
      <c r="AN33" s="166"/>
      <c r="AO33" s="166"/>
      <c r="AP33" s="166"/>
      <c r="AQ33" s="166"/>
      <c r="AR33" s="166"/>
      <c r="AS33" s="166"/>
      <c r="AT33" s="166"/>
      <c r="AU33" s="343"/>
      <c r="AV33" s="343"/>
      <c r="AW33" s="343"/>
      <c r="AX33" s="343"/>
      <c r="AY33" s="344"/>
      <c r="AZ33" s="345"/>
      <c r="BA33" s="346"/>
    </row>
    <row r="34" spans="1:53">
      <c r="A34" s="2" t="str">
        <f t="shared" si="0"/>
        <v>Res - SF Assessments_Advanced Thermostat - Furnace (Replace Programmable)</v>
      </c>
      <c r="B34" s="18">
        <v>31</v>
      </c>
      <c r="C34" s="18" t="s">
        <v>690</v>
      </c>
      <c r="D34" s="18" t="s">
        <v>1055</v>
      </c>
      <c r="E34" s="23" t="s">
        <v>150</v>
      </c>
      <c r="F34" s="23">
        <v>1</v>
      </c>
      <c r="G34" s="154">
        <v>1</v>
      </c>
      <c r="H34" s="447">
        <v>10</v>
      </c>
      <c r="I34" s="443">
        <v>11</v>
      </c>
      <c r="J34" s="23">
        <v>218</v>
      </c>
      <c r="K34" s="23">
        <v>218</v>
      </c>
      <c r="L34" s="23">
        <v>215</v>
      </c>
      <c r="M34" s="23">
        <v>218</v>
      </c>
      <c r="N34" s="217">
        <f t="shared" si="2"/>
        <v>56.28</v>
      </c>
      <c r="O34" s="215">
        <f t="shared" si="1"/>
        <v>56.28</v>
      </c>
      <c r="P34" s="215">
        <f t="shared" si="1"/>
        <v>56.28</v>
      </c>
      <c r="Q34" s="215">
        <f t="shared" si="1"/>
        <v>56.28</v>
      </c>
      <c r="R34" s="15" t="s">
        <v>838</v>
      </c>
      <c r="S34" s="15" t="s">
        <v>840</v>
      </c>
      <c r="T34" s="15" t="s">
        <v>49</v>
      </c>
      <c r="U34" s="15" t="s">
        <v>60</v>
      </c>
      <c r="V34" s="390" t="s">
        <v>734</v>
      </c>
      <c r="W34" s="159" t="s">
        <v>445</v>
      </c>
      <c r="X34" s="160">
        <v>1005</v>
      </c>
      <c r="Y34" s="161" t="s">
        <v>444</v>
      </c>
      <c r="Z34" s="162">
        <v>5.6000000000000001E-2</v>
      </c>
      <c r="AA34" s="157" t="s">
        <v>392</v>
      </c>
      <c r="AB34" s="163">
        <v>1</v>
      </c>
      <c r="AC34" s="157" t="s">
        <v>443</v>
      </c>
      <c r="AD34" s="163">
        <v>1</v>
      </c>
      <c r="AE34" s="157" t="s">
        <v>442</v>
      </c>
      <c r="AF34" s="164">
        <v>3.1399999999999997E-2</v>
      </c>
      <c r="AG34" s="166"/>
      <c r="AH34" s="166"/>
      <c r="AI34" s="166"/>
      <c r="AJ34" s="166"/>
      <c r="AK34" s="166"/>
      <c r="AL34" s="166"/>
      <c r="AM34" s="166"/>
      <c r="AN34" s="166"/>
      <c r="AO34" s="166"/>
      <c r="AP34" s="166"/>
      <c r="AQ34" s="166"/>
      <c r="AR34" s="166"/>
      <c r="AS34" s="166"/>
      <c r="AT34" s="166"/>
      <c r="AU34" s="343"/>
      <c r="AV34" s="343"/>
      <c r="AW34" s="343"/>
      <c r="AX34" s="343"/>
      <c r="AY34" s="344"/>
      <c r="AZ34" s="345"/>
      <c r="BA34" s="346"/>
    </row>
    <row r="35" spans="1:53">
      <c r="A35" s="2" t="str">
        <f t="shared" si="0"/>
        <v>Res - SF Assessments_Advanced Thermostat - Boiler (Replace Programmable)</v>
      </c>
      <c r="B35" s="18">
        <v>32</v>
      </c>
      <c r="C35" s="18" t="s">
        <v>690</v>
      </c>
      <c r="D35" s="18" t="s">
        <v>704</v>
      </c>
      <c r="E35" s="23" t="s">
        <v>150</v>
      </c>
      <c r="F35" s="23">
        <v>1</v>
      </c>
      <c r="G35" s="154">
        <v>1</v>
      </c>
      <c r="H35" s="447">
        <v>10</v>
      </c>
      <c r="I35" s="443">
        <v>11</v>
      </c>
      <c r="J35" s="23">
        <v>0</v>
      </c>
      <c r="K35" s="23">
        <v>0</v>
      </c>
      <c r="L35" s="23">
        <v>0</v>
      </c>
      <c r="M35" s="23">
        <v>0</v>
      </c>
      <c r="N35" s="217">
        <f t="shared" si="2"/>
        <v>68.207999999999998</v>
      </c>
      <c r="O35" s="215">
        <f t="shared" si="1"/>
        <v>68.207999999999998</v>
      </c>
      <c r="P35" s="215">
        <f t="shared" si="1"/>
        <v>68.207999999999998</v>
      </c>
      <c r="Q35" s="215">
        <f t="shared" si="1"/>
        <v>68.207999999999998</v>
      </c>
      <c r="R35" s="15" t="s">
        <v>838</v>
      </c>
      <c r="S35" s="15" t="s">
        <v>840</v>
      </c>
      <c r="T35" s="15" t="s">
        <v>49</v>
      </c>
      <c r="U35" s="15" t="s">
        <v>60</v>
      </c>
      <c r="V35" s="390" t="s">
        <v>734</v>
      </c>
      <c r="W35" s="159" t="s">
        <v>445</v>
      </c>
      <c r="X35" s="160">
        <v>1218</v>
      </c>
      <c r="Y35" s="161" t="s">
        <v>444</v>
      </c>
      <c r="Z35" s="162">
        <v>5.6000000000000001E-2</v>
      </c>
      <c r="AA35" s="157" t="s">
        <v>392</v>
      </c>
      <c r="AB35" s="163">
        <v>1</v>
      </c>
      <c r="AC35" s="157" t="s">
        <v>443</v>
      </c>
      <c r="AD35" s="163">
        <v>1</v>
      </c>
      <c r="AE35" s="157" t="s">
        <v>442</v>
      </c>
      <c r="AF35" s="164">
        <v>3.1399999999999997E-2</v>
      </c>
      <c r="AG35" s="166"/>
      <c r="AH35" s="166"/>
      <c r="AI35" s="166"/>
      <c r="AJ35" s="166"/>
      <c r="AK35" s="166"/>
      <c r="AL35" s="166"/>
      <c r="AM35" s="166"/>
      <c r="AN35" s="166"/>
      <c r="AO35" s="166"/>
      <c r="AP35" s="166"/>
      <c r="AQ35" s="166"/>
      <c r="AR35" s="166"/>
      <c r="AS35" s="166"/>
      <c r="AT35" s="166"/>
      <c r="AU35" s="343"/>
      <c r="AV35" s="343"/>
      <c r="AW35" s="343"/>
      <c r="AX35" s="343"/>
      <c r="AY35" s="344"/>
      <c r="AZ35" s="345"/>
      <c r="BA35" s="346"/>
    </row>
    <row r="36" spans="1:53">
      <c r="A36" s="2" t="str">
        <f t="shared" si="0"/>
        <v>Res - SF Assessments_Thermostat - Reprogram</v>
      </c>
      <c r="B36" s="18">
        <v>33</v>
      </c>
      <c r="C36" s="18" t="s">
        <v>690</v>
      </c>
      <c r="D36" s="18" t="s">
        <v>1056</v>
      </c>
      <c r="E36" s="23" t="s">
        <v>150</v>
      </c>
      <c r="F36" s="23">
        <v>1</v>
      </c>
      <c r="G36" s="154">
        <v>0.96</v>
      </c>
      <c r="H36" s="447">
        <v>2</v>
      </c>
      <c r="I36" s="436">
        <v>2</v>
      </c>
      <c r="J36" s="23">
        <v>411</v>
      </c>
      <c r="K36" s="23">
        <v>411</v>
      </c>
      <c r="L36" s="23">
        <v>405</v>
      </c>
      <c r="M36" s="23">
        <v>411</v>
      </c>
      <c r="N36" s="217">
        <f t="shared" si="2"/>
        <v>62.31</v>
      </c>
      <c r="O36" s="215">
        <f t="shared" si="1"/>
        <v>62.31</v>
      </c>
      <c r="P36" s="215">
        <f t="shared" si="1"/>
        <v>62.31</v>
      </c>
      <c r="Q36" s="215">
        <f t="shared" si="1"/>
        <v>62.31</v>
      </c>
      <c r="R36" s="15" t="s">
        <v>838</v>
      </c>
      <c r="S36" s="15" t="s">
        <v>840</v>
      </c>
      <c r="T36" s="15" t="s">
        <v>447</v>
      </c>
      <c r="U36" s="15" t="s">
        <v>446</v>
      </c>
      <c r="V36" s="390" t="s">
        <v>734</v>
      </c>
      <c r="W36" s="159" t="s">
        <v>445</v>
      </c>
      <c r="X36" s="160">
        <v>1005</v>
      </c>
      <c r="Y36" s="161" t="s">
        <v>444</v>
      </c>
      <c r="Z36" s="162">
        <v>6.2E-2</v>
      </c>
      <c r="AA36" s="157" t="s">
        <v>392</v>
      </c>
      <c r="AB36" s="163">
        <v>1</v>
      </c>
      <c r="AC36" s="157" t="s">
        <v>443</v>
      </c>
      <c r="AD36" s="163">
        <v>1</v>
      </c>
      <c r="AE36" s="157" t="s">
        <v>442</v>
      </c>
      <c r="AF36" s="164">
        <v>3.1399999999999997E-2</v>
      </c>
      <c r="AG36" s="166"/>
      <c r="AH36" s="166"/>
      <c r="AI36" s="166"/>
      <c r="AJ36" s="166"/>
      <c r="AK36" s="166"/>
      <c r="AL36" s="166"/>
      <c r="AM36" s="166"/>
      <c r="AN36" s="166"/>
      <c r="AO36" s="166"/>
      <c r="AP36" s="166"/>
      <c r="AQ36" s="166"/>
      <c r="AR36" s="166"/>
      <c r="AS36" s="166"/>
      <c r="AT36" s="166"/>
      <c r="AU36" s="343"/>
      <c r="AV36" s="343"/>
      <c r="AW36" s="343"/>
      <c r="AX36" s="343"/>
      <c r="AY36" s="344"/>
      <c r="AZ36" s="345"/>
      <c r="BA36" s="346"/>
    </row>
    <row r="37" spans="1:53">
      <c r="A37" s="2" t="str">
        <f t="shared" si="0"/>
        <v>Res - MF Assessments_Bathroom Aerator</v>
      </c>
      <c r="B37" s="18">
        <v>34</v>
      </c>
      <c r="C37" s="18" t="s">
        <v>700</v>
      </c>
      <c r="D37" s="18" t="s">
        <v>733</v>
      </c>
      <c r="E37" s="23" t="s">
        <v>150</v>
      </c>
      <c r="F37" s="23">
        <v>1</v>
      </c>
      <c r="G37" s="154">
        <v>0.85</v>
      </c>
      <c r="H37" s="447">
        <v>9</v>
      </c>
      <c r="I37" s="443">
        <v>10</v>
      </c>
      <c r="J37" s="23">
        <v>564</v>
      </c>
      <c r="K37" s="23">
        <v>564</v>
      </c>
      <c r="L37" s="23">
        <v>522</v>
      </c>
      <c r="M37" s="23">
        <v>564</v>
      </c>
      <c r="N37" s="215">
        <f>100%*(((X37*AB37)-(Z37*AB37))*AL37*365.25*AD37/AF37)*AH37*AJ37</f>
        <v>1.6368815404525978</v>
      </c>
      <c r="O37" s="215">
        <f t="shared" si="1"/>
        <v>1.6368815404525978</v>
      </c>
      <c r="P37" s="215">
        <f t="shared" si="1"/>
        <v>1.6368815404525978</v>
      </c>
      <c r="Q37" s="215">
        <f t="shared" si="1"/>
        <v>1.6368815404525978</v>
      </c>
      <c r="R37" s="15" t="s">
        <v>838</v>
      </c>
      <c r="S37" s="15" t="s">
        <v>840</v>
      </c>
      <c r="T37" s="15" t="s">
        <v>470</v>
      </c>
      <c r="U37" s="15" t="s">
        <v>469</v>
      </c>
      <c r="V37" s="390" t="s">
        <v>735</v>
      </c>
      <c r="W37" s="391" t="s">
        <v>359</v>
      </c>
      <c r="X37" s="391">
        <v>1.53</v>
      </c>
      <c r="Y37" s="390" t="s">
        <v>358</v>
      </c>
      <c r="Z37" s="390">
        <v>0.94</v>
      </c>
      <c r="AA37" s="157" t="s">
        <v>357</v>
      </c>
      <c r="AB37" s="390">
        <v>1.6</v>
      </c>
      <c r="AC37" s="157" t="s">
        <v>468</v>
      </c>
      <c r="AD37" s="392">
        <v>0.9</v>
      </c>
      <c r="AE37" s="157" t="s">
        <v>364</v>
      </c>
      <c r="AF37" s="390">
        <v>1.5</v>
      </c>
      <c r="AG37" s="390" t="s">
        <v>355</v>
      </c>
      <c r="AH37" s="393">
        <f>8.33*1*(86-54.1)/(AN37*100000)</f>
        <v>3.9660746268656713E-3</v>
      </c>
      <c r="AI37" s="390" t="s">
        <v>354</v>
      </c>
      <c r="AJ37" s="390">
        <v>0.95</v>
      </c>
      <c r="AK37" s="390" t="s">
        <v>462</v>
      </c>
      <c r="AL37" s="390">
        <v>2.1</v>
      </c>
      <c r="AM37" s="390" t="s">
        <v>461</v>
      </c>
      <c r="AN37" s="392">
        <v>0.67</v>
      </c>
      <c r="AO37" s="166"/>
      <c r="AP37" s="166"/>
      <c r="AQ37" s="166"/>
      <c r="AR37" s="166"/>
      <c r="AS37" s="166"/>
      <c r="AT37" s="166"/>
      <c r="AU37" s="343"/>
      <c r="AV37" s="343"/>
      <c r="AW37" s="343"/>
      <c r="AX37" s="343"/>
      <c r="AY37" s="344"/>
      <c r="AZ37" s="345"/>
      <c r="BA37" s="346"/>
    </row>
    <row r="38" spans="1:53">
      <c r="A38" s="2" t="str">
        <f t="shared" si="0"/>
        <v>Res - MF Assessments_Kitchen Aerator</v>
      </c>
      <c r="B38" s="18">
        <v>35</v>
      </c>
      <c r="C38" s="18" t="s">
        <v>700</v>
      </c>
      <c r="D38" s="18" t="s">
        <v>732</v>
      </c>
      <c r="E38" s="23" t="s">
        <v>150</v>
      </c>
      <c r="F38" s="23">
        <v>1</v>
      </c>
      <c r="G38" s="154">
        <v>0.85</v>
      </c>
      <c r="H38" s="447">
        <v>9</v>
      </c>
      <c r="I38" s="443">
        <v>10</v>
      </c>
      <c r="J38" s="23">
        <v>462</v>
      </c>
      <c r="K38" s="23">
        <v>462</v>
      </c>
      <c r="L38" s="23">
        <v>427</v>
      </c>
      <c r="M38" s="23">
        <v>462</v>
      </c>
      <c r="N38" s="215">
        <f>100%*(((X38*AB38)-(Z38*AB38))*AL38*365.25*AD38/AF38)*AH38*AJ38</f>
        <v>7.8612856931203403</v>
      </c>
      <c r="O38" s="215">
        <f t="shared" si="1"/>
        <v>7.8612856931203403</v>
      </c>
      <c r="P38" s="215">
        <f t="shared" si="1"/>
        <v>7.8612856931203403</v>
      </c>
      <c r="Q38" s="215">
        <f t="shared" si="1"/>
        <v>7.8612856931203403</v>
      </c>
      <c r="R38" s="15" t="s">
        <v>838</v>
      </c>
      <c r="S38" s="15" t="s">
        <v>840</v>
      </c>
      <c r="T38" s="15" t="s">
        <v>470</v>
      </c>
      <c r="U38" s="15" t="s">
        <v>469</v>
      </c>
      <c r="V38" s="390" t="s">
        <v>735</v>
      </c>
      <c r="W38" s="391" t="s">
        <v>359</v>
      </c>
      <c r="X38" s="391">
        <v>1.63</v>
      </c>
      <c r="Y38" s="390" t="s">
        <v>358</v>
      </c>
      <c r="Z38" s="390">
        <v>0.94</v>
      </c>
      <c r="AA38" s="157" t="s">
        <v>357</v>
      </c>
      <c r="AB38" s="390">
        <v>4.5</v>
      </c>
      <c r="AC38" s="157" t="s">
        <v>468</v>
      </c>
      <c r="AD38" s="392">
        <v>0.75</v>
      </c>
      <c r="AE38" s="157" t="s">
        <v>364</v>
      </c>
      <c r="AF38" s="390">
        <v>1</v>
      </c>
      <c r="AG38" s="390" t="s">
        <v>355</v>
      </c>
      <c r="AH38" s="393">
        <f>8.33*1*(93-54.1)/(AN38*100000)</f>
        <v>4.836373134328358E-3</v>
      </c>
      <c r="AI38" s="390" t="s">
        <v>354</v>
      </c>
      <c r="AJ38" s="390">
        <v>0.91</v>
      </c>
      <c r="AK38" s="390" t="s">
        <v>462</v>
      </c>
      <c r="AL38" s="390">
        <v>2.1</v>
      </c>
      <c r="AM38" s="390" t="s">
        <v>461</v>
      </c>
      <c r="AN38" s="392">
        <v>0.67</v>
      </c>
      <c r="AO38" s="166"/>
      <c r="AP38" s="166"/>
      <c r="AQ38" s="166"/>
      <c r="AR38" s="166"/>
      <c r="AS38" s="166"/>
      <c r="AT38" s="166"/>
      <c r="AU38" s="343"/>
      <c r="AV38" s="343"/>
      <c r="AW38" s="343"/>
      <c r="AX38" s="343"/>
      <c r="AY38" s="344"/>
      <c r="AZ38" s="345"/>
      <c r="BA38" s="346"/>
    </row>
    <row r="39" spans="1:53">
      <c r="A39" s="2" t="str">
        <f t="shared" si="0"/>
        <v>Res - MF Assessments_Showerhead</v>
      </c>
      <c r="B39" s="18">
        <v>36</v>
      </c>
      <c r="C39" s="18" t="s">
        <v>700</v>
      </c>
      <c r="D39" s="18" t="s">
        <v>731</v>
      </c>
      <c r="E39" s="23" t="s">
        <v>150</v>
      </c>
      <c r="F39" s="23">
        <v>1</v>
      </c>
      <c r="G39" s="154">
        <v>0.85</v>
      </c>
      <c r="H39" s="447">
        <v>10</v>
      </c>
      <c r="I39" s="436">
        <v>10</v>
      </c>
      <c r="J39" s="23">
        <v>570</v>
      </c>
      <c r="K39" s="23">
        <v>570</v>
      </c>
      <c r="L39" s="23">
        <v>527</v>
      </c>
      <c r="M39" s="23">
        <v>570</v>
      </c>
      <c r="N39" s="215">
        <f>100%*((X39*AB39-Z39*AB39)*AL39*AF39*365.25/AH39)*AD39*AJ39</f>
        <v>11.319060638970004</v>
      </c>
      <c r="O39" s="215">
        <f t="shared" si="1"/>
        <v>11.319060638970004</v>
      </c>
      <c r="P39" s="215">
        <f t="shared" si="1"/>
        <v>11.319060638970004</v>
      </c>
      <c r="Q39" s="215">
        <f t="shared" si="1"/>
        <v>11.319060638970004</v>
      </c>
      <c r="R39" s="15" t="s">
        <v>838</v>
      </c>
      <c r="S39" s="15" t="s">
        <v>840</v>
      </c>
      <c r="T39" s="15" t="s">
        <v>466</v>
      </c>
      <c r="U39" s="15" t="s">
        <v>465</v>
      </c>
      <c r="V39" s="390" t="s">
        <v>736</v>
      </c>
      <c r="W39" s="391" t="s">
        <v>359</v>
      </c>
      <c r="X39" s="391">
        <v>2.2400000000000002</v>
      </c>
      <c r="Y39" s="390" t="s">
        <v>358</v>
      </c>
      <c r="Z39" s="390">
        <v>1.5</v>
      </c>
      <c r="AA39" s="157" t="s">
        <v>357</v>
      </c>
      <c r="AB39" s="390">
        <v>7.8</v>
      </c>
      <c r="AC39" s="157" t="s">
        <v>355</v>
      </c>
      <c r="AD39" s="393">
        <f>8.33*1*(101-54.1)/(AN39*100000)</f>
        <v>5.8309999999999994E-3</v>
      </c>
      <c r="AE39" s="157" t="s">
        <v>464</v>
      </c>
      <c r="AF39" s="390">
        <v>0.6</v>
      </c>
      <c r="AG39" s="390" t="s">
        <v>463</v>
      </c>
      <c r="AH39" s="390">
        <v>1.3</v>
      </c>
      <c r="AI39" s="390" t="s">
        <v>354</v>
      </c>
      <c r="AJ39" s="390">
        <v>0.95</v>
      </c>
      <c r="AK39" s="390" t="s">
        <v>462</v>
      </c>
      <c r="AL39" s="390">
        <v>2.1</v>
      </c>
      <c r="AM39" s="390" t="s">
        <v>461</v>
      </c>
      <c r="AN39" s="392">
        <v>0.67</v>
      </c>
      <c r="AO39" s="166"/>
      <c r="AP39" s="166"/>
      <c r="AQ39" s="166"/>
      <c r="AR39" s="166"/>
      <c r="AS39" s="166"/>
      <c r="AT39" s="166"/>
      <c r="AU39" s="343"/>
      <c r="AV39" s="343"/>
      <c r="AW39" s="343"/>
      <c r="AX39" s="343"/>
      <c r="AY39" s="344"/>
      <c r="AZ39" s="345"/>
      <c r="BA39" s="346"/>
    </row>
    <row r="40" spans="1:53">
      <c r="A40" s="2" t="str">
        <f t="shared" si="0"/>
        <v>Res - MF Assessments_Pipe Insulation (DHW)</v>
      </c>
      <c r="B40" s="18">
        <v>37</v>
      </c>
      <c r="C40" s="18" t="s">
        <v>700</v>
      </c>
      <c r="D40" s="18" t="s">
        <v>1052</v>
      </c>
      <c r="E40" s="23" t="s">
        <v>210</v>
      </c>
      <c r="F40" s="23">
        <v>3</v>
      </c>
      <c r="G40" s="154">
        <v>0.85</v>
      </c>
      <c r="H40" s="447">
        <v>15</v>
      </c>
      <c r="I40" s="436">
        <v>15</v>
      </c>
      <c r="J40" s="23">
        <v>390</v>
      </c>
      <c r="K40" s="23">
        <v>390</v>
      </c>
      <c r="L40" s="23">
        <v>361</v>
      </c>
      <c r="M40" s="23">
        <v>390</v>
      </c>
      <c r="N40" s="389">
        <f xml:space="preserve"> ((X40 / Z40 - AB40 / AD40) * AF40 * AH40 * 8766) / AJ40 / 100000</f>
        <v>0.77039653846153844</v>
      </c>
      <c r="O40" s="215">
        <f t="shared" si="1"/>
        <v>0.77039653846153844</v>
      </c>
      <c r="P40" s="215">
        <f t="shared" si="1"/>
        <v>0.77039653846153844</v>
      </c>
      <c r="Q40" s="215">
        <f t="shared" si="1"/>
        <v>0.77039653846153844</v>
      </c>
      <c r="R40" s="15" t="s">
        <v>838</v>
      </c>
      <c r="S40" s="15" t="s">
        <v>840</v>
      </c>
      <c r="T40" s="15" t="s">
        <v>459</v>
      </c>
      <c r="U40" s="15" t="s">
        <v>458</v>
      </c>
      <c r="V40" s="394" t="s">
        <v>841</v>
      </c>
      <c r="W40" s="158" t="s">
        <v>451</v>
      </c>
      <c r="X40" s="166">
        <v>0.19600000000000001</v>
      </c>
      <c r="Y40" s="166" t="s">
        <v>454</v>
      </c>
      <c r="Z40" s="166">
        <v>1</v>
      </c>
      <c r="AA40" s="395" t="s">
        <v>842</v>
      </c>
      <c r="AB40" s="394">
        <v>0.32700000000000001</v>
      </c>
      <c r="AC40" s="166" t="s">
        <v>453</v>
      </c>
      <c r="AD40" s="166">
        <f>(1+3)</f>
        <v>4</v>
      </c>
      <c r="AE40" s="158" t="s">
        <v>260</v>
      </c>
      <c r="AF40" s="166">
        <v>1</v>
      </c>
      <c r="AG40" s="158" t="s">
        <v>304</v>
      </c>
      <c r="AH40" s="166">
        <v>60</v>
      </c>
      <c r="AI40" s="166" t="s">
        <v>457</v>
      </c>
      <c r="AJ40" s="166">
        <v>0.78</v>
      </c>
      <c r="AK40" s="166"/>
      <c r="AL40" s="166"/>
      <c r="AM40" s="166"/>
      <c r="AN40" s="166"/>
      <c r="AO40" s="166"/>
      <c r="AP40" s="166"/>
      <c r="AQ40" s="166"/>
      <c r="AR40" s="166"/>
      <c r="AS40" s="166"/>
      <c r="AT40" s="166"/>
      <c r="AU40" s="343"/>
      <c r="AV40" s="343"/>
      <c r="AW40" s="343"/>
      <c r="AX40" s="343"/>
      <c r="AY40" s="344"/>
      <c r="AZ40" s="345"/>
      <c r="BA40" s="346"/>
    </row>
    <row r="41" spans="1:53">
      <c r="A41" s="2" t="str">
        <f t="shared" si="0"/>
        <v>Res - MF Assessments_Pipe Insulation (Boiler)</v>
      </c>
      <c r="B41" s="18">
        <v>38</v>
      </c>
      <c r="C41" s="18" t="s">
        <v>700</v>
      </c>
      <c r="D41" s="18" t="s">
        <v>701</v>
      </c>
      <c r="E41" s="23" t="s">
        <v>210</v>
      </c>
      <c r="F41" s="23">
        <v>3</v>
      </c>
      <c r="G41" s="154">
        <v>0.85</v>
      </c>
      <c r="H41" s="447">
        <v>15</v>
      </c>
      <c r="I41" s="436">
        <v>15</v>
      </c>
      <c r="J41" s="23">
        <v>390</v>
      </c>
      <c r="K41" s="23">
        <v>390</v>
      </c>
      <c r="L41" s="23">
        <v>361</v>
      </c>
      <c r="M41" s="23">
        <v>390</v>
      </c>
      <c r="N41" s="216">
        <f>((1/X41*AD41-1/Z41*AF41)*AB41*AH41*AJ41/AL41/100000)</f>
        <v>0.41554055468341189</v>
      </c>
      <c r="O41" s="215">
        <f t="shared" si="1"/>
        <v>0.41554055468341189</v>
      </c>
      <c r="P41" s="215">
        <f t="shared" si="1"/>
        <v>0.41554055468341189</v>
      </c>
      <c r="Q41" s="215">
        <f t="shared" si="1"/>
        <v>0.41554055468341189</v>
      </c>
      <c r="R41" s="15" t="s">
        <v>838</v>
      </c>
      <c r="S41" s="15" t="s">
        <v>840</v>
      </c>
      <c r="T41" s="15" t="s">
        <v>456</v>
      </c>
      <c r="U41" s="15" t="s">
        <v>455</v>
      </c>
      <c r="V41" s="166" t="s">
        <v>448</v>
      </c>
      <c r="W41" s="166" t="s">
        <v>454</v>
      </c>
      <c r="X41" s="166">
        <v>0.5</v>
      </c>
      <c r="Y41" s="166" t="s">
        <v>453</v>
      </c>
      <c r="Z41" s="166">
        <f>3+0.5</f>
        <v>3.5</v>
      </c>
      <c r="AA41" s="158" t="s">
        <v>452</v>
      </c>
      <c r="AB41" s="166">
        <v>1840</v>
      </c>
      <c r="AC41" s="158" t="s">
        <v>451</v>
      </c>
      <c r="AD41" s="166">
        <f>(0.131+0.196)/2</f>
        <v>0.16350000000000001</v>
      </c>
      <c r="AE41" s="158" t="s">
        <v>450</v>
      </c>
      <c r="AF41" s="396">
        <f>(((0.5+1)+(0.75+1))/2)*3.14/12</f>
        <v>0.42520833333333335</v>
      </c>
      <c r="AG41" s="166" t="s">
        <v>260</v>
      </c>
      <c r="AH41" s="166">
        <v>1</v>
      </c>
      <c r="AI41" s="166" t="s">
        <v>304</v>
      </c>
      <c r="AJ41" s="166">
        <f>(110+70)/2</f>
        <v>90</v>
      </c>
      <c r="AK41" s="166" t="s">
        <v>449</v>
      </c>
      <c r="AL41" s="166">
        <v>0.81899999999999995</v>
      </c>
      <c r="AM41" s="166"/>
      <c r="AN41" s="166"/>
      <c r="AO41" s="166"/>
      <c r="AP41" s="166"/>
      <c r="AQ41" s="166"/>
      <c r="AR41" s="166"/>
      <c r="AS41" s="166"/>
      <c r="AT41" s="166"/>
      <c r="AU41" s="343"/>
      <c r="AV41" s="343"/>
      <c r="AW41" s="343"/>
      <c r="AX41" s="343"/>
      <c r="AY41" s="344"/>
      <c r="AZ41" s="345"/>
      <c r="BA41" s="346"/>
    </row>
    <row r="42" spans="1:53">
      <c r="A42" s="2" t="str">
        <f t="shared" si="0"/>
        <v>Res - MF Assessments_Programmable Thermostat - Furnace</v>
      </c>
      <c r="B42" s="18">
        <v>39</v>
      </c>
      <c r="C42" s="18" t="s">
        <v>700</v>
      </c>
      <c r="D42" s="18" t="s">
        <v>702</v>
      </c>
      <c r="E42" s="23" t="s">
        <v>150</v>
      </c>
      <c r="F42" s="23">
        <v>1</v>
      </c>
      <c r="G42" s="154">
        <v>0.85</v>
      </c>
      <c r="H42" s="447">
        <v>5</v>
      </c>
      <c r="I42" s="443">
        <v>8</v>
      </c>
      <c r="J42" s="23">
        <v>30</v>
      </c>
      <c r="K42" s="23">
        <v>30</v>
      </c>
      <c r="L42" s="23">
        <v>28</v>
      </c>
      <c r="M42" s="23">
        <v>30</v>
      </c>
      <c r="N42" s="354">
        <f t="shared" ref="N42:N48" si="3">X42*Z42*AB42*AD42</f>
        <v>40.5015</v>
      </c>
      <c r="O42" s="215">
        <f t="shared" si="1"/>
        <v>40.5015</v>
      </c>
      <c r="P42" s="215">
        <f t="shared" si="1"/>
        <v>40.5015</v>
      </c>
      <c r="Q42" s="215">
        <f t="shared" si="1"/>
        <v>40.5015</v>
      </c>
      <c r="R42" s="15" t="s">
        <v>838</v>
      </c>
      <c r="S42" s="15" t="s">
        <v>840</v>
      </c>
      <c r="T42" s="15" t="s">
        <v>447</v>
      </c>
      <c r="U42" s="15" t="s">
        <v>446</v>
      </c>
      <c r="V42" s="390" t="s">
        <v>734</v>
      </c>
      <c r="W42" s="159" t="s">
        <v>445</v>
      </c>
      <c r="X42" s="160">
        <v>1005</v>
      </c>
      <c r="Y42" s="161" t="s">
        <v>444</v>
      </c>
      <c r="Z42" s="162">
        <v>6.2E-2</v>
      </c>
      <c r="AA42" s="157" t="s">
        <v>399</v>
      </c>
      <c r="AB42" s="163">
        <v>0.65</v>
      </c>
      <c r="AC42" s="157" t="s">
        <v>443</v>
      </c>
      <c r="AD42" s="163">
        <v>1</v>
      </c>
      <c r="AE42" s="157" t="s">
        <v>442</v>
      </c>
      <c r="AF42" s="164">
        <v>3.1399999999999997E-2</v>
      </c>
      <c r="AG42" s="166"/>
      <c r="AH42" s="166"/>
      <c r="AI42" s="166"/>
      <c r="AJ42" s="166"/>
      <c r="AK42" s="166"/>
      <c r="AL42" s="166"/>
      <c r="AM42" s="166"/>
      <c r="AN42" s="166"/>
      <c r="AO42" s="166"/>
      <c r="AP42" s="166"/>
      <c r="AQ42" s="166"/>
      <c r="AR42" s="166"/>
      <c r="AS42" s="166"/>
      <c r="AT42" s="166"/>
      <c r="AU42" s="343"/>
      <c r="AV42" s="343"/>
      <c r="AW42" s="343"/>
      <c r="AX42" s="343"/>
      <c r="AY42" s="344"/>
      <c r="AZ42" s="345"/>
      <c r="BA42" s="346"/>
    </row>
    <row r="43" spans="1:53">
      <c r="A43" s="2" t="str">
        <f t="shared" si="0"/>
        <v>Res - MF Assessments_Programmable Thermostat - Boiler</v>
      </c>
      <c r="B43" s="18">
        <v>40</v>
      </c>
      <c r="C43" s="18" t="s">
        <v>700</v>
      </c>
      <c r="D43" s="18" t="s">
        <v>1053</v>
      </c>
      <c r="E43" s="23" t="s">
        <v>150</v>
      </c>
      <c r="F43" s="23">
        <v>1</v>
      </c>
      <c r="G43" s="154">
        <v>0.85</v>
      </c>
      <c r="H43" s="447">
        <v>5</v>
      </c>
      <c r="I43" s="443">
        <v>8</v>
      </c>
      <c r="J43" s="23">
        <v>0</v>
      </c>
      <c r="K43" s="23">
        <f>J43</f>
        <v>0</v>
      </c>
      <c r="L43" s="23">
        <v>0</v>
      </c>
      <c r="M43" s="23">
        <f>K43</f>
        <v>0</v>
      </c>
      <c r="N43" s="354">
        <f t="shared" si="3"/>
        <v>49.085400000000007</v>
      </c>
      <c r="O43" s="215">
        <f t="shared" si="1"/>
        <v>49.085400000000007</v>
      </c>
      <c r="P43" s="215">
        <f t="shared" si="1"/>
        <v>49.085400000000007</v>
      </c>
      <c r="Q43" s="215">
        <f t="shared" si="1"/>
        <v>49.085400000000007</v>
      </c>
      <c r="R43" s="15" t="s">
        <v>838</v>
      </c>
      <c r="S43" s="15" t="s">
        <v>840</v>
      </c>
      <c r="T43" s="15" t="s">
        <v>447</v>
      </c>
      <c r="U43" s="15" t="s">
        <v>446</v>
      </c>
      <c r="V43" s="390" t="s">
        <v>734</v>
      </c>
      <c r="W43" s="159" t="s">
        <v>445</v>
      </c>
      <c r="X43" s="160">
        <v>1218</v>
      </c>
      <c r="Y43" s="161" t="s">
        <v>444</v>
      </c>
      <c r="Z43" s="162">
        <v>6.2E-2</v>
      </c>
      <c r="AA43" s="157" t="s">
        <v>399</v>
      </c>
      <c r="AB43" s="163">
        <v>0.65</v>
      </c>
      <c r="AC43" s="157" t="s">
        <v>443</v>
      </c>
      <c r="AD43" s="163">
        <v>1</v>
      </c>
      <c r="AE43" s="157" t="s">
        <v>442</v>
      </c>
      <c r="AF43" s="164">
        <v>3.1399999999999997E-2</v>
      </c>
      <c r="AG43" s="166"/>
      <c r="AH43" s="166"/>
      <c r="AI43" s="166"/>
      <c r="AJ43" s="166"/>
      <c r="AK43" s="166"/>
      <c r="AL43" s="166"/>
      <c r="AM43" s="166"/>
      <c r="AN43" s="166"/>
      <c r="AO43" s="166"/>
      <c r="AP43" s="166"/>
      <c r="AQ43" s="166"/>
      <c r="AR43" s="166"/>
      <c r="AS43" s="166"/>
      <c r="AT43" s="166"/>
      <c r="AU43" s="343"/>
      <c r="AV43" s="343"/>
      <c r="AW43" s="343"/>
      <c r="AX43" s="343"/>
      <c r="AY43" s="344"/>
      <c r="AZ43" s="345"/>
      <c r="BA43" s="346"/>
    </row>
    <row r="44" spans="1:53">
      <c r="A44" s="2" t="str">
        <f t="shared" si="0"/>
        <v>Res - MF Assessments_Advanced Thermostat - Furnace (Replace Manual)</v>
      </c>
      <c r="B44" s="18">
        <v>41</v>
      </c>
      <c r="C44" s="18" t="s">
        <v>700</v>
      </c>
      <c r="D44" s="18" t="s">
        <v>699</v>
      </c>
      <c r="E44" s="23" t="s">
        <v>150</v>
      </c>
      <c r="F44" s="23">
        <v>1</v>
      </c>
      <c r="G44" s="154">
        <v>1</v>
      </c>
      <c r="H44" s="447">
        <v>10</v>
      </c>
      <c r="I44" s="443">
        <v>11</v>
      </c>
      <c r="J44" s="23">
        <v>12</v>
      </c>
      <c r="K44" s="23">
        <v>12</v>
      </c>
      <c r="L44" s="23">
        <v>11</v>
      </c>
      <c r="M44" s="23">
        <v>12</v>
      </c>
      <c r="N44" s="217">
        <f t="shared" si="3"/>
        <v>57.485999999999997</v>
      </c>
      <c r="O44" s="215">
        <f t="shared" si="1"/>
        <v>57.485999999999997</v>
      </c>
      <c r="P44" s="215">
        <f t="shared" si="1"/>
        <v>57.485999999999997</v>
      </c>
      <c r="Q44" s="215">
        <f t="shared" si="1"/>
        <v>57.485999999999997</v>
      </c>
      <c r="R44" s="15" t="s">
        <v>838</v>
      </c>
      <c r="S44" s="15" t="s">
        <v>840</v>
      </c>
      <c r="T44" s="15" t="s">
        <v>49</v>
      </c>
      <c r="U44" s="15" t="s">
        <v>60</v>
      </c>
      <c r="V44" s="390" t="s">
        <v>734</v>
      </c>
      <c r="W44" s="159" t="s">
        <v>445</v>
      </c>
      <c r="X44" s="160">
        <v>1005</v>
      </c>
      <c r="Y44" s="161" t="s">
        <v>444</v>
      </c>
      <c r="Z44" s="162">
        <v>8.7999999999999995E-2</v>
      </c>
      <c r="AA44" s="157" t="s">
        <v>399</v>
      </c>
      <c r="AB44" s="163">
        <v>0.65</v>
      </c>
      <c r="AC44" s="157" t="s">
        <v>443</v>
      </c>
      <c r="AD44" s="163">
        <v>1</v>
      </c>
      <c r="AE44" s="157" t="s">
        <v>442</v>
      </c>
      <c r="AF44" s="164">
        <v>3.1399999999999997E-2</v>
      </c>
      <c r="AG44" s="166"/>
      <c r="AH44" s="166"/>
      <c r="AI44" s="166"/>
      <c r="AJ44" s="166"/>
      <c r="AK44" s="166"/>
      <c r="AL44" s="166"/>
      <c r="AM44" s="166"/>
      <c r="AN44" s="166"/>
      <c r="AO44" s="166"/>
      <c r="AP44" s="166"/>
      <c r="AQ44" s="166"/>
      <c r="AR44" s="166"/>
      <c r="AS44" s="166"/>
      <c r="AT44" s="166"/>
      <c r="AU44" s="343"/>
      <c r="AV44" s="343"/>
      <c r="AW44" s="343"/>
      <c r="AX44" s="343"/>
      <c r="AY44" s="344"/>
      <c r="AZ44" s="345"/>
      <c r="BA44" s="346"/>
    </row>
    <row r="45" spans="1:53">
      <c r="A45" s="2" t="str">
        <f t="shared" si="0"/>
        <v>Res - MF Assessments_Advanced Thermostat - Boiler (Replace Manual)</v>
      </c>
      <c r="B45" s="18">
        <v>42</v>
      </c>
      <c r="C45" s="18" t="s">
        <v>700</v>
      </c>
      <c r="D45" s="18" t="s">
        <v>1054</v>
      </c>
      <c r="E45" s="23" t="s">
        <v>150</v>
      </c>
      <c r="F45" s="23">
        <v>1</v>
      </c>
      <c r="G45" s="154">
        <v>1</v>
      </c>
      <c r="H45" s="447">
        <v>10</v>
      </c>
      <c r="I45" s="443">
        <v>11</v>
      </c>
      <c r="J45" s="23">
        <v>0</v>
      </c>
      <c r="K45" s="23">
        <f>J45</f>
        <v>0</v>
      </c>
      <c r="L45" s="23">
        <v>0</v>
      </c>
      <c r="M45" s="23">
        <f>K45</f>
        <v>0</v>
      </c>
      <c r="N45" s="217">
        <f t="shared" si="3"/>
        <v>69.669600000000003</v>
      </c>
      <c r="O45" s="215">
        <f t="shared" ref="O45:Q64" si="4">N45</f>
        <v>69.669600000000003</v>
      </c>
      <c r="P45" s="215">
        <f t="shared" si="4"/>
        <v>69.669600000000003</v>
      </c>
      <c r="Q45" s="215">
        <f t="shared" si="4"/>
        <v>69.669600000000003</v>
      </c>
      <c r="R45" s="15" t="s">
        <v>838</v>
      </c>
      <c r="S45" s="15" t="s">
        <v>840</v>
      </c>
      <c r="T45" s="15" t="s">
        <v>49</v>
      </c>
      <c r="U45" s="15" t="s">
        <v>60</v>
      </c>
      <c r="V45" s="390" t="s">
        <v>734</v>
      </c>
      <c r="W45" s="159" t="s">
        <v>445</v>
      </c>
      <c r="X45" s="160">
        <v>1218</v>
      </c>
      <c r="Y45" s="161" t="s">
        <v>444</v>
      </c>
      <c r="Z45" s="162">
        <v>8.7999999999999995E-2</v>
      </c>
      <c r="AA45" s="157" t="s">
        <v>399</v>
      </c>
      <c r="AB45" s="163">
        <v>0.65</v>
      </c>
      <c r="AC45" s="157" t="s">
        <v>443</v>
      </c>
      <c r="AD45" s="163">
        <v>1</v>
      </c>
      <c r="AE45" s="157" t="s">
        <v>442</v>
      </c>
      <c r="AF45" s="164">
        <v>3.1399999999999997E-2</v>
      </c>
      <c r="AG45" s="166"/>
      <c r="AH45" s="166"/>
      <c r="AI45" s="166"/>
      <c r="AJ45" s="166"/>
      <c r="AK45" s="166"/>
      <c r="AL45" s="166"/>
      <c r="AM45" s="166"/>
      <c r="AN45" s="166"/>
      <c r="AO45" s="166"/>
      <c r="AP45" s="166"/>
      <c r="AQ45" s="166"/>
      <c r="AR45" s="166"/>
      <c r="AS45" s="166"/>
      <c r="AT45" s="166"/>
      <c r="AU45" s="343"/>
      <c r="AV45" s="343"/>
      <c r="AW45" s="343"/>
      <c r="AX45" s="343"/>
      <c r="AY45" s="344"/>
      <c r="AZ45" s="345"/>
      <c r="BA45" s="346"/>
    </row>
    <row r="46" spans="1:53">
      <c r="A46" s="2" t="str">
        <f t="shared" si="0"/>
        <v>Res - MF Assessments_Advanced Thermostat - Furnace (Replace Programmable)</v>
      </c>
      <c r="B46" s="18">
        <v>43</v>
      </c>
      <c r="C46" s="18" t="s">
        <v>700</v>
      </c>
      <c r="D46" s="18" t="s">
        <v>1055</v>
      </c>
      <c r="E46" s="23" t="s">
        <v>150</v>
      </c>
      <c r="F46" s="23">
        <v>1</v>
      </c>
      <c r="G46" s="154">
        <v>1</v>
      </c>
      <c r="H46" s="447">
        <v>10</v>
      </c>
      <c r="I46" s="443">
        <v>11</v>
      </c>
      <c r="J46" s="23">
        <v>12</v>
      </c>
      <c r="K46" s="23">
        <v>12</v>
      </c>
      <c r="L46" s="23">
        <v>11</v>
      </c>
      <c r="M46" s="23">
        <v>12</v>
      </c>
      <c r="N46" s="217">
        <f t="shared" si="3"/>
        <v>36.582000000000001</v>
      </c>
      <c r="O46" s="215">
        <f t="shared" si="4"/>
        <v>36.582000000000001</v>
      </c>
      <c r="P46" s="215">
        <f t="shared" si="4"/>
        <v>36.582000000000001</v>
      </c>
      <c r="Q46" s="215">
        <f t="shared" si="4"/>
        <v>36.582000000000001</v>
      </c>
      <c r="R46" s="15" t="s">
        <v>838</v>
      </c>
      <c r="S46" s="15" t="s">
        <v>840</v>
      </c>
      <c r="T46" s="15" t="s">
        <v>49</v>
      </c>
      <c r="U46" s="15" t="s">
        <v>60</v>
      </c>
      <c r="V46" s="390" t="s">
        <v>734</v>
      </c>
      <c r="W46" s="159" t="s">
        <v>445</v>
      </c>
      <c r="X46" s="160">
        <v>1005</v>
      </c>
      <c r="Y46" s="161" t="s">
        <v>444</v>
      </c>
      <c r="Z46" s="162">
        <v>5.6000000000000001E-2</v>
      </c>
      <c r="AA46" s="157" t="s">
        <v>399</v>
      </c>
      <c r="AB46" s="163">
        <v>0.65</v>
      </c>
      <c r="AC46" s="157" t="s">
        <v>443</v>
      </c>
      <c r="AD46" s="163">
        <v>1</v>
      </c>
      <c r="AE46" s="157" t="s">
        <v>442</v>
      </c>
      <c r="AF46" s="164">
        <v>3.1399999999999997E-2</v>
      </c>
      <c r="AG46" s="166"/>
      <c r="AH46" s="166"/>
      <c r="AI46" s="166"/>
      <c r="AJ46" s="166"/>
      <c r="AK46" s="166"/>
      <c r="AL46" s="166"/>
      <c r="AM46" s="166"/>
      <c r="AN46" s="166"/>
      <c r="AO46" s="166"/>
      <c r="AP46" s="166"/>
      <c r="AQ46" s="166"/>
      <c r="AR46" s="166"/>
      <c r="AS46" s="166"/>
      <c r="AT46" s="166"/>
      <c r="AU46" s="343"/>
      <c r="AV46" s="343"/>
      <c r="AW46" s="343"/>
      <c r="AX46" s="343"/>
      <c r="AY46" s="344"/>
      <c r="AZ46" s="345"/>
      <c r="BA46" s="346"/>
    </row>
    <row r="47" spans="1:53">
      <c r="A47" s="2" t="str">
        <f t="shared" si="0"/>
        <v>Res - MF Assessments_Advanced Thermostat - Boiler (Replace Programmable)</v>
      </c>
      <c r="B47" s="18">
        <v>44</v>
      </c>
      <c r="C47" s="18" t="s">
        <v>700</v>
      </c>
      <c r="D47" s="18" t="s">
        <v>704</v>
      </c>
      <c r="E47" s="23" t="s">
        <v>150</v>
      </c>
      <c r="F47" s="23">
        <v>1</v>
      </c>
      <c r="G47" s="154">
        <v>1</v>
      </c>
      <c r="H47" s="447">
        <v>10</v>
      </c>
      <c r="I47" s="443">
        <v>11</v>
      </c>
      <c r="J47" s="23">
        <v>0</v>
      </c>
      <c r="K47" s="23">
        <f>J47</f>
        <v>0</v>
      </c>
      <c r="L47" s="23">
        <v>0</v>
      </c>
      <c r="M47" s="23">
        <f>K47</f>
        <v>0</v>
      </c>
      <c r="N47" s="217">
        <f t="shared" si="3"/>
        <v>44.3352</v>
      </c>
      <c r="O47" s="215">
        <f t="shared" si="4"/>
        <v>44.3352</v>
      </c>
      <c r="P47" s="215">
        <f t="shared" si="4"/>
        <v>44.3352</v>
      </c>
      <c r="Q47" s="215">
        <f t="shared" si="4"/>
        <v>44.3352</v>
      </c>
      <c r="R47" s="15" t="s">
        <v>838</v>
      </c>
      <c r="S47" s="15" t="s">
        <v>840</v>
      </c>
      <c r="T47" s="15" t="s">
        <v>49</v>
      </c>
      <c r="U47" s="15" t="s">
        <v>60</v>
      </c>
      <c r="V47" s="390" t="s">
        <v>734</v>
      </c>
      <c r="W47" s="159" t="s">
        <v>445</v>
      </c>
      <c r="X47" s="160">
        <v>1218</v>
      </c>
      <c r="Y47" s="161" t="s">
        <v>444</v>
      </c>
      <c r="Z47" s="162">
        <v>5.6000000000000001E-2</v>
      </c>
      <c r="AA47" s="157" t="s">
        <v>399</v>
      </c>
      <c r="AB47" s="163">
        <v>0.65</v>
      </c>
      <c r="AC47" s="157" t="s">
        <v>443</v>
      </c>
      <c r="AD47" s="163">
        <v>1</v>
      </c>
      <c r="AE47" s="157" t="s">
        <v>442</v>
      </c>
      <c r="AF47" s="164">
        <v>3.1399999999999997E-2</v>
      </c>
      <c r="AG47" s="166"/>
      <c r="AH47" s="166"/>
      <c r="AI47" s="166"/>
      <c r="AJ47" s="166"/>
      <c r="AK47" s="166"/>
      <c r="AL47" s="166"/>
      <c r="AM47" s="166"/>
      <c r="AN47" s="166"/>
      <c r="AO47" s="166"/>
      <c r="AP47" s="166"/>
      <c r="AQ47" s="166"/>
      <c r="AR47" s="166"/>
      <c r="AS47" s="166"/>
      <c r="AT47" s="166"/>
      <c r="AU47" s="343"/>
      <c r="AV47" s="343"/>
      <c r="AW47" s="343"/>
      <c r="AX47" s="343"/>
      <c r="AY47" s="344"/>
      <c r="AZ47" s="345"/>
      <c r="BA47" s="346"/>
    </row>
    <row r="48" spans="1:53">
      <c r="A48" s="2" t="str">
        <f t="shared" si="0"/>
        <v>Res - MF Assessments_Thermostat - Reprogram</v>
      </c>
      <c r="B48" s="18">
        <v>45</v>
      </c>
      <c r="C48" s="18" t="s">
        <v>700</v>
      </c>
      <c r="D48" s="18" t="s">
        <v>1056</v>
      </c>
      <c r="E48" s="23" t="s">
        <v>150</v>
      </c>
      <c r="F48" s="23">
        <v>1</v>
      </c>
      <c r="G48" s="154">
        <v>0.85</v>
      </c>
      <c r="H48" s="447">
        <v>2</v>
      </c>
      <c r="I48" s="436">
        <v>2</v>
      </c>
      <c r="J48" s="23">
        <v>12</v>
      </c>
      <c r="K48" s="23">
        <v>12</v>
      </c>
      <c r="L48" s="23">
        <v>11</v>
      </c>
      <c r="M48" s="23">
        <v>12</v>
      </c>
      <c r="N48" s="217">
        <f t="shared" si="3"/>
        <v>40.5015</v>
      </c>
      <c r="O48" s="215">
        <f t="shared" si="4"/>
        <v>40.5015</v>
      </c>
      <c r="P48" s="215">
        <f t="shared" si="4"/>
        <v>40.5015</v>
      </c>
      <c r="Q48" s="215">
        <f t="shared" si="4"/>
        <v>40.5015</v>
      </c>
      <c r="R48" s="15" t="s">
        <v>838</v>
      </c>
      <c r="S48" s="15" t="s">
        <v>840</v>
      </c>
      <c r="T48" s="15" t="s">
        <v>447</v>
      </c>
      <c r="U48" s="15" t="s">
        <v>446</v>
      </c>
      <c r="V48" s="390" t="s">
        <v>734</v>
      </c>
      <c r="W48" s="159" t="s">
        <v>445</v>
      </c>
      <c r="X48" s="160">
        <v>1005</v>
      </c>
      <c r="Y48" s="161" t="s">
        <v>444</v>
      </c>
      <c r="Z48" s="162">
        <v>6.2E-2</v>
      </c>
      <c r="AA48" s="157" t="s">
        <v>399</v>
      </c>
      <c r="AB48" s="163">
        <v>0.65</v>
      </c>
      <c r="AC48" s="157" t="s">
        <v>443</v>
      </c>
      <c r="AD48" s="163">
        <v>1</v>
      </c>
      <c r="AE48" s="157" t="s">
        <v>442</v>
      </c>
      <c r="AF48" s="164">
        <v>3.1399999999999997E-2</v>
      </c>
      <c r="AG48" s="166"/>
      <c r="AH48" s="166"/>
      <c r="AI48" s="166"/>
      <c r="AJ48" s="166"/>
      <c r="AK48" s="166"/>
      <c r="AL48" s="166"/>
      <c r="AM48" s="166"/>
      <c r="AN48" s="166"/>
      <c r="AO48" s="166"/>
      <c r="AP48" s="166"/>
      <c r="AQ48" s="166"/>
      <c r="AR48" s="166"/>
      <c r="AS48" s="166"/>
      <c r="AT48" s="166"/>
      <c r="AU48" s="343"/>
      <c r="AV48" s="343"/>
      <c r="AW48" s="343"/>
      <c r="AX48" s="343"/>
      <c r="AY48" s="344"/>
      <c r="AZ48" s="345"/>
      <c r="BA48" s="346"/>
    </row>
    <row r="49" spans="1:53">
      <c r="A49" s="2" t="str">
        <f t="shared" si="0"/>
        <v>Res - MF Assessments_Gas Optimization</v>
      </c>
      <c r="B49" s="18">
        <v>46</v>
      </c>
      <c r="C49" s="18" t="s">
        <v>700</v>
      </c>
      <c r="D49" s="18" t="s">
        <v>670</v>
      </c>
      <c r="E49" s="23" t="s">
        <v>150</v>
      </c>
      <c r="F49" s="23">
        <v>1500</v>
      </c>
      <c r="G49" s="154">
        <v>1.02</v>
      </c>
      <c r="H49" s="447">
        <v>5</v>
      </c>
      <c r="I49" s="436">
        <v>5</v>
      </c>
      <c r="J49" s="23">
        <v>0</v>
      </c>
      <c r="K49" s="23">
        <f t="shared" ref="K49:L52" si="5">J49</f>
        <v>0</v>
      </c>
      <c r="L49" s="23">
        <f t="shared" si="5"/>
        <v>0</v>
      </c>
      <c r="M49" s="23">
        <f>K49</f>
        <v>0</v>
      </c>
      <c r="N49" s="217">
        <v>1</v>
      </c>
      <c r="O49" s="215">
        <f t="shared" si="4"/>
        <v>1</v>
      </c>
      <c r="P49" s="215">
        <f t="shared" si="4"/>
        <v>1</v>
      </c>
      <c r="Q49" s="215">
        <f t="shared" si="4"/>
        <v>1</v>
      </c>
      <c r="R49" s="18" t="s">
        <v>140</v>
      </c>
      <c r="S49" s="18" t="s">
        <v>140</v>
      </c>
      <c r="T49" s="18" t="s">
        <v>140</v>
      </c>
      <c r="U49" s="18" t="s">
        <v>140</v>
      </c>
      <c r="V49" s="390" t="s">
        <v>140</v>
      </c>
      <c r="W49" s="169"/>
      <c r="X49" s="169"/>
      <c r="Y49" s="390"/>
      <c r="Z49" s="390"/>
      <c r="AA49" s="170"/>
      <c r="AB49" s="390"/>
      <c r="AC49" s="157"/>
      <c r="AD49" s="390"/>
      <c r="AE49" s="157"/>
      <c r="AF49" s="390"/>
      <c r="AG49" s="390"/>
      <c r="AH49" s="390"/>
      <c r="AI49" s="390"/>
      <c r="AJ49" s="390"/>
      <c r="AK49" s="390"/>
      <c r="AL49" s="390"/>
      <c r="AM49" s="390"/>
      <c r="AN49" s="390"/>
      <c r="AO49" s="390"/>
      <c r="AP49" s="390"/>
      <c r="AQ49" s="390"/>
      <c r="AR49" s="390"/>
      <c r="AS49" s="390"/>
      <c r="AT49" s="390"/>
      <c r="AU49" s="343"/>
      <c r="AV49" s="343"/>
      <c r="AW49" s="343"/>
      <c r="AX49" s="343"/>
      <c r="AY49" s="344"/>
      <c r="AZ49" s="345"/>
      <c r="BA49" s="346"/>
    </row>
    <row r="50" spans="1:53">
      <c r="A50" s="2" t="str">
        <f t="shared" si="0"/>
        <v>Res - SF Rebates_Boiler - DHW Two-in-One</v>
      </c>
      <c r="B50" s="18">
        <v>47</v>
      </c>
      <c r="C50" s="18" t="s">
        <v>703</v>
      </c>
      <c r="D50" s="18" t="s">
        <v>1057</v>
      </c>
      <c r="E50" s="23" t="s">
        <v>150</v>
      </c>
      <c r="F50" s="23">
        <v>1</v>
      </c>
      <c r="G50" s="154">
        <v>0.64</v>
      </c>
      <c r="H50" s="447">
        <v>13</v>
      </c>
      <c r="I50" s="436">
        <v>13</v>
      </c>
      <c r="J50" s="23">
        <v>0</v>
      </c>
      <c r="K50" s="23">
        <f t="shared" si="5"/>
        <v>0</v>
      </c>
      <c r="L50" s="23">
        <f t="shared" si="5"/>
        <v>0</v>
      </c>
      <c r="M50" s="23">
        <f>L50</f>
        <v>0</v>
      </c>
      <c r="N50" s="216">
        <f>X50*Z50*(1/AD50-1/AB50)+((1/AF50-1/AH50)*AJ50*AL50*365.25*AN50*(AP50-AR50)*1)/100000</f>
        <v>129.76174002144199</v>
      </c>
      <c r="O50" s="215">
        <f t="shared" si="4"/>
        <v>129.76174002144199</v>
      </c>
      <c r="P50" s="215">
        <f t="shared" si="4"/>
        <v>129.76174002144199</v>
      </c>
      <c r="Q50" s="215">
        <f t="shared" si="4"/>
        <v>129.76174002144199</v>
      </c>
      <c r="R50" s="15" t="s">
        <v>838</v>
      </c>
      <c r="S50" s="15" t="s">
        <v>840</v>
      </c>
      <c r="T50" s="15" t="s">
        <v>386</v>
      </c>
      <c r="U50" s="15" t="s">
        <v>385</v>
      </c>
      <c r="V50" s="166" t="s">
        <v>737</v>
      </c>
      <c r="W50" s="166" t="s">
        <v>406</v>
      </c>
      <c r="X50" s="397">
        <v>1</v>
      </c>
      <c r="Y50" s="158" t="s">
        <v>403</v>
      </c>
      <c r="Z50" s="398">
        <v>1218</v>
      </c>
      <c r="AA50" s="158" t="s">
        <v>299</v>
      </c>
      <c r="AB50" s="397">
        <v>0.88</v>
      </c>
      <c r="AC50" s="158" t="s">
        <v>390</v>
      </c>
      <c r="AD50" s="399">
        <v>0.82</v>
      </c>
      <c r="AE50" s="166" t="s">
        <v>408</v>
      </c>
      <c r="AF50" s="166">
        <f>(0.675-0.0015*AT50)</f>
        <v>0.61499999999999999</v>
      </c>
      <c r="AG50" s="166" t="s">
        <v>407</v>
      </c>
      <c r="AH50" s="166">
        <v>0.75</v>
      </c>
      <c r="AI50" s="166" t="s">
        <v>256</v>
      </c>
      <c r="AJ50" s="166">
        <v>17.600000000000001</v>
      </c>
      <c r="AK50" s="166" t="s">
        <v>384</v>
      </c>
      <c r="AL50" s="166">
        <v>2.56</v>
      </c>
      <c r="AM50" s="166" t="s">
        <v>383</v>
      </c>
      <c r="AN50" s="166">
        <v>8.33</v>
      </c>
      <c r="AO50" s="166" t="s">
        <v>257</v>
      </c>
      <c r="AP50" s="166">
        <v>125</v>
      </c>
      <c r="AQ50" s="166" t="s">
        <v>250</v>
      </c>
      <c r="AR50" s="166">
        <v>54</v>
      </c>
      <c r="AS50" s="166" t="s">
        <v>382</v>
      </c>
      <c r="AT50" s="166">
        <v>40</v>
      </c>
      <c r="AU50" s="343"/>
      <c r="AV50" s="343"/>
      <c r="AW50" s="343"/>
      <c r="AX50" s="343"/>
      <c r="AY50" s="344"/>
      <c r="AZ50" s="345"/>
      <c r="BA50" s="346"/>
    </row>
    <row r="51" spans="1:53">
      <c r="A51" s="2" t="str">
        <f t="shared" si="0"/>
        <v>Res - SF Rebates_Boiler ≥90% AFUE, &lt;300MBh</v>
      </c>
      <c r="B51" s="18">
        <v>48</v>
      </c>
      <c r="C51" s="18" t="s">
        <v>703</v>
      </c>
      <c r="D51" s="18" t="s">
        <v>730</v>
      </c>
      <c r="E51" s="23" t="s">
        <v>150</v>
      </c>
      <c r="F51" s="23">
        <v>1</v>
      </c>
      <c r="G51" s="154">
        <v>0.64</v>
      </c>
      <c r="H51" s="447">
        <v>25</v>
      </c>
      <c r="I51" s="436">
        <v>25</v>
      </c>
      <c r="J51" s="23">
        <v>0</v>
      </c>
      <c r="K51" s="23">
        <f t="shared" si="5"/>
        <v>0</v>
      </c>
      <c r="L51" s="23">
        <f t="shared" si="5"/>
        <v>0</v>
      </c>
      <c r="M51" s="23">
        <f>L51</f>
        <v>0</v>
      </c>
      <c r="N51" s="433">
        <f xml:space="preserve"> (X51 * Z51 * (AB51 / AD51 -1)) / 100000</f>
        <v>95.219512195122036</v>
      </c>
      <c r="O51" s="215">
        <f t="shared" si="4"/>
        <v>95.219512195122036</v>
      </c>
      <c r="P51" s="215">
        <f t="shared" si="4"/>
        <v>95.219512195122036</v>
      </c>
      <c r="Q51" s="215">
        <f t="shared" si="4"/>
        <v>95.219512195122036</v>
      </c>
      <c r="R51" s="15" t="s">
        <v>838</v>
      </c>
      <c r="S51" s="15" t="s">
        <v>840</v>
      </c>
      <c r="T51" s="15" t="s">
        <v>405</v>
      </c>
      <c r="U51" s="15" t="s">
        <v>404</v>
      </c>
      <c r="V51" s="394" t="s">
        <v>843</v>
      </c>
      <c r="W51" s="394" t="s">
        <v>303</v>
      </c>
      <c r="X51" s="400">
        <v>976</v>
      </c>
      <c r="Y51" s="394" t="s">
        <v>844</v>
      </c>
      <c r="Z51" s="401">
        <v>100000</v>
      </c>
      <c r="AA51" s="158" t="s">
        <v>299</v>
      </c>
      <c r="AB51" s="397">
        <v>0.9</v>
      </c>
      <c r="AC51" s="158" t="s">
        <v>390</v>
      </c>
      <c r="AD51" s="399">
        <v>0.82</v>
      </c>
      <c r="AE51" s="158"/>
      <c r="AF51" s="399"/>
      <c r="AG51" s="166"/>
      <c r="AH51" s="166"/>
      <c r="AI51" s="166"/>
      <c r="AJ51" s="166"/>
      <c r="AK51" s="166"/>
      <c r="AL51" s="166"/>
      <c r="AM51" s="166"/>
      <c r="AN51" s="166"/>
      <c r="AO51" s="166"/>
      <c r="AP51" s="166"/>
      <c r="AQ51" s="166"/>
      <c r="AR51" s="166"/>
      <c r="AS51" s="166"/>
      <c r="AT51" s="166"/>
      <c r="AU51" s="343"/>
      <c r="AV51" s="343"/>
      <c r="AW51" s="343"/>
      <c r="AX51" s="343"/>
      <c r="AY51" s="344"/>
      <c r="AZ51" s="345"/>
      <c r="BA51" s="346"/>
    </row>
    <row r="52" spans="1:53">
      <c r="A52" s="2" t="str">
        <f t="shared" si="0"/>
        <v>Res - SF Rebates_Boiler ≥95% AFUE, &lt;300MBh</v>
      </c>
      <c r="B52" s="18">
        <v>49</v>
      </c>
      <c r="C52" s="18" t="s">
        <v>703</v>
      </c>
      <c r="D52" s="18" t="s">
        <v>1058</v>
      </c>
      <c r="E52" s="23" t="s">
        <v>150</v>
      </c>
      <c r="F52" s="23">
        <v>1</v>
      </c>
      <c r="G52" s="154">
        <v>0.64</v>
      </c>
      <c r="H52" s="447">
        <v>25</v>
      </c>
      <c r="I52" s="436">
        <v>25</v>
      </c>
      <c r="J52" s="23">
        <v>0</v>
      </c>
      <c r="K52" s="23">
        <f t="shared" si="5"/>
        <v>0</v>
      </c>
      <c r="L52" s="23">
        <f t="shared" si="5"/>
        <v>0</v>
      </c>
      <c r="M52" s="23">
        <f>L52</f>
        <v>0</v>
      </c>
      <c r="N52" s="433">
        <f xml:space="preserve"> (X52 * Z52 * (AB52 / AD52 -1)) / 100000</f>
        <v>154.73170731707307</v>
      </c>
      <c r="O52" s="215">
        <f t="shared" si="4"/>
        <v>154.73170731707307</v>
      </c>
      <c r="P52" s="215">
        <f t="shared" si="4"/>
        <v>154.73170731707307</v>
      </c>
      <c r="Q52" s="215">
        <f t="shared" si="4"/>
        <v>154.73170731707307</v>
      </c>
      <c r="R52" s="15" t="s">
        <v>838</v>
      </c>
      <c r="S52" s="15" t="s">
        <v>840</v>
      </c>
      <c r="T52" s="15" t="s">
        <v>405</v>
      </c>
      <c r="U52" s="15" t="s">
        <v>404</v>
      </c>
      <c r="V52" s="394" t="s">
        <v>843</v>
      </c>
      <c r="W52" s="394" t="s">
        <v>303</v>
      </c>
      <c r="X52" s="400">
        <v>976</v>
      </c>
      <c r="Y52" s="394" t="s">
        <v>844</v>
      </c>
      <c r="Z52" s="401">
        <v>100000</v>
      </c>
      <c r="AA52" s="158" t="s">
        <v>299</v>
      </c>
      <c r="AB52" s="397">
        <v>0.95</v>
      </c>
      <c r="AC52" s="158" t="s">
        <v>390</v>
      </c>
      <c r="AD52" s="399">
        <v>0.82</v>
      </c>
      <c r="AE52" s="158"/>
      <c r="AF52" s="399"/>
      <c r="AG52" s="166"/>
      <c r="AH52" s="166"/>
      <c r="AI52" s="166"/>
      <c r="AJ52" s="166"/>
      <c r="AK52" s="166"/>
      <c r="AL52" s="166"/>
      <c r="AM52" s="166"/>
      <c r="AN52" s="166"/>
      <c r="AO52" s="166"/>
      <c r="AP52" s="166"/>
      <c r="AQ52" s="166"/>
      <c r="AR52" s="166"/>
      <c r="AS52" s="166"/>
      <c r="AT52" s="166"/>
      <c r="AU52" s="343"/>
      <c r="AV52" s="343"/>
      <c r="AW52" s="343"/>
      <c r="AX52" s="343"/>
      <c r="AY52" s="344"/>
      <c r="AZ52" s="345"/>
      <c r="BA52" s="346"/>
    </row>
    <row r="53" spans="1:53">
      <c r="A53" s="2" t="str">
        <f t="shared" si="0"/>
        <v>Res - SF Rebates_Furnace &gt;95% AFUE</v>
      </c>
      <c r="B53" s="18">
        <v>50</v>
      </c>
      <c r="C53" s="18" t="s">
        <v>703</v>
      </c>
      <c r="D53" s="18" t="s">
        <v>1059</v>
      </c>
      <c r="E53" s="23" t="s">
        <v>150</v>
      </c>
      <c r="F53" s="23">
        <v>1</v>
      </c>
      <c r="G53" s="154">
        <v>0.64</v>
      </c>
      <c r="H53" s="447">
        <v>20</v>
      </c>
      <c r="I53" s="436">
        <v>20</v>
      </c>
      <c r="J53" s="23">
        <v>312</v>
      </c>
      <c r="K53" s="23">
        <v>312</v>
      </c>
      <c r="L53" s="23">
        <v>312</v>
      </c>
      <c r="M53" s="23">
        <v>312</v>
      </c>
      <c r="N53" s="433">
        <f xml:space="preserve"> ((X53 * Z53)/(1-AH53) * (((AD53 * (1-AH53)) / (AB53 * (1-AF53))) - 1)) / 100000</f>
        <v>156.41025641025624</v>
      </c>
      <c r="O53" s="215">
        <f t="shared" si="4"/>
        <v>156.41025641025624</v>
      </c>
      <c r="P53" s="215">
        <f t="shared" si="4"/>
        <v>156.41025641025624</v>
      </c>
      <c r="Q53" s="215">
        <f t="shared" si="4"/>
        <v>156.41025641025624</v>
      </c>
      <c r="R53" s="15" t="s">
        <v>838</v>
      </c>
      <c r="S53" s="15" t="s">
        <v>840</v>
      </c>
      <c r="T53" s="15" t="s">
        <v>401</v>
      </c>
      <c r="U53" s="15" t="s">
        <v>400</v>
      </c>
      <c r="V53" s="394" t="s">
        <v>845</v>
      </c>
      <c r="W53" s="394" t="s">
        <v>303</v>
      </c>
      <c r="X53" s="400">
        <v>976</v>
      </c>
      <c r="Y53" s="394" t="s">
        <v>844</v>
      </c>
      <c r="Z53" s="402">
        <v>80000</v>
      </c>
      <c r="AA53" s="158" t="s">
        <v>390</v>
      </c>
      <c r="AB53" s="397">
        <v>0.8</v>
      </c>
      <c r="AC53" s="158" t="s">
        <v>299</v>
      </c>
      <c r="AD53" s="397">
        <v>0.95</v>
      </c>
      <c r="AE53" s="165" t="s">
        <v>398</v>
      </c>
      <c r="AF53" s="399">
        <v>6.4000000000000001E-2</v>
      </c>
      <c r="AG53" s="166" t="s">
        <v>397</v>
      </c>
      <c r="AH53" s="399">
        <v>6.4000000000000001E-2</v>
      </c>
      <c r="AI53" s="166"/>
      <c r="AJ53" s="166"/>
      <c r="AK53" s="166"/>
      <c r="AL53" s="166"/>
      <c r="AM53" s="166"/>
      <c r="AN53" s="166"/>
      <c r="AO53" s="166"/>
      <c r="AP53" s="166"/>
      <c r="AQ53" s="166"/>
      <c r="AR53" s="166"/>
      <c r="AS53" s="166"/>
      <c r="AT53" s="166"/>
      <c r="AU53" s="343"/>
      <c r="AV53" s="343"/>
      <c r="AW53" s="343"/>
      <c r="AX53" s="343"/>
      <c r="AY53" s="344"/>
      <c r="AZ53" s="345"/>
      <c r="BA53" s="346"/>
    </row>
    <row r="54" spans="1:53">
      <c r="A54" s="2" t="str">
        <f t="shared" si="0"/>
        <v>Res - SF Rebates_Furnace &gt;97% AFUE</v>
      </c>
      <c r="B54" s="18">
        <v>51</v>
      </c>
      <c r="C54" s="18" t="s">
        <v>703</v>
      </c>
      <c r="D54" s="18" t="s">
        <v>1060</v>
      </c>
      <c r="E54" s="23" t="s">
        <v>150</v>
      </c>
      <c r="F54" s="23">
        <v>1</v>
      </c>
      <c r="G54" s="154">
        <v>0.64</v>
      </c>
      <c r="H54" s="447">
        <v>20</v>
      </c>
      <c r="I54" s="436">
        <v>20</v>
      </c>
      <c r="J54" s="23">
        <v>40</v>
      </c>
      <c r="K54" s="23">
        <v>40</v>
      </c>
      <c r="L54" s="23">
        <v>40</v>
      </c>
      <c r="M54" s="23">
        <v>40</v>
      </c>
      <c r="N54" s="433">
        <f xml:space="preserve"> ((X54 * Z54)/(1-AH54) * (((AD54 * (1-AH54)) / (AB54 * (1-AF54))) - 1)) / 100000</f>
        <v>177.26495726495722</v>
      </c>
      <c r="O54" s="215">
        <f t="shared" si="4"/>
        <v>177.26495726495722</v>
      </c>
      <c r="P54" s="215">
        <f t="shared" si="4"/>
        <v>177.26495726495722</v>
      </c>
      <c r="Q54" s="215">
        <f t="shared" si="4"/>
        <v>177.26495726495722</v>
      </c>
      <c r="R54" s="15" t="s">
        <v>838</v>
      </c>
      <c r="S54" s="15" t="s">
        <v>840</v>
      </c>
      <c r="T54" s="15" t="s">
        <v>401</v>
      </c>
      <c r="U54" s="15" t="s">
        <v>400</v>
      </c>
      <c r="V54" s="394" t="s">
        <v>845</v>
      </c>
      <c r="W54" s="394" t="s">
        <v>303</v>
      </c>
      <c r="X54" s="400">
        <v>976</v>
      </c>
      <c r="Y54" s="394" t="s">
        <v>844</v>
      </c>
      <c r="Z54" s="402">
        <v>80000</v>
      </c>
      <c r="AA54" s="158" t="s">
        <v>390</v>
      </c>
      <c r="AB54" s="397">
        <v>0.8</v>
      </c>
      <c r="AC54" s="158" t="s">
        <v>299</v>
      </c>
      <c r="AD54" s="397">
        <v>0.97</v>
      </c>
      <c r="AE54" s="165" t="s">
        <v>398</v>
      </c>
      <c r="AF54" s="399">
        <v>6.4000000000000001E-2</v>
      </c>
      <c r="AG54" s="166" t="s">
        <v>397</v>
      </c>
      <c r="AH54" s="399">
        <v>6.4000000000000001E-2</v>
      </c>
      <c r="AI54" s="166"/>
      <c r="AJ54" s="166"/>
      <c r="AK54" s="166"/>
      <c r="AL54" s="166"/>
      <c r="AM54" s="166"/>
      <c r="AN54" s="166"/>
      <c r="AO54" s="166"/>
      <c r="AP54" s="166"/>
      <c r="AQ54" s="166"/>
      <c r="AR54" s="166"/>
      <c r="AS54" s="166"/>
      <c r="AT54" s="166"/>
      <c r="AU54" s="343"/>
      <c r="AV54" s="343"/>
      <c r="AW54" s="343"/>
      <c r="AX54" s="343"/>
      <c r="AY54" s="344"/>
      <c r="AZ54" s="346"/>
      <c r="BA54" s="346"/>
    </row>
    <row r="55" spans="1:53">
      <c r="A55" s="2" t="str">
        <f t="shared" si="0"/>
        <v>Res - SF Rebates_Programmable Thermostat - Furnace</v>
      </c>
      <c r="B55" s="18">
        <v>52</v>
      </c>
      <c r="C55" s="18" t="s">
        <v>703</v>
      </c>
      <c r="D55" s="18" t="s">
        <v>702</v>
      </c>
      <c r="E55" s="23" t="s">
        <v>150</v>
      </c>
      <c r="F55" s="23">
        <v>1</v>
      </c>
      <c r="G55" s="154">
        <v>0.64</v>
      </c>
      <c r="H55" s="447">
        <v>5</v>
      </c>
      <c r="I55" s="443">
        <v>8</v>
      </c>
      <c r="J55" s="23">
        <v>0</v>
      </c>
      <c r="K55" s="23">
        <f t="shared" ref="K55:M56" si="6">J55</f>
        <v>0</v>
      </c>
      <c r="L55" s="23">
        <f t="shared" si="6"/>
        <v>0</v>
      </c>
      <c r="M55" s="23">
        <f t="shared" si="6"/>
        <v>0</v>
      </c>
      <c r="N55" s="354">
        <f t="shared" ref="N55:N60" si="7">X55*Z55*AB55*AD55</f>
        <v>34.893600000000006</v>
      </c>
      <c r="O55" s="215">
        <f t="shared" si="4"/>
        <v>34.893600000000006</v>
      </c>
      <c r="P55" s="215">
        <f t="shared" si="4"/>
        <v>34.893600000000006</v>
      </c>
      <c r="Q55" s="215">
        <f t="shared" si="4"/>
        <v>34.893600000000006</v>
      </c>
      <c r="R55" s="15" t="s">
        <v>838</v>
      </c>
      <c r="S55" s="15" t="s">
        <v>840</v>
      </c>
      <c r="T55" s="15" t="s">
        <v>447</v>
      </c>
      <c r="U55" s="15" t="s">
        <v>446</v>
      </c>
      <c r="V55" s="390" t="s">
        <v>441</v>
      </c>
      <c r="W55" s="159" t="s">
        <v>445</v>
      </c>
      <c r="X55" s="160">
        <v>1005</v>
      </c>
      <c r="Y55" s="161" t="s">
        <v>444</v>
      </c>
      <c r="Z55" s="162">
        <v>6.2E-2</v>
      </c>
      <c r="AA55" s="157" t="s">
        <v>392</v>
      </c>
      <c r="AB55" s="163">
        <v>1</v>
      </c>
      <c r="AC55" s="157" t="s">
        <v>443</v>
      </c>
      <c r="AD55" s="163">
        <v>0.56000000000000005</v>
      </c>
      <c r="AE55" s="157" t="s">
        <v>442</v>
      </c>
      <c r="AF55" s="164">
        <v>3.1399999999999997E-2</v>
      </c>
      <c r="AG55" s="166"/>
      <c r="AH55" s="166"/>
      <c r="AI55" s="166"/>
      <c r="AJ55" s="166"/>
      <c r="AK55" s="166"/>
      <c r="AL55" s="166"/>
      <c r="AM55" s="166"/>
      <c r="AN55" s="166"/>
      <c r="AO55" s="166"/>
      <c r="AP55" s="166"/>
      <c r="AQ55" s="166"/>
      <c r="AR55" s="166"/>
      <c r="AS55" s="166"/>
      <c r="AT55" s="166"/>
      <c r="AU55" s="343"/>
      <c r="AV55" s="343"/>
      <c r="AW55" s="343"/>
      <c r="AX55" s="343"/>
      <c r="AY55" s="344"/>
      <c r="AZ55" s="345"/>
      <c r="BA55" s="346"/>
    </row>
    <row r="56" spans="1:53">
      <c r="A56" s="2" t="str">
        <f t="shared" si="0"/>
        <v>Res - SF Rebates_Programmable Thermostat - Boiler</v>
      </c>
      <c r="B56" s="18">
        <v>53</v>
      </c>
      <c r="C56" s="18" t="s">
        <v>703</v>
      </c>
      <c r="D56" s="18" t="s">
        <v>1053</v>
      </c>
      <c r="E56" s="23" t="s">
        <v>150</v>
      </c>
      <c r="F56" s="23">
        <v>1</v>
      </c>
      <c r="G56" s="154">
        <v>0.64</v>
      </c>
      <c r="H56" s="447">
        <v>5</v>
      </c>
      <c r="I56" s="443">
        <v>8</v>
      </c>
      <c r="J56" s="23">
        <v>0</v>
      </c>
      <c r="K56" s="23">
        <f t="shared" si="6"/>
        <v>0</v>
      </c>
      <c r="L56" s="23">
        <f t="shared" si="6"/>
        <v>0</v>
      </c>
      <c r="M56" s="23">
        <f t="shared" si="6"/>
        <v>0</v>
      </c>
      <c r="N56" s="354">
        <f t="shared" si="7"/>
        <v>42.28896000000001</v>
      </c>
      <c r="O56" s="215">
        <f t="shared" si="4"/>
        <v>42.28896000000001</v>
      </c>
      <c r="P56" s="215">
        <f t="shared" si="4"/>
        <v>42.28896000000001</v>
      </c>
      <c r="Q56" s="215">
        <f t="shared" si="4"/>
        <v>42.28896000000001</v>
      </c>
      <c r="R56" s="15" t="s">
        <v>838</v>
      </c>
      <c r="S56" s="15" t="s">
        <v>840</v>
      </c>
      <c r="T56" s="15" t="s">
        <v>447</v>
      </c>
      <c r="U56" s="15" t="s">
        <v>446</v>
      </c>
      <c r="V56" s="390" t="s">
        <v>441</v>
      </c>
      <c r="W56" s="159" t="s">
        <v>445</v>
      </c>
      <c r="X56" s="160">
        <v>1218</v>
      </c>
      <c r="Y56" s="161" t="s">
        <v>444</v>
      </c>
      <c r="Z56" s="162">
        <v>6.2E-2</v>
      </c>
      <c r="AA56" s="157" t="s">
        <v>392</v>
      </c>
      <c r="AB56" s="163">
        <v>1</v>
      </c>
      <c r="AC56" s="157" t="s">
        <v>443</v>
      </c>
      <c r="AD56" s="163">
        <v>0.56000000000000005</v>
      </c>
      <c r="AE56" s="157" t="s">
        <v>442</v>
      </c>
      <c r="AF56" s="164">
        <v>3.1399999999999997E-2</v>
      </c>
      <c r="AG56" s="166"/>
      <c r="AH56" s="166"/>
      <c r="AI56" s="166"/>
      <c r="AJ56" s="166"/>
      <c r="AK56" s="166"/>
      <c r="AL56" s="166"/>
      <c r="AM56" s="166"/>
      <c r="AN56" s="166"/>
      <c r="AO56" s="166"/>
      <c r="AP56" s="166"/>
      <c r="AQ56" s="166"/>
      <c r="AR56" s="166"/>
      <c r="AS56" s="166"/>
      <c r="AT56" s="166"/>
      <c r="AU56" s="343"/>
      <c r="AV56" s="343"/>
      <c r="AW56" s="343"/>
      <c r="AX56" s="343"/>
      <c r="AY56" s="344"/>
      <c r="AZ56" s="345"/>
      <c r="BA56" s="346"/>
    </row>
    <row r="57" spans="1:53">
      <c r="A57" s="2" t="str">
        <f t="shared" si="0"/>
        <v>Res - SF Rebates_Advanced Thermostat - Furnace (Replace Manual)</v>
      </c>
      <c r="B57" s="18">
        <v>54</v>
      </c>
      <c r="C57" s="18" t="s">
        <v>703</v>
      </c>
      <c r="D57" s="18" t="s">
        <v>699</v>
      </c>
      <c r="E57" s="23" t="s">
        <v>150</v>
      </c>
      <c r="F57" s="23">
        <v>1</v>
      </c>
      <c r="G57" s="154">
        <v>1</v>
      </c>
      <c r="H57" s="447">
        <v>10</v>
      </c>
      <c r="I57" s="443">
        <v>11</v>
      </c>
      <c r="J57" s="23">
        <v>675</v>
      </c>
      <c r="K57" s="23">
        <v>675</v>
      </c>
      <c r="L57" s="23">
        <v>675</v>
      </c>
      <c r="M57" s="23">
        <v>675</v>
      </c>
      <c r="N57" s="217">
        <f t="shared" si="7"/>
        <v>88.44</v>
      </c>
      <c r="O57" s="215">
        <f t="shared" si="4"/>
        <v>88.44</v>
      </c>
      <c r="P57" s="215">
        <f t="shared" si="4"/>
        <v>88.44</v>
      </c>
      <c r="Q57" s="215">
        <f t="shared" si="4"/>
        <v>88.44</v>
      </c>
      <c r="R57" s="15" t="s">
        <v>838</v>
      </c>
      <c r="S57" s="15" t="s">
        <v>840</v>
      </c>
      <c r="T57" s="15" t="s">
        <v>49</v>
      </c>
      <c r="U57" s="15" t="s">
        <v>60</v>
      </c>
      <c r="V57" s="390" t="s">
        <v>441</v>
      </c>
      <c r="W57" s="159" t="s">
        <v>445</v>
      </c>
      <c r="X57" s="160">
        <v>1005</v>
      </c>
      <c r="Y57" s="161" t="s">
        <v>444</v>
      </c>
      <c r="Z57" s="162">
        <v>8.7999999999999995E-2</v>
      </c>
      <c r="AA57" s="157" t="s">
        <v>392</v>
      </c>
      <c r="AB57" s="163">
        <v>1</v>
      </c>
      <c r="AC57" s="157" t="s">
        <v>443</v>
      </c>
      <c r="AD57" s="163">
        <v>1</v>
      </c>
      <c r="AE57" s="157" t="s">
        <v>442</v>
      </c>
      <c r="AF57" s="164">
        <v>3.1399999999999997E-2</v>
      </c>
      <c r="AG57" s="166"/>
      <c r="AH57" s="166"/>
      <c r="AI57" s="166"/>
      <c r="AJ57" s="166"/>
      <c r="AK57" s="166"/>
      <c r="AL57" s="166"/>
      <c r="AM57" s="166"/>
      <c r="AN57" s="166"/>
      <c r="AO57" s="166"/>
      <c r="AP57" s="166"/>
      <c r="AQ57" s="166"/>
      <c r="AR57" s="166"/>
      <c r="AS57" s="166"/>
      <c r="AT57" s="166"/>
      <c r="AU57" s="343"/>
      <c r="AV57" s="343"/>
      <c r="AW57" s="343"/>
      <c r="AX57" s="343"/>
      <c r="AY57" s="344"/>
      <c r="AZ57" s="345"/>
      <c r="BA57" s="346"/>
    </row>
    <row r="58" spans="1:53">
      <c r="A58" s="2" t="str">
        <f t="shared" si="0"/>
        <v>Res - SF Rebates_Advanced Thermostat - Boiler (Replace Manual)</v>
      </c>
      <c r="B58" s="18">
        <v>55</v>
      </c>
      <c r="C58" s="18" t="s">
        <v>703</v>
      </c>
      <c r="D58" s="18" t="s">
        <v>1054</v>
      </c>
      <c r="E58" s="23" t="s">
        <v>150</v>
      </c>
      <c r="F58" s="23">
        <v>1</v>
      </c>
      <c r="G58" s="154">
        <v>1</v>
      </c>
      <c r="H58" s="447">
        <v>10</v>
      </c>
      <c r="I58" s="443">
        <v>11</v>
      </c>
      <c r="J58" s="23">
        <v>124</v>
      </c>
      <c r="K58" s="23">
        <v>124</v>
      </c>
      <c r="L58" s="23">
        <v>124</v>
      </c>
      <c r="M58" s="23">
        <v>124</v>
      </c>
      <c r="N58" s="217">
        <f t="shared" si="7"/>
        <v>107.184</v>
      </c>
      <c r="O58" s="215">
        <f t="shared" si="4"/>
        <v>107.184</v>
      </c>
      <c r="P58" s="215">
        <f t="shared" si="4"/>
        <v>107.184</v>
      </c>
      <c r="Q58" s="215">
        <f t="shared" si="4"/>
        <v>107.184</v>
      </c>
      <c r="R58" s="15" t="s">
        <v>838</v>
      </c>
      <c r="S58" s="15" t="s">
        <v>840</v>
      </c>
      <c r="T58" s="15" t="s">
        <v>49</v>
      </c>
      <c r="U58" s="15" t="s">
        <v>60</v>
      </c>
      <c r="V58" s="390" t="s">
        <v>441</v>
      </c>
      <c r="W58" s="159" t="s">
        <v>445</v>
      </c>
      <c r="X58" s="160">
        <v>1218</v>
      </c>
      <c r="Y58" s="161" t="s">
        <v>444</v>
      </c>
      <c r="Z58" s="162">
        <v>8.7999999999999995E-2</v>
      </c>
      <c r="AA58" s="157" t="s">
        <v>392</v>
      </c>
      <c r="AB58" s="163">
        <v>1</v>
      </c>
      <c r="AC58" s="157" t="s">
        <v>443</v>
      </c>
      <c r="AD58" s="163">
        <v>1</v>
      </c>
      <c r="AE58" s="157" t="s">
        <v>442</v>
      </c>
      <c r="AF58" s="164">
        <v>3.1399999999999997E-2</v>
      </c>
      <c r="AG58" s="166"/>
      <c r="AH58" s="166"/>
      <c r="AI58" s="166"/>
      <c r="AJ58" s="166"/>
      <c r="AK58" s="166"/>
      <c r="AL58" s="166"/>
      <c r="AM58" s="166"/>
      <c r="AN58" s="166"/>
      <c r="AO58" s="166"/>
      <c r="AP58" s="166"/>
      <c r="AQ58" s="166"/>
      <c r="AR58" s="166"/>
      <c r="AS58" s="166"/>
      <c r="AT58" s="166"/>
      <c r="AU58" s="343"/>
      <c r="AV58" s="343"/>
      <c r="AW58" s="343"/>
      <c r="AX58" s="343"/>
      <c r="AY58" s="344"/>
      <c r="AZ58" s="345"/>
      <c r="BA58" s="346"/>
    </row>
    <row r="59" spans="1:53">
      <c r="A59" s="2" t="str">
        <f t="shared" si="0"/>
        <v>Res - SF Rebates_Advanced Thermostat - Furnace (Replace Programmable)</v>
      </c>
      <c r="B59" s="18">
        <v>56</v>
      </c>
      <c r="C59" s="18" t="s">
        <v>703</v>
      </c>
      <c r="D59" s="18" t="s">
        <v>1055</v>
      </c>
      <c r="E59" s="23" t="s">
        <v>150</v>
      </c>
      <c r="F59" s="23">
        <v>1</v>
      </c>
      <c r="G59" s="154">
        <v>1</v>
      </c>
      <c r="H59" s="447">
        <v>10</v>
      </c>
      <c r="I59" s="443">
        <v>11</v>
      </c>
      <c r="J59" s="23">
        <v>1200</v>
      </c>
      <c r="K59" s="23">
        <v>1200</v>
      </c>
      <c r="L59" s="23">
        <v>1200</v>
      </c>
      <c r="M59" s="23">
        <v>1200</v>
      </c>
      <c r="N59" s="217">
        <f t="shared" si="7"/>
        <v>56.28</v>
      </c>
      <c r="O59" s="215">
        <f t="shared" si="4"/>
        <v>56.28</v>
      </c>
      <c r="P59" s="215">
        <f t="shared" si="4"/>
        <v>56.28</v>
      </c>
      <c r="Q59" s="215">
        <f t="shared" si="4"/>
        <v>56.28</v>
      </c>
      <c r="R59" s="15" t="s">
        <v>838</v>
      </c>
      <c r="S59" s="15" t="s">
        <v>840</v>
      </c>
      <c r="T59" s="15" t="s">
        <v>49</v>
      </c>
      <c r="U59" s="15" t="s">
        <v>60</v>
      </c>
      <c r="V59" s="390" t="s">
        <v>441</v>
      </c>
      <c r="W59" s="159" t="s">
        <v>445</v>
      </c>
      <c r="X59" s="160">
        <v>1005</v>
      </c>
      <c r="Y59" s="161" t="s">
        <v>444</v>
      </c>
      <c r="Z59" s="162">
        <v>5.6000000000000001E-2</v>
      </c>
      <c r="AA59" s="157" t="s">
        <v>392</v>
      </c>
      <c r="AB59" s="163">
        <v>1</v>
      </c>
      <c r="AC59" s="157" t="s">
        <v>443</v>
      </c>
      <c r="AD59" s="163">
        <v>1</v>
      </c>
      <c r="AE59" s="157" t="s">
        <v>442</v>
      </c>
      <c r="AF59" s="164">
        <v>3.1399999999999997E-2</v>
      </c>
      <c r="AG59" s="166"/>
      <c r="AH59" s="166"/>
      <c r="AI59" s="166"/>
      <c r="AJ59" s="166"/>
      <c r="AK59" s="166"/>
      <c r="AL59" s="166"/>
      <c r="AM59" s="166"/>
      <c r="AN59" s="166"/>
      <c r="AO59" s="166"/>
      <c r="AP59" s="166"/>
      <c r="AQ59" s="166"/>
      <c r="AR59" s="166"/>
      <c r="AS59" s="166"/>
      <c r="AT59" s="166"/>
      <c r="AU59" s="343"/>
      <c r="AV59" s="343"/>
      <c r="AW59" s="343"/>
      <c r="AX59" s="343"/>
      <c r="AY59" s="344"/>
      <c r="AZ59" s="345"/>
      <c r="BA59" s="346"/>
    </row>
    <row r="60" spans="1:53">
      <c r="A60" s="2" t="str">
        <f t="shared" si="0"/>
        <v>Res - SF Rebates_Advanced Thermostat - Boiler (Replace Programmable)</v>
      </c>
      <c r="B60" s="18">
        <v>57</v>
      </c>
      <c r="C60" s="18" t="s">
        <v>703</v>
      </c>
      <c r="D60" s="18" t="s">
        <v>704</v>
      </c>
      <c r="E60" s="23" t="s">
        <v>150</v>
      </c>
      <c r="F60" s="23">
        <v>1</v>
      </c>
      <c r="G60" s="154">
        <v>1</v>
      </c>
      <c r="H60" s="447">
        <v>10</v>
      </c>
      <c r="I60" s="443">
        <v>11</v>
      </c>
      <c r="J60" s="23">
        <v>230</v>
      </c>
      <c r="K60" s="23">
        <v>230</v>
      </c>
      <c r="L60" s="23">
        <v>230</v>
      </c>
      <c r="M60" s="23">
        <v>230</v>
      </c>
      <c r="N60" s="217">
        <f t="shared" si="7"/>
        <v>68.207999999999998</v>
      </c>
      <c r="O60" s="215">
        <f t="shared" si="4"/>
        <v>68.207999999999998</v>
      </c>
      <c r="P60" s="215">
        <f t="shared" si="4"/>
        <v>68.207999999999998</v>
      </c>
      <c r="Q60" s="215">
        <f t="shared" si="4"/>
        <v>68.207999999999998</v>
      </c>
      <c r="R60" s="15" t="s">
        <v>838</v>
      </c>
      <c r="S60" s="15" t="s">
        <v>840</v>
      </c>
      <c r="T60" s="15" t="s">
        <v>49</v>
      </c>
      <c r="U60" s="15" t="s">
        <v>60</v>
      </c>
      <c r="V60" s="390" t="s">
        <v>441</v>
      </c>
      <c r="W60" s="159" t="s">
        <v>445</v>
      </c>
      <c r="X60" s="160">
        <v>1218</v>
      </c>
      <c r="Y60" s="161" t="s">
        <v>444</v>
      </c>
      <c r="Z60" s="162">
        <v>5.6000000000000001E-2</v>
      </c>
      <c r="AA60" s="157" t="s">
        <v>392</v>
      </c>
      <c r="AB60" s="163">
        <v>1</v>
      </c>
      <c r="AC60" s="157" t="s">
        <v>443</v>
      </c>
      <c r="AD60" s="163">
        <v>1</v>
      </c>
      <c r="AE60" s="157" t="s">
        <v>442</v>
      </c>
      <c r="AF60" s="164">
        <v>3.1399999999999997E-2</v>
      </c>
      <c r="AG60" s="166"/>
      <c r="AH60" s="166"/>
      <c r="AI60" s="166"/>
      <c r="AJ60" s="166"/>
      <c r="AK60" s="166"/>
      <c r="AL60" s="166"/>
      <c r="AM60" s="166"/>
      <c r="AN60" s="166"/>
      <c r="AO60" s="166"/>
      <c r="AP60" s="166"/>
      <c r="AQ60" s="166"/>
      <c r="AR60" s="166"/>
      <c r="AS60" s="166"/>
      <c r="AT60" s="166"/>
      <c r="AU60" s="343"/>
      <c r="AV60" s="343"/>
      <c r="AW60" s="343"/>
      <c r="AX60" s="343"/>
      <c r="AY60" s="344"/>
      <c r="AZ60" s="345"/>
      <c r="BA60" s="346"/>
    </row>
    <row r="61" spans="1:53">
      <c r="A61" s="2" t="str">
        <f t="shared" si="0"/>
        <v>Res - SF Rebates_Air Sealing</v>
      </c>
      <c r="B61" s="18">
        <v>58</v>
      </c>
      <c r="C61" s="18" t="s">
        <v>703</v>
      </c>
      <c r="D61" s="18" t="s">
        <v>678</v>
      </c>
      <c r="E61" s="23" t="s">
        <v>439</v>
      </c>
      <c r="F61" s="23">
        <v>891.88799999999981</v>
      </c>
      <c r="G61" s="154">
        <v>0.9</v>
      </c>
      <c r="H61" s="447">
        <v>15</v>
      </c>
      <c r="I61" s="443">
        <v>20</v>
      </c>
      <c r="J61" s="23">
        <v>79</v>
      </c>
      <c r="K61" s="23">
        <v>79</v>
      </c>
      <c r="L61" s="23">
        <v>79</v>
      </c>
      <c r="M61" s="23">
        <v>79</v>
      </c>
      <c r="N61" s="471">
        <f>1/X61*60*24*Z61*0.018/(AB61*100000)*AD61*AF61</f>
        <v>5.5451447698744778E-2</v>
      </c>
      <c r="O61" s="29">
        <f t="shared" si="4"/>
        <v>5.5451447698744778E-2</v>
      </c>
      <c r="P61" s="29">
        <f t="shared" si="4"/>
        <v>5.5451447698744778E-2</v>
      </c>
      <c r="Q61" s="29">
        <f t="shared" si="4"/>
        <v>5.5451447698744778E-2</v>
      </c>
      <c r="R61" s="15" t="s">
        <v>838</v>
      </c>
      <c r="S61" s="15" t="s">
        <v>840</v>
      </c>
      <c r="T61" s="15" t="s">
        <v>438</v>
      </c>
      <c r="U61" s="15" t="s">
        <v>437</v>
      </c>
      <c r="V61" s="472" t="s">
        <v>1448</v>
      </c>
      <c r="W61" s="166" t="s">
        <v>436</v>
      </c>
      <c r="X61" s="166">
        <v>23.9</v>
      </c>
      <c r="Y61" s="166" t="s">
        <v>411</v>
      </c>
      <c r="Z61" s="166">
        <v>5113</v>
      </c>
      <c r="AA61" s="158" t="s">
        <v>440</v>
      </c>
      <c r="AB61" s="403">
        <v>0.72</v>
      </c>
      <c r="AC61" s="395" t="s">
        <v>846</v>
      </c>
      <c r="AD61" s="404">
        <v>0.72</v>
      </c>
      <c r="AE61" s="466" t="s">
        <v>1449</v>
      </c>
      <c r="AF61" s="473">
        <v>1</v>
      </c>
      <c r="AG61" s="166"/>
      <c r="AH61" s="166"/>
      <c r="AI61" s="166"/>
      <c r="AJ61" s="166"/>
      <c r="AK61" s="166"/>
      <c r="AL61" s="166"/>
      <c r="AM61" s="166"/>
      <c r="AN61" s="166"/>
      <c r="AO61" s="166"/>
      <c r="AP61" s="166"/>
      <c r="AQ61" s="166"/>
      <c r="AR61" s="166"/>
      <c r="AS61" s="166"/>
      <c r="AT61" s="166"/>
      <c r="AU61" s="343"/>
      <c r="AV61" s="343"/>
      <c r="AW61" s="343"/>
      <c r="AX61" s="343"/>
      <c r="AY61" s="344"/>
      <c r="AZ61" s="345"/>
      <c r="BA61" s="346"/>
    </row>
    <row r="62" spans="1:53">
      <c r="A62" s="2" t="str">
        <f t="shared" si="0"/>
        <v>Res - SF Rebates_Attic Insulation</v>
      </c>
      <c r="B62" s="18">
        <v>59</v>
      </c>
      <c r="C62" s="18" t="s">
        <v>703</v>
      </c>
      <c r="D62" s="18" t="s">
        <v>729</v>
      </c>
      <c r="E62" s="23" t="s">
        <v>418</v>
      </c>
      <c r="F62" s="23">
        <v>1200</v>
      </c>
      <c r="G62" s="154">
        <v>0.9</v>
      </c>
      <c r="H62" s="447">
        <v>25</v>
      </c>
      <c r="I62" s="443">
        <v>20</v>
      </c>
      <c r="J62" s="23">
        <v>79</v>
      </c>
      <c r="K62" s="23">
        <v>79</v>
      </c>
      <c r="L62" s="23">
        <v>79</v>
      </c>
      <c r="M62" s="23">
        <v>79</v>
      </c>
      <c r="N62" s="471">
        <f>((((1/X62-1/Z62)*1*(1-AB62))*24*AF62)/(AH62*100000)*AD62*AJ62*AL62)</f>
        <v>9.2988426666666665E-2</v>
      </c>
      <c r="O62" s="29">
        <f t="shared" si="4"/>
        <v>9.2988426666666665E-2</v>
      </c>
      <c r="P62" s="29">
        <f t="shared" si="4"/>
        <v>9.2988426666666665E-2</v>
      </c>
      <c r="Q62" s="29">
        <f t="shared" si="4"/>
        <v>9.2988426666666665E-2</v>
      </c>
      <c r="R62" s="15" t="s">
        <v>838</v>
      </c>
      <c r="S62" s="15" t="s">
        <v>840</v>
      </c>
      <c r="T62" s="15" t="s">
        <v>1047</v>
      </c>
      <c r="U62" s="15" t="s">
        <v>416</v>
      </c>
      <c r="V62" s="472" t="s">
        <v>1450</v>
      </c>
      <c r="W62" s="166" t="s">
        <v>415</v>
      </c>
      <c r="X62" s="166">
        <v>10</v>
      </c>
      <c r="Y62" s="394" t="s">
        <v>847</v>
      </c>
      <c r="Z62" s="166">
        <f>49+5</f>
        <v>54</v>
      </c>
      <c r="AA62" s="158" t="s">
        <v>434</v>
      </c>
      <c r="AB62" s="397">
        <v>7.0000000000000007E-2</v>
      </c>
      <c r="AC62" s="395" t="s">
        <v>848</v>
      </c>
      <c r="AD62" s="404">
        <v>0.72</v>
      </c>
      <c r="AE62" s="158" t="s">
        <v>411</v>
      </c>
      <c r="AF62" s="166">
        <v>5113</v>
      </c>
      <c r="AG62" s="166" t="s">
        <v>410</v>
      </c>
      <c r="AH62" s="397">
        <v>0.72</v>
      </c>
      <c r="AI62" s="472" t="s">
        <v>1449</v>
      </c>
      <c r="AJ62" s="473">
        <v>1</v>
      </c>
      <c r="AK62" s="472" t="s">
        <v>1451</v>
      </c>
      <c r="AL62" s="473">
        <v>1</v>
      </c>
      <c r="AM62" s="166"/>
      <c r="AN62" s="166"/>
      <c r="AO62" s="166"/>
      <c r="AP62" s="166"/>
      <c r="AQ62" s="166"/>
      <c r="AR62" s="166"/>
      <c r="AS62" s="166"/>
      <c r="AT62" s="166"/>
      <c r="AU62" s="343"/>
      <c r="AV62" s="343"/>
      <c r="AW62" s="343"/>
      <c r="AX62" s="343"/>
      <c r="AY62" s="344"/>
      <c r="AZ62" s="345"/>
      <c r="BA62" s="346"/>
    </row>
    <row r="63" spans="1:53">
      <c r="A63" s="2" t="str">
        <f t="shared" si="0"/>
        <v>Res - SF Rebates_Duct Sealing</v>
      </c>
      <c r="B63" s="18">
        <v>60</v>
      </c>
      <c r="C63" s="18" t="s">
        <v>703</v>
      </c>
      <c r="D63" s="18" t="s">
        <v>707</v>
      </c>
      <c r="E63" s="23" t="s">
        <v>429</v>
      </c>
      <c r="F63" s="23">
        <v>120</v>
      </c>
      <c r="G63" s="154">
        <v>0.9</v>
      </c>
      <c r="H63" s="447">
        <v>20</v>
      </c>
      <c r="I63" s="436">
        <v>20</v>
      </c>
      <c r="J63" s="23">
        <v>46</v>
      </c>
      <c r="K63" s="23">
        <v>46</v>
      </c>
      <c r="L63" s="23">
        <v>46</v>
      </c>
      <c r="M63" s="23">
        <v>46</v>
      </c>
      <c r="N63" s="216">
        <f>X63/(Z63*0.0123)*AB63*Z63*AH63*(AD63/AF63)/100000</f>
        <v>0.70950058072009281</v>
      </c>
      <c r="O63" s="215">
        <f t="shared" si="4"/>
        <v>0.70950058072009281</v>
      </c>
      <c r="P63" s="215">
        <f t="shared" si="4"/>
        <v>0.70950058072009281</v>
      </c>
      <c r="Q63" s="215">
        <f t="shared" si="4"/>
        <v>0.70950058072009281</v>
      </c>
      <c r="R63" s="15" t="s">
        <v>838</v>
      </c>
      <c r="S63" s="15" t="s">
        <v>840</v>
      </c>
      <c r="T63" s="15" t="s">
        <v>428</v>
      </c>
      <c r="U63" s="15" t="s">
        <v>427</v>
      </c>
      <c r="V63" s="166" t="s">
        <v>420</v>
      </c>
      <c r="W63" s="166" t="s">
        <v>426</v>
      </c>
      <c r="X63" s="166">
        <v>1</v>
      </c>
      <c r="Y63" s="166" t="s">
        <v>425</v>
      </c>
      <c r="Z63" s="398">
        <v>76000</v>
      </c>
      <c r="AA63" s="158" t="s">
        <v>424</v>
      </c>
      <c r="AB63" s="398">
        <v>1840</v>
      </c>
      <c r="AC63" s="158" t="s">
        <v>423</v>
      </c>
      <c r="AD63" s="403">
        <v>0.83</v>
      </c>
      <c r="AE63" s="158" t="s">
        <v>422</v>
      </c>
      <c r="AF63" s="397">
        <v>0.7</v>
      </c>
      <c r="AG63" s="166" t="s">
        <v>421</v>
      </c>
      <c r="AH63" s="397">
        <v>0.4</v>
      </c>
      <c r="AI63" s="166"/>
      <c r="AJ63" s="166"/>
      <c r="AK63" s="166"/>
      <c r="AL63" s="166"/>
      <c r="AM63" s="166"/>
      <c r="AN63" s="166"/>
      <c r="AO63" s="166"/>
      <c r="AP63" s="166"/>
      <c r="AQ63" s="166"/>
      <c r="AR63" s="166"/>
      <c r="AS63" s="166"/>
      <c r="AT63" s="166"/>
      <c r="AU63" s="343"/>
      <c r="AV63" s="343"/>
      <c r="AW63" s="343"/>
      <c r="AX63" s="343"/>
      <c r="AY63" s="344"/>
      <c r="AZ63" s="345"/>
      <c r="BA63" s="346"/>
    </row>
    <row r="64" spans="1:53">
      <c r="A64" s="2" t="str">
        <f t="shared" si="0"/>
        <v>Res - SF Rebates_Wall Insulation</v>
      </c>
      <c r="B64" s="18">
        <v>61</v>
      </c>
      <c r="C64" s="18" t="s">
        <v>703</v>
      </c>
      <c r="D64" s="18" t="s">
        <v>680</v>
      </c>
      <c r="E64" s="23" t="s">
        <v>429</v>
      </c>
      <c r="F64" s="23">
        <v>500</v>
      </c>
      <c r="G64" s="154">
        <v>0.9</v>
      </c>
      <c r="H64" s="447">
        <v>25</v>
      </c>
      <c r="I64" s="443">
        <v>20</v>
      </c>
      <c r="J64" s="23">
        <v>18</v>
      </c>
      <c r="K64" s="23">
        <v>18</v>
      </c>
      <c r="L64" s="23">
        <v>18</v>
      </c>
      <c r="M64" s="23">
        <v>18</v>
      </c>
      <c r="N64" s="389">
        <f>((((1/X64-1/Z64)*1*(1-AB64))*24*AF64)/(AH64*100000)*AD64)</f>
        <v>7.90190909090909E-2</v>
      </c>
      <c r="O64" s="215">
        <f t="shared" si="4"/>
        <v>7.90190909090909E-2</v>
      </c>
      <c r="P64" s="215">
        <f t="shared" si="4"/>
        <v>7.90190909090909E-2</v>
      </c>
      <c r="Q64" s="215">
        <f t="shared" si="4"/>
        <v>7.90190909090909E-2</v>
      </c>
      <c r="R64" s="15" t="s">
        <v>838</v>
      </c>
      <c r="S64" s="15" t="s">
        <v>840</v>
      </c>
      <c r="T64" s="15" t="s">
        <v>417</v>
      </c>
      <c r="U64" s="15" t="s">
        <v>416</v>
      </c>
      <c r="V64" s="394" t="s">
        <v>849</v>
      </c>
      <c r="W64" s="166" t="s">
        <v>415</v>
      </c>
      <c r="X64" s="166">
        <v>3.3</v>
      </c>
      <c r="Y64" s="394" t="s">
        <v>850</v>
      </c>
      <c r="Z64" s="166">
        <v>5</v>
      </c>
      <c r="AA64" s="158" t="s">
        <v>433</v>
      </c>
      <c r="AB64" s="397">
        <v>0.25</v>
      </c>
      <c r="AC64" s="395" t="s">
        <v>851</v>
      </c>
      <c r="AD64" s="397">
        <v>0.6</v>
      </c>
      <c r="AE64" s="158" t="s">
        <v>411</v>
      </c>
      <c r="AF64" s="166">
        <v>5113</v>
      </c>
      <c r="AG64" s="166" t="s">
        <v>410</v>
      </c>
      <c r="AH64" s="397">
        <v>0.72</v>
      </c>
      <c r="AI64" s="166"/>
      <c r="AJ64" s="166"/>
      <c r="AK64" s="166"/>
      <c r="AL64" s="166"/>
      <c r="AM64" s="166"/>
      <c r="AN64" s="166"/>
      <c r="AO64" s="166"/>
      <c r="AP64" s="166"/>
      <c r="AQ64" s="166"/>
      <c r="AR64" s="166"/>
      <c r="AS64" s="166"/>
      <c r="AT64" s="166"/>
      <c r="AU64" s="343"/>
      <c r="AV64" s="343"/>
      <c r="AW64" s="343"/>
      <c r="AX64" s="343"/>
      <c r="AY64" s="344"/>
      <c r="AZ64" s="345"/>
      <c r="BA64" s="346"/>
    </row>
    <row r="65" spans="1:53">
      <c r="A65" s="2" t="str">
        <f t="shared" si="0"/>
        <v>Res - SF Rebates_Foundation Insulation</v>
      </c>
      <c r="B65" s="18">
        <v>62</v>
      </c>
      <c r="C65" s="18" t="s">
        <v>703</v>
      </c>
      <c r="D65" s="18" t="s">
        <v>432</v>
      </c>
      <c r="E65" s="23" t="s">
        <v>429</v>
      </c>
      <c r="F65" s="23">
        <v>140</v>
      </c>
      <c r="G65" s="154">
        <v>0.9</v>
      </c>
      <c r="H65" s="447">
        <v>25</v>
      </c>
      <c r="I65" s="436">
        <v>25</v>
      </c>
      <c r="J65" s="23">
        <v>18</v>
      </c>
      <c r="K65" s="23">
        <v>18</v>
      </c>
      <c r="L65" s="23">
        <v>18</v>
      </c>
      <c r="M65" s="23">
        <v>18</v>
      </c>
      <c r="N65" s="216">
        <f>(1/X65-1/Z65)*(1-AB65)*24*AF65/(AH65*100067)*AD65</f>
        <v>8.2417994229580488E-2</v>
      </c>
      <c r="O65" s="215">
        <f t="shared" ref="O65:Q84" si="8">N65</f>
        <v>8.2417994229580488E-2</v>
      </c>
      <c r="P65" s="215">
        <f t="shared" si="8"/>
        <v>8.2417994229580488E-2</v>
      </c>
      <c r="Q65" s="215">
        <f t="shared" si="8"/>
        <v>8.2417994229580488E-2</v>
      </c>
      <c r="R65" s="15" t="s">
        <v>838</v>
      </c>
      <c r="S65" s="15" t="s">
        <v>840</v>
      </c>
      <c r="T65" s="15" t="s">
        <v>431</v>
      </c>
      <c r="U65" s="15" t="s">
        <v>430</v>
      </c>
      <c r="V65" s="166" t="s">
        <v>409</v>
      </c>
      <c r="W65" s="166" t="s">
        <v>415</v>
      </c>
      <c r="X65" s="166">
        <v>4</v>
      </c>
      <c r="Y65" s="166" t="s">
        <v>414</v>
      </c>
      <c r="Z65" s="166">
        <f>13+1</f>
        <v>14</v>
      </c>
      <c r="AA65" s="158" t="s">
        <v>413</v>
      </c>
      <c r="AB65" s="397">
        <v>0.25</v>
      </c>
      <c r="AC65" s="158" t="s">
        <v>412</v>
      </c>
      <c r="AD65" s="397">
        <v>0.6</v>
      </c>
      <c r="AE65" s="158" t="s">
        <v>411</v>
      </c>
      <c r="AF65" s="166">
        <v>3079</v>
      </c>
      <c r="AG65" s="166" t="s">
        <v>410</v>
      </c>
      <c r="AH65" s="397">
        <v>0.72</v>
      </c>
      <c r="AI65" s="166"/>
      <c r="AJ65" s="166"/>
      <c r="AK65" s="166"/>
      <c r="AL65" s="166"/>
      <c r="AM65" s="166"/>
      <c r="AN65" s="166"/>
      <c r="AO65" s="166"/>
      <c r="AP65" s="166"/>
      <c r="AQ65" s="166"/>
      <c r="AR65" s="166"/>
      <c r="AS65" s="166"/>
      <c r="AT65" s="166"/>
      <c r="AU65" s="343"/>
      <c r="AV65" s="343"/>
      <c r="AW65" s="343"/>
      <c r="AX65" s="343"/>
      <c r="AY65" s="344"/>
      <c r="AZ65" s="345"/>
      <c r="BA65" s="346"/>
    </row>
    <row r="66" spans="1:53">
      <c r="A66" s="2" t="str">
        <f t="shared" si="0"/>
        <v>Res - SF Rebates_New Construction 20-25% over IL 2015 Code</v>
      </c>
      <c r="B66" s="18">
        <v>63</v>
      </c>
      <c r="C66" s="18" t="s">
        <v>703</v>
      </c>
      <c r="D66" s="18" t="s">
        <v>381</v>
      </c>
      <c r="E66" s="23" t="s">
        <v>150</v>
      </c>
      <c r="F66" s="23">
        <v>1</v>
      </c>
      <c r="G66" s="154">
        <v>0.65</v>
      </c>
      <c r="H66" s="447">
        <v>15</v>
      </c>
      <c r="I66" s="436">
        <v>15</v>
      </c>
      <c r="J66" s="23">
        <v>0</v>
      </c>
      <c r="K66" s="23">
        <f t="shared" ref="K66:M85" si="9">J66</f>
        <v>0</v>
      </c>
      <c r="L66" s="23">
        <f t="shared" si="9"/>
        <v>0</v>
      </c>
      <c r="M66" s="23">
        <f t="shared" si="9"/>
        <v>0</v>
      </c>
      <c r="N66" s="217">
        <f>0.95*270</f>
        <v>256.5</v>
      </c>
      <c r="O66" s="215">
        <f t="shared" si="8"/>
        <v>256.5</v>
      </c>
      <c r="P66" s="215">
        <f t="shared" si="8"/>
        <v>256.5</v>
      </c>
      <c r="Q66" s="215">
        <f t="shared" si="8"/>
        <v>256.5</v>
      </c>
      <c r="R66" s="15" t="s">
        <v>140</v>
      </c>
      <c r="S66" s="15" t="s">
        <v>140</v>
      </c>
      <c r="T66" s="18" t="s">
        <v>140</v>
      </c>
      <c r="U66" s="15" t="s">
        <v>140</v>
      </c>
      <c r="V66" s="390" t="s">
        <v>140</v>
      </c>
      <c r="W66" s="390"/>
      <c r="X66" s="390"/>
      <c r="Y66" s="390"/>
      <c r="Z66" s="390"/>
      <c r="AA66" s="157"/>
      <c r="AB66" s="390"/>
      <c r="AC66" s="157"/>
      <c r="AD66" s="390"/>
      <c r="AE66" s="157"/>
      <c r="AF66" s="390"/>
      <c r="AG66" s="390"/>
      <c r="AH66" s="390"/>
      <c r="AI66" s="390"/>
      <c r="AJ66" s="390"/>
      <c r="AK66" s="390"/>
      <c r="AL66" s="390"/>
      <c r="AM66" s="390"/>
      <c r="AN66" s="390"/>
      <c r="AO66" s="390"/>
      <c r="AP66" s="390"/>
      <c r="AQ66" s="390"/>
      <c r="AR66" s="390"/>
      <c r="AS66" s="390"/>
      <c r="AT66" s="390"/>
      <c r="AU66" s="343"/>
      <c r="AV66" s="343"/>
      <c r="AW66" s="343"/>
      <c r="AX66" s="343"/>
      <c r="AY66" s="344"/>
      <c r="AZ66" s="345"/>
      <c r="BA66" s="346"/>
    </row>
    <row r="67" spans="1:53">
      <c r="A67" s="2" t="str">
        <f t="shared" si="0"/>
        <v>Res - SF Rebates_New Construction 25-30% over IL 2015 Code</v>
      </c>
      <c r="B67" s="18">
        <v>64</v>
      </c>
      <c r="C67" s="18" t="s">
        <v>703</v>
      </c>
      <c r="D67" s="18" t="s">
        <v>380</v>
      </c>
      <c r="E67" s="23" t="s">
        <v>150</v>
      </c>
      <c r="F67" s="23">
        <v>1</v>
      </c>
      <c r="G67" s="154">
        <v>0.65</v>
      </c>
      <c r="H67" s="447">
        <v>15</v>
      </c>
      <c r="I67" s="436">
        <v>15</v>
      </c>
      <c r="J67" s="23">
        <v>0</v>
      </c>
      <c r="K67" s="23">
        <f t="shared" si="9"/>
        <v>0</v>
      </c>
      <c r="L67" s="23">
        <f t="shared" si="9"/>
        <v>0</v>
      </c>
      <c r="M67" s="23">
        <f t="shared" si="9"/>
        <v>0</v>
      </c>
      <c r="N67" s="217">
        <f>0.95*380</f>
        <v>361</v>
      </c>
      <c r="O67" s="215">
        <f t="shared" si="8"/>
        <v>361</v>
      </c>
      <c r="P67" s="215">
        <f t="shared" si="8"/>
        <v>361</v>
      </c>
      <c r="Q67" s="215">
        <f t="shared" si="8"/>
        <v>361</v>
      </c>
      <c r="R67" s="15" t="s">
        <v>140</v>
      </c>
      <c r="S67" s="15" t="s">
        <v>140</v>
      </c>
      <c r="T67" s="18" t="s">
        <v>140</v>
      </c>
      <c r="U67" s="15" t="s">
        <v>140</v>
      </c>
      <c r="V67" s="390" t="s">
        <v>140</v>
      </c>
      <c r="W67" s="390"/>
      <c r="X67" s="390"/>
      <c r="Y67" s="390"/>
      <c r="Z67" s="390"/>
      <c r="AA67" s="157"/>
      <c r="AB67" s="390"/>
      <c r="AC67" s="157"/>
      <c r="AD67" s="390"/>
      <c r="AE67" s="157"/>
      <c r="AF67" s="390"/>
      <c r="AG67" s="390"/>
      <c r="AH67" s="390"/>
      <c r="AI67" s="390"/>
      <c r="AJ67" s="390"/>
      <c r="AK67" s="390"/>
      <c r="AL67" s="390"/>
      <c r="AM67" s="390"/>
      <c r="AN67" s="390"/>
      <c r="AO67" s="390"/>
      <c r="AP67" s="390"/>
      <c r="AQ67" s="390"/>
      <c r="AR67" s="390"/>
      <c r="AS67" s="390"/>
      <c r="AT67" s="390"/>
      <c r="AU67" s="343"/>
      <c r="AV67" s="343"/>
      <c r="AW67" s="343"/>
      <c r="AX67" s="343"/>
      <c r="AY67" s="344"/>
      <c r="AZ67" s="345"/>
      <c r="BA67" s="346"/>
    </row>
    <row r="68" spans="1:53">
      <c r="A68" s="2" t="str">
        <f t="shared" si="0"/>
        <v>Res - SF Rebates_New Construction 30-40% over IL 2015 Code</v>
      </c>
      <c r="B68" s="18">
        <v>65</v>
      </c>
      <c r="C68" s="18" t="s">
        <v>703</v>
      </c>
      <c r="D68" s="18" t="s">
        <v>379</v>
      </c>
      <c r="E68" s="23" t="s">
        <v>150</v>
      </c>
      <c r="F68" s="23">
        <v>1</v>
      </c>
      <c r="G68" s="154">
        <v>0.65</v>
      </c>
      <c r="H68" s="447">
        <v>15</v>
      </c>
      <c r="I68" s="436">
        <v>15</v>
      </c>
      <c r="J68" s="23">
        <v>0</v>
      </c>
      <c r="K68" s="23">
        <f t="shared" si="9"/>
        <v>0</v>
      </c>
      <c r="L68" s="23">
        <f t="shared" si="9"/>
        <v>0</v>
      </c>
      <c r="M68" s="23">
        <f t="shared" si="9"/>
        <v>0</v>
      </c>
      <c r="N68" s="217">
        <f>0.95*500</f>
        <v>475</v>
      </c>
      <c r="O68" s="215">
        <f t="shared" si="8"/>
        <v>475</v>
      </c>
      <c r="P68" s="215">
        <f t="shared" si="8"/>
        <v>475</v>
      </c>
      <c r="Q68" s="215">
        <f t="shared" si="8"/>
        <v>475</v>
      </c>
      <c r="R68" s="15" t="s">
        <v>140</v>
      </c>
      <c r="S68" s="15" t="s">
        <v>140</v>
      </c>
      <c r="T68" s="18" t="s">
        <v>140</v>
      </c>
      <c r="U68" s="15" t="s">
        <v>140</v>
      </c>
      <c r="V68" s="390" t="s">
        <v>140</v>
      </c>
      <c r="W68" s="390"/>
      <c r="X68" s="390"/>
      <c r="Y68" s="390"/>
      <c r="Z68" s="390"/>
      <c r="AA68" s="157"/>
      <c r="AB68" s="390"/>
      <c r="AC68" s="157"/>
      <c r="AD68" s="390"/>
      <c r="AE68" s="157"/>
      <c r="AF68" s="390"/>
      <c r="AG68" s="390"/>
      <c r="AH68" s="390"/>
      <c r="AI68" s="390"/>
      <c r="AJ68" s="390"/>
      <c r="AK68" s="390"/>
      <c r="AL68" s="390"/>
      <c r="AM68" s="390"/>
      <c r="AN68" s="390"/>
      <c r="AO68" s="390"/>
      <c r="AP68" s="390"/>
      <c r="AQ68" s="390"/>
      <c r="AR68" s="390"/>
      <c r="AS68" s="390"/>
      <c r="AT68" s="390"/>
      <c r="AU68" s="343"/>
      <c r="AV68" s="343"/>
      <c r="AW68" s="343"/>
      <c r="AX68" s="343"/>
      <c r="AY68" s="344"/>
      <c r="AZ68" s="345"/>
      <c r="BA68" s="346"/>
    </row>
    <row r="69" spans="1:53">
      <c r="A69" s="2" t="str">
        <f t="shared" ref="A69:A132" si="10">C69&amp;"_"&amp;D69</f>
        <v>Res - SF Rebates_New Construction ≥40% over IL 2015 Code</v>
      </c>
      <c r="B69" s="18">
        <v>66</v>
      </c>
      <c r="C69" s="18" t="s">
        <v>703</v>
      </c>
      <c r="D69" s="18" t="s">
        <v>378</v>
      </c>
      <c r="E69" s="23" t="s">
        <v>150</v>
      </c>
      <c r="F69" s="23">
        <v>1</v>
      </c>
      <c r="G69" s="154">
        <v>0.65</v>
      </c>
      <c r="H69" s="447">
        <v>15</v>
      </c>
      <c r="I69" s="436">
        <v>15</v>
      </c>
      <c r="J69" s="23">
        <v>0</v>
      </c>
      <c r="K69" s="23">
        <f t="shared" si="9"/>
        <v>0</v>
      </c>
      <c r="L69" s="23">
        <f t="shared" si="9"/>
        <v>0</v>
      </c>
      <c r="M69" s="23">
        <f t="shared" si="9"/>
        <v>0</v>
      </c>
      <c r="N69" s="217">
        <f>0.95*840</f>
        <v>798</v>
      </c>
      <c r="O69" s="215">
        <f t="shared" si="8"/>
        <v>798</v>
      </c>
      <c r="P69" s="215">
        <f t="shared" si="8"/>
        <v>798</v>
      </c>
      <c r="Q69" s="215">
        <f t="shared" si="8"/>
        <v>798</v>
      </c>
      <c r="R69" s="15" t="s">
        <v>140</v>
      </c>
      <c r="S69" s="15" t="s">
        <v>140</v>
      </c>
      <c r="T69" s="18" t="s">
        <v>140</v>
      </c>
      <c r="U69" s="15" t="s">
        <v>140</v>
      </c>
      <c r="V69" s="390" t="s">
        <v>140</v>
      </c>
      <c r="W69" s="390"/>
      <c r="X69" s="390"/>
      <c r="Y69" s="390"/>
      <c r="Z69" s="390"/>
      <c r="AA69" s="157"/>
      <c r="AB69" s="390"/>
      <c r="AC69" s="157"/>
      <c r="AD69" s="390"/>
      <c r="AE69" s="157"/>
      <c r="AF69" s="390"/>
      <c r="AG69" s="390"/>
      <c r="AH69" s="390"/>
      <c r="AI69" s="390"/>
      <c r="AJ69" s="390"/>
      <c r="AK69" s="390"/>
      <c r="AL69" s="390"/>
      <c r="AM69" s="390"/>
      <c r="AN69" s="390"/>
      <c r="AO69" s="390"/>
      <c r="AP69" s="390"/>
      <c r="AQ69" s="390"/>
      <c r="AR69" s="390"/>
      <c r="AS69" s="390"/>
      <c r="AT69" s="390"/>
      <c r="AU69" s="343"/>
      <c r="AV69" s="343"/>
      <c r="AW69" s="343"/>
      <c r="AX69" s="343"/>
      <c r="AY69" s="344"/>
      <c r="AZ69" s="345"/>
      <c r="BA69" s="346"/>
    </row>
    <row r="70" spans="1:53">
      <c r="A70" s="2" t="str">
        <f t="shared" si="10"/>
        <v>Res - MF Standard Rebates_Boiler ≥88% AFUE, &lt;300MBh</v>
      </c>
      <c r="B70" s="18">
        <v>67</v>
      </c>
      <c r="C70" s="18" t="s">
        <v>721</v>
      </c>
      <c r="D70" s="18" t="s">
        <v>718</v>
      </c>
      <c r="E70" s="23" t="s">
        <v>240</v>
      </c>
      <c r="F70" s="23">
        <v>150</v>
      </c>
      <c r="G70" s="154">
        <v>0.76</v>
      </c>
      <c r="H70" s="447">
        <v>20</v>
      </c>
      <c r="I70" s="484">
        <v>25</v>
      </c>
      <c r="J70" s="23">
        <v>0</v>
      </c>
      <c r="K70" s="23">
        <f t="shared" si="9"/>
        <v>0</v>
      </c>
      <c r="L70" s="23">
        <f t="shared" si="9"/>
        <v>0</v>
      </c>
      <c r="M70" s="23">
        <f t="shared" si="9"/>
        <v>0</v>
      </c>
      <c r="N70" s="216">
        <f>X70*Z70*((AB70-AD70)/AD70)/100000/F70</f>
        <v>1.3039024390243914</v>
      </c>
      <c r="O70" s="215">
        <f t="shared" si="8"/>
        <v>1.3039024390243914</v>
      </c>
      <c r="P70" s="215">
        <f t="shared" si="8"/>
        <v>1.3039024390243914</v>
      </c>
      <c r="Q70" s="215">
        <f t="shared" si="8"/>
        <v>1.3039024390243914</v>
      </c>
      <c r="R70" s="15" t="s">
        <v>838</v>
      </c>
      <c r="S70" s="15" t="s">
        <v>840</v>
      </c>
      <c r="T70" s="15" t="s">
        <v>343</v>
      </c>
      <c r="U70" s="15" t="s">
        <v>342</v>
      </c>
      <c r="V70" s="166" t="s">
        <v>340</v>
      </c>
      <c r="W70" s="466" t="s">
        <v>302</v>
      </c>
      <c r="X70" s="467">
        <v>1782</v>
      </c>
      <c r="Y70" s="158" t="s">
        <v>273</v>
      </c>
      <c r="Z70" s="398">
        <v>150000</v>
      </c>
      <c r="AA70" s="158" t="s">
        <v>341</v>
      </c>
      <c r="AB70" s="397">
        <v>0.88</v>
      </c>
      <c r="AC70" s="166" t="s">
        <v>248</v>
      </c>
      <c r="AD70" s="397">
        <v>0.82</v>
      </c>
      <c r="AE70" s="166"/>
      <c r="AF70" s="166"/>
      <c r="AG70" s="166"/>
      <c r="AH70" s="166"/>
      <c r="AI70" s="166"/>
      <c r="AJ70" s="166"/>
      <c r="AK70" s="166"/>
      <c r="AL70" s="166"/>
      <c r="AM70" s="166"/>
      <c r="AN70" s="166"/>
      <c r="AO70" s="166"/>
      <c r="AP70" s="166"/>
      <c r="AQ70" s="166"/>
      <c r="AR70" s="166"/>
      <c r="AS70" s="166"/>
      <c r="AT70" s="166"/>
      <c r="AU70" s="343"/>
      <c r="AV70" s="343"/>
      <c r="AW70" s="343"/>
      <c r="AX70" s="343"/>
      <c r="AY70" s="344"/>
      <c r="AZ70" s="345"/>
      <c r="BA70" s="346"/>
    </row>
    <row r="71" spans="1:53">
      <c r="A71" s="2" t="str">
        <f t="shared" si="10"/>
        <v>Res - MF Standard Rebates_Boiler ≥88% AFUE, ≥300MBh TE</v>
      </c>
      <c r="B71" s="18">
        <v>68</v>
      </c>
      <c r="C71" s="18" t="s">
        <v>721</v>
      </c>
      <c r="D71" s="18" t="s">
        <v>719</v>
      </c>
      <c r="E71" s="23" t="s">
        <v>240</v>
      </c>
      <c r="F71" s="23">
        <v>350</v>
      </c>
      <c r="G71" s="154">
        <v>0.76</v>
      </c>
      <c r="H71" s="447">
        <v>20</v>
      </c>
      <c r="I71" s="484">
        <v>25</v>
      </c>
      <c r="J71" s="23">
        <v>0</v>
      </c>
      <c r="K71" s="23">
        <f t="shared" si="9"/>
        <v>0</v>
      </c>
      <c r="L71" s="23">
        <f t="shared" si="9"/>
        <v>0</v>
      </c>
      <c r="M71" s="23">
        <f t="shared" si="9"/>
        <v>0</v>
      </c>
      <c r="N71" s="216">
        <f>X71*Z71*((AB71-AD71)/AD71)/100000/F71</f>
        <v>1.7819999999999991</v>
      </c>
      <c r="O71" s="215">
        <f t="shared" si="8"/>
        <v>1.7819999999999991</v>
      </c>
      <c r="P71" s="215">
        <f t="shared" si="8"/>
        <v>1.7819999999999991</v>
      </c>
      <c r="Q71" s="215">
        <f t="shared" si="8"/>
        <v>1.7819999999999991</v>
      </c>
      <c r="R71" s="15" t="s">
        <v>838</v>
      </c>
      <c r="S71" s="15" t="s">
        <v>840</v>
      </c>
      <c r="T71" s="15" t="s">
        <v>343</v>
      </c>
      <c r="U71" s="15" t="s">
        <v>342</v>
      </c>
      <c r="V71" s="166" t="s">
        <v>340</v>
      </c>
      <c r="W71" s="466" t="s">
        <v>302</v>
      </c>
      <c r="X71" s="467">
        <v>1782</v>
      </c>
      <c r="Y71" s="158" t="s">
        <v>273</v>
      </c>
      <c r="Z71" s="398">
        <v>350000</v>
      </c>
      <c r="AA71" s="158" t="s">
        <v>341</v>
      </c>
      <c r="AB71" s="397">
        <v>0.88</v>
      </c>
      <c r="AC71" s="166" t="s">
        <v>248</v>
      </c>
      <c r="AD71" s="397">
        <v>0.8</v>
      </c>
      <c r="AE71" s="166"/>
      <c r="AF71" s="166"/>
      <c r="AG71" s="166"/>
      <c r="AH71" s="166"/>
      <c r="AI71" s="166"/>
      <c r="AJ71" s="166"/>
      <c r="AK71" s="166"/>
      <c r="AL71" s="166"/>
      <c r="AM71" s="166"/>
      <c r="AN71" s="166"/>
      <c r="AO71" s="166"/>
      <c r="AP71" s="166"/>
      <c r="AQ71" s="166"/>
      <c r="AR71" s="166"/>
      <c r="AS71" s="166"/>
      <c r="AT71" s="166"/>
      <c r="AU71" s="343"/>
      <c r="AV71" s="343"/>
      <c r="AW71" s="343"/>
      <c r="AX71" s="343"/>
      <c r="AY71" s="344"/>
      <c r="AZ71" s="345"/>
      <c r="BA71" s="346"/>
    </row>
    <row r="72" spans="1:53">
      <c r="A72" s="2" t="str">
        <f t="shared" si="10"/>
        <v>Res - MF Standard Rebates_Boiler Reset Controls</v>
      </c>
      <c r="B72" s="18">
        <v>69</v>
      </c>
      <c r="C72" s="18" t="s">
        <v>721</v>
      </c>
      <c r="D72" s="18" t="s">
        <v>1061</v>
      </c>
      <c r="E72" s="23" t="s">
        <v>240</v>
      </c>
      <c r="F72" s="23">
        <v>200</v>
      </c>
      <c r="G72" s="154">
        <v>0.76</v>
      </c>
      <c r="H72" s="447">
        <v>20</v>
      </c>
      <c r="I72" s="436">
        <v>20</v>
      </c>
      <c r="J72" s="23">
        <v>0</v>
      </c>
      <c r="K72" s="23">
        <f t="shared" si="9"/>
        <v>0</v>
      </c>
      <c r="L72" s="23">
        <f t="shared" si="9"/>
        <v>0</v>
      </c>
      <c r="M72" s="23">
        <f t="shared" si="9"/>
        <v>0</v>
      </c>
      <c r="N72" s="216">
        <f>X72*Z72/100</f>
        <v>1.4256</v>
      </c>
      <c r="O72" s="215">
        <f t="shared" si="8"/>
        <v>1.4256</v>
      </c>
      <c r="P72" s="215">
        <f t="shared" si="8"/>
        <v>1.4256</v>
      </c>
      <c r="Q72" s="215">
        <f t="shared" si="8"/>
        <v>1.4256</v>
      </c>
      <c r="R72" s="15" t="s">
        <v>838</v>
      </c>
      <c r="S72" s="15" t="s">
        <v>840</v>
      </c>
      <c r="T72" s="15" t="s">
        <v>339</v>
      </c>
      <c r="U72" s="15" t="s">
        <v>338</v>
      </c>
      <c r="V72" s="166" t="s">
        <v>336</v>
      </c>
      <c r="W72" s="466" t="s">
        <v>302</v>
      </c>
      <c r="X72" s="467">
        <v>1782</v>
      </c>
      <c r="Y72" s="158" t="s">
        <v>337</v>
      </c>
      <c r="Z72" s="399">
        <v>0.08</v>
      </c>
      <c r="AA72" s="158"/>
      <c r="AB72" s="158"/>
      <c r="AC72" s="158"/>
      <c r="AD72" s="158"/>
      <c r="AE72" s="158"/>
      <c r="AF72" s="166"/>
      <c r="AG72" s="166"/>
      <c r="AH72" s="166"/>
      <c r="AI72" s="166"/>
      <c r="AJ72" s="166"/>
      <c r="AK72" s="166"/>
      <c r="AL72" s="166"/>
      <c r="AM72" s="166"/>
      <c r="AN72" s="166"/>
      <c r="AO72" s="166"/>
      <c r="AP72" s="166"/>
      <c r="AQ72" s="166"/>
      <c r="AR72" s="166"/>
      <c r="AS72" s="166"/>
      <c r="AT72" s="166"/>
      <c r="AU72" s="343"/>
      <c r="AV72" s="343"/>
      <c r="AW72" s="343"/>
      <c r="AX72" s="343"/>
      <c r="AY72" s="344"/>
      <c r="AZ72" s="345"/>
      <c r="BA72" s="346"/>
    </row>
    <row r="73" spans="1:53">
      <c r="A73" s="2" t="str">
        <f t="shared" si="10"/>
        <v>Res - MF Standard Rebates_Boiler Tune Up - Process</v>
      </c>
      <c r="B73" s="18">
        <v>70</v>
      </c>
      <c r="C73" s="18" t="s">
        <v>721</v>
      </c>
      <c r="D73" s="18" t="s">
        <v>335</v>
      </c>
      <c r="E73" s="23" t="s">
        <v>240</v>
      </c>
      <c r="F73" s="23">
        <v>200</v>
      </c>
      <c r="G73" s="154">
        <v>0.76</v>
      </c>
      <c r="H73" s="447">
        <v>3</v>
      </c>
      <c r="I73" s="436">
        <v>3</v>
      </c>
      <c r="J73" s="23">
        <v>0</v>
      </c>
      <c r="K73" s="23">
        <f t="shared" si="9"/>
        <v>0</v>
      </c>
      <c r="L73" s="23">
        <f t="shared" si="9"/>
        <v>0</v>
      </c>
      <c r="M73" s="23">
        <f t="shared" si="9"/>
        <v>0</v>
      </c>
      <c r="N73" s="216">
        <f>(X73*8766*Z73)/100*(1-AB73/AD73)</f>
        <v>0.83823507428978783</v>
      </c>
      <c r="O73" s="215">
        <f t="shared" si="8"/>
        <v>0.83823507428978783</v>
      </c>
      <c r="P73" s="215">
        <f t="shared" si="8"/>
        <v>0.83823507428978783</v>
      </c>
      <c r="Q73" s="215">
        <f t="shared" si="8"/>
        <v>0.83823507428978783</v>
      </c>
      <c r="R73" s="15" t="s">
        <v>838</v>
      </c>
      <c r="S73" s="15" t="s">
        <v>840</v>
      </c>
      <c r="T73" s="15" t="s">
        <v>334</v>
      </c>
      <c r="U73" s="15" t="s">
        <v>333</v>
      </c>
      <c r="V73" s="166" t="s">
        <v>328</v>
      </c>
      <c r="W73" s="166" t="s">
        <v>332</v>
      </c>
      <c r="X73" s="398">
        <v>1</v>
      </c>
      <c r="Y73" s="166" t="s">
        <v>331</v>
      </c>
      <c r="Z73" s="405">
        <v>0.41899999999999998</v>
      </c>
      <c r="AA73" s="158" t="s">
        <v>330</v>
      </c>
      <c r="AB73" s="406">
        <v>0.82210000000000005</v>
      </c>
      <c r="AC73" s="158" t="s">
        <v>329</v>
      </c>
      <c r="AD73" s="406">
        <v>0.84130000000000005</v>
      </c>
      <c r="AE73" s="158"/>
      <c r="AF73" s="166"/>
      <c r="AG73" s="166"/>
      <c r="AH73" s="166"/>
      <c r="AI73" s="166"/>
      <c r="AJ73" s="166"/>
      <c r="AK73" s="166"/>
      <c r="AL73" s="166"/>
      <c r="AM73" s="166"/>
      <c r="AN73" s="166"/>
      <c r="AO73" s="166"/>
      <c r="AP73" s="166"/>
      <c r="AQ73" s="166"/>
      <c r="AR73" s="166"/>
      <c r="AS73" s="166"/>
      <c r="AT73" s="166"/>
      <c r="AU73" s="343"/>
      <c r="AV73" s="343"/>
      <c r="AW73" s="343"/>
      <c r="AX73" s="343"/>
      <c r="AY73" s="344"/>
      <c r="AZ73" s="345"/>
      <c r="BA73" s="346"/>
    </row>
    <row r="74" spans="1:53">
      <c r="A74" s="2" t="str">
        <f t="shared" si="10"/>
        <v>Res - MF Standard Rebates_Boiler Tune Up - Space Heating</v>
      </c>
      <c r="B74" s="18">
        <v>71</v>
      </c>
      <c r="C74" s="18" t="s">
        <v>721</v>
      </c>
      <c r="D74" s="18" t="s">
        <v>724</v>
      </c>
      <c r="E74" s="23" t="s">
        <v>240</v>
      </c>
      <c r="F74" s="23">
        <v>200</v>
      </c>
      <c r="G74" s="154">
        <v>0.76</v>
      </c>
      <c r="H74" s="447">
        <v>3</v>
      </c>
      <c r="I74" s="436">
        <v>3</v>
      </c>
      <c r="J74" s="23">
        <v>0</v>
      </c>
      <c r="K74" s="23">
        <f t="shared" si="9"/>
        <v>0</v>
      </c>
      <c r="L74" s="23">
        <f t="shared" si="9"/>
        <v>0</v>
      </c>
      <c r="M74" s="23">
        <f t="shared" si="9"/>
        <v>0</v>
      </c>
      <c r="N74" s="216">
        <f>(AD74*X74*(AB74/Z74-1))/100000</f>
        <v>0.41618294611360979</v>
      </c>
      <c r="O74" s="215">
        <f t="shared" si="8"/>
        <v>0.41618294611360979</v>
      </c>
      <c r="P74" s="215">
        <f t="shared" si="8"/>
        <v>0.41618294611360979</v>
      </c>
      <c r="Q74" s="215">
        <f t="shared" si="8"/>
        <v>0.41618294611360979</v>
      </c>
      <c r="R74" s="15" t="s">
        <v>838</v>
      </c>
      <c r="S74" s="15" t="s">
        <v>840</v>
      </c>
      <c r="T74" s="15" t="s">
        <v>327</v>
      </c>
      <c r="U74" s="15" t="s">
        <v>326</v>
      </c>
      <c r="V74" s="166" t="s">
        <v>322</v>
      </c>
      <c r="W74" s="466" t="s">
        <v>302</v>
      </c>
      <c r="X74" s="467">
        <v>1782</v>
      </c>
      <c r="Y74" s="158" t="s">
        <v>325</v>
      </c>
      <c r="Z74" s="406">
        <v>0.82210000000000005</v>
      </c>
      <c r="AA74" s="158" t="s">
        <v>324</v>
      </c>
      <c r="AB74" s="406">
        <v>0.84130000000000005</v>
      </c>
      <c r="AC74" s="166" t="s">
        <v>323</v>
      </c>
      <c r="AD74" s="407">
        <v>1000</v>
      </c>
      <c r="AE74" s="166"/>
      <c r="AF74" s="166"/>
      <c r="AG74" s="166"/>
      <c r="AH74" s="166"/>
      <c r="AI74" s="166"/>
      <c r="AJ74" s="166"/>
      <c r="AK74" s="166"/>
      <c r="AL74" s="166"/>
      <c r="AM74" s="166"/>
      <c r="AN74" s="166"/>
      <c r="AO74" s="166"/>
      <c r="AP74" s="166"/>
      <c r="AQ74" s="166"/>
      <c r="AR74" s="166"/>
      <c r="AS74" s="166"/>
      <c r="AT74" s="166"/>
      <c r="AU74" s="343"/>
      <c r="AV74" s="343"/>
      <c r="AW74" s="343"/>
      <c r="AX74" s="343"/>
      <c r="AY74" s="344"/>
      <c r="AZ74" s="345"/>
      <c r="BA74" s="346"/>
    </row>
    <row r="75" spans="1:53">
      <c r="A75" s="2" t="str">
        <f t="shared" si="10"/>
        <v>Res - MF Standard Rebates_Condensing Unit Heater</v>
      </c>
      <c r="B75" s="18">
        <v>72</v>
      </c>
      <c r="C75" s="18" t="s">
        <v>721</v>
      </c>
      <c r="D75" s="18" t="s">
        <v>321</v>
      </c>
      <c r="E75" s="23" t="s">
        <v>240</v>
      </c>
      <c r="F75" s="23">
        <v>150</v>
      </c>
      <c r="G75" s="154">
        <v>0.76</v>
      </c>
      <c r="H75" s="447">
        <v>12</v>
      </c>
      <c r="I75" s="436">
        <v>12</v>
      </c>
      <c r="J75" s="23">
        <v>0</v>
      </c>
      <c r="K75" s="23">
        <f t="shared" si="9"/>
        <v>0</v>
      </c>
      <c r="L75" s="23">
        <f t="shared" si="9"/>
        <v>0</v>
      </c>
      <c r="M75" s="23">
        <f t="shared" si="9"/>
        <v>0</v>
      </c>
      <c r="N75" s="216">
        <f>266/F75</f>
        <v>1.7733333333333334</v>
      </c>
      <c r="O75" s="215">
        <f t="shared" si="8"/>
        <v>1.7733333333333334</v>
      </c>
      <c r="P75" s="215">
        <f t="shared" si="8"/>
        <v>1.7733333333333334</v>
      </c>
      <c r="Q75" s="215">
        <f t="shared" si="8"/>
        <v>1.7733333333333334</v>
      </c>
      <c r="R75" s="15" t="s">
        <v>838</v>
      </c>
      <c r="S75" s="15" t="s">
        <v>840</v>
      </c>
      <c r="T75" s="15" t="s">
        <v>320</v>
      </c>
      <c r="U75" s="15" t="s">
        <v>319</v>
      </c>
      <c r="V75" s="166" t="s">
        <v>318</v>
      </c>
      <c r="W75" s="166"/>
      <c r="X75" s="166"/>
      <c r="Y75" s="166"/>
      <c r="Z75" s="166"/>
      <c r="AA75" s="158"/>
      <c r="AB75" s="166"/>
      <c r="AC75" s="158"/>
      <c r="AD75" s="166"/>
      <c r="AE75" s="158"/>
      <c r="AF75" s="166"/>
      <c r="AG75" s="166"/>
      <c r="AH75" s="166"/>
      <c r="AI75" s="166"/>
      <c r="AJ75" s="166"/>
      <c r="AK75" s="166"/>
      <c r="AL75" s="166"/>
      <c r="AM75" s="166"/>
      <c r="AN75" s="166"/>
      <c r="AO75" s="166"/>
      <c r="AP75" s="166"/>
      <c r="AQ75" s="166"/>
      <c r="AR75" s="166"/>
      <c r="AS75" s="166"/>
      <c r="AT75" s="166"/>
      <c r="AU75" s="343"/>
      <c r="AV75" s="343"/>
      <c r="AW75" s="343"/>
      <c r="AX75" s="343"/>
      <c r="AY75" s="344"/>
      <c r="AZ75" s="345"/>
      <c r="BA75" s="346"/>
    </row>
    <row r="76" spans="1:53">
      <c r="A76" s="2" t="str">
        <f t="shared" si="10"/>
        <v>Res - MF Standard Rebates_Direct Fired Heaters</v>
      </c>
      <c r="B76" s="18">
        <v>73</v>
      </c>
      <c r="C76" s="18" t="s">
        <v>721</v>
      </c>
      <c r="D76" s="18" t="s">
        <v>317</v>
      </c>
      <c r="E76" s="23" t="s">
        <v>240</v>
      </c>
      <c r="F76" s="23">
        <v>150</v>
      </c>
      <c r="G76" s="154">
        <v>0.76</v>
      </c>
      <c r="H76" s="447">
        <v>20</v>
      </c>
      <c r="I76" s="436">
        <v>20</v>
      </c>
      <c r="J76" s="23">
        <v>0</v>
      </c>
      <c r="K76" s="23">
        <f t="shared" si="9"/>
        <v>0</v>
      </c>
      <c r="L76" s="23">
        <f t="shared" si="9"/>
        <v>0</v>
      </c>
      <c r="M76" s="23">
        <f t="shared" si="9"/>
        <v>0</v>
      </c>
      <c r="N76" s="216">
        <f>AD76*X76*(Z76/AB76-1)/100000</f>
        <v>2.4914999999999985</v>
      </c>
      <c r="O76" s="215">
        <f t="shared" si="8"/>
        <v>2.4914999999999985</v>
      </c>
      <c r="P76" s="215">
        <f t="shared" si="8"/>
        <v>2.4914999999999985</v>
      </c>
      <c r="Q76" s="215">
        <f t="shared" si="8"/>
        <v>2.4914999999999985</v>
      </c>
      <c r="R76" s="15" t="s">
        <v>140</v>
      </c>
      <c r="S76" s="15" t="s">
        <v>140</v>
      </c>
      <c r="T76" s="18" t="s">
        <v>140</v>
      </c>
      <c r="U76" s="15" t="s">
        <v>140</v>
      </c>
      <c r="V76" s="166" t="s">
        <v>313</v>
      </c>
      <c r="W76" s="166" t="s">
        <v>273</v>
      </c>
      <c r="X76" s="166">
        <v>1000</v>
      </c>
      <c r="Y76" s="166" t="s">
        <v>316</v>
      </c>
      <c r="Z76" s="397">
        <v>0.92</v>
      </c>
      <c r="AA76" s="158" t="s">
        <v>315</v>
      </c>
      <c r="AB76" s="397">
        <v>0.8</v>
      </c>
      <c r="AC76" s="466" t="s">
        <v>302</v>
      </c>
      <c r="AD76" s="468">
        <f>(1540+1782)/2</f>
        <v>1661</v>
      </c>
      <c r="AE76" s="466" t="s">
        <v>314</v>
      </c>
      <c r="AF76" s="468">
        <v>1678</v>
      </c>
      <c r="AG76" s="166"/>
      <c r="AH76" s="166"/>
      <c r="AI76" s="166"/>
      <c r="AJ76" s="166"/>
      <c r="AK76" s="166"/>
      <c r="AL76" s="166"/>
      <c r="AM76" s="166"/>
      <c r="AN76" s="166"/>
      <c r="AO76" s="166"/>
      <c r="AP76" s="166"/>
      <c r="AQ76" s="166"/>
      <c r="AR76" s="166"/>
      <c r="AS76" s="166"/>
      <c r="AT76" s="166"/>
      <c r="AU76" s="343"/>
      <c r="AV76" s="343"/>
      <c r="AW76" s="343"/>
      <c r="AX76" s="343"/>
      <c r="AY76" s="344"/>
      <c r="AZ76" s="345"/>
      <c r="BA76" s="346"/>
    </row>
    <row r="77" spans="1:53">
      <c r="A77" s="2" t="str">
        <f t="shared" si="10"/>
        <v>Res - MF Standard Rebates_Furnace &gt;95% AFUE</v>
      </c>
      <c r="B77" s="18">
        <v>74</v>
      </c>
      <c r="C77" s="18" t="s">
        <v>721</v>
      </c>
      <c r="D77" s="18" t="s">
        <v>1059</v>
      </c>
      <c r="E77" s="23" t="s">
        <v>150</v>
      </c>
      <c r="F77" s="23">
        <v>1</v>
      </c>
      <c r="G77" s="154">
        <v>0.76</v>
      </c>
      <c r="H77" s="447">
        <v>16</v>
      </c>
      <c r="I77" s="436">
        <v>16</v>
      </c>
      <c r="J77" s="23">
        <v>0</v>
      </c>
      <c r="K77" s="23">
        <f t="shared" si="9"/>
        <v>0</v>
      </c>
      <c r="L77" s="23">
        <f t="shared" si="9"/>
        <v>0</v>
      </c>
      <c r="M77" s="23">
        <f t="shared" si="9"/>
        <v>0</v>
      </c>
      <c r="N77" s="216">
        <f>X77*Z77*((AB77-AD77)/AD77)/100000</f>
        <v>253.93499999999986</v>
      </c>
      <c r="O77" s="215">
        <f t="shared" si="8"/>
        <v>253.93499999999986</v>
      </c>
      <c r="P77" s="215">
        <f t="shared" si="8"/>
        <v>253.93499999999986</v>
      </c>
      <c r="Q77" s="215">
        <f t="shared" si="8"/>
        <v>253.93499999999986</v>
      </c>
      <c r="R77" s="15" t="s">
        <v>838</v>
      </c>
      <c r="S77" s="15" t="s">
        <v>840</v>
      </c>
      <c r="T77" s="15" t="s">
        <v>301</v>
      </c>
      <c r="U77" s="15" t="s">
        <v>300</v>
      </c>
      <c r="V77" s="166" t="s">
        <v>296</v>
      </c>
      <c r="W77" s="466" t="s">
        <v>302</v>
      </c>
      <c r="X77" s="467">
        <v>1782</v>
      </c>
      <c r="Y77" s="158" t="s">
        <v>273</v>
      </c>
      <c r="Z77" s="398">
        <v>76000</v>
      </c>
      <c r="AA77" s="166" t="s">
        <v>299</v>
      </c>
      <c r="AB77" s="408">
        <v>0.95</v>
      </c>
      <c r="AC77" s="166" t="s">
        <v>298</v>
      </c>
      <c r="AD77" s="397">
        <v>0.8</v>
      </c>
      <c r="AE77" s="166" t="s">
        <v>153</v>
      </c>
      <c r="AF77" s="166">
        <v>2899</v>
      </c>
      <c r="AG77" s="166" t="s">
        <v>297</v>
      </c>
      <c r="AH77" s="409">
        <v>0.24299999999999999</v>
      </c>
      <c r="AI77" s="166"/>
      <c r="AJ77" s="166"/>
      <c r="AK77" s="166"/>
      <c r="AL77" s="166"/>
      <c r="AM77" s="166"/>
      <c r="AN77" s="166"/>
      <c r="AO77" s="166"/>
      <c r="AP77" s="166"/>
      <c r="AQ77" s="166"/>
      <c r="AR77" s="166"/>
      <c r="AS77" s="166"/>
      <c r="AT77" s="166"/>
      <c r="AU77" s="343"/>
      <c r="AV77" s="343"/>
      <c r="AW77" s="343"/>
      <c r="AX77" s="343"/>
      <c r="AY77" s="344"/>
      <c r="AZ77" s="345"/>
      <c r="BA77" s="346"/>
    </row>
    <row r="78" spans="1:53">
      <c r="A78" s="2" t="str">
        <f t="shared" si="10"/>
        <v>Res - MF Standard Rebates_High Speed Washer</v>
      </c>
      <c r="B78" s="18">
        <v>75</v>
      </c>
      <c r="C78" s="18" t="s">
        <v>721</v>
      </c>
      <c r="D78" s="18" t="s">
        <v>706</v>
      </c>
      <c r="E78" s="23" t="s">
        <v>237</v>
      </c>
      <c r="F78" s="23">
        <v>250</v>
      </c>
      <c r="G78" s="154">
        <v>0.76</v>
      </c>
      <c r="H78" s="447">
        <v>7</v>
      </c>
      <c r="I78" s="436">
        <v>7</v>
      </c>
      <c r="J78" s="23">
        <v>0</v>
      </c>
      <c r="K78" s="23">
        <f t="shared" si="9"/>
        <v>0</v>
      </c>
      <c r="L78" s="23">
        <f t="shared" si="9"/>
        <v>0</v>
      </c>
      <c r="M78" s="23">
        <f t="shared" si="9"/>
        <v>0</v>
      </c>
      <c r="N78" s="216">
        <f>X78*Z78*AB78*AD78*AF78/AH78/100000*AJ78*AL78/F78</f>
        <v>3.6756720000000001</v>
      </c>
      <c r="O78" s="215">
        <f t="shared" si="8"/>
        <v>3.6756720000000001</v>
      </c>
      <c r="P78" s="215">
        <f t="shared" si="8"/>
        <v>3.6756720000000001</v>
      </c>
      <c r="Q78" s="215">
        <f t="shared" si="8"/>
        <v>3.6756720000000001</v>
      </c>
      <c r="R78" s="15" t="s">
        <v>838</v>
      </c>
      <c r="S78" s="15" t="s">
        <v>840</v>
      </c>
      <c r="T78" s="15" t="s">
        <v>236</v>
      </c>
      <c r="U78" s="15" t="s">
        <v>235</v>
      </c>
      <c r="V78" s="410"/>
      <c r="W78" s="166" t="s">
        <v>234</v>
      </c>
      <c r="X78" s="166">
        <v>3.4</v>
      </c>
      <c r="Y78" s="166" t="s">
        <v>233</v>
      </c>
      <c r="Z78" s="166">
        <v>360</v>
      </c>
      <c r="AA78" s="158" t="s">
        <v>232</v>
      </c>
      <c r="AB78" s="398">
        <v>250</v>
      </c>
      <c r="AC78" s="158" t="s">
        <v>231</v>
      </c>
      <c r="AD78" s="403">
        <v>0.25</v>
      </c>
      <c r="AE78" s="158" t="s">
        <v>230</v>
      </c>
      <c r="AF78" s="398">
        <v>1200</v>
      </c>
      <c r="AG78" s="397" t="s">
        <v>229</v>
      </c>
      <c r="AH78" s="397">
        <v>0.6</v>
      </c>
      <c r="AI78" s="166" t="s">
        <v>228</v>
      </c>
      <c r="AJ78" s="397">
        <v>0.91</v>
      </c>
      <c r="AK78" s="166" t="s">
        <v>227</v>
      </c>
      <c r="AL78" s="403">
        <v>0.66</v>
      </c>
      <c r="AM78" s="166"/>
      <c r="AN78" s="166"/>
      <c r="AO78" s="166"/>
      <c r="AP78" s="166"/>
      <c r="AQ78" s="166"/>
      <c r="AR78" s="166"/>
      <c r="AS78" s="166"/>
      <c r="AT78" s="166"/>
      <c r="AU78" s="343"/>
      <c r="AV78" s="343"/>
      <c r="AW78" s="343"/>
      <c r="AX78" s="343"/>
      <c r="AY78" s="344"/>
      <c r="AZ78" s="345"/>
      <c r="BA78" s="346"/>
    </row>
    <row r="79" spans="1:53">
      <c r="A79" s="2" t="str">
        <f t="shared" si="10"/>
        <v>Res - MF Standard Rebates_Infrared Heater</v>
      </c>
      <c r="B79" s="18">
        <v>76</v>
      </c>
      <c r="C79" s="18" t="s">
        <v>721</v>
      </c>
      <c r="D79" s="18" t="s">
        <v>295</v>
      </c>
      <c r="E79" s="23" t="s">
        <v>240</v>
      </c>
      <c r="F79" s="23">
        <v>150</v>
      </c>
      <c r="G79" s="154">
        <v>0.76</v>
      </c>
      <c r="H79" s="447">
        <v>12</v>
      </c>
      <c r="I79" s="436">
        <v>12</v>
      </c>
      <c r="J79" s="23">
        <v>0</v>
      </c>
      <c r="K79" s="23">
        <f t="shared" si="9"/>
        <v>0</v>
      </c>
      <c r="L79" s="23">
        <f t="shared" si="9"/>
        <v>0</v>
      </c>
      <c r="M79" s="23">
        <f t="shared" si="9"/>
        <v>0</v>
      </c>
      <c r="N79" s="216">
        <f>451/F79</f>
        <v>3.0066666666666668</v>
      </c>
      <c r="O79" s="215">
        <f t="shared" si="8"/>
        <v>3.0066666666666668</v>
      </c>
      <c r="P79" s="215">
        <f t="shared" si="8"/>
        <v>3.0066666666666668</v>
      </c>
      <c r="Q79" s="215">
        <f t="shared" si="8"/>
        <v>3.0066666666666668</v>
      </c>
      <c r="R79" s="15" t="s">
        <v>838</v>
      </c>
      <c r="S79" s="15" t="s">
        <v>840</v>
      </c>
      <c r="T79" s="15" t="s">
        <v>294</v>
      </c>
      <c r="U79" s="15" t="s">
        <v>293</v>
      </c>
      <c r="V79" s="166" t="s">
        <v>291</v>
      </c>
      <c r="W79" s="166" t="s">
        <v>292</v>
      </c>
      <c r="X79" s="411">
        <v>150</v>
      </c>
      <c r="Y79" s="166"/>
      <c r="Z79" s="166"/>
      <c r="AA79" s="158"/>
      <c r="AB79" s="166"/>
      <c r="AC79" s="158"/>
      <c r="AD79" s="166"/>
      <c r="AE79" s="158"/>
      <c r="AF79" s="166"/>
      <c r="AG79" s="166"/>
      <c r="AH79" s="166"/>
      <c r="AI79" s="166"/>
      <c r="AJ79" s="166"/>
      <c r="AK79" s="166"/>
      <c r="AL79" s="166"/>
      <c r="AM79" s="166"/>
      <c r="AN79" s="166"/>
      <c r="AO79" s="166"/>
      <c r="AP79" s="166"/>
      <c r="AQ79" s="166"/>
      <c r="AR79" s="166"/>
      <c r="AS79" s="166"/>
      <c r="AT79" s="166"/>
      <c r="AU79" s="343"/>
      <c r="AV79" s="343"/>
      <c r="AW79" s="343"/>
      <c r="AX79" s="343"/>
      <c r="AY79" s="344"/>
      <c r="AZ79" s="345"/>
      <c r="BA79" s="346"/>
    </row>
    <row r="80" spans="1:53">
      <c r="A80" s="2" t="str">
        <f t="shared" si="10"/>
        <v>Res - MF Standard Rebates_Ozone Laundry</v>
      </c>
      <c r="B80" s="18">
        <v>77</v>
      </c>
      <c r="C80" s="18" t="s">
        <v>721</v>
      </c>
      <c r="D80" s="18" t="s">
        <v>287</v>
      </c>
      <c r="E80" s="23" t="s">
        <v>237</v>
      </c>
      <c r="F80" s="23">
        <v>250</v>
      </c>
      <c r="G80" s="154">
        <v>0.76</v>
      </c>
      <c r="H80" s="447">
        <v>10</v>
      </c>
      <c r="I80" s="436">
        <v>10</v>
      </c>
      <c r="J80" s="23">
        <v>0</v>
      </c>
      <c r="K80" s="23">
        <f t="shared" si="9"/>
        <v>0</v>
      </c>
      <c r="L80" s="23">
        <f t="shared" si="9"/>
        <v>0</v>
      </c>
      <c r="M80" s="23">
        <f t="shared" si="9"/>
        <v>0</v>
      </c>
      <c r="N80" s="434">
        <f xml:space="preserve"> (X80 * Z80 * AB80 * AD80 * (AF80 - AH80) * 8.33 * 1 * AJ80) / (AL80 * 100000) * (AN80 - AP80)</f>
        <v>13.190532978680915</v>
      </c>
      <c r="O80" s="215">
        <f t="shared" si="8"/>
        <v>13.190532978680915</v>
      </c>
      <c r="P80" s="215">
        <f t="shared" si="8"/>
        <v>13.190532978680915</v>
      </c>
      <c r="Q80" s="215">
        <f t="shared" si="8"/>
        <v>13.190532978680915</v>
      </c>
      <c r="R80" s="15" t="s">
        <v>838</v>
      </c>
      <c r="S80" s="15" t="s">
        <v>840</v>
      </c>
      <c r="T80" s="15" t="s">
        <v>286</v>
      </c>
      <c r="U80" s="15" t="s">
        <v>285</v>
      </c>
      <c r="V80" s="394" t="s">
        <v>861</v>
      </c>
      <c r="W80" s="394" t="s">
        <v>862</v>
      </c>
      <c r="X80" s="404">
        <v>1</v>
      </c>
      <c r="Y80" s="394" t="s">
        <v>273</v>
      </c>
      <c r="Z80" s="423">
        <v>4.96</v>
      </c>
      <c r="AA80" s="395" t="s">
        <v>863</v>
      </c>
      <c r="AB80" s="424">
        <v>8.4</v>
      </c>
      <c r="AC80" s="395" t="s">
        <v>864</v>
      </c>
      <c r="AD80" s="425">
        <v>0.1757</v>
      </c>
      <c r="AE80" s="395" t="s">
        <v>865</v>
      </c>
      <c r="AF80" s="394">
        <v>125</v>
      </c>
      <c r="AG80" s="394" t="s">
        <v>866</v>
      </c>
      <c r="AH80" s="424">
        <v>54.1</v>
      </c>
      <c r="AI80" s="394" t="s">
        <v>234</v>
      </c>
      <c r="AJ80" s="394">
        <v>264</v>
      </c>
      <c r="AK80" s="394" t="s">
        <v>461</v>
      </c>
      <c r="AL80" s="404">
        <v>0.67</v>
      </c>
      <c r="AM80" s="394" t="s">
        <v>867</v>
      </c>
      <c r="AN80" s="426">
        <v>0.77429999999999999</v>
      </c>
      <c r="AO80" s="394" t="s">
        <v>868</v>
      </c>
      <c r="AP80" s="424">
        <v>0</v>
      </c>
      <c r="AQ80" s="166"/>
      <c r="AR80" s="166"/>
      <c r="AS80" s="166"/>
      <c r="AT80" s="166"/>
      <c r="AU80" s="343"/>
      <c r="AV80" s="343"/>
      <c r="AW80" s="343"/>
      <c r="AX80" s="343"/>
      <c r="AY80" s="344"/>
      <c r="AZ80" s="345"/>
      <c r="BA80" s="346"/>
    </row>
    <row r="81" spans="1:53">
      <c r="A81" s="2" t="str">
        <f t="shared" si="10"/>
        <v>Res - MF Standard Rebates_Pipe Insulation - Hyd. Boiler Sm &lt;=1.25"</v>
      </c>
      <c r="B81" s="18">
        <v>78</v>
      </c>
      <c r="C81" s="18" t="s">
        <v>721</v>
      </c>
      <c r="D81" s="18" t="s">
        <v>221</v>
      </c>
      <c r="E81" s="23" t="s">
        <v>210</v>
      </c>
      <c r="F81" s="23">
        <v>75</v>
      </c>
      <c r="G81" s="154">
        <v>0.76</v>
      </c>
      <c r="H81" s="447">
        <v>15</v>
      </c>
      <c r="I81" s="436">
        <v>15</v>
      </c>
      <c r="J81" s="23">
        <v>0</v>
      </c>
      <c r="K81" s="23">
        <f t="shared" si="9"/>
        <v>0</v>
      </c>
      <c r="L81" s="23">
        <f t="shared" si="9"/>
        <v>0</v>
      </c>
      <c r="M81" s="23">
        <f t="shared" si="9"/>
        <v>0</v>
      </c>
      <c r="N81" s="372">
        <f>'Pipe Insulation Detail'!$C$44</f>
        <v>2.3011493874643869</v>
      </c>
      <c r="O81" s="215">
        <f t="shared" si="8"/>
        <v>2.3011493874643869</v>
      </c>
      <c r="P81" s="215">
        <f t="shared" si="8"/>
        <v>2.3011493874643869</v>
      </c>
      <c r="Q81" s="215">
        <f t="shared" si="8"/>
        <v>2.3011493874643869</v>
      </c>
      <c r="R81" s="15" t="s">
        <v>837</v>
      </c>
      <c r="S81" s="15" t="s">
        <v>840</v>
      </c>
      <c r="T81" s="15" t="s">
        <v>201</v>
      </c>
      <c r="U81" s="15" t="s">
        <v>200</v>
      </c>
      <c r="V81" s="413" t="s">
        <v>852</v>
      </c>
      <c r="W81" s="166"/>
      <c r="X81" s="166"/>
      <c r="Y81" s="166"/>
      <c r="Z81" s="166"/>
      <c r="AA81" s="158"/>
      <c r="AB81" s="166"/>
      <c r="AC81" s="158"/>
      <c r="AD81" s="166"/>
      <c r="AE81" s="158"/>
      <c r="AF81" s="166"/>
      <c r="AG81" s="166"/>
      <c r="AH81" s="166"/>
      <c r="AI81" s="166"/>
      <c r="AJ81" s="166"/>
      <c r="AK81" s="166"/>
      <c r="AL81" s="166"/>
      <c r="AM81" s="166"/>
      <c r="AN81" s="166"/>
      <c r="AO81" s="166"/>
      <c r="AP81" s="166"/>
      <c r="AQ81" s="166"/>
      <c r="AR81" s="166"/>
      <c r="AS81" s="166"/>
      <c r="AT81" s="166"/>
      <c r="AU81" s="343"/>
      <c r="AV81" s="343"/>
      <c r="AW81" s="343"/>
      <c r="AX81" s="343"/>
      <c r="AY81" s="344"/>
      <c r="AZ81" s="345"/>
      <c r="BA81" s="346"/>
    </row>
    <row r="82" spans="1:53">
      <c r="A82" s="2" t="str">
        <f t="shared" si="10"/>
        <v>Res - MF Standard Rebates_Pipe Insulation - Hyd. Boiler Med 1.25-2"</v>
      </c>
      <c r="B82" s="18">
        <v>79</v>
      </c>
      <c r="C82" s="18" t="s">
        <v>721</v>
      </c>
      <c r="D82" s="18" t="s">
        <v>220</v>
      </c>
      <c r="E82" s="23" t="s">
        <v>210</v>
      </c>
      <c r="F82" s="23">
        <v>75</v>
      </c>
      <c r="G82" s="154">
        <v>0.76</v>
      </c>
      <c r="H82" s="447">
        <v>15</v>
      </c>
      <c r="I82" s="436">
        <v>15</v>
      </c>
      <c r="J82" s="23">
        <v>0</v>
      </c>
      <c r="K82" s="23">
        <f t="shared" si="9"/>
        <v>0</v>
      </c>
      <c r="L82" s="23">
        <f t="shared" si="9"/>
        <v>0</v>
      </c>
      <c r="M82" s="23">
        <f t="shared" si="9"/>
        <v>0</v>
      </c>
      <c r="N82" s="372">
        <f>'Pipe Insulation Detail'!$C$45</f>
        <v>3.6034773504273505</v>
      </c>
      <c r="O82" s="215">
        <f t="shared" si="8"/>
        <v>3.6034773504273505</v>
      </c>
      <c r="P82" s="215">
        <f t="shared" si="8"/>
        <v>3.6034773504273505</v>
      </c>
      <c r="Q82" s="215">
        <f t="shared" si="8"/>
        <v>3.6034773504273505</v>
      </c>
      <c r="R82" s="15" t="s">
        <v>837</v>
      </c>
      <c r="S82" s="15" t="s">
        <v>840</v>
      </c>
      <c r="T82" s="15" t="s">
        <v>201</v>
      </c>
      <c r="U82" s="15" t="s">
        <v>200</v>
      </c>
      <c r="V82" s="413" t="s">
        <v>852</v>
      </c>
      <c r="W82" s="166"/>
      <c r="X82" s="166"/>
      <c r="Y82" s="166"/>
      <c r="Z82" s="166"/>
      <c r="AA82" s="158"/>
      <c r="AB82" s="166"/>
      <c r="AC82" s="158"/>
      <c r="AD82" s="166"/>
      <c r="AE82" s="158"/>
      <c r="AF82" s="166"/>
      <c r="AG82" s="166"/>
      <c r="AH82" s="166"/>
      <c r="AI82" s="166"/>
      <c r="AJ82" s="166"/>
      <c r="AK82" s="166"/>
      <c r="AL82" s="166"/>
      <c r="AM82" s="166"/>
      <c r="AN82" s="166"/>
      <c r="AO82" s="166"/>
      <c r="AP82" s="166"/>
      <c r="AQ82" s="166"/>
      <c r="AR82" s="166"/>
      <c r="AS82" s="166"/>
      <c r="AT82" s="166"/>
      <c r="AU82" s="343"/>
      <c r="AV82" s="343"/>
      <c r="AW82" s="343"/>
      <c r="AX82" s="343"/>
      <c r="AY82" s="344"/>
      <c r="AZ82" s="345"/>
      <c r="BA82" s="346"/>
    </row>
    <row r="83" spans="1:53">
      <c r="A83" s="2" t="str">
        <f t="shared" si="10"/>
        <v>Res - MF Standard Rebates_Pipe Insulation - Hyd. Boiler Large ≥2"</v>
      </c>
      <c r="B83" s="18">
        <v>80</v>
      </c>
      <c r="C83" s="18" t="s">
        <v>721</v>
      </c>
      <c r="D83" s="18" t="s">
        <v>720</v>
      </c>
      <c r="E83" s="23" t="s">
        <v>210</v>
      </c>
      <c r="F83" s="23">
        <v>75</v>
      </c>
      <c r="G83" s="154">
        <v>0.76</v>
      </c>
      <c r="H83" s="447">
        <v>15</v>
      </c>
      <c r="I83" s="436">
        <v>15</v>
      </c>
      <c r="J83" s="23">
        <v>0</v>
      </c>
      <c r="K83" s="23">
        <f t="shared" si="9"/>
        <v>0</v>
      </c>
      <c r="L83" s="23">
        <f t="shared" si="9"/>
        <v>0</v>
      </c>
      <c r="M83" s="23">
        <f t="shared" si="9"/>
        <v>0</v>
      </c>
      <c r="N83" s="372">
        <f>'Pipe Insulation Detail'!$C$46</f>
        <v>6.1867824786324785</v>
      </c>
      <c r="O83" s="215">
        <f t="shared" si="8"/>
        <v>6.1867824786324785</v>
      </c>
      <c r="P83" s="215">
        <f t="shared" si="8"/>
        <v>6.1867824786324785</v>
      </c>
      <c r="Q83" s="215">
        <f t="shared" si="8"/>
        <v>6.1867824786324785</v>
      </c>
      <c r="R83" s="15" t="s">
        <v>837</v>
      </c>
      <c r="S83" s="15" t="s">
        <v>840</v>
      </c>
      <c r="T83" s="15" t="s">
        <v>201</v>
      </c>
      <c r="U83" s="15" t="s">
        <v>200</v>
      </c>
      <c r="V83" s="413" t="s">
        <v>852</v>
      </c>
      <c r="W83" s="166"/>
      <c r="X83" s="166"/>
      <c r="Y83" s="166"/>
      <c r="Z83" s="166"/>
      <c r="AA83" s="158"/>
      <c r="AB83" s="166"/>
      <c r="AC83" s="158"/>
      <c r="AD83" s="166"/>
      <c r="AE83" s="158"/>
      <c r="AF83" s="166"/>
      <c r="AG83" s="166"/>
      <c r="AH83" s="166"/>
      <c r="AI83" s="166"/>
      <c r="AJ83" s="166"/>
      <c r="AK83" s="166"/>
      <c r="AL83" s="166"/>
      <c r="AM83" s="166"/>
      <c r="AN83" s="166"/>
      <c r="AO83" s="166"/>
      <c r="AP83" s="166"/>
      <c r="AQ83" s="166"/>
      <c r="AR83" s="166"/>
      <c r="AS83" s="166"/>
      <c r="AT83" s="166"/>
      <c r="AU83" s="343"/>
      <c r="AV83" s="343"/>
      <c r="AW83" s="343"/>
      <c r="AX83" s="343"/>
      <c r="AY83" s="344"/>
      <c r="AZ83" s="345"/>
      <c r="BA83" s="346"/>
    </row>
    <row r="84" spans="1:53">
      <c r="A84" s="2" t="str">
        <f t="shared" si="10"/>
        <v>Res - MF Standard Rebates_Pipe Insulation - HW Small 1" to 2"</v>
      </c>
      <c r="B84" s="18">
        <v>81</v>
      </c>
      <c r="C84" s="18" t="s">
        <v>721</v>
      </c>
      <c r="D84" s="18" t="s">
        <v>217</v>
      </c>
      <c r="E84" s="23" t="s">
        <v>210</v>
      </c>
      <c r="F84" s="23">
        <v>75</v>
      </c>
      <c r="G84" s="154">
        <v>0.76</v>
      </c>
      <c r="H84" s="447">
        <v>15</v>
      </c>
      <c r="I84" s="436">
        <v>15</v>
      </c>
      <c r="J84" s="23">
        <v>0</v>
      </c>
      <c r="K84" s="23">
        <f t="shared" si="9"/>
        <v>0</v>
      </c>
      <c r="L84" s="23">
        <f t="shared" si="9"/>
        <v>0</v>
      </c>
      <c r="M84" s="23">
        <f t="shared" si="9"/>
        <v>0</v>
      </c>
      <c r="N84" s="372">
        <f>'Pipe Insulation Detail'!$C$47</f>
        <v>3.1358228800964363</v>
      </c>
      <c r="O84" s="215">
        <f t="shared" si="8"/>
        <v>3.1358228800964363</v>
      </c>
      <c r="P84" s="215">
        <f t="shared" si="8"/>
        <v>3.1358228800964363</v>
      </c>
      <c r="Q84" s="215">
        <f t="shared" si="8"/>
        <v>3.1358228800964363</v>
      </c>
      <c r="R84" s="15" t="s">
        <v>837</v>
      </c>
      <c r="S84" s="15" t="s">
        <v>840</v>
      </c>
      <c r="T84" s="15" t="s">
        <v>201</v>
      </c>
      <c r="U84" s="15" t="s">
        <v>200</v>
      </c>
      <c r="V84" s="413" t="s">
        <v>852</v>
      </c>
      <c r="W84" s="166"/>
      <c r="X84" s="166"/>
      <c r="Y84" s="166"/>
      <c r="Z84" s="166"/>
      <c r="AA84" s="158"/>
      <c r="AB84" s="166"/>
      <c r="AC84" s="158"/>
      <c r="AD84" s="166"/>
      <c r="AE84" s="158"/>
      <c r="AF84" s="166"/>
      <c r="AG84" s="166"/>
      <c r="AH84" s="166"/>
      <c r="AI84" s="166"/>
      <c r="AJ84" s="166"/>
      <c r="AK84" s="166"/>
      <c r="AL84" s="166"/>
      <c r="AM84" s="166"/>
      <c r="AN84" s="166"/>
      <c r="AO84" s="166"/>
      <c r="AP84" s="166"/>
      <c r="AQ84" s="166"/>
      <c r="AR84" s="166"/>
      <c r="AS84" s="166"/>
      <c r="AT84" s="166"/>
      <c r="AU84" s="343"/>
      <c r="AV84" s="343"/>
      <c r="AW84" s="343"/>
      <c r="AX84" s="343"/>
      <c r="AY84" s="344"/>
      <c r="AZ84" s="345"/>
      <c r="BA84" s="346"/>
    </row>
    <row r="85" spans="1:53">
      <c r="A85" s="2" t="str">
        <f t="shared" si="10"/>
        <v>Res - MF Standard Rebates_Pipe Insulation - HW Medium 2.1" to 4"</v>
      </c>
      <c r="B85" s="18">
        <v>82</v>
      </c>
      <c r="C85" s="18" t="s">
        <v>721</v>
      </c>
      <c r="D85" s="18" t="s">
        <v>216</v>
      </c>
      <c r="E85" s="23" t="s">
        <v>210</v>
      </c>
      <c r="F85" s="23">
        <v>75</v>
      </c>
      <c r="G85" s="154">
        <v>0.76</v>
      </c>
      <c r="H85" s="447">
        <v>15</v>
      </c>
      <c r="I85" s="436">
        <v>15</v>
      </c>
      <c r="J85" s="23">
        <v>0</v>
      </c>
      <c r="K85" s="23">
        <f t="shared" si="9"/>
        <v>0</v>
      </c>
      <c r="L85" s="23">
        <f t="shared" si="9"/>
        <v>0</v>
      </c>
      <c r="M85" s="23">
        <f t="shared" si="9"/>
        <v>0</v>
      </c>
      <c r="N85" s="372">
        <f>'Pipe Insulation Detail'!$C$48</f>
        <v>6.1942373572810965</v>
      </c>
      <c r="O85" s="215">
        <f t="shared" ref="O85:Q104" si="11">N85</f>
        <v>6.1942373572810965</v>
      </c>
      <c r="P85" s="215">
        <f t="shared" si="11"/>
        <v>6.1942373572810965</v>
      </c>
      <c r="Q85" s="215">
        <f t="shared" si="11"/>
        <v>6.1942373572810965</v>
      </c>
      <c r="R85" s="15" t="s">
        <v>837</v>
      </c>
      <c r="S85" s="15" t="s">
        <v>840</v>
      </c>
      <c r="T85" s="15" t="s">
        <v>201</v>
      </c>
      <c r="U85" s="15" t="s">
        <v>200</v>
      </c>
      <c r="V85" s="413" t="s">
        <v>852</v>
      </c>
      <c r="W85" s="166"/>
      <c r="X85" s="166"/>
      <c r="Y85" s="166"/>
      <c r="Z85" s="166"/>
      <c r="AA85" s="158"/>
      <c r="AB85" s="166"/>
      <c r="AC85" s="158"/>
      <c r="AD85" s="166"/>
      <c r="AE85" s="158"/>
      <c r="AF85" s="166"/>
      <c r="AG85" s="166"/>
      <c r="AH85" s="166"/>
      <c r="AI85" s="166"/>
      <c r="AJ85" s="166"/>
      <c r="AK85" s="166"/>
      <c r="AL85" s="166"/>
      <c r="AM85" s="166"/>
      <c r="AN85" s="166"/>
      <c r="AO85" s="166"/>
      <c r="AP85" s="166"/>
      <c r="AQ85" s="166"/>
      <c r="AR85" s="166"/>
      <c r="AS85" s="166"/>
      <c r="AT85" s="166"/>
      <c r="AU85" s="343"/>
      <c r="AV85" s="343"/>
      <c r="AW85" s="343"/>
      <c r="AX85" s="343"/>
      <c r="AY85" s="344"/>
      <c r="AZ85" s="345"/>
      <c r="BA85" s="346"/>
    </row>
    <row r="86" spans="1:53">
      <c r="A86" s="2" t="str">
        <f t="shared" si="10"/>
        <v>Res - MF Standard Rebates_Pipe Insulation - HW Large &gt;4"</v>
      </c>
      <c r="B86" s="18">
        <v>83</v>
      </c>
      <c r="C86" s="18" t="s">
        <v>721</v>
      </c>
      <c r="D86" s="18" t="s">
        <v>215</v>
      </c>
      <c r="E86" s="23" t="s">
        <v>210</v>
      </c>
      <c r="F86" s="23">
        <v>75</v>
      </c>
      <c r="G86" s="154">
        <v>0.76</v>
      </c>
      <c r="H86" s="447">
        <v>15</v>
      </c>
      <c r="I86" s="436">
        <v>15</v>
      </c>
      <c r="J86" s="23">
        <v>0</v>
      </c>
      <c r="K86" s="23">
        <f t="shared" ref="K86:M105" si="12">J86</f>
        <v>0</v>
      </c>
      <c r="L86" s="23">
        <f t="shared" si="12"/>
        <v>0</v>
      </c>
      <c r="M86" s="23">
        <f t="shared" si="12"/>
        <v>0</v>
      </c>
      <c r="N86" s="372">
        <f>'Pipe Insulation Detail'!$C$49</f>
        <v>10.672873287490331</v>
      </c>
      <c r="O86" s="215">
        <f t="shared" si="11"/>
        <v>10.672873287490331</v>
      </c>
      <c r="P86" s="215">
        <f t="shared" si="11"/>
        <v>10.672873287490331</v>
      </c>
      <c r="Q86" s="215">
        <f t="shared" si="11"/>
        <v>10.672873287490331</v>
      </c>
      <c r="R86" s="15" t="s">
        <v>837</v>
      </c>
      <c r="S86" s="15" t="s">
        <v>840</v>
      </c>
      <c r="T86" s="15" t="s">
        <v>201</v>
      </c>
      <c r="U86" s="15" t="s">
        <v>200</v>
      </c>
      <c r="V86" s="413" t="s">
        <v>852</v>
      </c>
      <c r="W86" s="166"/>
      <c r="X86" s="166"/>
      <c r="Y86" s="166"/>
      <c r="Z86" s="166"/>
      <c r="AA86" s="158"/>
      <c r="AB86" s="166"/>
      <c r="AC86" s="158"/>
      <c r="AD86" s="166"/>
      <c r="AE86" s="158"/>
      <c r="AF86" s="166"/>
      <c r="AG86" s="166"/>
      <c r="AH86" s="166"/>
      <c r="AI86" s="166"/>
      <c r="AJ86" s="166"/>
      <c r="AK86" s="166"/>
      <c r="AL86" s="166"/>
      <c r="AM86" s="166"/>
      <c r="AN86" s="166"/>
      <c r="AO86" s="166"/>
      <c r="AP86" s="166"/>
      <c r="AQ86" s="166"/>
      <c r="AR86" s="166"/>
      <c r="AS86" s="166"/>
      <c r="AT86" s="166"/>
      <c r="AU86" s="343"/>
      <c r="AV86" s="343"/>
      <c r="AW86" s="343"/>
      <c r="AX86" s="343"/>
      <c r="AY86" s="344"/>
      <c r="AZ86" s="345"/>
      <c r="BA86" s="346"/>
    </row>
    <row r="87" spans="1:53">
      <c r="A87" s="2" t="str">
        <f t="shared" si="10"/>
        <v>Res - MF Standard Rebates_Pipe Insulation - Steam - Small 1" to 2"</v>
      </c>
      <c r="B87" s="18">
        <v>84</v>
      </c>
      <c r="C87" s="18" t="s">
        <v>721</v>
      </c>
      <c r="D87" s="18" t="s">
        <v>214</v>
      </c>
      <c r="E87" s="23" t="s">
        <v>210</v>
      </c>
      <c r="F87" s="23">
        <v>75</v>
      </c>
      <c r="G87" s="154">
        <v>0.76</v>
      </c>
      <c r="H87" s="447">
        <v>15</v>
      </c>
      <c r="I87" s="436">
        <v>15</v>
      </c>
      <c r="J87" s="23">
        <v>0</v>
      </c>
      <c r="K87" s="23">
        <f t="shared" si="12"/>
        <v>0</v>
      </c>
      <c r="L87" s="23">
        <f t="shared" si="12"/>
        <v>0</v>
      </c>
      <c r="M87" s="23">
        <f t="shared" si="12"/>
        <v>0</v>
      </c>
      <c r="N87" s="372">
        <f>'Pipe Insulation Detail'!$C$50</f>
        <v>3.967097058288509</v>
      </c>
      <c r="O87" s="215">
        <f t="shared" si="11"/>
        <v>3.967097058288509</v>
      </c>
      <c r="P87" s="215">
        <f t="shared" si="11"/>
        <v>3.967097058288509</v>
      </c>
      <c r="Q87" s="215">
        <f t="shared" si="11"/>
        <v>3.967097058288509</v>
      </c>
      <c r="R87" s="15" t="s">
        <v>837</v>
      </c>
      <c r="S87" s="15" t="s">
        <v>840</v>
      </c>
      <c r="T87" s="15" t="s">
        <v>201</v>
      </c>
      <c r="U87" s="15" t="s">
        <v>200</v>
      </c>
      <c r="V87" s="413" t="s">
        <v>852</v>
      </c>
      <c r="W87" s="166"/>
      <c r="X87" s="166"/>
      <c r="Y87" s="166"/>
      <c r="Z87" s="166"/>
      <c r="AA87" s="158"/>
      <c r="AB87" s="166"/>
      <c r="AC87" s="158"/>
      <c r="AD87" s="166"/>
      <c r="AE87" s="158"/>
      <c r="AF87" s="166"/>
      <c r="AG87" s="166"/>
      <c r="AH87" s="166"/>
      <c r="AI87" s="166"/>
      <c r="AJ87" s="166"/>
      <c r="AK87" s="166"/>
      <c r="AL87" s="166"/>
      <c r="AM87" s="166"/>
      <c r="AN87" s="166"/>
      <c r="AO87" s="166"/>
      <c r="AP87" s="166"/>
      <c r="AQ87" s="166"/>
      <c r="AR87" s="166"/>
      <c r="AS87" s="166"/>
      <c r="AT87" s="166"/>
      <c r="AU87" s="343"/>
      <c r="AV87" s="343"/>
      <c r="AW87" s="343"/>
      <c r="AX87" s="343"/>
      <c r="AY87" s="344"/>
      <c r="AZ87" s="345"/>
      <c r="BA87" s="346"/>
    </row>
    <row r="88" spans="1:53">
      <c r="A88" s="2" t="str">
        <f t="shared" si="10"/>
        <v>Res - MF Standard Rebates_Pipe Insulation - Steam - Med 2.1" to 5"</v>
      </c>
      <c r="B88" s="18">
        <v>85</v>
      </c>
      <c r="C88" s="18" t="s">
        <v>721</v>
      </c>
      <c r="D88" s="18" t="s">
        <v>213</v>
      </c>
      <c r="E88" s="23" t="s">
        <v>210</v>
      </c>
      <c r="F88" s="23">
        <v>75</v>
      </c>
      <c r="G88" s="154">
        <v>0.76</v>
      </c>
      <c r="H88" s="447">
        <v>15</v>
      </c>
      <c r="I88" s="436">
        <v>15</v>
      </c>
      <c r="J88" s="23">
        <v>0</v>
      </c>
      <c r="K88" s="23">
        <f t="shared" si="12"/>
        <v>0</v>
      </c>
      <c r="L88" s="23">
        <f t="shared" si="12"/>
        <v>0</v>
      </c>
      <c r="M88" s="23">
        <f t="shared" si="12"/>
        <v>0</v>
      </c>
      <c r="N88" s="372">
        <f>'Pipe Insulation Detail'!$C$51</f>
        <v>13.577404706790121</v>
      </c>
      <c r="O88" s="215">
        <f t="shared" si="11"/>
        <v>13.577404706790121</v>
      </c>
      <c r="P88" s="215">
        <f t="shared" si="11"/>
        <v>13.577404706790121</v>
      </c>
      <c r="Q88" s="215">
        <f t="shared" si="11"/>
        <v>13.577404706790121</v>
      </c>
      <c r="R88" s="15" t="s">
        <v>837</v>
      </c>
      <c r="S88" s="15" t="s">
        <v>840</v>
      </c>
      <c r="T88" s="15" t="s">
        <v>201</v>
      </c>
      <c r="U88" s="15" t="s">
        <v>200</v>
      </c>
      <c r="V88" s="413" t="s">
        <v>852</v>
      </c>
      <c r="W88" s="166"/>
      <c r="X88" s="166"/>
      <c r="Y88" s="166"/>
      <c r="Z88" s="166"/>
      <c r="AA88" s="158"/>
      <c r="AB88" s="166"/>
      <c r="AC88" s="158"/>
      <c r="AD88" s="166"/>
      <c r="AE88" s="158"/>
      <c r="AF88" s="166"/>
      <c r="AG88" s="166"/>
      <c r="AH88" s="166"/>
      <c r="AI88" s="166"/>
      <c r="AJ88" s="166"/>
      <c r="AK88" s="166"/>
      <c r="AL88" s="166"/>
      <c r="AM88" s="166"/>
      <c r="AN88" s="166"/>
      <c r="AO88" s="166"/>
      <c r="AP88" s="166"/>
      <c r="AQ88" s="166"/>
      <c r="AR88" s="166"/>
      <c r="AS88" s="166"/>
      <c r="AT88" s="166"/>
      <c r="AU88" s="343"/>
      <c r="AV88" s="343"/>
      <c r="AW88" s="343"/>
      <c r="AX88" s="343"/>
      <c r="AY88" s="344"/>
      <c r="AZ88" s="345"/>
      <c r="BA88" s="346"/>
    </row>
    <row r="89" spans="1:53">
      <c r="A89" s="2" t="str">
        <f t="shared" si="10"/>
        <v>Res - MF Standard Rebates_Pipe Insulation - Steam - Large 5.1" to 8"</v>
      </c>
      <c r="B89" s="18">
        <v>86</v>
      </c>
      <c r="C89" s="18" t="s">
        <v>721</v>
      </c>
      <c r="D89" s="18" t="s">
        <v>212</v>
      </c>
      <c r="E89" s="23" t="s">
        <v>210</v>
      </c>
      <c r="F89" s="23">
        <v>75</v>
      </c>
      <c r="G89" s="154">
        <v>0.76</v>
      </c>
      <c r="H89" s="447">
        <v>15</v>
      </c>
      <c r="I89" s="436">
        <v>15</v>
      </c>
      <c r="J89" s="23">
        <v>0</v>
      </c>
      <c r="K89" s="23">
        <f t="shared" si="12"/>
        <v>0</v>
      </c>
      <c r="L89" s="23">
        <f t="shared" si="12"/>
        <v>0</v>
      </c>
      <c r="M89" s="23">
        <f t="shared" si="12"/>
        <v>0</v>
      </c>
      <c r="N89" s="372">
        <f>'Pipe Insulation Detail'!$C$52</f>
        <v>30.207245887345675</v>
      </c>
      <c r="O89" s="215">
        <f t="shared" si="11"/>
        <v>30.207245887345675</v>
      </c>
      <c r="P89" s="215">
        <f t="shared" si="11"/>
        <v>30.207245887345675</v>
      </c>
      <c r="Q89" s="215">
        <f t="shared" si="11"/>
        <v>30.207245887345675</v>
      </c>
      <c r="R89" s="15" t="s">
        <v>837</v>
      </c>
      <c r="S89" s="15" t="s">
        <v>840</v>
      </c>
      <c r="T89" s="15" t="s">
        <v>201</v>
      </c>
      <c r="U89" s="15" t="s">
        <v>200</v>
      </c>
      <c r="V89" s="413" t="s">
        <v>852</v>
      </c>
      <c r="W89" s="166"/>
      <c r="X89" s="166"/>
      <c r="Y89" s="166"/>
      <c r="Z89" s="166"/>
      <c r="AA89" s="158"/>
      <c r="AB89" s="166"/>
      <c r="AC89" s="158"/>
      <c r="AD89" s="166"/>
      <c r="AE89" s="158"/>
      <c r="AF89" s="166"/>
      <c r="AG89" s="166"/>
      <c r="AH89" s="166"/>
      <c r="AI89" s="166"/>
      <c r="AJ89" s="166"/>
      <c r="AK89" s="166"/>
      <c r="AL89" s="166"/>
      <c r="AM89" s="166"/>
      <c r="AN89" s="166"/>
      <c r="AO89" s="166"/>
      <c r="AP89" s="166"/>
      <c r="AQ89" s="166"/>
      <c r="AR89" s="166"/>
      <c r="AS89" s="166"/>
      <c r="AT89" s="166"/>
      <c r="AU89" s="343"/>
      <c r="AV89" s="343"/>
      <c r="AW89" s="343"/>
      <c r="AX89" s="343"/>
      <c r="AY89" s="344"/>
      <c r="AZ89" s="345"/>
      <c r="BA89" s="346"/>
    </row>
    <row r="90" spans="1:53">
      <c r="A90" s="2" t="str">
        <f t="shared" si="10"/>
        <v>Res - MF Standard Rebates_Pipe Insulation - Steam - X-Large &gt;8"</v>
      </c>
      <c r="B90" s="18">
        <v>87</v>
      </c>
      <c r="C90" s="18" t="s">
        <v>721</v>
      </c>
      <c r="D90" s="18" t="s">
        <v>211</v>
      </c>
      <c r="E90" s="23" t="s">
        <v>210</v>
      </c>
      <c r="F90" s="23">
        <v>75</v>
      </c>
      <c r="G90" s="154">
        <v>0.76</v>
      </c>
      <c r="H90" s="447">
        <v>15</v>
      </c>
      <c r="I90" s="436">
        <v>15</v>
      </c>
      <c r="J90" s="23">
        <v>0</v>
      </c>
      <c r="K90" s="23">
        <f t="shared" si="12"/>
        <v>0</v>
      </c>
      <c r="L90" s="23">
        <f t="shared" si="12"/>
        <v>0</v>
      </c>
      <c r="M90" s="23">
        <f t="shared" si="12"/>
        <v>0</v>
      </c>
      <c r="N90" s="372">
        <f>'Pipe Insulation Detail'!$C$53</f>
        <v>44.814401171573145</v>
      </c>
      <c r="O90" s="215">
        <f t="shared" si="11"/>
        <v>44.814401171573145</v>
      </c>
      <c r="P90" s="215">
        <f t="shared" si="11"/>
        <v>44.814401171573145</v>
      </c>
      <c r="Q90" s="215">
        <f t="shared" si="11"/>
        <v>44.814401171573145</v>
      </c>
      <c r="R90" s="15" t="s">
        <v>837</v>
      </c>
      <c r="S90" s="15" t="s">
        <v>840</v>
      </c>
      <c r="T90" s="15" t="s">
        <v>201</v>
      </c>
      <c r="U90" s="15" t="s">
        <v>200</v>
      </c>
      <c r="V90" s="413" t="s">
        <v>852</v>
      </c>
      <c r="W90" s="166"/>
      <c r="X90" s="166"/>
      <c r="Y90" s="166"/>
      <c r="Z90" s="166"/>
      <c r="AA90" s="158"/>
      <c r="AB90" s="166"/>
      <c r="AC90" s="158"/>
      <c r="AD90" s="166"/>
      <c r="AE90" s="158"/>
      <c r="AF90" s="166"/>
      <c r="AG90" s="166"/>
      <c r="AH90" s="166"/>
      <c r="AI90" s="166"/>
      <c r="AJ90" s="166"/>
      <c r="AK90" s="166"/>
      <c r="AL90" s="166"/>
      <c r="AM90" s="166"/>
      <c r="AN90" s="166"/>
      <c r="AO90" s="166"/>
      <c r="AP90" s="166"/>
      <c r="AQ90" s="166"/>
      <c r="AR90" s="166"/>
      <c r="AS90" s="166"/>
      <c r="AT90" s="166"/>
      <c r="AU90" s="343"/>
      <c r="AV90" s="343"/>
      <c r="AW90" s="343"/>
      <c r="AX90" s="343"/>
      <c r="AY90" s="344"/>
      <c r="AZ90" s="345"/>
      <c r="BA90" s="346"/>
    </row>
    <row r="91" spans="1:53">
      <c r="A91" s="2" t="str">
        <f t="shared" si="10"/>
        <v>Res - MF Standard Rebates_Pipe Insulation - Steam Med Fitting</v>
      </c>
      <c r="B91" s="18">
        <v>88</v>
      </c>
      <c r="C91" s="18" t="s">
        <v>721</v>
      </c>
      <c r="D91" s="18" t="s">
        <v>208</v>
      </c>
      <c r="E91" s="23" t="s">
        <v>150</v>
      </c>
      <c r="F91" s="23">
        <v>1</v>
      </c>
      <c r="G91" s="154">
        <v>0.76</v>
      </c>
      <c r="H91" s="447">
        <v>15</v>
      </c>
      <c r="I91" s="436">
        <v>15</v>
      </c>
      <c r="J91" s="23">
        <v>0</v>
      </c>
      <c r="K91" s="23">
        <f t="shared" si="12"/>
        <v>0</v>
      </c>
      <c r="L91" s="23">
        <f t="shared" si="12"/>
        <v>0</v>
      </c>
      <c r="M91" s="23">
        <f t="shared" si="12"/>
        <v>0</v>
      </c>
      <c r="N91" s="372">
        <f>'Pipe Insulation Detail'!$C$55</f>
        <v>15.586033402860688</v>
      </c>
      <c r="O91" s="215">
        <f t="shared" si="11"/>
        <v>15.586033402860688</v>
      </c>
      <c r="P91" s="215">
        <f t="shared" si="11"/>
        <v>15.586033402860688</v>
      </c>
      <c r="Q91" s="215">
        <f t="shared" si="11"/>
        <v>15.586033402860688</v>
      </c>
      <c r="R91" s="15" t="s">
        <v>837</v>
      </c>
      <c r="S91" s="15" t="s">
        <v>840</v>
      </c>
      <c r="T91" s="15" t="s">
        <v>201</v>
      </c>
      <c r="U91" s="15" t="s">
        <v>200</v>
      </c>
      <c r="V91" s="413" t="s">
        <v>852</v>
      </c>
      <c r="W91" s="166"/>
      <c r="X91" s="166"/>
      <c r="Y91" s="166"/>
      <c r="Z91" s="166"/>
      <c r="AA91" s="158"/>
      <c r="AB91" s="166"/>
      <c r="AC91" s="158"/>
      <c r="AD91" s="166"/>
      <c r="AE91" s="158"/>
      <c r="AF91" s="166"/>
      <c r="AG91" s="166"/>
      <c r="AH91" s="166"/>
      <c r="AI91" s="166"/>
      <c r="AJ91" s="166"/>
      <c r="AK91" s="166"/>
      <c r="AL91" s="166"/>
      <c r="AM91" s="166"/>
      <c r="AN91" s="166"/>
      <c r="AO91" s="166"/>
      <c r="AP91" s="166"/>
      <c r="AQ91" s="166"/>
      <c r="AR91" s="166"/>
      <c r="AS91" s="166"/>
      <c r="AT91" s="166"/>
      <c r="AU91" s="343"/>
      <c r="AV91" s="343"/>
      <c r="AW91" s="343"/>
      <c r="AX91" s="343"/>
      <c r="AY91" s="344"/>
      <c r="AZ91" s="345"/>
      <c r="BA91" s="346"/>
    </row>
    <row r="92" spans="1:53">
      <c r="A92" s="2" t="str">
        <f t="shared" si="10"/>
        <v>Res - MF Standard Rebates_Pipe Insulation - Steam Large Fitting</v>
      </c>
      <c r="B92" s="18">
        <v>89</v>
      </c>
      <c r="C92" s="18" t="s">
        <v>721</v>
      </c>
      <c r="D92" s="18" t="s">
        <v>207</v>
      </c>
      <c r="E92" s="23" t="s">
        <v>150</v>
      </c>
      <c r="F92" s="23">
        <v>1</v>
      </c>
      <c r="G92" s="154">
        <v>0.76</v>
      </c>
      <c r="H92" s="447">
        <v>15</v>
      </c>
      <c r="I92" s="436">
        <v>15</v>
      </c>
      <c r="J92" s="23">
        <v>0</v>
      </c>
      <c r="K92" s="23">
        <f t="shared" si="12"/>
        <v>0</v>
      </c>
      <c r="L92" s="23">
        <f t="shared" si="12"/>
        <v>0</v>
      </c>
      <c r="M92" s="23">
        <f t="shared" si="12"/>
        <v>0</v>
      </c>
      <c r="N92" s="372">
        <f>'Pipe Insulation Detail'!$C$56</f>
        <v>63.824627950912159</v>
      </c>
      <c r="O92" s="215">
        <f t="shared" si="11"/>
        <v>63.824627950912159</v>
      </c>
      <c r="P92" s="215">
        <f t="shared" si="11"/>
        <v>63.824627950912159</v>
      </c>
      <c r="Q92" s="215">
        <f t="shared" si="11"/>
        <v>63.824627950912159</v>
      </c>
      <c r="R92" s="15" t="s">
        <v>837</v>
      </c>
      <c r="S92" s="15" t="s">
        <v>840</v>
      </c>
      <c r="T92" s="15" t="s">
        <v>201</v>
      </c>
      <c r="U92" s="15" t="s">
        <v>200</v>
      </c>
      <c r="V92" s="413" t="s">
        <v>852</v>
      </c>
      <c r="W92" s="166"/>
      <c r="X92" s="166"/>
      <c r="Y92" s="166"/>
      <c r="Z92" s="166"/>
      <c r="AA92" s="158"/>
      <c r="AB92" s="166"/>
      <c r="AC92" s="158"/>
      <c r="AD92" s="166"/>
      <c r="AE92" s="158"/>
      <c r="AF92" s="166"/>
      <c r="AG92" s="166"/>
      <c r="AH92" s="166"/>
      <c r="AI92" s="166"/>
      <c r="AJ92" s="166"/>
      <c r="AK92" s="166"/>
      <c r="AL92" s="166"/>
      <c r="AM92" s="166"/>
      <c r="AN92" s="166"/>
      <c r="AO92" s="166"/>
      <c r="AP92" s="166"/>
      <c r="AQ92" s="166"/>
      <c r="AR92" s="166"/>
      <c r="AS92" s="166"/>
      <c r="AT92" s="166"/>
      <c r="AU92" s="343"/>
      <c r="AV92" s="343"/>
      <c r="AW92" s="343"/>
      <c r="AX92" s="343"/>
      <c r="AY92" s="344"/>
      <c r="AZ92" s="345"/>
      <c r="BA92" s="346"/>
    </row>
    <row r="93" spans="1:53">
      <c r="A93" s="2" t="str">
        <f t="shared" si="10"/>
        <v>Res - MF Standard Rebates_Pipe Insulation - Steam X-Large Fitting</v>
      </c>
      <c r="B93" s="18">
        <v>90</v>
      </c>
      <c r="C93" s="18" t="s">
        <v>721</v>
      </c>
      <c r="D93" s="18" t="s">
        <v>206</v>
      </c>
      <c r="E93" s="23" t="s">
        <v>150</v>
      </c>
      <c r="F93" s="23">
        <v>1</v>
      </c>
      <c r="G93" s="154">
        <v>0.76</v>
      </c>
      <c r="H93" s="447">
        <v>15</v>
      </c>
      <c r="I93" s="436">
        <v>15</v>
      </c>
      <c r="J93" s="23">
        <v>0</v>
      </c>
      <c r="K93" s="23">
        <f t="shared" si="12"/>
        <v>0</v>
      </c>
      <c r="L93" s="23">
        <f t="shared" si="12"/>
        <v>0</v>
      </c>
      <c r="M93" s="23">
        <f t="shared" si="12"/>
        <v>0</v>
      </c>
      <c r="N93" s="372">
        <f>'Pipe Insulation Detail'!$C$57</f>
        <v>123.46367522768401</v>
      </c>
      <c r="O93" s="215">
        <f t="shared" si="11"/>
        <v>123.46367522768401</v>
      </c>
      <c r="P93" s="215">
        <f t="shared" si="11"/>
        <v>123.46367522768401</v>
      </c>
      <c r="Q93" s="215">
        <f t="shared" si="11"/>
        <v>123.46367522768401</v>
      </c>
      <c r="R93" s="15" t="s">
        <v>837</v>
      </c>
      <c r="S93" s="15" t="s">
        <v>840</v>
      </c>
      <c r="T93" s="15" t="s">
        <v>201</v>
      </c>
      <c r="U93" s="15" t="s">
        <v>200</v>
      </c>
      <c r="V93" s="413" t="s">
        <v>852</v>
      </c>
      <c r="W93" s="166"/>
      <c r="X93" s="166"/>
      <c r="Y93" s="166"/>
      <c r="Z93" s="166"/>
      <c r="AA93" s="158"/>
      <c r="AB93" s="166"/>
      <c r="AC93" s="158"/>
      <c r="AD93" s="166"/>
      <c r="AE93" s="158"/>
      <c r="AF93" s="166"/>
      <c r="AG93" s="166"/>
      <c r="AH93" s="166"/>
      <c r="AI93" s="166"/>
      <c r="AJ93" s="166"/>
      <c r="AK93" s="166"/>
      <c r="AL93" s="166"/>
      <c r="AM93" s="166"/>
      <c r="AN93" s="166"/>
      <c r="AO93" s="166"/>
      <c r="AP93" s="166"/>
      <c r="AQ93" s="166"/>
      <c r="AR93" s="166"/>
      <c r="AS93" s="166"/>
      <c r="AT93" s="166"/>
      <c r="AU93" s="343"/>
      <c r="AV93" s="343"/>
      <c r="AW93" s="343"/>
      <c r="AX93" s="343"/>
      <c r="AY93" s="344"/>
      <c r="AZ93" s="345"/>
      <c r="BA93" s="346"/>
    </row>
    <row r="94" spans="1:53">
      <c r="A94" s="2" t="str">
        <f t="shared" si="10"/>
        <v>Res - MF Standard Rebates_Pipe Insulation - Steam Med Valve</v>
      </c>
      <c r="B94" s="18">
        <v>91</v>
      </c>
      <c r="C94" s="18" t="s">
        <v>721</v>
      </c>
      <c r="D94" s="18" t="s">
        <v>204</v>
      </c>
      <c r="E94" s="23" t="s">
        <v>150</v>
      </c>
      <c r="F94" s="23">
        <v>1</v>
      </c>
      <c r="G94" s="154">
        <v>0.76</v>
      </c>
      <c r="H94" s="447">
        <v>15</v>
      </c>
      <c r="I94" s="436">
        <v>15</v>
      </c>
      <c r="J94" s="23">
        <v>0</v>
      </c>
      <c r="K94" s="23">
        <f t="shared" si="12"/>
        <v>0</v>
      </c>
      <c r="L94" s="23">
        <f t="shared" si="12"/>
        <v>0</v>
      </c>
      <c r="M94" s="23">
        <f t="shared" si="12"/>
        <v>0</v>
      </c>
      <c r="N94" s="372">
        <f>'Pipe Insulation Detail'!$C$59</f>
        <v>46.605980670745772</v>
      </c>
      <c r="O94" s="215">
        <f t="shared" si="11"/>
        <v>46.605980670745772</v>
      </c>
      <c r="P94" s="215">
        <f t="shared" si="11"/>
        <v>46.605980670745772</v>
      </c>
      <c r="Q94" s="215">
        <f t="shared" si="11"/>
        <v>46.605980670745772</v>
      </c>
      <c r="R94" s="15" t="s">
        <v>837</v>
      </c>
      <c r="S94" s="15" t="s">
        <v>840</v>
      </c>
      <c r="T94" s="15" t="s">
        <v>201</v>
      </c>
      <c r="U94" s="15" t="s">
        <v>200</v>
      </c>
      <c r="V94" s="413" t="s">
        <v>852</v>
      </c>
      <c r="W94" s="166"/>
      <c r="X94" s="166"/>
      <c r="Y94" s="166"/>
      <c r="Z94" s="166"/>
      <c r="AA94" s="158"/>
      <c r="AB94" s="166"/>
      <c r="AC94" s="158"/>
      <c r="AD94" s="166"/>
      <c r="AE94" s="158"/>
      <c r="AF94" s="166"/>
      <c r="AG94" s="166"/>
      <c r="AH94" s="166"/>
      <c r="AI94" s="166"/>
      <c r="AJ94" s="166"/>
      <c r="AK94" s="166"/>
      <c r="AL94" s="166"/>
      <c r="AM94" s="166"/>
      <c r="AN94" s="166"/>
      <c r="AO94" s="166"/>
      <c r="AP94" s="166"/>
      <c r="AQ94" s="166"/>
      <c r="AR94" s="166"/>
      <c r="AS94" s="166"/>
      <c r="AT94" s="166"/>
      <c r="AU94" s="343"/>
      <c r="AV94" s="343"/>
      <c r="AW94" s="343"/>
      <c r="AX94" s="343"/>
      <c r="AY94" s="344"/>
      <c r="AZ94" s="345"/>
      <c r="BA94" s="346"/>
    </row>
    <row r="95" spans="1:53">
      <c r="A95" s="2" t="str">
        <f t="shared" si="10"/>
        <v>Res - MF Standard Rebates_Pipe Insulation - Steam Large Valve</v>
      </c>
      <c r="B95" s="18">
        <v>92</v>
      </c>
      <c r="C95" s="18" t="s">
        <v>721</v>
      </c>
      <c r="D95" s="18" t="s">
        <v>203</v>
      </c>
      <c r="E95" s="23" t="s">
        <v>150</v>
      </c>
      <c r="F95" s="23">
        <v>1</v>
      </c>
      <c r="G95" s="154">
        <v>0.76</v>
      </c>
      <c r="H95" s="447">
        <v>15</v>
      </c>
      <c r="I95" s="436">
        <v>15</v>
      </c>
      <c r="J95" s="23">
        <v>0</v>
      </c>
      <c r="K95" s="23">
        <f t="shared" si="12"/>
        <v>0</v>
      </c>
      <c r="L95" s="23">
        <f t="shared" si="12"/>
        <v>0</v>
      </c>
      <c r="M95" s="23">
        <f t="shared" si="12"/>
        <v>0</v>
      </c>
      <c r="N95" s="372">
        <f>'Pipe Insulation Detail'!$C$60</f>
        <v>133.90978522057964</v>
      </c>
      <c r="O95" s="215">
        <f t="shared" si="11"/>
        <v>133.90978522057964</v>
      </c>
      <c r="P95" s="215">
        <f t="shared" si="11"/>
        <v>133.90978522057964</v>
      </c>
      <c r="Q95" s="215">
        <f t="shared" si="11"/>
        <v>133.90978522057964</v>
      </c>
      <c r="R95" s="15" t="s">
        <v>837</v>
      </c>
      <c r="S95" s="15" t="s">
        <v>840</v>
      </c>
      <c r="T95" s="15" t="s">
        <v>201</v>
      </c>
      <c r="U95" s="15" t="s">
        <v>200</v>
      </c>
      <c r="V95" s="413" t="s">
        <v>852</v>
      </c>
      <c r="W95" s="166"/>
      <c r="X95" s="166"/>
      <c r="Y95" s="166"/>
      <c r="Z95" s="166"/>
      <c r="AA95" s="158"/>
      <c r="AB95" s="166"/>
      <c r="AC95" s="158"/>
      <c r="AD95" s="166"/>
      <c r="AE95" s="158"/>
      <c r="AF95" s="166"/>
      <c r="AG95" s="166"/>
      <c r="AH95" s="166"/>
      <c r="AI95" s="166"/>
      <c r="AJ95" s="166"/>
      <c r="AK95" s="166"/>
      <c r="AL95" s="166"/>
      <c r="AM95" s="166"/>
      <c r="AN95" s="166"/>
      <c r="AO95" s="166"/>
      <c r="AP95" s="166"/>
      <c r="AQ95" s="166"/>
      <c r="AR95" s="166"/>
      <c r="AS95" s="166"/>
      <c r="AT95" s="166"/>
      <c r="AU95" s="343"/>
      <c r="AV95" s="343"/>
      <c r="AW95" s="343"/>
      <c r="AX95" s="343"/>
      <c r="AY95" s="344"/>
      <c r="AZ95" s="345"/>
      <c r="BA95" s="346"/>
    </row>
    <row r="96" spans="1:53">
      <c r="A96" s="2" t="str">
        <f t="shared" si="10"/>
        <v>Res - MF Standard Rebates_Pipe Insulation - Steam X-Large Valve</v>
      </c>
      <c r="B96" s="18">
        <v>93</v>
      </c>
      <c r="C96" s="18" t="s">
        <v>721</v>
      </c>
      <c r="D96" s="18" t="s">
        <v>202</v>
      </c>
      <c r="E96" s="23" t="s">
        <v>150</v>
      </c>
      <c r="F96" s="23">
        <v>1</v>
      </c>
      <c r="G96" s="154">
        <v>0.76</v>
      </c>
      <c r="H96" s="447">
        <v>15</v>
      </c>
      <c r="I96" s="436">
        <v>15</v>
      </c>
      <c r="J96" s="23">
        <v>0</v>
      </c>
      <c r="K96" s="23">
        <f t="shared" si="12"/>
        <v>0</v>
      </c>
      <c r="L96" s="23">
        <f t="shared" si="12"/>
        <v>0</v>
      </c>
      <c r="M96" s="23">
        <f t="shared" si="12"/>
        <v>0</v>
      </c>
      <c r="N96" s="372">
        <f>'Pipe Insulation Detail'!$C$61</f>
        <v>218.0177023221575</v>
      </c>
      <c r="O96" s="215">
        <f t="shared" si="11"/>
        <v>218.0177023221575</v>
      </c>
      <c r="P96" s="215">
        <f t="shared" si="11"/>
        <v>218.0177023221575</v>
      </c>
      <c r="Q96" s="215">
        <f t="shared" si="11"/>
        <v>218.0177023221575</v>
      </c>
      <c r="R96" s="15" t="s">
        <v>837</v>
      </c>
      <c r="S96" s="15" t="s">
        <v>840</v>
      </c>
      <c r="T96" s="15" t="s">
        <v>201</v>
      </c>
      <c r="U96" s="15" t="s">
        <v>200</v>
      </c>
      <c r="V96" s="413" t="s">
        <v>852</v>
      </c>
      <c r="W96" s="166"/>
      <c r="X96" s="166"/>
      <c r="Y96" s="166"/>
      <c r="Z96" s="166"/>
      <c r="AA96" s="158"/>
      <c r="AB96" s="166"/>
      <c r="AC96" s="158"/>
      <c r="AD96" s="166"/>
      <c r="AE96" s="158"/>
      <c r="AF96" s="166"/>
      <c r="AG96" s="166"/>
      <c r="AH96" s="166"/>
      <c r="AI96" s="166"/>
      <c r="AJ96" s="166"/>
      <c r="AK96" s="166"/>
      <c r="AL96" s="166"/>
      <c r="AM96" s="166"/>
      <c r="AN96" s="166"/>
      <c r="AO96" s="166"/>
      <c r="AP96" s="166"/>
      <c r="AQ96" s="166"/>
      <c r="AR96" s="166"/>
      <c r="AS96" s="166"/>
      <c r="AT96" s="166"/>
      <c r="AU96" s="343"/>
      <c r="AV96" s="343"/>
      <c r="AW96" s="343"/>
      <c r="AX96" s="343"/>
      <c r="AY96" s="344"/>
      <c r="AZ96" s="345"/>
      <c r="BA96" s="346"/>
    </row>
    <row r="97" spans="1:53">
      <c r="A97" s="2" t="str">
        <f t="shared" si="10"/>
        <v>Res - MF Standard Rebates_Steam Boiler ≥82% AFUE, &gt;300MBh TE</v>
      </c>
      <c r="B97" s="18">
        <v>94</v>
      </c>
      <c r="C97" s="18" t="s">
        <v>721</v>
      </c>
      <c r="D97" s="18" t="s">
        <v>723</v>
      </c>
      <c r="E97" s="23" t="s">
        <v>240</v>
      </c>
      <c r="F97" s="23">
        <v>450</v>
      </c>
      <c r="G97" s="154">
        <v>0.76</v>
      </c>
      <c r="H97" s="447">
        <v>20</v>
      </c>
      <c r="I97" s="484">
        <v>25</v>
      </c>
      <c r="J97" s="23">
        <v>0</v>
      </c>
      <c r="K97" s="23">
        <f t="shared" si="12"/>
        <v>0</v>
      </c>
      <c r="L97" s="23">
        <f t="shared" si="12"/>
        <v>0</v>
      </c>
      <c r="M97" s="23">
        <f t="shared" si="12"/>
        <v>0</v>
      </c>
      <c r="N97" s="372">
        <f>X97*Z97*((AB97-AD97)/AD97)/100000/F97</f>
        <v>0.67670886075949166</v>
      </c>
      <c r="O97" s="215">
        <f t="shared" si="11"/>
        <v>0.67670886075949166</v>
      </c>
      <c r="P97" s="215">
        <f t="shared" si="11"/>
        <v>0.67670886075949166</v>
      </c>
      <c r="Q97" s="215">
        <f t="shared" si="11"/>
        <v>0.67670886075949166</v>
      </c>
      <c r="R97" s="15" t="s">
        <v>838</v>
      </c>
      <c r="S97" s="15" t="s">
        <v>840</v>
      </c>
      <c r="T97" s="15" t="s">
        <v>343</v>
      </c>
      <c r="U97" s="15" t="s">
        <v>342</v>
      </c>
      <c r="V97" s="166" t="s">
        <v>340</v>
      </c>
      <c r="W97" s="466" t="s">
        <v>302</v>
      </c>
      <c r="X97" s="467">
        <v>1782</v>
      </c>
      <c r="Y97" s="158" t="s">
        <v>273</v>
      </c>
      <c r="Z97" s="398">
        <v>450000</v>
      </c>
      <c r="AA97" s="158" t="s">
        <v>341</v>
      </c>
      <c r="AB97" s="408">
        <v>0.82</v>
      </c>
      <c r="AC97" s="166" t="s">
        <v>248</v>
      </c>
      <c r="AD97" s="397">
        <v>0.79</v>
      </c>
      <c r="AE97" s="166"/>
      <c r="AF97" s="166"/>
      <c r="AG97" s="166"/>
      <c r="AH97" s="166"/>
      <c r="AI97" s="414"/>
      <c r="AJ97" s="415"/>
      <c r="AK97" s="414"/>
      <c r="AL97" s="397"/>
      <c r="AM97" s="166"/>
      <c r="AN97" s="166"/>
      <c r="AO97" s="166"/>
      <c r="AP97" s="166"/>
      <c r="AQ97" s="166"/>
      <c r="AR97" s="166"/>
      <c r="AS97" s="166"/>
      <c r="AT97" s="166"/>
      <c r="AU97" s="343"/>
      <c r="AV97" s="343"/>
      <c r="AW97" s="343"/>
      <c r="AX97" s="343"/>
      <c r="AY97" s="344"/>
      <c r="AZ97" s="345"/>
      <c r="BA97" s="346"/>
    </row>
    <row r="98" spans="1:53">
      <c r="A98" s="2" t="str">
        <f t="shared" si="10"/>
        <v>Res - MF Standard Rebates_Steam Boiler Averaging Controls</v>
      </c>
      <c r="B98" s="18">
        <v>95</v>
      </c>
      <c r="C98" s="18" t="s">
        <v>721</v>
      </c>
      <c r="D98" s="18" t="s">
        <v>277</v>
      </c>
      <c r="E98" s="23" t="s">
        <v>150</v>
      </c>
      <c r="F98" s="23">
        <v>1</v>
      </c>
      <c r="G98" s="154">
        <v>0.76</v>
      </c>
      <c r="H98" s="447">
        <v>20</v>
      </c>
      <c r="I98" s="436">
        <v>20</v>
      </c>
      <c r="J98" s="23">
        <v>0</v>
      </c>
      <c r="K98" s="23">
        <f t="shared" si="12"/>
        <v>0</v>
      </c>
      <c r="L98" s="23">
        <f t="shared" si="12"/>
        <v>0</v>
      </c>
      <c r="M98" s="23">
        <f t="shared" si="12"/>
        <v>0</v>
      </c>
      <c r="N98" s="216">
        <f>X98*Z98*AB98/100000</f>
        <v>171.15600000000001</v>
      </c>
      <c r="O98" s="215">
        <f t="shared" si="11"/>
        <v>171.15600000000001</v>
      </c>
      <c r="P98" s="215">
        <f t="shared" si="11"/>
        <v>171.15600000000001</v>
      </c>
      <c r="Q98" s="215">
        <f t="shared" si="11"/>
        <v>171.15600000000001</v>
      </c>
      <c r="R98" s="15" t="s">
        <v>838</v>
      </c>
      <c r="S98" s="15" t="s">
        <v>276</v>
      </c>
      <c r="T98" s="15" t="s">
        <v>275</v>
      </c>
      <c r="U98" s="15" t="s">
        <v>274</v>
      </c>
      <c r="V98" s="166" t="s">
        <v>270</v>
      </c>
      <c r="W98" s="166" t="s">
        <v>273</v>
      </c>
      <c r="X98" s="398">
        <v>100000</v>
      </c>
      <c r="Y98" s="394" t="s">
        <v>272</v>
      </c>
      <c r="Z98" s="416">
        <v>0.10199999999999999</v>
      </c>
      <c r="AA98" s="468" t="s">
        <v>271</v>
      </c>
      <c r="AB98" s="467">
        <v>1678</v>
      </c>
      <c r="AC98" s="158"/>
      <c r="AD98" s="409"/>
      <c r="AE98" s="158"/>
      <c r="AF98" s="403"/>
      <c r="AG98" s="166"/>
      <c r="AH98" s="166"/>
      <c r="AI98" s="166"/>
      <c r="AJ98" s="166"/>
      <c r="AK98" s="166"/>
      <c r="AL98" s="166"/>
      <c r="AM98" s="166"/>
      <c r="AN98" s="166"/>
      <c r="AO98" s="166"/>
      <c r="AP98" s="166"/>
      <c r="AQ98" s="166"/>
      <c r="AR98" s="166"/>
      <c r="AS98" s="166"/>
      <c r="AT98" s="166"/>
      <c r="AU98" s="343"/>
      <c r="AV98" s="343"/>
      <c r="AW98" s="343"/>
      <c r="AX98" s="343"/>
      <c r="AY98" s="344"/>
      <c r="AZ98" s="345"/>
      <c r="BA98" s="346"/>
    </row>
    <row r="99" spans="1:53">
      <c r="A99" s="2" t="str">
        <f t="shared" si="10"/>
        <v>Res - MF Standard Rebates_Steam Traps - Dry Cleaner/Industrial</v>
      </c>
      <c r="B99" s="18">
        <v>96</v>
      </c>
      <c r="C99" s="18" t="s">
        <v>721</v>
      </c>
      <c r="D99" s="18" t="s">
        <v>269</v>
      </c>
      <c r="E99" s="23" t="s">
        <v>150</v>
      </c>
      <c r="F99" s="23">
        <v>1</v>
      </c>
      <c r="G99" s="154">
        <v>0.76</v>
      </c>
      <c r="H99" s="447">
        <v>6</v>
      </c>
      <c r="I99" s="436">
        <v>6</v>
      </c>
      <c r="J99" s="23">
        <v>0</v>
      </c>
      <c r="K99" s="23">
        <f t="shared" si="12"/>
        <v>0</v>
      </c>
      <c r="L99" s="23">
        <f t="shared" si="12"/>
        <v>0</v>
      </c>
      <c r="M99" s="23">
        <f t="shared" si="12"/>
        <v>0</v>
      </c>
      <c r="N99" s="216">
        <f>X99*(Z99/AB99)*AD99*AF99/100000</f>
        <v>137.91939591078068</v>
      </c>
      <c r="O99" s="215">
        <f t="shared" si="11"/>
        <v>137.91939591078068</v>
      </c>
      <c r="P99" s="215">
        <f t="shared" si="11"/>
        <v>137.91939591078068</v>
      </c>
      <c r="Q99" s="215">
        <f t="shared" si="11"/>
        <v>137.91939591078068</v>
      </c>
      <c r="R99" s="15" t="s">
        <v>838</v>
      </c>
      <c r="S99" s="15" t="s">
        <v>840</v>
      </c>
      <c r="T99" s="15" t="s">
        <v>266</v>
      </c>
      <c r="U99" s="15" t="s">
        <v>265</v>
      </c>
      <c r="V99" s="166" t="s">
        <v>259</v>
      </c>
      <c r="W99" s="166" t="s">
        <v>264</v>
      </c>
      <c r="X99" s="166">
        <v>19.100000000000001</v>
      </c>
      <c r="Y99" s="166" t="s">
        <v>263</v>
      </c>
      <c r="Z99" s="166">
        <v>890</v>
      </c>
      <c r="AA99" s="158" t="s">
        <v>262</v>
      </c>
      <c r="AB99" s="399">
        <v>0.80700000000000005</v>
      </c>
      <c r="AC99" s="158" t="s">
        <v>153</v>
      </c>
      <c r="AD99" s="166">
        <v>2425</v>
      </c>
      <c r="AE99" s="166" t="s">
        <v>260</v>
      </c>
      <c r="AF99" s="397">
        <v>0.27</v>
      </c>
      <c r="AG99" s="166"/>
      <c r="AH99" s="166"/>
      <c r="AI99" s="166"/>
      <c r="AJ99" s="166"/>
      <c r="AK99" s="166"/>
      <c r="AL99" s="166"/>
      <c r="AM99" s="166"/>
      <c r="AN99" s="166"/>
      <c r="AO99" s="166"/>
      <c r="AP99" s="166"/>
      <c r="AQ99" s="166"/>
      <c r="AR99" s="166"/>
      <c r="AS99" s="166"/>
      <c r="AT99" s="166"/>
      <c r="AU99" s="343"/>
      <c r="AV99" s="343"/>
      <c r="AW99" s="343"/>
      <c r="AX99" s="343"/>
      <c r="AY99" s="344"/>
      <c r="AZ99" s="345"/>
      <c r="BA99" s="346"/>
    </row>
    <row r="100" spans="1:53">
      <c r="A100" s="2" t="str">
        <f t="shared" si="10"/>
        <v>Res - MF Standard Rebates_Steam Traps - HVAC Repair/Rep - Audit</v>
      </c>
      <c r="B100" s="18">
        <v>97</v>
      </c>
      <c r="C100" s="18" t="s">
        <v>721</v>
      </c>
      <c r="D100" s="18" t="s">
        <v>268</v>
      </c>
      <c r="E100" s="23" t="s">
        <v>150</v>
      </c>
      <c r="F100" s="23">
        <v>1</v>
      </c>
      <c r="G100" s="154">
        <v>0.76</v>
      </c>
      <c r="H100" s="447">
        <v>6</v>
      </c>
      <c r="I100" s="436">
        <v>6</v>
      </c>
      <c r="J100" s="23">
        <v>0</v>
      </c>
      <c r="K100" s="23">
        <f t="shared" si="12"/>
        <v>0</v>
      </c>
      <c r="L100" s="23">
        <f t="shared" si="12"/>
        <v>0</v>
      </c>
      <c r="M100" s="23">
        <f t="shared" si="12"/>
        <v>0</v>
      </c>
      <c r="N100" s="216">
        <f>X100*(Z100/AB100)*AD100*AF100/100000</f>
        <v>110.15789625000002</v>
      </c>
      <c r="O100" s="215">
        <f t="shared" si="11"/>
        <v>110.15789625000002</v>
      </c>
      <c r="P100" s="215">
        <f t="shared" si="11"/>
        <v>110.15789625000002</v>
      </c>
      <c r="Q100" s="215">
        <f t="shared" si="11"/>
        <v>110.15789625000002</v>
      </c>
      <c r="R100" s="15" t="s">
        <v>838</v>
      </c>
      <c r="S100" s="15" t="s">
        <v>840</v>
      </c>
      <c r="T100" s="15" t="s">
        <v>266</v>
      </c>
      <c r="U100" s="15" t="s">
        <v>265</v>
      </c>
      <c r="V100" s="166" t="s">
        <v>259</v>
      </c>
      <c r="W100" s="166" t="s">
        <v>264</v>
      </c>
      <c r="X100" s="166">
        <v>6.9</v>
      </c>
      <c r="Y100" s="166" t="s">
        <v>263</v>
      </c>
      <c r="Z100" s="166">
        <v>951</v>
      </c>
      <c r="AA100" s="158" t="s">
        <v>262</v>
      </c>
      <c r="AB100" s="399">
        <v>0.64800000000000002</v>
      </c>
      <c r="AC100" s="158" t="s">
        <v>261</v>
      </c>
      <c r="AD100" s="166">
        <v>4029</v>
      </c>
      <c r="AE100" s="166" t="s">
        <v>260</v>
      </c>
      <c r="AF100" s="397">
        <v>0.27</v>
      </c>
      <c r="AG100" s="166"/>
      <c r="AH100" s="166"/>
      <c r="AI100" s="166"/>
      <c r="AJ100" s="166"/>
      <c r="AK100" s="166"/>
      <c r="AL100" s="166"/>
      <c r="AM100" s="166"/>
      <c r="AN100" s="166"/>
      <c r="AO100" s="166"/>
      <c r="AP100" s="166"/>
      <c r="AQ100" s="166"/>
      <c r="AR100" s="166"/>
      <c r="AS100" s="166"/>
      <c r="AT100" s="166"/>
      <c r="AU100" s="343"/>
      <c r="AV100" s="343"/>
      <c r="AW100" s="343"/>
      <c r="AX100" s="343"/>
      <c r="AY100" s="344"/>
      <c r="AZ100" s="345"/>
      <c r="BA100" s="346"/>
    </row>
    <row r="101" spans="1:53">
      <c r="A101" s="2" t="str">
        <f t="shared" si="10"/>
        <v>Res - MF Standard Rebates_Steam Traps - HVAC Repair/Rep - No Audit</v>
      </c>
      <c r="B101" s="18">
        <v>98</v>
      </c>
      <c r="C101" s="18" t="s">
        <v>721</v>
      </c>
      <c r="D101" s="18" t="s">
        <v>267</v>
      </c>
      <c r="E101" s="23" t="s">
        <v>150</v>
      </c>
      <c r="F101" s="23">
        <v>1</v>
      </c>
      <c r="G101" s="154">
        <v>0.76</v>
      </c>
      <c r="H101" s="447">
        <v>6</v>
      </c>
      <c r="I101" s="436">
        <v>6</v>
      </c>
      <c r="J101" s="23">
        <v>0</v>
      </c>
      <c r="K101" s="23">
        <f t="shared" si="12"/>
        <v>0</v>
      </c>
      <c r="L101" s="23">
        <f t="shared" si="12"/>
        <v>0</v>
      </c>
      <c r="M101" s="23">
        <f t="shared" si="12"/>
        <v>0</v>
      </c>
      <c r="N101" s="216">
        <f>X101*(Z101/AB101)*AD101*AF101/100000</f>
        <v>110.15789625000002</v>
      </c>
      <c r="O101" s="215">
        <f t="shared" si="11"/>
        <v>110.15789625000002</v>
      </c>
      <c r="P101" s="215">
        <f t="shared" si="11"/>
        <v>110.15789625000002</v>
      </c>
      <c r="Q101" s="215">
        <f t="shared" si="11"/>
        <v>110.15789625000002</v>
      </c>
      <c r="R101" s="15" t="s">
        <v>838</v>
      </c>
      <c r="S101" s="15" t="s">
        <v>840</v>
      </c>
      <c r="T101" s="15" t="s">
        <v>266</v>
      </c>
      <c r="U101" s="15" t="s">
        <v>265</v>
      </c>
      <c r="V101" s="166" t="s">
        <v>259</v>
      </c>
      <c r="W101" s="166" t="s">
        <v>264</v>
      </c>
      <c r="X101" s="166">
        <v>6.9</v>
      </c>
      <c r="Y101" s="166" t="s">
        <v>263</v>
      </c>
      <c r="Z101" s="166">
        <v>951</v>
      </c>
      <c r="AA101" s="158" t="s">
        <v>262</v>
      </c>
      <c r="AB101" s="399">
        <v>0.64800000000000002</v>
      </c>
      <c r="AC101" s="158" t="s">
        <v>261</v>
      </c>
      <c r="AD101" s="166">
        <v>4029</v>
      </c>
      <c r="AE101" s="166" t="s">
        <v>260</v>
      </c>
      <c r="AF101" s="397">
        <v>0.27</v>
      </c>
      <c r="AG101" s="166"/>
      <c r="AH101" s="166"/>
      <c r="AI101" s="166"/>
      <c r="AJ101" s="166"/>
      <c r="AK101" s="166"/>
      <c r="AL101" s="166"/>
      <c r="AM101" s="166"/>
      <c r="AN101" s="166"/>
      <c r="AO101" s="166"/>
      <c r="AP101" s="166"/>
      <c r="AQ101" s="166"/>
      <c r="AR101" s="166"/>
      <c r="AS101" s="166"/>
      <c r="AT101" s="166"/>
      <c r="AU101" s="343"/>
      <c r="AV101" s="343"/>
      <c r="AW101" s="343"/>
      <c r="AX101" s="343"/>
      <c r="AY101" s="344"/>
      <c r="AZ101" s="345"/>
      <c r="BA101" s="346"/>
    </row>
    <row r="102" spans="1:53">
      <c r="A102" s="2" t="str">
        <f t="shared" si="10"/>
        <v>Res - MF Standard Rebates_Steam Traps - Test</v>
      </c>
      <c r="B102" s="18">
        <v>99</v>
      </c>
      <c r="C102" s="18" t="s">
        <v>721</v>
      </c>
      <c r="D102" s="18" t="s">
        <v>258</v>
      </c>
      <c r="E102" s="23" t="s">
        <v>150</v>
      </c>
      <c r="F102" s="23">
        <v>1</v>
      </c>
      <c r="G102" s="154">
        <v>0.76</v>
      </c>
      <c r="H102" s="447">
        <v>3</v>
      </c>
      <c r="I102" s="436">
        <v>3</v>
      </c>
      <c r="J102" s="23">
        <v>0</v>
      </c>
      <c r="K102" s="23">
        <f t="shared" si="12"/>
        <v>0</v>
      </c>
      <c r="L102" s="23">
        <f t="shared" si="12"/>
        <v>0</v>
      </c>
      <c r="M102" s="23">
        <f t="shared" si="12"/>
        <v>0</v>
      </c>
      <c r="N102" s="216">
        <v>0</v>
      </c>
      <c r="O102" s="215">
        <f t="shared" si="11"/>
        <v>0</v>
      </c>
      <c r="P102" s="215">
        <f t="shared" si="11"/>
        <v>0</v>
      </c>
      <c r="Q102" s="215">
        <f t="shared" si="11"/>
        <v>0</v>
      </c>
      <c r="R102" s="15" t="s">
        <v>140</v>
      </c>
      <c r="S102" s="15" t="s">
        <v>140</v>
      </c>
      <c r="T102" s="15" t="s">
        <v>140</v>
      </c>
      <c r="U102" s="15" t="s">
        <v>140</v>
      </c>
      <c r="V102" s="390" t="s">
        <v>140</v>
      </c>
      <c r="W102" s="166"/>
      <c r="X102" s="166"/>
      <c r="Y102" s="166"/>
      <c r="Z102" s="166"/>
      <c r="AA102" s="158"/>
      <c r="AB102" s="397"/>
      <c r="AC102" s="158"/>
      <c r="AD102" s="166"/>
      <c r="AE102" s="158"/>
      <c r="AF102" s="397"/>
      <c r="AG102" s="166"/>
      <c r="AH102" s="397"/>
      <c r="AI102" s="166"/>
      <c r="AJ102" s="397"/>
      <c r="AK102" s="166"/>
      <c r="AL102" s="166"/>
      <c r="AM102" s="166"/>
      <c r="AN102" s="166"/>
      <c r="AO102" s="166"/>
      <c r="AP102" s="166"/>
      <c r="AQ102" s="166"/>
      <c r="AR102" s="166"/>
      <c r="AS102" s="166"/>
      <c r="AT102" s="166"/>
      <c r="AU102" s="343"/>
      <c r="AV102" s="343"/>
      <c r="AW102" s="343"/>
      <c r="AX102" s="343"/>
      <c r="AY102" s="344"/>
      <c r="AZ102" s="345"/>
      <c r="BA102" s="346"/>
    </row>
    <row r="103" spans="1:53">
      <c r="A103" s="2" t="str">
        <f t="shared" si="10"/>
        <v>Res - MF Standard Rebates_Thermostat - Programmable</v>
      </c>
      <c r="B103" s="18">
        <v>100</v>
      </c>
      <c r="C103" s="18" t="s">
        <v>721</v>
      </c>
      <c r="D103" s="18" t="s">
        <v>226</v>
      </c>
      <c r="E103" s="23" t="s">
        <v>150</v>
      </c>
      <c r="F103" s="23">
        <v>1</v>
      </c>
      <c r="G103" s="154">
        <v>0.76</v>
      </c>
      <c r="H103" s="447">
        <v>4</v>
      </c>
      <c r="I103" s="436">
        <v>4</v>
      </c>
      <c r="J103" s="23">
        <v>0</v>
      </c>
      <c r="K103" s="23">
        <f t="shared" si="12"/>
        <v>0</v>
      </c>
      <c r="L103" s="23">
        <f t="shared" si="12"/>
        <v>0</v>
      </c>
      <c r="M103" s="23">
        <f t="shared" si="12"/>
        <v>0</v>
      </c>
      <c r="N103" s="341">
        <f>'Thermostat Detail'!$L$13</f>
        <v>124.68584320000001</v>
      </c>
      <c r="O103" s="215">
        <f t="shared" si="11"/>
        <v>124.68584320000001</v>
      </c>
      <c r="P103" s="215">
        <f t="shared" si="11"/>
        <v>124.68584320000001</v>
      </c>
      <c r="Q103" s="215">
        <f t="shared" si="11"/>
        <v>124.68584320000001</v>
      </c>
      <c r="R103" s="15" t="s">
        <v>839</v>
      </c>
      <c r="S103" s="15" t="s">
        <v>840</v>
      </c>
      <c r="T103" s="15" t="s">
        <v>225</v>
      </c>
      <c r="U103" s="15" t="s">
        <v>224</v>
      </c>
      <c r="V103" s="413" t="s">
        <v>833</v>
      </c>
      <c r="W103" s="166"/>
      <c r="X103" s="166"/>
      <c r="Y103" s="166"/>
      <c r="Z103" s="166"/>
      <c r="AA103" s="158"/>
      <c r="AB103" s="397"/>
      <c r="AC103" s="158"/>
      <c r="AD103" s="166"/>
      <c r="AE103" s="158"/>
      <c r="AF103" s="397"/>
      <c r="AG103" s="166"/>
      <c r="AH103" s="397"/>
      <c r="AI103" s="166"/>
      <c r="AJ103" s="397"/>
      <c r="AK103" s="166"/>
      <c r="AL103" s="166"/>
      <c r="AM103" s="166"/>
      <c r="AN103" s="166"/>
      <c r="AO103" s="166"/>
      <c r="AP103" s="166"/>
      <c r="AQ103" s="166"/>
      <c r="AR103" s="166"/>
      <c r="AS103" s="166"/>
      <c r="AT103" s="166"/>
      <c r="AU103" s="343"/>
      <c r="AV103" s="343"/>
      <c r="AW103" s="343"/>
      <c r="AX103" s="343"/>
      <c r="AY103" s="344"/>
      <c r="AZ103" s="345"/>
      <c r="BA103" s="346"/>
    </row>
    <row r="104" spans="1:53">
      <c r="A104" s="2" t="str">
        <f t="shared" si="10"/>
        <v>Res - MF PTA Rebates_Air Sealing</v>
      </c>
      <c r="B104" s="18">
        <v>101</v>
      </c>
      <c r="C104" s="18" t="s">
        <v>722</v>
      </c>
      <c r="D104" s="18" t="s">
        <v>678</v>
      </c>
      <c r="E104" s="23" t="s">
        <v>439</v>
      </c>
      <c r="F104" s="23">
        <v>434.85999999999996</v>
      </c>
      <c r="G104" s="154">
        <v>0.88</v>
      </c>
      <c r="H104" s="447">
        <v>15</v>
      </c>
      <c r="I104" s="443">
        <v>20</v>
      </c>
      <c r="J104" s="23">
        <v>0</v>
      </c>
      <c r="K104" s="23">
        <f t="shared" si="12"/>
        <v>0</v>
      </c>
      <c r="L104" s="23">
        <f t="shared" si="12"/>
        <v>0</v>
      </c>
      <c r="M104" s="23">
        <f t="shared" si="12"/>
        <v>0</v>
      </c>
      <c r="N104" s="471">
        <f>1/X104*60*24*Z104*0.018/(AB104*100000)*AD104*AF104</f>
        <v>5.8327308024976238E-2</v>
      </c>
      <c r="O104" s="29">
        <f t="shared" si="11"/>
        <v>5.8327308024976238E-2</v>
      </c>
      <c r="P104" s="29">
        <f t="shared" si="11"/>
        <v>5.8327308024976238E-2</v>
      </c>
      <c r="Q104" s="29">
        <f t="shared" si="11"/>
        <v>5.8327308024976238E-2</v>
      </c>
      <c r="R104" s="15" t="s">
        <v>838</v>
      </c>
      <c r="S104" s="15" t="s">
        <v>840</v>
      </c>
      <c r="T104" s="15" t="s">
        <v>438</v>
      </c>
      <c r="U104" s="15" t="s">
        <v>437</v>
      </c>
      <c r="V104" s="472" t="s">
        <v>1448</v>
      </c>
      <c r="W104" s="166" t="s">
        <v>436</v>
      </c>
      <c r="X104" s="166">
        <v>23.9</v>
      </c>
      <c r="Y104" s="166" t="s">
        <v>411</v>
      </c>
      <c r="Z104" s="166">
        <v>5113</v>
      </c>
      <c r="AA104" s="158" t="s">
        <v>435</v>
      </c>
      <c r="AB104" s="397">
        <f>(64.9%+72%)/2</f>
        <v>0.6845</v>
      </c>
      <c r="AC104" s="395" t="s">
        <v>846</v>
      </c>
      <c r="AD104" s="404">
        <v>0.72</v>
      </c>
      <c r="AE104" s="466" t="s">
        <v>1449</v>
      </c>
      <c r="AF104" s="473">
        <v>1</v>
      </c>
      <c r="AG104" s="166"/>
      <c r="AH104" s="166"/>
      <c r="AI104" s="166"/>
      <c r="AJ104" s="166"/>
      <c r="AK104" s="166"/>
      <c r="AL104" s="166"/>
      <c r="AM104" s="166"/>
      <c r="AN104" s="166"/>
      <c r="AO104" s="166"/>
      <c r="AP104" s="166"/>
      <c r="AQ104" s="166"/>
      <c r="AR104" s="166"/>
      <c r="AS104" s="166"/>
      <c r="AT104" s="166"/>
      <c r="AU104" s="343"/>
      <c r="AV104" s="343"/>
      <c r="AW104" s="343"/>
      <c r="AX104" s="343"/>
      <c r="AY104" s="344"/>
      <c r="AZ104" s="345"/>
      <c r="BA104" s="346"/>
    </row>
    <row r="105" spans="1:53">
      <c r="A105" s="2" t="str">
        <f t="shared" si="10"/>
        <v>Res - MF PTA Rebates_Duct Sealing</v>
      </c>
      <c r="B105" s="18">
        <v>102</v>
      </c>
      <c r="C105" s="18" t="s">
        <v>722</v>
      </c>
      <c r="D105" s="18" t="s">
        <v>707</v>
      </c>
      <c r="E105" s="23" t="s">
        <v>429</v>
      </c>
      <c r="F105" s="23">
        <v>120</v>
      </c>
      <c r="G105" s="154">
        <v>0.88</v>
      </c>
      <c r="H105" s="447">
        <v>20</v>
      </c>
      <c r="I105" s="436">
        <v>20</v>
      </c>
      <c r="J105" s="23">
        <v>0</v>
      </c>
      <c r="K105" s="23">
        <f t="shared" si="12"/>
        <v>0</v>
      </c>
      <c r="L105" s="23">
        <f t="shared" si="12"/>
        <v>0</v>
      </c>
      <c r="M105" s="23">
        <f t="shared" si="12"/>
        <v>0</v>
      </c>
      <c r="N105" s="216">
        <f>X105/(Z105*0.0123)*AB105*Z105*AH105*(AD105/AF105)/100000</f>
        <v>0.70950058072009281</v>
      </c>
      <c r="O105" s="215">
        <f t="shared" ref="O105:Q124" si="13">N105</f>
        <v>0.70950058072009281</v>
      </c>
      <c r="P105" s="215">
        <f t="shared" si="13"/>
        <v>0.70950058072009281</v>
      </c>
      <c r="Q105" s="215">
        <f t="shared" si="13"/>
        <v>0.70950058072009281</v>
      </c>
      <c r="R105" s="15" t="s">
        <v>838</v>
      </c>
      <c r="S105" s="15" t="s">
        <v>840</v>
      </c>
      <c r="T105" s="15" t="s">
        <v>428</v>
      </c>
      <c r="U105" s="15" t="s">
        <v>427</v>
      </c>
      <c r="V105" s="166" t="s">
        <v>420</v>
      </c>
      <c r="W105" s="166" t="s">
        <v>426</v>
      </c>
      <c r="X105" s="166">
        <v>1</v>
      </c>
      <c r="Y105" s="166" t="s">
        <v>425</v>
      </c>
      <c r="Z105" s="398">
        <v>76000</v>
      </c>
      <c r="AA105" s="158" t="s">
        <v>424</v>
      </c>
      <c r="AB105" s="398">
        <v>1840</v>
      </c>
      <c r="AC105" s="158" t="s">
        <v>423</v>
      </c>
      <c r="AD105" s="403">
        <v>0.83</v>
      </c>
      <c r="AE105" s="158" t="s">
        <v>422</v>
      </c>
      <c r="AF105" s="397">
        <v>0.7</v>
      </c>
      <c r="AG105" s="166" t="s">
        <v>421</v>
      </c>
      <c r="AH105" s="397">
        <v>0.4</v>
      </c>
      <c r="AI105" s="166"/>
      <c r="AJ105" s="166"/>
      <c r="AK105" s="166"/>
      <c r="AL105" s="166"/>
      <c r="AM105" s="166"/>
      <c r="AN105" s="166"/>
      <c r="AO105" s="166"/>
      <c r="AP105" s="166"/>
      <c r="AQ105" s="166"/>
      <c r="AR105" s="166"/>
      <c r="AS105" s="166"/>
      <c r="AT105" s="166"/>
      <c r="AU105" s="343"/>
      <c r="AV105" s="343"/>
      <c r="AW105" s="343"/>
      <c r="AX105" s="343"/>
      <c r="AY105" s="344"/>
      <c r="AZ105" s="345"/>
      <c r="BA105" s="346"/>
    </row>
    <row r="106" spans="1:53">
      <c r="A106" s="2" t="str">
        <f t="shared" si="10"/>
        <v>Res - MF PTA Rebates_Boiler ≥88% AFUE, &lt;300MBh</v>
      </c>
      <c r="B106" s="18">
        <v>103</v>
      </c>
      <c r="C106" s="18" t="s">
        <v>722</v>
      </c>
      <c r="D106" s="18" t="s">
        <v>718</v>
      </c>
      <c r="E106" s="23" t="s">
        <v>240</v>
      </c>
      <c r="F106" s="23">
        <v>150</v>
      </c>
      <c r="G106" s="154">
        <v>0.88</v>
      </c>
      <c r="H106" s="447">
        <v>20</v>
      </c>
      <c r="I106" s="484">
        <v>25</v>
      </c>
      <c r="J106" s="23">
        <v>0</v>
      </c>
      <c r="K106" s="23">
        <f t="shared" ref="K106:M107" si="14">J106</f>
        <v>0</v>
      </c>
      <c r="L106" s="23">
        <f t="shared" si="14"/>
        <v>0</v>
      </c>
      <c r="M106" s="23">
        <f t="shared" si="14"/>
        <v>0</v>
      </c>
      <c r="N106" s="216">
        <f>X106*Z106*((AB106-AD106)/AD106)/100000/F106</f>
        <v>1.3039024390243914</v>
      </c>
      <c r="O106" s="215">
        <f t="shared" si="13"/>
        <v>1.3039024390243914</v>
      </c>
      <c r="P106" s="215">
        <f t="shared" si="13"/>
        <v>1.3039024390243914</v>
      </c>
      <c r="Q106" s="215">
        <f t="shared" si="13"/>
        <v>1.3039024390243914</v>
      </c>
      <c r="R106" s="15" t="s">
        <v>838</v>
      </c>
      <c r="S106" s="15" t="s">
        <v>840</v>
      </c>
      <c r="T106" s="15" t="s">
        <v>343</v>
      </c>
      <c r="U106" s="15" t="s">
        <v>342</v>
      </c>
      <c r="V106" s="166" t="s">
        <v>340</v>
      </c>
      <c r="W106" s="466" t="s">
        <v>302</v>
      </c>
      <c r="X106" s="467">
        <v>1782</v>
      </c>
      <c r="Y106" s="158" t="s">
        <v>273</v>
      </c>
      <c r="Z106" s="398">
        <v>150000</v>
      </c>
      <c r="AA106" s="158" t="s">
        <v>341</v>
      </c>
      <c r="AB106" s="397">
        <v>0.88</v>
      </c>
      <c r="AC106" s="166" t="s">
        <v>248</v>
      </c>
      <c r="AD106" s="397">
        <v>0.82</v>
      </c>
      <c r="AE106" s="166"/>
      <c r="AF106" s="166"/>
      <c r="AG106" s="166"/>
      <c r="AH106" s="166"/>
      <c r="AI106" s="166"/>
      <c r="AJ106" s="166"/>
      <c r="AK106" s="166"/>
      <c r="AL106" s="166"/>
      <c r="AM106" s="166"/>
      <c r="AN106" s="166"/>
      <c r="AO106" s="166"/>
      <c r="AP106" s="166"/>
      <c r="AQ106" s="166"/>
      <c r="AR106" s="166"/>
      <c r="AS106" s="166"/>
      <c r="AT106" s="166"/>
      <c r="AU106" s="343"/>
      <c r="AV106" s="343"/>
      <c r="AW106" s="343"/>
      <c r="AX106" s="343"/>
      <c r="AY106" s="344"/>
      <c r="AZ106" s="345"/>
      <c r="BA106" s="346"/>
    </row>
    <row r="107" spans="1:53">
      <c r="A107" s="2" t="str">
        <f t="shared" si="10"/>
        <v>Res - MF PTA Rebates_Boiler ≥88% AFUE, ≥300MBh TE</v>
      </c>
      <c r="B107" s="18">
        <v>104</v>
      </c>
      <c r="C107" s="18" t="s">
        <v>722</v>
      </c>
      <c r="D107" s="18" t="s">
        <v>719</v>
      </c>
      <c r="E107" s="23" t="s">
        <v>240</v>
      </c>
      <c r="F107" s="23">
        <v>350</v>
      </c>
      <c r="G107" s="154">
        <v>0.88</v>
      </c>
      <c r="H107" s="447">
        <v>20</v>
      </c>
      <c r="I107" s="484">
        <v>25</v>
      </c>
      <c r="J107" s="23">
        <v>0</v>
      </c>
      <c r="K107" s="23">
        <f t="shared" si="14"/>
        <v>0</v>
      </c>
      <c r="L107" s="23">
        <f t="shared" si="14"/>
        <v>0</v>
      </c>
      <c r="M107" s="23">
        <f t="shared" si="14"/>
        <v>0</v>
      </c>
      <c r="N107" s="216">
        <f>X107*Z107*((AB107-AD107)/AD107)/100000/F107</f>
        <v>1.7819999999999991</v>
      </c>
      <c r="O107" s="215">
        <f t="shared" si="13"/>
        <v>1.7819999999999991</v>
      </c>
      <c r="P107" s="215">
        <f t="shared" si="13"/>
        <v>1.7819999999999991</v>
      </c>
      <c r="Q107" s="215">
        <f t="shared" si="13"/>
        <v>1.7819999999999991</v>
      </c>
      <c r="R107" s="15" t="s">
        <v>838</v>
      </c>
      <c r="S107" s="15" t="s">
        <v>840</v>
      </c>
      <c r="T107" s="15" t="s">
        <v>343</v>
      </c>
      <c r="U107" s="15" t="s">
        <v>342</v>
      </c>
      <c r="V107" s="166" t="s">
        <v>340</v>
      </c>
      <c r="W107" s="466" t="s">
        <v>302</v>
      </c>
      <c r="X107" s="467">
        <v>1782</v>
      </c>
      <c r="Y107" s="158" t="s">
        <v>273</v>
      </c>
      <c r="Z107" s="398">
        <v>350000</v>
      </c>
      <c r="AA107" s="158" t="s">
        <v>341</v>
      </c>
      <c r="AB107" s="397">
        <v>0.88</v>
      </c>
      <c r="AC107" s="166" t="s">
        <v>248</v>
      </c>
      <c r="AD107" s="397">
        <v>0.8</v>
      </c>
      <c r="AE107" s="166"/>
      <c r="AF107" s="166"/>
      <c r="AG107" s="166"/>
      <c r="AH107" s="166"/>
      <c r="AI107" s="166"/>
      <c r="AJ107" s="166"/>
      <c r="AK107" s="166"/>
      <c r="AL107" s="166"/>
      <c r="AM107" s="166"/>
      <c r="AN107" s="166"/>
      <c r="AO107" s="166"/>
      <c r="AP107" s="166"/>
      <c r="AQ107" s="166"/>
      <c r="AR107" s="166"/>
      <c r="AS107" s="166"/>
      <c r="AT107" s="166"/>
      <c r="AU107" s="343"/>
      <c r="AV107" s="343"/>
      <c r="AW107" s="343"/>
      <c r="AX107" s="343"/>
      <c r="AY107" s="344"/>
      <c r="AZ107" s="345"/>
      <c r="BA107" s="346"/>
    </row>
    <row r="108" spans="1:53">
      <c r="A108" s="2" t="str">
        <f t="shared" si="10"/>
        <v>Res - MF PTA Rebates_Boiler Reset Controls</v>
      </c>
      <c r="B108" s="18">
        <v>105</v>
      </c>
      <c r="C108" s="18" t="s">
        <v>722</v>
      </c>
      <c r="D108" s="18" t="s">
        <v>1061</v>
      </c>
      <c r="E108" s="23" t="s">
        <v>150</v>
      </c>
      <c r="F108" s="23">
        <v>200</v>
      </c>
      <c r="G108" s="154">
        <v>0.88</v>
      </c>
      <c r="H108" s="447">
        <v>20</v>
      </c>
      <c r="I108" s="436">
        <v>20</v>
      </c>
      <c r="J108" s="23">
        <v>14</v>
      </c>
      <c r="K108" s="23">
        <v>14</v>
      </c>
      <c r="L108" s="23">
        <v>14</v>
      </c>
      <c r="M108" s="23">
        <v>14</v>
      </c>
      <c r="N108" s="216">
        <f>X108*Z108/100</f>
        <v>1.4256</v>
      </c>
      <c r="O108" s="215">
        <f t="shared" si="13"/>
        <v>1.4256</v>
      </c>
      <c r="P108" s="215">
        <f t="shared" si="13"/>
        <v>1.4256</v>
      </c>
      <c r="Q108" s="215">
        <f t="shared" si="13"/>
        <v>1.4256</v>
      </c>
      <c r="R108" s="15" t="s">
        <v>838</v>
      </c>
      <c r="S108" s="15" t="s">
        <v>840</v>
      </c>
      <c r="T108" s="15" t="s">
        <v>339</v>
      </c>
      <c r="U108" s="15" t="s">
        <v>338</v>
      </c>
      <c r="V108" s="166" t="s">
        <v>336</v>
      </c>
      <c r="W108" s="466" t="s">
        <v>302</v>
      </c>
      <c r="X108" s="467">
        <v>1782</v>
      </c>
      <c r="Y108" s="158" t="s">
        <v>337</v>
      </c>
      <c r="Z108" s="399">
        <v>0.08</v>
      </c>
      <c r="AA108" s="158"/>
      <c r="AB108" s="158"/>
      <c r="AC108" s="158"/>
      <c r="AD108" s="158"/>
      <c r="AE108" s="158"/>
      <c r="AF108" s="166"/>
      <c r="AG108" s="166"/>
      <c r="AH108" s="166"/>
      <c r="AI108" s="166"/>
      <c r="AJ108" s="166"/>
      <c r="AK108" s="166"/>
      <c r="AL108" s="166"/>
      <c r="AM108" s="166"/>
      <c r="AN108" s="166"/>
      <c r="AO108" s="166"/>
      <c r="AP108" s="166"/>
      <c r="AQ108" s="166"/>
      <c r="AR108" s="166"/>
      <c r="AS108" s="166"/>
      <c r="AT108" s="166"/>
      <c r="AU108" s="343"/>
      <c r="AV108" s="343"/>
      <c r="AW108" s="343"/>
      <c r="AX108" s="343"/>
      <c r="AY108" s="344"/>
      <c r="AZ108" s="345"/>
      <c r="BA108" s="346"/>
    </row>
    <row r="109" spans="1:53">
      <c r="A109" s="2" t="str">
        <f t="shared" si="10"/>
        <v>Res - MF PTA Rebates_Boiler Tune Up - Process</v>
      </c>
      <c r="B109" s="18">
        <v>106</v>
      </c>
      <c r="C109" s="18" t="s">
        <v>722</v>
      </c>
      <c r="D109" s="18" t="s">
        <v>335</v>
      </c>
      <c r="E109" s="23" t="s">
        <v>240</v>
      </c>
      <c r="F109" s="23">
        <v>200</v>
      </c>
      <c r="G109" s="154">
        <v>0.88</v>
      </c>
      <c r="H109" s="447">
        <v>3</v>
      </c>
      <c r="I109" s="436">
        <v>3</v>
      </c>
      <c r="J109" s="23">
        <v>13</v>
      </c>
      <c r="K109" s="23">
        <v>13</v>
      </c>
      <c r="L109" s="23">
        <v>13</v>
      </c>
      <c r="M109" s="23">
        <v>13</v>
      </c>
      <c r="N109" s="216">
        <f>(X109*8766*Z109)/100*(1-AB109/AD109)</f>
        <v>0.83823507428978783</v>
      </c>
      <c r="O109" s="215">
        <f t="shared" si="13"/>
        <v>0.83823507428978783</v>
      </c>
      <c r="P109" s="215">
        <f t="shared" si="13"/>
        <v>0.83823507428978783</v>
      </c>
      <c r="Q109" s="215">
        <f t="shared" si="13"/>
        <v>0.83823507428978783</v>
      </c>
      <c r="R109" s="15" t="s">
        <v>838</v>
      </c>
      <c r="S109" s="15" t="s">
        <v>840</v>
      </c>
      <c r="T109" s="15" t="s">
        <v>334</v>
      </c>
      <c r="U109" s="15" t="s">
        <v>333</v>
      </c>
      <c r="V109" s="166" t="s">
        <v>328</v>
      </c>
      <c r="W109" s="166" t="s">
        <v>332</v>
      </c>
      <c r="X109" s="398">
        <v>1</v>
      </c>
      <c r="Y109" s="166" t="s">
        <v>331</v>
      </c>
      <c r="Z109" s="405">
        <v>0.41899999999999998</v>
      </c>
      <c r="AA109" s="158" t="s">
        <v>330</v>
      </c>
      <c r="AB109" s="406">
        <v>0.82210000000000005</v>
      </c>
      <c r="AC109" s="158" t="s">
        <v>329</v>
      </c>
      <c r="AD109" s="406">
        <v>0.84130000000000005</v>
      </c>
      <c r="AE109" s="158"/>
      <c r="AF109" s="166"/>
      <c r="AG109" s="166"/>
      <c r="AH109" s="166"/>
      <c r="AI109" s="166"/>
      <c r="AJ109" s="166"/>
      <c r="AK109" s="166"/>
      <c r="AL109" s="166"/>
      <c r="AM109" s="166"/>
      <c r="AN109" s="166"/>
      <c r="AO109" s="166"/>
      <c r="AP109" s="166"/>
      <c r="AQ109" s="166"/>
      <c r="AR109" s="166"/>
      <c r="AS109" s="166"/>
      <c r="AT109" s="166"/>
      <c r="AU109" s="343"/>
      <c r="AV109" s="343"/>
      <c r="AW109" s="343"/>
      <c r="AX109" s="343"/>
      <c r="AY109" s="344"/>
      <c r="AZ109" s="345"/>
      <c r="BA109" s="346"/>
    </row>
    <row r="110" spans="1:53">
      <c r="A110" s="2" t="str">
        <f t="shared" si="10"/>
        <v>Res - MF PTA Rebates_Boiler Tune Up - Space Heating</v>
      </c>
      <c r="B110" s="18">
        <v>107</v>
      </c>
      <c r="C110" s="18" t="s">
        <v>722</v>
      </c>
      <c r="D110" s="18" t="s">
        <v>724</v>
      </c>
      <c r="E110" s="23" t="s">
        <v>240</v>
      </c>
      <c r="F110" s="23">
        <v>200</v>
      </c>
      <c r="G110" s="154">
        <v>0.88</v>
      </c>
      <c r="H110" s="447">
        <v>3</v>
      </c>
      <c r="I110" s="436">
        <v>3</v>
      </c>
      <c r="J110" s="23">
        <v>13</v>
      </c>
      <c r="K110" s="23">
        <v>13</v>
      </c>
      <c r="L110" s="23">
        <v>13</v>
      </c>
      <c r="M110" s="23">
        <v>13</v>
      </c>
      <c r="N110" s="216">
        <f>(AD110*X110*(AB110/Z110-1))/100000</f>
        <v>0.41618294611360979</v>
      </c>
      <c r="O110" s="215">
        <f t="shared" si="13"/>
        <v>0.41618294611360979</v>
      </c>
      <c r="P110" s="215">
        <f t="shared" si="13"/>
        <v>0.41618294611360979</v>
      </c>
      <c r="Q110" s="215">
        <f t="shared" si="13"/>
        <v>0.41618294611360979</v>
      </c>
      <c r="R110" s="15" t="s">
        <v>838</v>
      </c>
      <c r="S110" s="15" t="s">
        <v>840</v>
      </c>
      <c r="T110" s="15" t="s">
        <v>327</v>
      </c>
      <c r="U110" s="15" t="s">
        <v>326</v>
      </c>
      <c r="V110" s="166" t="s">
        <v>322</v>
      </c>
      <c r="W110" s="466" t="s">
        <v>302</v>
      </c>
      <c r="X110" s="467">
        <v>1782</v>
      </c>
      <c r="Y110" s="158" t="s">
        <v>325</v>
      </c>
      <c r="Z110" s="406">
        <v>0.82210000000000005</v>
      </c>
      <c r="AA110" s="158" t="s">
        <v>324</v>
      </c>
      <c r="AB110" s="406">
        <v>0.84130000000000005</v>
      </c>
      <c r="AC110" s="166" t="s">
        <v>323</v>
      </c>
      <c r="AD110" s="407">
        <v>1000</v>
      </c>
      <c r="AE110" s="166"/>
      <c r="AF110" s="166"/>
      <c r="AG110" s="166"/>
      <c r="AH110" s="166"/>
      <c r="AI110" s="166"/>
      <c r="AJ110" s="166"/>
      <c r="AK110" s="166"/>
      <c r="AL110" s="166"/>
      <c r="AM110" s="166"/>
      <c r="AN110" s="166"/>
      <c r="AO110" s="166"/>
      <c r="AP110" s="166"/>
      <c r="AQ110" s="166"/>
      <c r="AR110" s="166"/>
      <c r="AS110" s="166"/>
      <c r="AT110" s="166"/>
      <c r="AU110" s="343"/>
      <c r="AV110" s="343"/>
      <c r="AW110" s="343"/>
      <c r="AX110" s="343"/>
      <c r="AY110" s="344"/>
      <c r="AZ110" s="345"/>
      <c r="BA110" s="346"/>
    </row>
    <row r="111" spans="1:53">
      <c r="A111" s="2" t="str">
        <f t="shared" si="10"/>
        <v>Res - MF PTA Rebates_Condensing Unit Heater</v>
      </c>
      <c r="B111" s="18">
        <v>108</v>
      </c>
      <c r="C111" s="18" t="s">
        <v>722</v>
      </c>
      <c r="D111" s="18" t="s">
        <v>321</v>
      </c>
      <c r="E111" s="23" t="s">
        <v>240</v>
      </c>
      <c r="F111" s="23">
        <v>150</v>
      </c>
      <c r="G111" s="154">
        <v>0.88</v>
      </c>
      <c r="H111" s="447">
        <v>12</v>
      </c>
      <c r="I111" s="436">
        <v>12</v>
      </c>
      <c r="J111" s="23">
        <v>0</v>
      </c>
      <c r="K111" s="23">
        <f t="shared" ref="K111:M112" si="15">J111</f>
        <v>0</v>
      </c>
      <c r="L111" s="23">
        <f t="shared" si="15"/>
        <v>0</v>
      </c>
      <c r="M111" s="23">
        <f t="shared" si="15"/>
        <v>0</v>
      </c>
      <c r="N111" s="216">
        <f>266/F111</f>
        <v>1.7733333333333334</v>
      </c>
      <c r="O111" s="215">
        <f t="shared" si="13"/>
        <v>1.7733333333333334</v>
      </c>
      <c r="P111" s="215">
        <f t="shared" si="13"/>
        <v>1.7733333333333334</v>
      </c>
      <c r="Q111" s="215">
        <f t="shared" si="13"/>
        <v>1.7733333333333334</v>
      </c>
      <c r="R111" s="15" t="s">
        <v>838</v>
      </c>
      <c r="S111" s="15" t="s">
        <v>840</v>
      </c>
      <c r="T111" s="15" t="s">
        <v>320</v>
      </c>
      <c r="U111" s="15" t="s">
        <v>319</v>
      </c>
      <c r="V111" s="166" t="s">
        <v>318</v>
      </c>
      <c r="W111" s="166"/>
      <c r="X111" s="166"/>
      <c r="Y111" s="166"/>
      <c r="Z111" s="166"/>
      <c r="AA111" s="158"/>
      <c r="AB111" s="166"/>
      <c r="AC111" s="158"/>
      <c r="AD111" s="166"/>
      <c r="AE111" s="158"/>
      <c r="AF111" s="166"/>
      <c r="AG111" s="166"/>
      <c r="AH111" s="166"/>
      <c r="AI111" s="166"/>
      <c r="AJ111" s="166"/>
      <c r="AK111" s="166"/>
      <c r="AL111" s="166"/>
      <c r="AM111" s="166"/>
      <c r="AN111" s="166"/>
      <c r="AO111" s="166"/>
      <c r="AP111" s="166"/>
      <c r="AQ111" s="166"/>
      <c r="AR111" s="166"/>
      <c r="AS111" s="166"/>
      <c r="AT111" s="166"/>
      <c r="AU111" s="343"/>
      <c r="AV111" s="343"/>
      <c r="AW111" s="343"/>
      <c r="AX111" s="343"/>
      <c r="AY111" s="344"/>
      <c r="AZ111" s="345"/>
      <c r="BA111" s="346"/>
    </row>
    <row r="112" spans="1:53">
      <c r="A112" s="2" t="str">
        <f t="shared" si="10"/>
        <v>Res - MF PTA Rebates_Direct Fired Heaters</v>
      </c>
      <c r="B112" s="18">
        <v>109</v>
      </c>
      <c r="C112" s="18" t="s">
        <v>722</v>
      </c>
      <c r="D112" s="18" t="s">
        <v>317</v>
      </c>
      <c r="E112" s="23" t="s">
        <v>240</v>
      </c>
      <c r="F112" s="23">
        <v>150</v>
      </c>
      <c r="G112" s="154">
        <v>0.88</v>
      </c>
      <c r="H112" s="447">
        <v>20</v>
      </c>
      <c r="I112" s="436">
        <v>20</v>
      </c>
      <c r="J112" s="23">
        <v>0</v>
      </c>
      <c r="K112" s="23">
        <f t="shared" si="15"/>
        <v>0</v>
      </c>
      <c r="L112" s="23">
        <f t="shared" si="15"/>
        <v>0</v>
      </c>
      <c r="M112" s="23">
        <f t="shared" si="15"/>
        <v>0</v>
      </c>
      <c r="N112" s="216">
        <f>AD112*X112*(Z112/AB112-1)/100000</f>
        <v>2.4914999999999985</v>
      </c>
      <c r="O112" s="215">
        <f t="shared" si="13"/>
        <v>2.4914999999999985</v>
      </c>
      <c r="P112" s="215">
        <f t="shared" si="13"/>
        <v>2.4914999999999985</v>
      </c>
      <c r="Q112" s="215">
        <f t="shared" si="13"/>
        <v>2.4914999999999985</v>
      </c>
      <c r="R112" s="15" t="s">
        <v>140</v>
      </c>
      <c r="S112" s="15" t="s">
        <v>140</v>
      </c>
      <c r="T112" s="15" t="s">
        <v>140</v>
      </c>
      <c r="U112" s="15" t="s">
        <v>140</v>
      </c>
      <c r="V112" s="166" t="s">
        <v>313</v>
      </c>
      <c r="W112" s="166" t="s">
        <v>273</v>
      </c>
      <c r="X112" s="166">
        <v>1000</v>
      </c>
      <c r="Y112" s="166" t="s">
        <v>316</v>
      </c>
      <c r="Z112" s="397">
        <v>0.92</v>
      </c>
      <c r="AA112" s="158" t="s">
        <v>315</v>
      </c>
      <c r="AB112" s="397">
        <v>0.8</v>
      </c>
      <c r="AC112" s="466" t="s">
        <v>302</v>
      </c>
      <c r="AD112" s="468">
        <f>(1540+1782)/2</f>
        <v>1661</v>
      </c>
      <c r="AE112" s="466" t="s">
        <v>314</v>
      </c>
      <c r="AF112" s="468">
        <v>1678</v>
      </c>
      <c r="AG112" s="166"/>
      <c r="AH112" s="166"/>
      <c r="AI112" s="166"/>
      <c r="AJ112" s="166"/>
      <c r="AK112" s="166"/>
      <c r="AL112" s="166"/>
      <c r="AM112" s="166"/>
      <c r="AN112" s="166"/>
      <c r="AO112" s="166"/>
      <c r="AP112" s="166"/>
      <c r="AQ112" s="166"/>
      <c r="AR112" s="166"/>
      <c r="AS112" s="166"/>
      <c r="AT112" s="166"/>
      <c r="AU112" s="343"/>
      <c r="AV112" s="343"/>
      <c r="AW112" s="343"/>
      <c r="AX112" s="343"/>
      <c r="AY112" s="344"/>
      <c r="AZ112" s="345"/>
      <c r="BA112" s="346"/>
    </row>
    <row r="113" spans="1:53">
      <c r="A113" s="2" t="str">
        <f t="shared" si="10"/>
        <v>Res - MF PTA Rebates_Furnace &gt;95% AFUE</v>
      </c>
      <c r="B113" s="18">
        <v>110</v>
      </c>
      <c r="C113" s="18" t="s">
        <v>722</v>
      </c>
      <c r="D113" s="18" t="s">
        <v>1059</v>
      </c>
      <c r="E113" s="23" t="s">
        <v>150</v>
      </c>
      <c r="F113" s="23">
        <v>1</v>
      </c>
      <c r="G113" s="154">
        <v>0.88</v>
      </c>
      <c r="H113" s="447">
        <v>16</v>
      </c>
      <c r="I113" s="436">
        <v>16</v>
      </c>
      <c r="J113" s="23">
        <v>4</v>
      </c>
      <c r="K113" s="23">
        <v>4</v>
      </c>
      <c r="L113" s="23">
        <v>4</v>
      </c>
      <c r="M113" s="23">
        <v>4</v>
      </c>
      <c r="N113" s="216">
        <f>X113*Z113*((AB113-AD113)/AD113)/100000</f>
        <v>253.93499999999986</v>
      </c>
      <c r="O113" s="215">
        <f t="shared" si="13"/>
        <v>253.93499999999986</v>
      </c>
      <c r="P113" s="215">
        <f t="shared" si="13"/>
        <v>253.93499999999986</v>
      </c>
      <c r="Q113" s="215">
        <f t="shared" si="13"/>
        <v>253.93499999999986</v>
      </c>
      <c r="R113" s="15" t="s">
        <v>838</v>
      </c>
      <c r="S113" s="15" t="s">
        <v>840</v>
      </c>
      <c r="T113" s="15" t="s">
        <v>301</v>
      </c>
      <c r="U113" s="15" t="s">
        <v>300</v>
      </c>
      <c r="V113" s="166" t="s">
        <v>296</v>
      </c>
      <c r="W113" s="466" t="s">
        <v>302</v>
      </c>
      <c r="X113" s="467">
        <v>1782</v>
      </c>
      <c r="Y113" s="158" t="s">
        <v>273</v>
      </c>
      <c r="Z113" s="398">
        <v>76000</v>
      </c>
      <c r="AA113" s="166" t="s">
        <v>299</v>
      </c>
      <c r="AB113" s="408">
        <v>0.95</v>
      </c>
      <c r="AC113" s="166" t="s">
        <v>298</v>
      </c>
      <c r="AD113" s="397">
        <v>0.8</v>
      </c>
      <c r="AE113" s="166" t="s">
        <v>153</v>
      </c>
      <c r="AF113" s="166">
        <v>2899</v>
      </c>
      <c r="AG113" s="166" t="s">
        <v>297</v>
      </c>
      <c r="AH113" s="409">
        <v>0.24299999999999999</v>
      </c>
      <c r="AI113" s="166"/>
      <c r="AJ113" s="166"/>
      <c r="AK113" s="166"/>
      <c r="AL113" s="166"/>
      <c r="AM113" s="166"/>
      <c r="AN113" s="166"/>
      <c r="AO113" s="166"/>
      <c r="AP113" s="166"/>
      <c r="AQ113" s="166"/>
      <c r="AR113" s="166"/>
      <c r="AS113" s="166"/>
      <c r="AT113" s="166"/>
      <c r="AU113" s="343"/>
      <c r="AV113" s="343"/>
      <c r="AW113" s="343"/>
      <c r="AX113" s="343"/>
      <c r="AY113" s="344"/>
      <c r="AZ113" s="345"/>
      <c r="BA113" s="346"/>
    </row>
    <row r="114" spans="1:53">
      <c r="A114" s="2" t="str">
        <f t="shared" si="10"/>
        <v>Res - MF PTA Rebates_Furnace &gt;95% AFUE (MF Unit)</v>
      </c>
      <c r="B114" s="18">
        <v>111</v>
      </c>
      <c r="C114" s="18" t="s">
        <v>722</v>
      </c>
      <c r="D114" s="18" t="s">
        <v>402</v>
      </c>
      <c r="E114" s="23" t="s">
        <v>150</v>
      </c>
      <c r="F114" s="23">
        <v>1</v>
      </c>
      <c r="G114" s="154">
        <v>0.88</v>
      </c>
      <c r="H114" s="447">
        <v>20</v>
      </c>
      <c r="I114" s="436">
        <v>20</v>
      </c>
      <c r="J114" s="23">
        <v>0</v>
      </c>
      <c r="K114" s="23">
        <f t="shared" ref="K114:M119" si="16">J114</f>
        <v>0</v>
      </c>
      <c r="L114" s="23">
        <f t="shared" si="16"/>
        <v>0</v>
      </c>
      <c r="M114" s="23">
        <f t="shared" si="16"/>
        <v>0</v>
      </c>
      <c r="N114" s="433">
        <f xml:space="preserve"> ((X114 * Z114)/(1-AH114) * (((AD114 * (1-AH114)) / (AB114 * (1-AF114))) - 1)) / 100000</f>
        <v>156.41025641025624</v>
      </c>
      <c r="O114" s="215">
        <f t="shared" si="13"/>
        <v>156.41025641025624</v>
      </c>
      <c r="P114" s="215">
        <f t="shared" si="13"/>
        <v>156.41025641025624</v>
      </c>
      <c r="Q114" s="215">
        <f t="shared" si="13"/>
        <v>156.41025641025624</v>
      </c>
      <c r="R114" s="15" t="s">
        <v>838</v>
      </c>
      <c r="S114" s="15" t="s">
        <v>840</v>
      </c>
      <c r="T114" s="15" t="s">
        <v>401</v>
      </c>
      <c r="U114" s="15" t="s">
        <v>400</v>
      </c>
      <c r="V114" s="394" t="s">
        <v>845</v>
      </c>
      <c r="W114" s="394" t="s">
        <v>303</v>
      </c>
      <c r="X114" s="400">
        <v>976</v>
      </c>
      <c r="Y114" s="394" t="s">
        <v>844</v>
      </c>
      <c r="Z114" s="402">
        <v>80000</v>
      </c>
      <c r="AA114" s="158" t="s">
        <v>390</v>
      </c>
      <c r="AB114" s="397">
        <v>0.8</v>
      </c>
      <c r="AC114" s="158" t="s">
        <v>299</v>
      </c>
      <c r="AD114" s="397">
        <v>0.95</v>
      </c>
      <c r="AE114" s="165" t="s">
        <v>398</v>
      </c>
      <c r="AF114" s="399">
        <v>6.4000000000000001E-2</v>
      </c>
      <c r="AG114" s="166" t="s">
        <v>397</v>
      </c>
      <c r="AH114" s="399">
        <v>6.4000000000000001E-2</v>
      </c>
      <c r="AI114" s="166"/>
      <c r="AJ114" s="166"/>
      <c r="AK114" s="166"/>
      <c r="AL114" s="166"/>
      <c r="AM114" s="166"/>
      <c r="AN114" s="166"/>
      <c r="AO114" s="166"/>
      <c r="AP114" s="166"/>
      <c r="AQ114" s="166"/>
      <c r="AR114" s="166"/>
      <c r="AS114" s="166"/>
      <c r="AT114" s="166"/>
      <c r="AU114" s="343"/>
      <c r="AV114" s="343"/>
      <c r="AW114" s="343"/>
      <c r="AX114" s="343"/>
      <c r="AY114" s="344"/>
      <c r="AZ114" s="345"/>
      <c r="BA114" s="346"/>
    </row>
    <row r="115" spans="1:53">
      <c r="A115" s="2" t="str">
        <f t="shared" si="10"/>
        <v>Res - MF PTA Rebates_High Speed Washer</v>
      </c>
      <c r="B115" s="18">
        <v>112</v>
      </c>
      <c r="C115" s="18" t="s">
        <v>722</v>
      </c>
      <c r="D115" s="18" t="s">
        <v>706</v>
      </c>
      <c r="E115" s="23" t="s">
        <v>237</v>
      </c>
      <c r="F115" s="23">
        <v>250</v>
      </c>
      <c r="G115" s="154">
        <v>0.88</v>
      </c>
      <c r="H115" s="447">
        <v>7</v>
      </c>
      <c r="I115" s="436">
        <v>7</v>
      </c>
      <c r="J115" s="23">
        <v>0</v>
      </c>
      <c r="K115" s="23">
        <f t="shared" si="16"/>
        <v>0</v>
      </c>
      <c r="L115" s="23">
        <f t="shared" si="16"/>
        <v>0</v>
      </c>
      <c r="M115" s="23">
        <f t="shared" si="16"/>
        <v>0</v>
      </c>
      <c r="N115" s="216">
        <f>X115*Z115*AB115*AD115*AF115/AH115/100000*AJ115*AL115/F115</f>
        <v>3.6756720000000001</v>
      </c>
      <c r="O115" s="215">
        <f t="shared" si="13"/>
        <v>3.6756720000000001</v>
      </c>
      <c r="P115" s="215">
        <f t="shared" si="13"/>
        <v>3.6756720000000001</v>
      </c>
      <c r="Q115" s="215">
        <f t="shared" si="13"/>
        <v>3.6756720000000001</v>
      </c>
      <c r="R115" s="15" t="s">
        <v>838</v>
      </c>
      <c r="S115" s="15" t="s">
        <v>840</v>
      </c>
      <c r="T115" s="15" t="s">
        <v>236</v>
      </c>
      <c r="U115" s="15" t="s">
        <v>235</v>
      </c>
      <c r="V115" s="166" t="s">
        <v>396</v>
      </c>
      <c r="W115" s="166" t="s">
        <v>234</v>
      </c>
      <c r="X115" s="166">
        <v>3.4</v>
      </c>
      <c r="Y115" s="166" t="s">
        <v>233</v>
      </c>
      <c r="Z115" s="166">
        <v>360</v>
      </c>
      <c r="AA115" s="158" t="s">
        <v>232</v>
      </c>
      <c r="AB115" s="398">
        <v>250</v>
      </c>
      <c r="AC115" s="158" t="s">
        <v>231</v>
      </c>
      <c r="AD115" s="403">
        <v>0.25</v>
      </c>
      <c r="AE115" s="158" t="s">
        <v>230</v>
      </c>
      <c r="AF115" s="398">
        <v>1200</v>
      </c>
      <c r="AG115" s="397" t="s">
        <v>229</v>
      </c>
      <c r="AH115" s="397">
        <v>0.6</v>
      </c>
      <c r="AI115" s="166" t="s">
        <v>228</v>
      </c>
      <c r="AJ115" s="397">
        <v>0.91</v>
      </c>
      <c r="AK115" s="166" t="s">
        <v>227</v>
      </c>
      <c r="AL115" s="403">
        <v>0.66</v>
      </c>
      <c r="AM115" s="166"/>
      <c r="AN115" s="166"/>
      <c r="AO115" s="166"/>
      <c r="AP115" s="166"/>
      <c r="AQ115" s="166"/>
      <c r="AR115" s="166"/>
      <c r="AS115" s="166"/>
      <c r="AT115" s="166"/>
      <c r="AU115" s="343"/>
      <c r="AV115" s="343"/>
      <c r="AW115" s="343"/>
      <c r="AX115" s="343"/>
      <c r="AY115" s="344"/>
      <c r="AZ115" s="345"/>
      <c r="BA115" s="346"/>
    </row>
    <row r="116" spans="1:53">
      <c r="A116" s="2" t="str">
        <f t="shared" si="10"/>
        <v>Res - MF PTA Rebates_Infrared Heater</v>
      </c>
      <c r="B116" s="18">
        <v>113</v>
      </c>
      <c r="C116" s="18" t="s">
        <v>722</v>
      </c>
      <c r="D116" s="18" t="s">
        <v>295</v>
      </c>
      <c r="E116" s="23" t="s">
        <v>240</v>
      </c>
      <c r="F116" s="23">
        <v>150</v>
      </c>
      <c r="G116" s="154">
        <v>0.88</v>
      </c>
      <c r="H116" s="447">
        <v>12</v>
      </c>
      <c r="I116" s="436">
        <v>12</v>
      </c>
      <c r="J116" s="23">
        <v>0</v>
      </c>
      <c r="K116" s="23">
        <f t="shared" si="16"/>
        <v>0</v>
      </c>
      <c r="L116" s="23">
        <f t="shared" si="16"/>
        <v>0</v>
      </c>
      <c r="M116" s="23">
        <f t="shared" si="16"/>
        <v>0</v>
      </c>
      <c r="N116" s="372">
        <f>451/F116</f>
        <v>3.0066666666666668</v>
      </c>
      <c r="O116" s="215">
        <f t="shared" si="13"/>
        <v>3.0066666666666668</v>
      </c>
      <c r="P116" s="215">
        <f t="shared" si="13"/>
        <v>3.0066666666666668</v>
      </c>
      <c r="Q116" s="215">
        <f t="shared" si="13"/>
        <v>3.0066666666666668</v>
      </c>
      <c r="R116" s="15" t="s">
        <v>838</v>
      </c>
      <c r="S116" s="15" t="s">
        <v>840</v>
      </c>
      <c r="T116" s="15" t="s">
        <v>294</v>
      </c>
      <c r="U116" s="15" t="s">
        <v>293</v>
      </c>
      <c r="V116" s="166" t="s">
        <v>291</v>
      </c>
      <c r="W116" s="166" t="s">
        <v>292</v>
      </c>
      <c r="X116" s="411">
        <v>150</v>
      </c>
      <c r="Y116" s="166"/>
      <c r="Z116" s="166"/>
      <c r="AA116" s="158"/>
      <c r="AB116" s="166"/>
      <c r="AC116" s="158"/>
      <c r="AD116" s="166"/>
      <c r="AE116" s="158"/>
      <c r="AF116" s="166"/>
      <c r="AG116" s="166"/>
      <c r="AH116" s="166"/>
      <c r="AI116" s="166"/>
      <c r="AJ116" s="166"/>
      <c r="AK116" s="166"/>
      <c r="AL116" s="166"/>
      <c r="AM116" s="166"/>
      <c r="AN116" s="166"/>
      <c r="AO116" s="166"/>
      <c r="AP116" s="166"/>
      <c r="AQ116" s="166"/>
      <c r="AR116" s="166"/>
      <c r="AS116" s="166"/>
      <c r="AT116" s="166"/>
      <c r="AU116" s="343"/>
      <c r="AV116" s="343"/>
      <c r="AW116" s="343"/>
      <c r="AX116" s="343"/>
      <c r="AY116" s="344"/>
      <c r="AZ116" s="345"/>
      <c r="BA116" s="346"/>
    </row>
    <row r="117" spans="1:53">
      <c r="A117" s="2" t="str">
        <f t="shared" si="10"/>
        <v>Res - MF PTA Rebates_Ozone Laundry</v>
      </c>
      <c r="B117" s="18">
        <v>114</v>
      </c>
      <c r="C117" s="18" t="s">
        <v>722</v>
      </c>
      <c r="D117" s="18" t="s">
        <v>287</v>
      </c>
      <c r="E117" s="23" t="s">
        <v>237</v>
      </c>
      <c r="F117" s="23">
        <v>250</v>
      </c>
      <c r="G117" s="154">
        <v>0.88</v>
      </c>
      <c r="H117" s="447">
        <v>10</v>
      </c>
      <c r="I117" s="436">
        <v>10</v>
      </c>
      <c r="J117" s="23">
        <v>0</v>
      </c>
      <c r="K117" s="23">
        <f t="shared" si="16"/>
        <v>0</v>
      </c>
      <c r="L117" s="23">
        <f t="shared" si="16"/>
        <v>0</v>
      </c>
      <c r="M117" s="23">
        <f t="shared" si="16"/>
        <v>0</v>
      </c>
      <c r="N117" s="434">
        <f xml:space="preserve"> (X117 * Z117 * AB117 * AD117 * (AF117 - AH117) * 8.33 * 1 * AJ117) / (AL117 * 100000) * (AN117 - AP117)</f>
        <v>13.190532978680915</v>
      </c>
      <c r="O117" s="215">
        <f t="shared" si="13"/>
        <v>13.190532978680915</v>
      </c>
      <c r="P117" s="215">
        <f t="shared" si="13"/>
        <v>13.190532978680915</v>
      </c>
      <c r="Q117" s="215">
        <f t="shared" si="13"/>
        <v>13.190532978680915</v>
      </c>
      <c r="R117" s="15" t="s">
        <v>838</v>
      </c>
      <c r="S117" s="15" t="s">
        <v>840</v>
      </c>
      <c r="T117" s="15" t="s">
        <v>286</v>
      </c>
      <c r="U117" s="15" t="s">
        <v>285</v>
      </c>
      <c r="V117" s="394" t="s">
        <v>861</v>
      </c>
      <c r="W117" s="394" t="s">
        <v>862</v>
      </c>
      <c r="X117" s="404">
        <v>1</v>
      </c>
      <c r="Y117" s="394" t="s">
        <v>273</v>
      </c>
      <c r="Z117" s="423">
        <v>4.96</v>
      </c>
      <c r="AA117" s="395" t="s">
        <v>863</v>
      </c>
      <c r="AB117" s="424">
        <v>8.4</v>
      </c>
      <c r="AC117" s="395" t="s">
        <v>864</v>
      </c>
      <c r="AD117" s="425">
        <v>0.1757</v>
      </c>
      <c r="AE117" s="395" t="s">
        <v>865</v>
      </c>
      <c r="AF117" s="394">
        <v>125</v>
      </c>
      <c r="AG117" s="394" t="s">
        <v>866</v>
      </c>
      <c r="AH117" s="424">
        <v>54.1</v>
      </c>
      <c r="AI117" s="394" t="s">
        <v>234</v>
      </c>
      <c r="AJ117" s="394">
        <v>264</v>
      </c>
      <c r="AK117" s="394" t="s">
        <v>461</v>
      </c>
      <c r="AL117" s="404">
        <v>0.67</v>
      </c>
      <c r="AM117" s="394" t="s">
        <v>867</v>
      </c>
      <c r="AN117" s="426">
        <v>0.77429999999999999</v>
      </c>
      <c r="AO117" s="394" t="s">
        <v>868</v>
      </c>
      <c r="AP117" s="424">
        <v>0</v>
      </c>
      <c r="AQ117" s="166"/>
      <c r="AR117" s="166"/>
      <c r="AS117" s="166"/>
      <c r="AT117" s="166"/>
      <c r="AU117" s="343"/>
      <c r="AV117" s="343"/>
      <c r="AW117" s="343"/>
      <c r="AX117" s="343"/>
      <c r="AY117" s="344"/>
      <c r="AZ117" s="345"/>
      <c r="BA117" s="346"/>
    </row>
    <row r="118" spans="1:53">
      <c r="A118" s="2" t="str">
        <f t="shared" si="10"/>
        <v>Res - MF PTA Rebates_Pipe Insulation - Hyd. Boiler Sm &lt;=1.25"</v>
      </c>
      <c r="B118" s="18">
        <v>115</v>
      </c>
      <c r="C118" s="18" t="s">
        <v>722</v>
      </c>
      <c r="D118" s="18" t="s">
        <v>221</v>
      </c>
      <c r="E118" s="23" t="s">
        <v>210</v>
      </c>
      <c r="F118" s="23">
        <v>75</v>
      </c>
      <c r="G118" s="154">
        <v>0.88</v>
      </c>
      <c r="H118" s="447">
        <v>15</v>
      </c>
      <c r="I118" s="436">
        <v>15</v>
      </c>
      <c r="J118" s="23">
        <v>0</v>
      </c>
      <c r="K118" s="23">
        <f t="shared" si="16"/>
        <v>0</v>
      </c>
      <c r="L118" s="23">
        <f t="shared" si="16"/>
        <v>0</v>
      </c>
      <c r="M118" s="23">
        <f t="shared" si="16"/>
        <v>0</v>
      </c>
      <c r="N118" s="372">
        <f>'Pipe Insulation Detail'!$C$44</f>
        <v>2.3011493874643869</v>
      </c>
      <c r="O118" s="215">
        <f t="shared" si="13"/>
        <v>2.3011493874643869</v>
      </c>
      <c r="P118" s="215">
        <f t="shared" si="13"/>
        <v>2.3011493874643869</v>
      </c>
      <c r="Q118" s="215">
        <f t="shared" si="13"/>
        <v>2.3011493874643869</v>
      </c>
      <c r="R118" s="15" t="s">
        <v>837</v>
      </c>
      <c r="S118" s="15" t="s">
        <v>840</v>
      </c>
      <c r="T118" s="15" t="s">
        <v>201</v>
      </c>
      <c r="U118" s="15" t="s">
        <v>200</v>
      </c>
      <c r="V118" s="413" t="s">
        <v>852</v>
      </c>
      <c r="W118" s="166"/>
      <c r="X118" s="166"/>
      <c r="Y118" s="166"/>
      <c r="Z118" s="166"/>
      <c r="AA118" s="158"/>
      <c r="AB118" s="166"/>
      <c r="AC118" s="158"/>
      <c r="AD118" s="166"/>
      <c r="AE118" s="158"/>
      <c r="AF118" s="166"/>
      <c r="AG118" s="166"/>
      <c r="AH118" s="166"/>
      <c r="AI118" s="166"/>
      <c r="AJ118" s="166"/>
      <c r="AK118" s="166"/>
      <c r="AL118" s="166"/>
      <c r="AM118" s="166"/>
      <c r="AN118" s="166"/>
      <c r="AO118" s="166"/>
      <c r="AP118" s="166"/>
      <c r="AQ118" s="166"/>
      <c r="AR118" s="166"/>
      <c r="AS118" s="166"/>
      <c r="AT118" s="166"/>
      <c r="AU118" s="343"/>
      <c r="AV118" s="343"/>
      <c r="AW118" s="343"/>
      <c r="AX118" s="343"/>
      <c r="AY118" s="344"/>
      <c r="AZ118" s="345"/>
      <c r="BA118" s="346"/>
    </row>
    <row r="119" spans="1:53">
      <c r="A119" s="2" t="str">
        <f t="shared" si="10"/>
        <v>Res - MF PTA Rebates_Pipe Insulation - Hyd. Boiler Med 1.25-2"</v>
      </c>
      <c r="B119" s="18">
        <v>116</v>
      </c>
      <c r="C119" s="18" t="s">
        <v>722</v>
      </c>
      <c r="D119" s="18" t="s">
        <v>220</v>
      </c>
      <c r="E119" s="23" t="s">
        <v>210</v>
      </c>
      <c r="F119" s="23">
        <v>75</v>
      </c>
      <c r="G119" s="154">
        <v>0.88</v>
      </c>
      <c r="H119" s="447">
        <v>15</v>
      </c>
      <c r="I119" s="436">
        <v>15</v>
      </c>
      <c r="J119" s="23">
        <v>0</v>
      </c>
      <c r="K119" s="23">
        <f t="shared" si="16"/>
        <v>0</v>
      </c>
      <c r="L119" s="23">
        <f t="shared" si="16"/>
        <v>0</v>
      </c>
      <c r="M119" s="23">
        <f t="shared" si="16"/>
        <v>0</v>
      </c>
      <c r="N119" s="372">
        <f>'Pipe Insulation Detail'!$C$45</f>
        <v>3.6034773504273505</v>
      </c>
      <c r="O119" s="215">
        <f t="shared" si="13"/>
        <v>3.6034773504273505</v>
      </c>
      <c r="P119" s="215">
        <f t="shared" si="13"/>
        <v>3.6034773504273505</v>
      </c>
      <c r="Q119" s="215">
        <f t="shared" si="13"/>
        <v>3.6034773504273505</v>
      </c>
      <c r="R119" s="15" t="s">
        <v>837</v>
      </c>
      <c r="S119" s="15" t="s">
        <v>840</v>
      </c>
      <c r="T119" s="15" t="s">
        <v>201</v>
      </c>
      <c r="U119" s="15" t="s">
        <v>200</v>
      </c>
      <c r="V119" s="413" t="s">
        <v>852</v>
      </c>
      <c r="W119" s="166"/>
      <c r="X119" s="166"/>
      <c r="Y119" s="166"/>
      <c r="Z119" s="166"/>
      <c r="AA119" s="158"/>
      <c r="AB119" s="166"/>
      <c r="AC119" s="158"/>
      <c r="AD119" s="166"/>
      <c r="AE119" s="158"/>
      <c r="AF119" s="166"/>
      <c r="AG119" s="166"/>
      <c r="AH119" s="166"/>
      <c r="AI119" s="166"/>
      <c r="AJ119" s="166"/>
      <c r="AK119" s="166"/>
      <c r="AL119" s="166"/>
      <c r="AM119" s="166"/>
      <c r="AN119" s="166"/>
      <c r="AO119" s="166"/>
      <c r="AP119" s="166"/>
      <c r="AQ119" s="166"/>
      <c r="AR119" s="166"/>
      <c r="AS119" s="166"/>
      <c r="AT119" s="166"/>
      <c r="AU119" s="343"/>
      <c r="AV119" s="343"/>
      <c r="AW119" s="343"/>
      <c r="AX119" s="343"/>
      <c r="AY119" s="344"/>
      <c r="AZ119" s="345"/>
      <c r="BA119" s="346"/>
    </row>
    <row r="120" spans="1:53">
      <c r="A120" s="2" t="str">
        <f t="shared" si="10"/>
        <v>Res - MF PTA Rebates_Pipe Insulation - Hyd. Boiler Large ≥2"</v>
      </c>
      <c r="B120" s="18">
        <v>117</v>
      </c>
      <c r="C120" s="18" t="s">
        <v>722</v>
      </c>
      <c r="D120" s="18" t="s">
        <v>720</v>
      </c>
      <c r="E120" s="23" t="s">
        <v>210</v>
      </c>
      <c r="F120" s="23">
        <v>75</v>
      </c>
      <c r="G120" s="154">
        <v>0.88</v>
      </c>
      <c r="H120" s="447">
        <v>15</v>
      </c>
      <c r="I120" s="436">
        <v>15</v>
      </c>
      <c r="J120" s="23">
        <v>7</v>
      </c>
      <c r="K120" s="23">
        <v>7</v>
      </c>
      <c r="L120" s="23">
        <v>7</v>
      </c>
      <c r="M120" s="23">
        <v>7</v>
      </c>
      <c r="N120" s="372">
        <f>'Pipe Insulation Detail'!$C$46</f>
        <v>6.1867824786324785</v>
      </c>
      <c r="O120" s="215">
        <f t="shared" si="13"/>
        <v>6.1867824786324785</v>
      </c>
      <c r="P120" s="215">
        <f t="shared" si="13"/>
        <v>6.1867824786324785</v>
      </c>
      <c r="Q120" s="215">
        <f t="shared" si="13"/>
        <v>6.1867824786324785</v>
      </c>
      <c r="R120" s="15" t="s">
        <v>837</v>
      </c>
      <c r="S120" s="15" t="s">
        <v>840</v>
      </c>
      <c r="T120" s="15" t="s">
        <v>201</v>
      </c>
      <c r="U120" s="15" t="s">
        <v>200</v>
      </c>
      <c r="V120" s="413" t="s">
        <v>852</v>
      </c>
      <c r="W120" s="166"/>
      <c r="X120" s="166"/>
      <c r="Y120" s="166"/>
      <c r="Z120" s="166"/>
      <c r="AA120" s="158"/>
      <c r="AB120" s="166"/>
      <c r="AC120" s="158"/>
      <c r="AD120" s="166"/>
      <c r="AE120" s="158"/>
      <c r="AF120" s="166"/>
      <c r="AG120" s="166"/>
      <c r="AH120" s="166"/>
      <c r="AI120" s="166"/>
      <c r="AJ120" s="166"/>
      <c r="AK120" s="166"/>
      <c r="AL120" s="166"/>
      <c r="AM120" s="166"/>
      <c r="AN120" s="166"/>
      <c r="AO120" s="166"/>
      <c r="AP120" s="166"/>
      <c r="AQ120" s="166"/>
      <c r="AR120" s="166"/>
      <c r="AS120" s="166"/>
      <c r="AT120" s="166"/>
      <c r="AU120" s="343"/>
      <c r="AV120" s="343"/>
      <c r="AW120" s="343"/>
      <c r="AX120" s="343"/>
      <c r="AY120" s="344"/>
      <c r="AZ120" s="345"/>
      <c r="BA120" s="346"/>
    </row>
    <row r="121" spans="1:53">
      <c r="A121" s="2" t="str">
        <f t="shared" si="10"/>
        <v>Res - MF PTA Rebates_Pipe Insulation - HW Small 1" to 2"</v>
      </c>
      <c r="B121" s="18">
        <v>118</v>
      </c>
      <c r="C121" s="18" t="s">
        <v>722</v>
      </c>
      <c r="D121" s="18" t="s">
        <v>217</v>
      </c>
      <c r="E121" s="23" t="s">
        <v>210</v>
      </c>
      <c r="F121" s="23">
        <v>75</v>
      </c>
      <c r="G121" s="154">
        <v>0.88</v>
      </c>
      <c r="H121" s="447">
        <v>15</v>
      </c>
      <c r="I121" s="436">
        <v>15</v>
      </c>
      <c r="J121" s="23">
        <v>4</v>
      </c>
      <c r="K121" s="23">
        <v>4</v>
      </c>
      <c r="L121" s="23">
        <v>4</v>
      </c>
      <c r="M121" s="23">
        <v>4</v>
      </c>
      <c r="N121" s="372">
        <f>'Pipe Insulation Detail'!$C$47</f>
        <v>3.1358228800964363</v>
      </c>
      <c r="O121" s="215">
        <f t="shared" si="13"/>
        <v>3.1358228800964363</v>
      </c>
      <c r="P121" s="215">
        <f t="shared" si="13"/>
        <v>3.1358228800964363</v>
      </c>
      <c r="Q121" s="215">
        <f t="shared" si="13"/>
        <v>3.1358228800964363</v>
      </c>
      <c r="R121" s="15" t="s">
        <v>837</v>
      </c>
      <c r="S121" s="15" t="s">
        <v>840</v>
      </c>
      <c r="T121" s="15" t="s">
        <v>201</v>
      </c>
      <c r="U121" s="15" t="s">
        <v>200</v>
      </c>
      <c r="V121" s="413" t="s">
        <v>852</v>
      </c>
      <c r="W121" s="166"/>
      <c r="X121" s="166"/>
      <c r="Y121" s="166"/>
      <c r="Z121" s="166"/>
      <c r="AA121" s="158"/>
      <c r="AB121" s="166"/>
      <c r="AC121" s="158"/>
      <c r="AD121" s="166"/>
      <c r="AE121" s="158"/>
      <c r="AF121" s="166"/>
      <c r="AG121" s="166"/>
      <c r="AH121" s="166"/>
      <c r="AI121" s="166"/>
      <c r="AJ121" s="166"/>
      <c r="AK121" s="166"/>
      <c r="AL121" s="166"/>
      <c r="AM121" s="166"/>
      <c r="AN121" s="166"/>
      <c r="AO121" s="166"/>
      <c r="AP121" s="166"/>
      <c r="AQ121" s="166"/>
      <c r="AR121" s="166"/>
      <c r="AS121" s="166"/>
      <c r="AT121" s="166"/>
      <c r="AU121" s="343"/>
      <c r="AV121" s="343"/>
      <c r="AW121" s="343"/>
      <c r="AX121" s="343"/>
      <c r="AY121" s="344"/>
      <c r="AZ121" s="345"/>
      <c r="BA121" s="346"/>
    </row>
    <row r="122" spans="1:53">
      <c r="A122" s="2" t="str">
        <f t="shared" si="10"/>
        <v>Res - MF PTA Rebates_Pipe Insulation - HW Medium 2.1" to 4"</v>
      </c>
      <c r="B122" s="18">
        <v>119</v>
      </c>
      <c r="C122" s="18" t="s">
        <v>722</v>
      </c>
      <c r="D122" s="18" t="s">
        <v>216</v>
      </c>
      <c r="E122" s="23" t="s">
        <v>210</v>
      </c>
      <c r="F122" s="23">
        <v>75</v>
      </c>
      <c r="G122" s="154">
        <v>0.88</v>
      </c>
      <c r="H122" s="447">
        <v>15</v>
      </c>
      <c r="I122" s="436">
        <v>15</v>
      </c>
      <c r="J122" s="23">
        <v>0</v>
      </c>
      <c r="K122" s="23">
        <f t="shared" ref="K122:M123" si="17">J122</f>
        <v>0</v>
      </c>
      <c r="L122" s="23">
        <f t="shared" si="17"/>
        <v>0</v>
      </c>
      <c r="M122" s="23">
        <f t="shared" si="17"/>
        <v>0</v>
      </c>
      <c r="N122" s="372">
        <f>'Pipe Insulation Detail'!$C$48</f>
        <v>6.1942373572810965</v>
      </c>
      <c r="O122" s="215">
        <f t="shared" si="13"/>
        <v>6.1942373572810965</v>
      </c>
      <c r="P122" s="215">
        <f t="shared" si="13"/>
        <v>6.1942373572810965</v>
      </c>
      <c r="Q122" s="215">
        <f t="shared" si="13"/>
        <v>6.1942373572810965</v>
      </c>
      <c r="R122" s="15" t="s">
        <v>837</v>
      </c>
      <c r="S122" s="15" t="s">
        <v>840</v>
      </c>
      <c r="T122" s="15" t="s">
        <v>201</v>
      </c>
      <c r="U122" s="15" t="s">
        <v>200</v>
      </c>
      <c r="V122" s="413" t="s">
        <v>852</v>
      </c>
      <c r="W122" s="166"/>
      <c r="X122" s="166"/>
      <c r="Y122" s="166"/>
      <c r="Z122" s="166"/>
      <c r="AA122" s="158"/>
      <c r="AB122" s="166"/>
      <c r="AC122" s="158"/>
      <c r="AD122" s="166"/>
      <c r="AE122" s="158"/>
      <c r="AF122" s="166"/>
      <c r="AG122" s="166"/>
      <c r="AH122" s="166"/>
      <c r="AI122" s="166"/>
      <c r="AJ122" s="166"/>
      <c r="AK122" s="166"/>
      <c r="AL122" s="166"/>
      <c r="AM122" s="166"/>
      <c r="AN122" s="166"/>
      <c r="AO122" s="166"/>
      <c r="AP122" s="166"/>
      <c r="AQ122" s="166"/>
      <c r="AR122" s="166"/>
      <c r="AS122" s="166"/>
      <c r="AT122" s="166"/>
      <c r="AU122" s="343"/>
      <c r="AV122" s="343"/>
      <c r="AW122" s="343"/>
      <c r="AX122" s="343"/>
      <c r="AY122" s="344"/>
      <c r="AZ122" s="345"/>
      <c r="BA122" s="346"/>
    </row>
    <row r="123" spans="1:53">
      <c r="A123" s="2" t="str">
        <f t="shared" si="10"/>
        <v>Res - MF PTA Rebates_Pipe Insulation - HW Large &gt;4"</v>
      </c>
      <c r="B123" s="18">
        <v>120</v>
      </c>
      <c r="C123" s="18" t="s">
        <v>722</v>
      </c>
      <c r="D123" s="18" t="s">
        <v>215</v>
      </c>
      <c r="E123" s="23" t="s">
        <v>210</v>
      </c>
      <c r="F123" s="23">
        <v>75</v>
      </c>
      <c r="G123" s="154">
        <v>0.88</v>
      </c>
      <c r="H123" s="447">
        <v>15</v>
      </c>
      <c r="I123" s="436">
        <v>15</v>
      </c>
      <c r="J123" s="23">
        <v>0</v>
      </c>
      <c r="K123" s="23">
        <f t="shared" si="17"/>
        <v>0</v>
      </c>
      <c r="L123" s="23">
        <f t="shared" si="17"/>
        <v>0</v>
      </c>
      <c r="M123" s="23">
        <f t="shared" si="17"/>
        <v>0</v>
      </c>
      <c r="N123" s="372">
        <f>'Pipe Insulation Detail'!$C$49</f>
        <v>10.672873287490331</v>
      </c>
      <c r="O123" s="215">
        <f t="shared" si="13"/>
        <v>10.672873287490331</v>
      </c>
      <c r="P123" s="215">
        <f t="shared" si="13"/>
        <v>10.672873287490331</v>
      </c>
      <c r="Q123" s="215">
        <f t="shared" si="13"/>
        <v>10.672873287490331</v>
      </c>
      <c r="R123" s="15" t="s">
        <v>837</v>
      </c>
      <c r="S123" s="15" t="s">
        <v>840</v>
      </c>
      <c r="T123" s="15" t="s">
        <v>201</v>
      </c>
      <c r="U123" s="15" t="s">
        <v>200</v>
      </c>
      <c r="V123" s="413" t="s">
        <v>852</v>
      </c>
      <c r="W123" s="166"/>
      <c r="X123" s="166"/>
      <c r="Y123" s="166"/>
      <c r="Z123" s="166"/>
      <c r="AA123" s="158"/>
      <c r="AB123" s="166"/>
      <c r="AC123" s="158"/>
      <c r="AD123" s="166"/>
      <c r="AE123" s="158"/>
      <c r="AF123" s="166"/>
      <c r="AG123" s="166"/>
      <c r="AH123" s="166"/>
      <c r="AI123" s="166"/>
      <c r="AJ123" s="166"/>
      <c r="AK123" s="166"/>
      <c r="AL123" s="166"/>
      <c r="AM123" s="166"/>
      <c r="AN123" s="166"/>
      <c r="AO123" s="166"/>
      <c r="AP123" s="166"/>
      <c r="AQ123" s="166"/>
      <c r="AR123" s="166"/>
      <c r="AS123" s="166"/>
      <c r="AT123" s="166"/>
      <c r="AU123" s="343"/>
      <c r="AV123" s="343"/>
      <c r="AW123" s="343"/>
      <c r="AX123" s="343"/>
      <c r="AY123" s="344"/>
      <c r="AZ123" s="345"/>
      <c r="BA123" s="346"/>
    </row>
    <row r="124" spans="1:53">
      <c r="A124" s="2" t="str">
        <f t="shared" si="10"/>
        <v>Res - MF PTA Rebates_Pipe Insulation - Steam - Small 1" to 2"</v>
      </c>
      <c r="B124" s="18">
        <v>121</v>
      </c>
      <c r="C124" s="18" t="s">
        <v>722</v>
      </c>
      <c r="D124" s="18" t="s">
        <v>214</v>
      </c>
      <c r="E124" s="23" t="s">
        <v>210</v>
      </c>
      <c r="F124" s="23">
        <v>75</v>
      </c>
      <c r="G124" s="154">
        <v>0.88</v>
      </c>
      <c r="H124" s="447">
        <v>15</v>
      </c>
      <c r="I124" s="436">
        <v>15</v>
      </c>
      <c r="J124" s="23">
        <v>5</v>
      </c>
      <c r="K124" s="23">
        <v>5</v>
      </c>
      <c r="L124" s="23">
        <v>5</v>
      </c>
      <c r="M124" s="23">
        <v>5</v>
      </c>
      <c r="N124" s="372">
        <f>'Pipe Insulation Detail'!$C$50</f>
        <v>3.967097058288509</v>
      </c>
      <c r="O124" s="215">
        <f t="shared" si="13"/>
        <v>3.967097058288509</v>
      </c>
      <c r="P124" s="215">
        <f t="shared" si="13"/>
        <v>3.967097058288509</v>
      </c>
      <c r="Q124" s="215">
        <f t="shared" si="13"/>
        <v>3.967097058288509</v>
      </c>
      <c r="R124" s="15" t="s">
        <v>837</v>
      </c>
      <c r="S124" s="15" t="s">
        <v>840</v>
      </c>
      <c r="T124" s="15" t="s">
        <v>201</v>
      </c>
      <c r="U124" s="15" t="s">
        <v>200</v>
      </c>
      <c r="V124" s="413" t="s">
        <v>852</v>
      </c>
      <c r="W124" s="166"/>
      <c r="X124" s="166"/>
      <c r="Y124" s="166"/>
      <c r="Z124" s="166"/>
      <c r="AA124" s="158"/>
      <c r="AB124" s="166"/>
      <c r="AC124" s="158"/>
      <c r="AD124" s="166"/>
      <c r="AE124" s="158"/>
      <c r="AF124" s="166"/>
      <c r="AG124" s="166"/>
      <c r="AH124" s="166"/>
      <c r="AI124" s="166"/>
      <c r="AJ124" s="166"/>
      <c r="AK124" s="166"/>
      <c r="AL124" s="166"/>
      <c r="AM124" s="166"/>
      <c r="AN124" s="166"/>
      <c r="AO124" s="166"/>
      <c r="AP124" s="166"/>
      <c r="AQ124" s="166"/>
      <c r="AR124" s="166"/>
      <c r="AS124" s="166"/>
      <c r="AT124" s="166"/>
      <c r="AU124" s="343"/>
      <c r="AV124" s="343"/>
      <c r="AW124" s="343"/>
      <c r="AX124" s="343"/>
      <c r="AY124" s="344"/>
      <c r="AZ124" s="345"/>
      <c r="BA124" s="346"/>
    </row>
    <row r="125" spans="1:53">
      <c r="A125" s="2" t="str">
        <f t="shared" si="10"/>
        <v>Res - MF PTA Rebates_Pipe Insulation - Steam - Med 2.1" to 5"</v>
      </c>
      <c r="B125" s="18">
        <v>122</v>
      </c>
      <c r="C125" s="18" t="s">
        <v>722</v>
      </c>
      <c r="D125" s="18" t="s">
        <v>213</v>
      </c>
      <c r="E125" s="23" t="s">
        <v>210</v>
      </c>
      <c r="F125" s="23">
        <v>75</v>
      </c>
      <c r="G125" s="154">
        <v>0.88</v>
      </c>
      <c r="H125" s="447">
        <v>15</v>
      </c>
      <c r="I125" s="436">
        <v>15</v>
      </c>
      <c r="J125" s="23">
        <v>2</v>
      </c>
      <c r="K125" s="23">
        <v>2</v>
      </c>
      <c r="L125" s="23">
        <v>2</v>
      </c>
      <c r="M125" s="23">
        <v>2</v>
      </c>
      <c r="N125" s="372">
        <f>'Pipe Insulation Detail'!$C$51</f>
        <v>13.577404706790121</v>
      </c>
      <c r="O125" s="215">
        <f t="shared" ref="O125:Q144" si="18">N125</f>
        <v>13.577404706790121</v>
      </c>
      <c r="P125" s="215">
        <f t="shared" si="18"/>
        <v>13.577404706790121</v>
      </c>
      <c r="Q125" s="215">
        <f t="shared" si="18"/>
        <v>13.577404706790121</v>
      </c>
      <c r="R125" s="15" t="s">
        <v>837</v>
      </c>
      <c r="S125" s="15" t="s">
        <v>840</v>
      </c>
      <c r="T125" s="15" t="s">
        <v>201</v>
      </c>
      <c r="U125" s="15" t="s">
        <v>200</v>
      </c>
      <c r="V125" s="413" t="s">
        <v>852</v>
      </c>
      <c r="W125" s="166"/>
      <c r="X125" s="166"/>
      <c r="Y125" s="166"/>
      <c r="Z125" s="166"/>
      <c r="AA125" s="158"/>
      <c r="AB125" s="166"/>
      <c r="AC125" s="158"/>
      <c r="AD125" s="166"/>
      <c r="AE125" s="158"/>
      <c r="AF125" s="166"/>
      <c r="AG125" s="166"/>
      <c r="AH125" s="166"/>
      <c r="AI125" s="166"/>
      <c r="AJ125" s="166"/>
      <c r="AK125" s="166"/>
      <c r="AL125" s="166"/>
      <c r="AM125" s="166"/>
      <c r="AN125" s="166"/>
      <c r="AO125" s="166"/>
      <c r="AP125" s="166"/>
      <c r="AQ125" s="166"/>
      <c r="AR125" s="166"/>
      <c r="AS125" s="166"/>
      <c r="AT125" s="166"/>
      <c r="AU125" s="343"/>
      <c r="AV125" s="343"/>
      <c r="AW125" s="343"/>
      <c r="AX125" s="343"/>
      <c r="AY125" s="344"/>
      <c r="AZ125" s="345"/>
      <c r="BA125" s="346"/>
    </row>
    <row r="126" spans="1:53">
      <c r="A126" s="2" t="str">
        <f t="shared" si="10"/>
        <v>Res - MF PTA Rebates_Pipe Insulation - Steam - Large 5.1" to 8"</v>
      </c>
      <c r="B126" s="18">
        <v>123</v>
      </c>
      <c r="C126" s="18" t="s">
        <v>722</v>
      </c>
      <c r="D126" s="18" t="s">
        <v>212</v>
      </c>
      <c r="E126" s="23" t="s">
        <v>210</v>
      </c>
      <c r="F126" s="23">
        <v>75</v>
      </c>
      <c r="G126" s="154">
        <v>0.88</v>
      </c>
      <c r="H126" s="447">
        <v>15</v>
      </c>
      <c r="I126" s="436">
        <v>15</v>
      </c>
      <c r="J126" s="23">
        <v>0</v>
      </c>
      <c r="K126" s="23">
        <f t="shared" ref="K126:M140" si="19">J126</f>
        <v>0</v>
      </c>
      <c r="L126" s="23">
        <f t="shared" si="19"/>
        <v>0</v>
      </c>
      <c r="M126" s="23">
        <f t="shared" si="19"/>
        <v>0</v>
      </c>
      <c r="N126" s="372">
        <f>'Pipe Insulation Detail'!$C$52</f>
        <v>30.207245887345675</v>
      </c>
      <c r="O126" s="215">
        <f t="shared" si="18"/>
        <v>30.207245887345675</v>
      </c>
      <c r="P126" s="215">
        <f t="shared" si="18"/>
        <v>30.207245887345675</v>
      </c>
      <c r="Q126" s="215">
        <f t="shared" si="18"/>
        <v>30.207245887345675</v>
      </c>
      <c r="R126" s="15" t="s">
        <v>837</v>
      </c>
      <c r="S126" s="15" t="s">
        <v>840</v>
      </c>
      <c r="T126" s="15" t="s">
        <v>201</v>
      </c>
      <c r="U126" s="15" t="s">
        <v>200</v>
      </c>
      <c r="V126" s="413" t="s">
        <v>852</v>
      </c>
      <c r="W126" s="166"/>
      <c r="X126" s="166"/>
      <c r="Y126" s="166"/>
      <c r="Z126" s="166"/>
      <c r="AA126" s="158"/>
      <c r="AB126" s="166"/>
      <c r="AC126" s="158"/>
      <c r="AD126" s="166"/>
      <c r="AE126" s="158"/>
      <c r="AF126" s="166"/>
      <c r="AG126" s="166"/>
      <c r="AH126" s="166"/>
      <c r="AI126" s="166"/>
      <c r="AJ126" s="166"/>
      <c r="AK126" s="166"/>
      <c r="AL126" s="166"/>
      <c r="AM126" s="166"/>
      <c r="AN126" s="166"/>
      <c r="AO126" s="166"/>
      <c r="AP126" s="166"/>
      <c r="AQ126" s="166"/>
      <c r="AR126" s="166"/>
      <c r="AS126" s="166"/>
      <c r="AT126" s="166"/>
      <c r="AU126" s="343"/>
      <c r="AV126" s="343"/>
      <c r="AW126" s="343"/>
      <c r="AX126" s="343"/>
      <c r="AY126" s="344"/>
      <c r="AZ126" s="345"/>
      <c r="BA126" s="346"/>
    </row>
    <row r="127" spans="1:53">
      <c r="A127" s="2" t="str">
        <f t="shared" si="10"/>
        <v>Res - MF PTA Rebates_Pipe Insulation - Steam - X-Large &gt;8"</v>
      </c>
      <c r="B127" s="18">
        <v>124</v>
      </c>
      <c r="C127" s="18" t="s">
        <v>722</v>
      </c>
      <c r="D127" s="18" t="s">
        <v>211</v>
      </c>
      <c r="E127" s="23" t="s">
        <v>210</v>
      </c>
      <c r="F127" s="23">
        <v>75</v>
      </c>
      <c r="G127" s="154">
        <v>0.88</v>
      </c>
      <c r="H127" s="447">
        <v>15</v>
      </c>
      <c r="I127" s="436">
        <v>15</v>
      </c>
      <c r="J127" s="23">
        <v>0</v>
      </c>
      <c r="K127" s="23">
        <f t="shared" si="19"/>
        <v>0</v>
      </c>
      <c r="L127" s="23">
        <f t="shared" si="19"/>
        <v>0</v>
      </c>
      <c r="M127" s="23">
        <f t="shared" si="19"/>
        <v>0</v>
      </c>
      <c r="N127" s="372">
        <f>'Pipe Insulation Detail'!$C$53</f>
        <v>44.814401171573145</v>
      </c>
      <c r="O127" s="215">
        <f t="shared" si="18"/>
        <v>44.814401171573145</v>
      </c>
      <c r="P127" s="215">
        <f t="shared" si="18"/>
        <v>44.814401171573145</v>
      </c>
      <c r="Q127" s="215">
        <f t="shared" si="18"/>
        <v>44.814401171573145</v>
      </c>
      <c r="R127" s="15" t="s">
        <v>837</v>
      </c>
      <c r="S127" s="15" t="s">
        <v>840</v>
      </c>
      <c r="T127" s="15" t="s">
        <v>201</v>
      </c>
      <c r="U127" s="15" t="s">
        <v>200</v>
      </c>
      <c r="V127" s="413" t="s">
        <v>852</v>
      </c>
      <c r="W127" s="166"/>
      <c r="X127" s="166"/>
      <c r="Y127" s="166"/>
      <c r="Z127" s="166"/>
      <c r="AA127" s="158"/>
      <c r="AB127" s="166"/>
      <c r="AC127" s="158"/>
      <c r="AD127" s="166"/>
      <c r="AE127" s="158"/>
      <c r="AF127" s="166"/>
      <c r="AG127" s="166"/>
      <c r="AH127" s="166"/>
      <c r="AI127" s="166"/>
      <c r="AJ127" s="166"/>
      <c r="AK127" s="166"/>
      <c r="AL127" s="166"/>
      <c r="AM127" s="166"/>
      <c r="AN127" s="166"/>
      <c r="AO127" s="166"/>
      <c r="AP127" s="166"/>
      <c r="AQ127" s="166"/>
      <c r="AR127" s="166"/>
      <c r="AS127" s="166"/>
      <c r="AT127" s="166"/>
      <c r="AU127" s="343"/>
      <c r="AV127" s="343"/>
      <c r="AW127" s="343"/>
      <c r="AX127" s="343"/>
      <c r="AY127" s="344"/>
      <c r="AZ127" s="345"/>
      <c r="BA127" s="346"/>
    </row>
    <row r="128" spans="1:53">
      <c r="A128" s="2" t="str">
        <f t="shared" si="10"/>
        <v>Res - MF PTA Rebates_Pipe Insulation - Steam Med Fitting</v>
      </c>
      <c r="B128" s="18">
        <v>125</v>
      </c>
      <c r="C128" s="18" t="s">
        <v>722</v>
      </c>
      <c r="D128" s="18" t="s">
        <v>208</v>
      </c>
      <c r="E128" s="23" t="s">
        <v>150</v>
      </c>
      <c r="F128" s="23">
        <v>1</v>
      </c>
      <c r="G128" s="154">
        <v>0.88</v>
      </c>
      <c r="H128" s="447">
        <v>15</v>
      </c>
      <c r="I128" s="436">
        <v>15</v>
      </c>
      <c r="J128" s="23">
        <v>0</v>
      </c>
      <c r="K128" s="23">
        <f t="shared" si="19"/>
        <v>0</v>
      </c>
      <c r="L128" s="23">
        <f t="shared" si="19"/>
        <v>0</v>
      </c>
      <c r="M128" s="23">
        <f t="shared" si="19"/>
        <v>0</v>
      </c>
      <c r="N128" s="372">
        <f>'Pipe Insulation Detail'!$C$55</f>
        <v>15.586033402860688</v>
      </c>
      <c r="O128" s="215">
        <f t="shared" si="18"/>
        <v>15.586033402860688</v>
      </c>
      <c r="P128" s="215">
        <f t="shared" si="18"/>
        <v>15.586033402860688</v>
      </c>
      <c r="Q128" s="215">
        <f t="shared" si="18"/>
        <v>15.586033402860688</v>
      </c>
      <c r="R128" s="15" t="s">
        <v>837</v>
      </c>
      <c r="S128" s="15" t="s">
        <v>840</v>
      </c>
      <c r="T128" s="15" t="s">
        <v>201</v>
      </c>
      <c r="U128" s="15" t="s">
        <v>200</v>
      </c>
      <c r="V128" s="413" t="s">
        <v>852</v>
      </c>
      <c r="W128" s="166"/>
      <c r="X128" s="166"/>
      <c r="Y128" s="166"/>
      <c r="Z128" s="166"/>
      <c r="AA128" s="158"/>
      <c r="AB128" s="166"/>
      <c r="AC128" s="158"/>
      <c r="AD128" s="166"/>
      <c r="AE128" s="158"/>
      <c r="AF128" s="166"/>
      <c r="AG128" s="166"/>
      <c r="AH128" s="166"/>
      <c r="AI128" s="166"/>
      <c r="AJ128" s="166"/>
      <c r="AK128" s="166"/>
      <c r="AL128" s="166"/>
      <c r="AM128" s="166"/>
      <c r="AN128" s="166"/>
      <c r="AO128" s="166"/>
      <c r="AP128" s="166"/>
      <c r="AQ128" s="166"/>
      <c r="AR128" s="166"/>
      <c r="AS128" s="166"/>
      <c r="AT128" s="166"/>
      <c r="AU128" s="343"/>
      <c r="AV128" s="343"/>
      <c r="AW128" s="343"/>
      <c r="AX128" s="343"/>
      <c r="AY128" s="344"/>
      <c r="AZ128" s="345"/>
      <c r="BA128" s="346"/>
    </row>
    <row r="129" spans="1:53">
      <c r="A129" s="2" t="str">
        <f t="shared" si="10"/>
        <v>Res - MF PTA Rebates_Pipe Insulation - Steam Large Fitting</v>
      </c>
      <c r="B129" s="18">
        <v>126</v>
      </c>
      <c r="C129" s="18" t="s">
        <v>722</v>
      </c>
      <c r="D129" s="18" t="s">
        <v>207</v>
      </c>
      <c r="E129" s="23" t="s">
        <v>150</v>
      </c>
      <c r="F129" s="23">
        <v>1</v>
      </c>
      <c r="G129" s="154">
        <v>0.88</v>
      </c>
      <c r="H129" s="447">
        <v>15</v>
      </c>
      <c r="I129" s="436">
        <v>15</v>
      </c>
      <c r="J129" s="23">
        <v>0</v>
      </c>
      <c r="K129" s="23">
        <f t="shared" si="19"/>
        <v>0</v>
      </c>
      <c r="L129" s="23">
        <f t="shared" si="19"/>
        <v>0</v>
      </c>
      <c r="M129" s="23">
        <f t="shared" si="19"/>
        <v>0</v>
      </c>
      <c r="N129" s="372">
        <f>'Pipe Insulation Detail'!$C$56</f>
        <v>63.824627950912159</v>
      </c>
      <c r="O129" s="215">
        <f t="shared" si="18"/>
        <v>63.824627950912159</v>
      </c>
      <c r="P129" s="215">
        <f t="shared" si="18"/>
        <v>63.824627950912159</v>
      </c>
      <c r="Q129" s="215">
        <f t="shared" si="18"/>
        <v>63.824627950912159</v>
      </c>
      <c r="R129" s="15" t="s">
        <v>837</v>
      </c>
      <c r="S129" s="15" t="s">
        <v>840</v>
      </c>
      <c r="T129" s="15" t="s">
        <v>201</v>
      </c>
      <c r="U129" s="15" t="s">
        <v>200</v>
      </c>
      <c r="V129" s="413" t="s">
        <v>852</v>
      </c>
      <c r="W129" s="166"/>
      <c r="X129" s="166"/>
      <c r="Y129" s="166"/>
      <c r="Z129" s="166"/>
      <c r="AA129" s="158"/>
      <c r="AB129" s="166"/>
      <c r="AC129" s="158"/>
      <c r="AD129" s="166"/>
      <c r="AE129" s="158"/>
      <c r="AF129" s="166"/>
      <c r="AG129" s="166"/>
      <c r="AH129" s="166"/>
      <c r="AI129" s="166"/>
      <c r="AJ129" s="166"/>
      <c r="AK129" s="166"/>
      <c r="AL129" s="166"/>
      <c r="AM129" s="166"/>
      <c r="AN129" s="166"/>
      <c r="AO129" s="166"/>
      <c r="AP129" s="166"/>
      <c r="AQ129" s="166"/>
      <c r="AR129" s="166"/>
      <c r="AS129" s="166"/>
      <c r="AT129" s="166"/>
      <c r="AU129" s="343"/>
      <c r="AV129" s="343"/>
      <c r="AW129" s="343"/>
      <c r="AX129" s="343"/>
      <c r="AY129" s="344"/>
      <c r="AZ129" s="345"/>
      <c r="BA129" s="346"/>
    </row>
    <row r="130" spans="1:53">
      <c r="A130" s="2" t="str">
        <f t="shared" si="10"/>
        <v>Res - MF PTA Rebates_Pipe Insulation - Steam X-Large Fitting</v>
      </c>
      <c r="B130" s="18">
        <v>127</v>
      </c>
      <c r="C130" s="18" t="s">
        <v>722</v>
      </c>
      <c r="D130" s="18" t="s">
        <v>206</v>
      </c>
      <c r="E130" s="23" t="s">
        <v>150</v>
      </c>
      <c r="F130" s="23">
        <v>1</v>
      </c>
      <c r="G130" s="154">
        <v>0.88</v>
      </c>
      <c r="H130" s="447">
        <v>15</v>
      </c>
      <c r="I130" s="436">
        <v>15</v>
      </c>
      <c r="J130" s="23">
        <v>0</v>
      </c>
      <c r="K130" s="23">
        <f t="shared" si="19"/>
        <v>0</v>
      </c>
      <c r="L130" s="23">
        <f t="shared" si="19"/>
        <v>0</v>
      </c>
      <c r="M130" s="23">
        <f t="shared" si="19"/>
        <v>0</v>
      </c>
      <c r="N130" s="372">
        <f>'Pipe Insulation Detail'!$C$57</f>
        <v>123.46367522768401</v>
      </c>
      <c r="O130" s="215">
        <f t="shared" si="18"/>
        <v>123.46367522768401</v>
      </c>
      <c r="P130" s="215">
        <f t="shared" si="18"/>
        <v>123.46367522768401</v>
      </c>
      <c r="Q130" s="215">
        <f t="shared" si="18"/>
        <v>123.46367522768401</v>
      </c>
      <c r="R130" s="15" t="s">
        <v>837</v>
      </c>
      <c r="S130" s="15" t="s">
        <v>840</v>
      </c>
      <c r="T130" s="15" t="s">
        <v>201</v>
      </c>
      <c r="U130" s="15" t="s">
        <v>200</v>
      </c>
      <c r="V130" s="413" t="s">
        <v>852</v>
      </c>
      <c r="W130" s="166"/>
      <c r="X130" s="166"/>
      <c r="Y130" s="166"/>
      <c r="Z130" s="166"/>
      <c r="AA130" s="158"/>
      <c r="AB130" s="166"/>
      <c r="AC130" s="158"/>
      <c r="AD130" s="166"/>
      <c r="AE130" s="158"/>
      <c r="AF130" s="166"/>
      <c r="AG130" s="166"/>
      <c r="AH130" s="166"/>
      <c r="AI130" s="166"/>
      <c r="AJ130" s="166"/>
      <c r="AK130" s="166"/>
      <c r="AL130" s="166"/>
      <c r="AM130" s="166"/>
      <c r="AN130" s="166"/>
      <c r="AO130" s="166"/>
      <c r="AP130" s="166"/>
      <c r="AQ130" s="166"/>
      <c r="AR130" s="166"/>
      <c r="AS130" s="166"/>
      <c r="AT130" s="166"/>
      <c r="AU130" s="343"/>
      <c r="AV130" s="343"/>
      <c r="AW130" s="343"/>
      <c r="AX130" s="343"/>
      <c r="AY130" s="344"/>
      <c r="AZ130" s="345"/>
      <c r="BA130" s="346"/>
    </row>
    <row r="131" spans="1:53">
      <c r="A131" s="2" t="str">
        <f t="shared" si="10"/>
        <v>Res - MF PTA Rebates_Pipe Insulation - Steam Med Valve</v>
      </c>
      <c r="B131" s="18">
        <v>128</v>
      </c>
      <c r="C131" s="18" t="s">
        <v>722</v>
      </c>
      <c r="D131" s="18" t="s">
        <v>204</v>
      </c>
      <c r="E131" s="23" t="s">
        <v>150</v>
      </c>
      <c r="F131" s="23">
        <v>1</v>
      </c>
      <c r="G131" s="154">
        <v>0.88</v>
      </c>
      <c r="H131" s="447">
        <v>15</v>
      </c>
      <c r="I131" s="436">
        <v>15</v>
      </c>
      <c r="J131" s="23">
        <v>0</v>
      </c>
      <c r="K131" s="23">
        <f t="shared" si="19"/>
        <v>0</v>
      </c>
      <c r="L131" s="23">
        <f t="shared" si="19"/>
        <v>0</v>
      </c>
      <c r="M131" s="23">
        <f t="shared" si="19"/>
        <v>0</v>
      </c>
      <c r="N131" s="372">
        <f>'Pipe Insulation Detail'!$C$59</f>
        <v>46.605980670745772</v>
      </c>
      <c r="O131" s="215">
        <f t="shared" si="18"/>
        <v>46.605980670745772</v>
      </c>
      <c r="P131" s="215">
        <f t="shared" si="18"/>
        <v>46.605980670745772</v>
      </c>
      <c r="Q131" s="215">
        <f t="shared" si="18"/>
        <v>46.605980670745772</v>
      </c>
      <c r="R131" s="15" t="s">
        <v>837</v>
      </c>
      <c r="S131" s="15" t="s">
        <v>840</v>
      </c>
      <c r="T131" s="15" t="s">
        <v>201</v>
      </c>
      <c r="U131" s="15" t="s">
        <v>200</v>
      </c>
      <c r="V131" s="413" t="s">
        <v>852</v>
      </c>
      <c r="W131" s="166"/>
      <c r="X131" s="166"/>
      <c r="Y131" s="166"/>
      <c r="Z131" s="166"/>
      <c r="AA131" s="158"/>
      <c r="AB131" s="166"/>
      <c r="AC131" s="158"/>
      <c r="AD131" s="166"/>
      <c r="AE131" s="158"/>
      <c r="AF131" s="166"/>
      <c r="AG131" s="166"/>
      <c r="AH131" s="166"/>
      <c r="AI131" s="166"/>
      <c r="AJ131" s="166"/>
      <c r="AK131" s="166"/>
      <c r="AL131" s="166"/>
      <c r="AM131" s="166"/>
      <c r="AN131" s="166"/>
      <c r="AO131" s="166"/>
      <c r="AP131" s="166"/>
      <c r="AQ131" s="166"/>
      <c r="AR131" s="166"/>
      <c r="AS131" s="166"/>
      <c r="AT131" s="166"/>
      <c r="AU131" s="343"/>
      <c r="AV131" s="343"/>
      <c r="AW131" s="343"/>
      <c r="AX131" s="343"/>
      <c r="AY131" s="344"/>
      <c r="AZ131" s="345"/>
      <c r="BA131" s="346"/>
    </row>
    <row r="132" spans="1:53">
      <c r="A132" s="2" t="str">
        <f t="shared" si="10"/>
        <v>Res - MF PTA Rebates_Pipe Insulation - Steam Large Valve</v>
      </c>
      <c r="B132" s="18">
        <v>129</v>
      </c>
      <c r="C132" s="18" t="s">
        <v>722</v>
      </c>
      <c r="D132" s="18" t="s">
        <v>203</v>
      </c>
      <c r="E132" s="23" t="s">
        <v>150</v>
      </c>
      <c r="F132" s="23">
        <v>1</v>
      </c>
      <c r="G132" s="154">
        <v>0.88</v>
      </c>
      <c r="H132" s="447">
        <v>15</v>
      </c>
      <c r="I132" s="436">
        <v>15</v>
      </c>
      <c r="J132" s="23">
        <v>0</v>
      </c>
      <c r="K132" s="23">
        <f t="shared" si="19"/>
        <v>0</v>
      </c>
      <c r="L132" s="23">
        <f t="shared" si="19"/>
        <v>0</v>
      </c>
      <c r="M132" s="23">
        <f t="shared" si="19"/>
        <v>0</v>
      </c>
      <c r="N132" s="372">
        <f>'Pipe Insulation Detail'!$C$60</f>
        <v>133.90978522057964</v>
      </c>
      <c r="O132" s="215">
        <f t="shared" si="18"/>
        <v>133.90978522057964</v>
      </c>
      <c r="P132" s="215">
        <f t="shared" si="18"/>
        <v>133.90978522057964</v>
      </c>
      <c r="Q132" s="215">
        <f t="shared" si="18"/>
        <v>133.90978522057964</v>
      </c>
      <c r="R132" s="15" t="s">
        <v>837</v>
      </c>
      <c r="S132" s="15" t="s">
        <v>840</v>
      </c>
      <c r="T132" s="15" t="s">
        <v>201</v>
      </c>
      <c r="U132" s="15" t="s">
        <v>200</v>
      </c>
      <c r="V132" s="413" t="s">
        <v>852</v>
      </c>
      <c r="W132" s="166"/>
      <c r="X132" s="166"/>
      <c r="Y132" s="166"/>
      <c r="Z132" s="166"/>
      <c r="AA132" s="158"/>
      <c r="AB132" s="166"/>
      <c r="AC132" s="158"/>
      <c r="AD132" s="166"/>
      <c r="AE132" s="158"/>
      <c r="AF132" s="166"/>
      <c r="AG132" s="166"/>
      <c r="AH132" s="166"/>
      <c r="AI132" s="166"/>
      <c r="AJ132" s="166"/>
      <c r="AK132" s="166"/>
      <c r="AL132" s="166"/>
      <c r="AM132" s="166"/>
      <c r="AN132" s="166"/>
      <c r="AO132" s="166"/>
      <c r="AP132" s="166"/>
      <c r="AQ132" s="166"/>
      <c r="AR132" s="166"/>
      <c r="AS132" s="166"/>
      <c r="AT132" s="166"/>
      <c r="AU132" s="343"/>
      <c r="AV132" s="343"/>
      <c r="AW132" s="343"/>
      <c r="AX132" s="343"/>
      <c r="AY132" s="344"/>
      <c r="AZ132" s="345"/>
      <c r="BA132" s="346"/>
    </row>
    <row r="133" spans="1:53">
      <c r="A133" s="2" t="str">
        <f t="shared" ref="A133:A196" si="20">C133&amp;"_"&amp;D133</f>
        <v>Res - MF PTA Rebates_Pipe Insulation - Steam X-Large Valve</v>
      </c>
      <c r="B133" s="18">
        <v>130</v>
      </c>
      <c r="C133" s="18" t="s">
        <v>722</v>
      </c>
      <c r="D133" s="18" t="s">
        <v>202</v>
      </c>
      <c r="E133" s="23" t="s">
        <v>150</v>
      </c>
      <c r="F133" s="23">
        <v>1</v>
      </c>
      <c r="G133" s="154">
        <v>0.88</v>
      </c>
      <c r="H133" s="447">
        <v>15</v>
      </c>
      <c r="I133" s="436">
        <v>15</v>
      </c>
      <c r="J133" s="23">
        <v>0</v>
      </c>
      <c r="K133" s="23">
        <f t="shared" si="19"/>
        <v>0</v>
      </c>
      <c r="L133" s="23">
        <f t="shared" si="19"/>
        <v>0</v>
      </c>
      <c r="M133" s="23">
        <f t="shared" si="19"/>
        <v>0</v>
      </c>
      <c r="N133" s="372">
        <f>'Pipe Insulation Detail'!$C$61</f>
        <v>218.0177023221575</v>
      </c>
      <c r="O133" s="215">
        <f t="shared" si="18"/>
        <v>218.0177023221575</v>
      </c>
      <c r="P133" s="215">
        <f t="shared" si="18"/>
        <v>218.0177023221575</v>
      </c>
      <c r="Q133" s="215">
        <f t="shared" si="18"/>
        <v>218.0177023221575</v>
      </c>
      <c r="R133" s="15" t="s">
        <v>837</v>
      </c>
      <c r="S133" s="15" t="s">
        <v>840</v>
      </c>
      <c r="T133" s="15" t="s">
        <v>201</v>
      </c>
      <c r="U133" s="15" t="s">
        <v>200</v>
      </c>
      <c r="V133" s="413" t="s">
        <v>852</v>
      </c>
      <c r="W133" s="166"/>
      <c r="X133" s="166"/>
      <c r="Y133" s="166"/>
      <c r="Z133" s="166"/>
      <c r="AA133" s="158"/>
      <c r="AB133" s="166"/>
      <c r="AC133" s="158"/>
      <c r="AD133" s="166"/>
      <c r="AE133" s="158"/>
      <c r="AF133" s="166"/>
      <c r="AG133" s="166"/>
      <c r="AH133" s="166"/>
      <c r="AI133" s="166"/>
      <c r="AJ133" s="166"/>
      <c r="AK133" s="166"/>
      <c r="AL133" s="166"/>
      <c r="AM133" s="166"/>
      <c r="AN133" s="166"/>
      <c r="AO133" s="166"/>
      <c r="AP133" s="166"/>
      <c r="AQ133" s="166"/>
      <c r="AR133" s="166"/>
      <c r="AS133" s="166"/>
      <c r="AT133" s="166"/>
      <c r="AU133" s="343"/>
      <c r="AV133" s="343"/>
      <c r="AW133" s="343"/>
      <c r="AX133" s="343"/>
      <c r="AY133" s="344"/>
      <c r="AZ133" s="345"/>
      <c r="BA133" s="346"/>
    </row>
    <row r="134" spans="1:53">
      <c r="A134" s="2" t="str">
        <f t="shared" si="20"/>
        <v>Res - MF PTA Rebates_Steam Boiler ≥82% AFUE, &gt;300MBh TE</v>
      </c>
      <c r="B134" s="18">
        <v>131</v>
      </c>
      <c r="C134" s="18" t="s">
        <v>722</v>
      </c>
      <c r="D134" s="18" t="s">
        <v>723</v>
      </c>
      <c r="E134" s="23" t="s">
        <v>240</v>
      </c>
      <c r="F134" s="23">
        <v>450</v>
      </c>
      <c r="G134" s="154">
        <v>0.88</v>
      </c>
      <c r="H134" s="447">
        <v>20</v>
      </c>
      <c r="I134" s="484">
        <v>25</v>
      </c>
      <c r="J134" s="23">
        <v>0</v>
      </c>
      <c r="K134" s="23">
        <f t="shared" si="19"/>
        <v>0</v>
      </c>
      <c r="L134" s="23">
        <f t="shared" si="19"/>
        <v>0</v>
      </c>
      <c r="M134" s="23">
        <f t="shared" si="19"/>
        <v>0</v>
      </c>
      <c r="N134" s="372">
        <f>X134*Z134*((AB134-AD134)/AD134)/100000/F134</f>
        <v>0.67670886075949166</v>
      </c>
      <c r="O134" s="215">
        <f t="shared" si="18"/>
        <v>0.67670886075949166</v>
      </c>
      <c r="P134" s="215">
        <f t="shared" si="18"/>
        <v>0.67670886075949166</v>
      </c>
      <c r="Q134" s="215">
        <f t="shared" si="18"/>
        <v>0.67670886075949166</v>
      </c>
      <c r="R134" s="15" t="s">
        <v>838</v>
      </c>
      <c r="S134" s="15" t="s">
        <v>840</v>
      </c>
      <c r="T134" s="15" t="s">
        <v>343</v>
      </c>
      <c r="U134" s="15" t="s">
        <v>342</v>
      </c>
      <c r="V134" s="166" t="s">
        <v>340</v>
      </c>
      <c r="W134" s="466" t="s">
        <v>302</v>
      </c>
      <c r="X134" s="467">
        <v>1782</v>
      </c>
      <c r="Y134" s="158" t="s">
        <v>273</v>
      </c>
      <c r="Z134" s="398">
        <v>450000</v>
      </c>
      <c r="AA134" s="158" t="s">
        <v>341</v>
      </c>
      <c r="AB134" s="408">
        <v>0.82</v>
      </c>
      <c r="AC134" s="166" t="s">
        <v>248</v>
      </c>
      <c r="AD134" s="397">
        <v>0.79</v>
      </c>
      <c r="AE134" s="166"/>
      <c r="AF134" s="166"/>
      <c r="AG134" s="166"/>
      <c r="AH134" s="166"/>
      <c r="AI134" s="414"/>
      <c r="AJ134" s="415"/>
      <c r="AK134" s="414"/>
      <c r="AL134" s="397"/>
      <c r="AM134" s="166"/>
      <c r="AN134" s="166"/>
      <c r="AO134" s="166"/>
      <c r="AP134" s="166"/>
      <c r="AQ134" s="166"/>
      <c r="AR134" s="166"/>
      <c r="AS134" s="166"/>
      <c r="AT134" s="166"/>
      <c r="AU134" s="343"/>
      <c r="AV134" s="343"/>
      <c r="AW134" s="343"/>
      <c r="AX134" s="343"/>
      <c r="AY134" s="344"/>
      <c r="AZ134" s="345"/>
      <c r="BA134" s="346"/>
    </row>
    <row r="135" spans="1:53">
      <c r="A135" s="2" t="str">
        <f t="shared" si="20"/>
        <v>Res - MF PTA Rebates_Steam Boiler Averaging Controls</v>
      </c>
      <c r="B135" s="18">
        <v>132</v>
      </c>
      <c r="C135" s="18" t="s">
        <v>722</v>
      </c>
      <c r="D135" s="18" t="s">
        <v>277</v>
      </c>
      <c r="E135" s="23" t="s">
        <v>150</v>
      </c>
      <c r="F135" s="23">
        <v>1</v>
      </c>
      <c r="G135" s="154">
        <v>0.88</v>
      </c>
      <c r="H135" s="447">
        <v>20</v>
      </c>
      <c r="I135" s="436">
        <v>20</v>
      </c>
      <c r="J135" s="23">
        <v>0</v>
      </c>
      <c r="K135" s="23">
        <f t="shared" si="19"/>
        <v>0</v>
      </c>
      <c r="L135" s="23">
        <f t="shared" si="19"/>
        <v>0</v>
      </c>
      <c r="M135" s="23">
        <f t="shared" si="19"/>
        <v>0</v>
      </c>
      <c r="N135" s="372">
        <f>X135*Z135*AB135/100000</f>
        <v>171.15600000000001</v>
      </c>
      <c r="O135" s="215">
        <f t="shared" si="18"/>
        <v>171.15600000000001</v>
      </c>
      <c r="P135" s="215">
        <f t="shared" si="18"/>
        <v>171.15600000000001</v>
      </c>
      <c r="Q135" s="215">
        <f t="shared" si="18"/>
        <v>171.15600000000001</v>
      </c>
      <c r="R135" s="15" t="s">
        <v>838</v>
      </c>
      <c r="S135" s="15" t="s">
        <v>276</v>
      </c>
      <c r="T135" s="15" t="s">
        <v>275</v>
      </c>
      <c r="U135" s="15" t="s">
        <v>274</v>
      </c>
      <c r="V135" s="166" t="s">
        <v>270</v>
      </c>
      <c r="W135" s="166" t="s">
        <v>273</v>
      </c>
      <c r="X135" s="398">
        <v>100000</v>
      </c>
      <c r="Y135" s="394" t="s">
        <v>272</v>
      </c>
      <c r="Z135" s="416">
        <v>0.10199999999999999</v>
      </c>
      <c r="AA135" s="468" t="s">
        <v>271</v>
      </c>
      <c r="AB135" s="467">
        <v>1678</v>
      </c>
      <c r="AC135" s="158"/>
      <c r="AD135" s="409"/>
      <c r="AE135" s="158"/>
      <c r="AF135" s="403"/>
      <c r="AG135" s="166"/>
      <c r="AH135" s="166"/>
      <c r="AI135" s="166"/>
      <c r="AJ135" s="166"/>
      <c r="AK135" s="166"/>
      <c r="AL135" s="166"/>
      <c r="AM135" s="166"/>
      <c r="AN135" s="166"/>
      <c r="AO135" s="166"/>
      <c r="AP135" s="166"/>
      <c r="AQ135" s="166"/>
      <c r="AR135" s="166"/>
      <c r="AS135" s="166"/>
      <c r="AT135" s="166"/>
      <c r="AU135" s="343"/>
      <c r="AV135" s="343"/>
      <c r="AW135" s="343"/>
      <c r="AX135" s="343"/>
      <c r="AY135" s="344"/>
      <c r="AZ135" s="345"/>
      <c r="BA135" s="346"/>
    </row>
    <row r="136" spans="1:53">
      <c r="A136" s="2" t="str">
        <f t="shared" si="20"/>
        <v>Res - MF PTA Rebates_Steam Traps - Dry Cleaner/Industrial</v>
      </c>
      <c r="B136" s="18">
        <v>133</v>
      </c>
      <c r="C136" s="18" t="s">
        <v>722</v>
      </c>
      <c r="D136" s="18" t="s">
        <v>269</v>
      </c>
      <c r="E136" s="23" t="s">
        <v>150</v>
      </c>
      <c r="F136" s="23">
        <v>1</v>
      </c>
      <c r="G136" s="154">
        <v>0.88</v>
      </c>
      <c r="H136" s="447">
        <v>6</v>
      </c>
      <c r="I136" s="436">
        <v>6</v>
      </c>
      <c r="J136" s="23">
        <v>0</v>
      </c>
      <c r="K136" s="23">
        <f t="shared" si="19"/>
        <v>0</v>
      </c>
      <c r="L136" s="23">
        <f t="shared" si="19"/>
        <v>0</v>
      </c>
      <c r="M136" s="23">
        <f t="shared" si="19"/>
        <v>0</v>
      </c>
      <c r="N136" s="216">
        <f>X136*(Z136/AB136)*AD136*AF136/100000</f>
        <v>137.91939591078068</v>
      </c>
      <c r="O136" s="215">
        <f t="shared" si="18"/>
        <v>137.91939591078068</v>
      </c>
      <c r="P136" s="215">
        <f t="shared" si="18"/>
        <v>137.91939591078068</v>
      </c>
      <c r="Q136" s="215">
        <f t="shared" si="18"/>
        <v>137.91939591078068</v>
      </c>
      <c r="R136" s="15" t="s">
        <v>838</v>
      </c>
      <c r="S136" s="15" t="s">
        <v>840</v>
      </c>
      <c r="T136" s="15" t="s">
        <v>266</v>
      </c>
      <c r="U136" s="15" t="s">
        <v>265</v>
      </c>
      <c r="V136" s="166" t="s">
        <v>259</v>
      </c>
      <c r="W136" s="166" t="s">
        <v>264</v>
      </c>
      <c r="X136" s="166">
        <v>19.100000000000001</v>
      </c>
      <c r="Y136" s="166" t="s">
        <v>263</v>
      </c>
      <c r="Z136" s="166">
        <v>890</v>
      </c>
      <c r="AA136" s="158" t="s">
        <v>262</v>
      </c>
      <c r="AB136" s="399">
        <v>0.80700000000000005</v>
      </c>
      <c r="AC136" s="158" t="s">
        <v>153</v>
      </c>
      <c r="AD136" s="166">
        <v>2425</v>
      </c>
      <c r="AE136" s="166" t="s">
        <v>260</v>
      </c>
      <c r="AF136" s="397">
        <v>0.27</v>
      </c>
      <c r="AG136" s="166"/>
      <c r="AH136" s="166"/>
      <c r="AI136" s="166"/>
      <c r="AJ136" s="166"/>
      <c r="AK136" s="166"/>
      <c r="AL136" s="166"/>
      <c r="AM136" s="166"/>
      <c r="AN136" s="166"/>
      <c r="AO136" s="166"/>
      <c r="AP136" s="166"/>
      <c r="AQ136" s="166"/>
      <c r="AR136" s="166"/>
      <c r="AS136" s="166"/>
      <c r="AT136" s="166"/>
      <c r="AU136" s="343"/>
      <c r="AV136" s="343"/>
      <c r="AW136" s="343"/>
      <c r="AX136" s="343"/>
      <c r="AY136" s="344"/>
      <c r="AZ136" s="345"/>
      <c r="BA136" s="346"/>
    </row>
    <row r="137" spans="1:53">
      <c r="A137" s="2" t="str">
        <f t="shared" si="20"/>
        <v>Res - MF PTA Rebates_Steam Traps - HVAC Repair/Rep - Audit</v>
      </c>
      <c r="B137" s="18">
        <v>134</v>
      </c>
      <c r="C137" s="18" t="s">
        <v>722</v>
      </c>
      <c r="D137" s="18" t="s">
        <v>268</v>
      </c>
      <c r="E137" s="23" t="s">
        <v>150</v>
      </c>
      <c r="F137" s="23">
        <v>1</v>
      </c>
      <c r="G137" s="154">
        <v>0.88</v>
      </c>
      <c r="H137" s="447">
        <v>6</v>
      </c>
      <c r="I137" s="436">
        <v>6</v>
      </c>
      <c r="J137" s="23">
        <v>0</v>
      </c>
      <c r="K137" s="23">
        <f t="shared" si="19"/>
        <v>0</v>
      </c>
      <c r="L137" s="23">
        <f t="shared" si="19"/>
        <v>0</v>
      </c>
      <c r="M137" s="23">
        <f t="shared" si="19"/>
        <v>0</v>
      </c>
      <c r="N137" s="216">
        <f>X137*(Z137/AB137)*AD137*AF137/100000</f>
        <v>110.15789625000002</v>
      </c>
      <c r="O137" s="215">
        <f t="shared" si="18"/>
        <v>110.15789625000002</v>
      </c>
      <c r="P137" s="215">
        <f t="shared" si="18"/>
        <v>110.15789625000002</v>
      </c>
      <c r="Q137" s="215">
        <f t="shared" si="18"/>
        <v>110.15789625000002</v>
      </c>
      <c r="R137" s="15" t="s">
        <v>838</v>
      </c>
      <c r="S137" s="15" t="s">
        <v>840</v>
      </c>
      <c r="T137" s="15" t="s">
        <v>266</v>
      </c>
      <c r="U137" s="15" t="s">
        <v>265</v>
      </c>
      <c r="V137" s="166" t="s">
        <v>259</v>
      </c>
      <c r="W137" s="166" t="s">
        <v>264</v>
      </c>
      <c r="X137" s="166">
        <v>6.9</v>
      </c>
      <c r="Y137" s="166" t="s">
        <v>263</v>
      </c>
      <c r="Z137" s="166">
        <v>951</v>
      </c>
      <c r="AA137" s="158" t="s">
        <v>262</v>
      </c>
      <c r="AB137" s="399">
        <v>0.64800000000000002</v>
      </c>
      <c r="AC137" s="158" t="s">
        <v>261</v>
      </c>
      <c r="AD137" s="166">
        <v>4029</v>
      </c>
      <c r="AE137" s="166" t="s">
        <v>260</v>
      </c>
      <c r="AF137" s="397">
        <v>0.27</v>
      </c>
      <c r="AG137" s="166"/>
      <c r="AH137" s="166"/>
      <c r="AI137" s="166"/>
      <c r="AJ137" s="166"/>
      <c r="AK137" s="166"/>
      <c r="AL137" s="166"/>
      <c r="AM137" s="166"/>
      <c r="AN137" s="166"/>
      <c r="AO137" s="166"/>
      <c r="AP137" s="166"/>
      <c r="AQ137" s="166"/>
      <c r="AR137" s="166"/>
      <c r="AS137" s="166"/>
      <c r="AT137" s="166"/>
      <c r="AU137" s="343"/>
      <c r="AV137" s="343"/>
      <c r="AW137" s="343"/>
      <c r="AX137" s="343"/>
      <c r="AY137" s="344"/>
      <c r="AZ137" s="345"/>
      <c r="BA137" s="346"/>
    </row>
    <row r="138" spans="1:53">
      <c r="A138" s="2" t="str">
        <f t="shared" si="20"/>
        <v>Res - MF PTA Rebates_Steam Traps - HVAC Repair/Rep - No Audit</v>
      </c>
      <c r="B138" s="18">
        <v>135</v>
      </c>
      <c r="C138" s="18" t="s">
        <v>722</v>
      </c>
      <c r="D138" s="18" t="s">
        <v>267</v>
      </c>
      <c r="E138" s="23" t="s">
        <v>150</v>
      </c>
      <c r="F138" s="23">
        <v>1</v>
      </c>
      <c r="G138" s="154">
        <v>0.88</v>
      </c>
      <c r="H138" s="447">
        <v>6</v>
      </c>
      <c r="I138" s="436">
        <v>6</v>
      </c>
      <c r="J138" s="23">
        <v>0</v>
      </c>
      <c r="K138" s="23">
        <f t="shared" si="19"/>
        <v>0</v>
      </c>
      <c r="L138" s="23">
        <f t="shared" si="19"/>
        <v>0</v>
      </c>
      <c r="M138" s="23">
        <f t="shared" si="19"/>
        <v>0</v>
      </c>
      <c r="N138" s="216">
        <f>X138*(Z138/AB138)*AD138*AF138/100000</f>
        <v>110.15789625000002</v>
      </c>
      <c r="O138" s="215">
        <f t="shared" si="18"/>
        <v>110.15789625000002</v>
      </c>
      <c r="P138" s="215">
        <f t="shared" si="18"/>
        <v>110.15789625000002</v>
      </c>
      <c r="Q138" s="215">
        <f t="shared" si="18"/>
        <v>110.15789625000002</v>
      </c>
      <c r="R138" s="15" t="s">
        <v>838</v>
      </c>
      <c r="S138" s="15" t="s">
        <v>840</v>
      </c>
      <c r="T138" s="15" t="s">
        <v>266</v>
      </c>
      <c r="U138" s="15" t="s">
        <v>265</v>
      </c>
      <c r="V138" s="166" t="s">
        <v>259</v>
      </c>
      <c r="W138" s="166" t="s">
        <v>264</v>
      </c>
      <c r="X138" s="166">
        <v>6.9</v>
      </c>
      <c r="Y138" s="166" t="s">
        <v>263</v>
      </c>
      <c r="Z138" s="166">
        <v>951</v>
      </c>
      <c r="AA138" s="158" t="s">
        <v>262</v>
      </c>
      <c r="AB138" s="399">
        <v>0.64800000000000002</v>
      </c>
      <c r="AC138" s="158" t="s">
        <v>261</v>
      </c>
      <c r="AD138" s="166">
        <v>4029</v>
      </c>
      <c r="AE138" s="166" t="s">
        <v>260</v>
      </c>
      <c r="AF138" s="397">
        <v>0.27</v>
      </c>
      <c r="AG138" s="166"/>
      <c r="AH138" s="166"/>
      <c r="AI138" s="166"/>
      <c r="AJ138" s="166"/>
      <c r="AK138" s="166"/>
      <c r="AL138" s="166"/>
      <c r="AM138" s="166"/>
      <c r="AN138" s="166"/>
      <c r="AO138" s="166"/>
      <c r="AP138" s="166"/>
      <c r="AQ138" s="166"/>
      <c r="AR138" s="166"/>
      <c r="AS138" s="166"/>
      <c r="AT138" s="166"/>
      <c r="AU138" s="343"/>
      <c r="AV138" s="343"/>
      <c r="AW138" s="343"/>
      <c r="AX138" s="343"/>
      <c r="AY138" s="344"/>
      <c r="AZ138" s="345"/>
      <c r="BA138" s="346"/>
    </row>
    <row r="139" spans="1:53">
      <c r="A139" s="2" t="str">
        <f t="shared" si="20"/>
        <v>Res - MF PTA Rebates_Steam Traps - Test</v>
      </c>
      <c r="B139" s="18">
        <v>136</v>
      </c>
      <c r="C139" s="18" t="s">
        <v>722</v>
      </c>
      <c r="D139" s="18" t="s">
        <v>258</v>
      </c>
      <c r="E139" s="23" t="s">
        <v>150</v>
      </c>
      <c r="F139" s="23">
        <v>1</v>
      </c>
      <c r="G139" s="154">
        <v>0.88</v>
      </c>
      <c r="H139" s="447">
        <v>3</v>
      </c>
      <c r="I139" s="436">
        <v>3</v>
      </c>
      <c r="J139" s="23">
        <v>0</v>
      </c>
      <c r="K139" s="23">
        <f t="shared" si="19"/>
        <v>0</v>
      </c>
      <c r="L139" s="23">
        <f t="shared" si="19"/>
        <v>0</v>
      </c>
      <c r="M139" s="23">
        <f t="shared" si="19"/>
        <v>0</v>
      </c>
      <c r="N139" s="216">
        <v>0</v>
      </c>
      <c r="O139" s="215">
        <f t="shared" si="18"/>
        <v>0</v>
      </c>
      <c r="P139" s="215">
        <f t="shared" si="18"/>
        <v>0</v>
      </c>
      <c r="Q139" s="215">
        <f t="shared" si="18"/>
        <v>0</v>
      </c>
      <c r="R139" s="15" t="s">
        <v>140</v>
      </c>
      <c r="S139" s="15" t="s">
        <v>140</v>
      </c>
      <c r="T139" s="15" t="s">
        <v>140</v>
      </c>
      <c r="U139" s="15" t="s">
        <v>140</v>
      </c>
      <c r="V139" s="390" t="s">
        <v>140</v>
      </c>
      <c r="W139" s="166"/>
      <c r="X139" s="166"/>
      <c r="Y139" s="166"/>
      <c r="Z139" s="166"/>
      <c r="AA139" s="158"/>
      <c r="AB139" s="397"/>
      <c r="AC139" s="158"/>
      <c r="AD139" s="166"/>
      <c r="AE139" s="158"/>
      <c r="AF139" s="397"/>
      <c r="AG139" s="166"/>
      <c r="AH139" s="397"/>
      <c r="AI139" s="166"/>
      <c r="AJ139" s="397"/>
      <c r="AK139" s="166"/>
      <c r="AL139" s="166"/>
      <c r="AM139" s="166"/>
      <c r="AN139" s="166"/>
      <c r="AO139" s="166"/>
      <c r="AP139" s="166"/>
      <c r="AQ139" s="166"/>
      <c r="AR139" s="166"/>
      <c r="AS139" s="166"/>
      <c r="AT139" s="166"/>
      <c r="AU139" s="343"/>
      <c r="AV139" s="343"/>
      <c r="AW139" s="343"/>
      <c r="AX139" s="343"/>
      <c r="AY139" s="344"/>
      <c r="AZ139" s="345"/>
      <c r="BA139" s="346"/>
    </row>
    <row r="140" spans="1:53">
      <c r="A140" s="2" t="str">
        <f t="shared" si="20"/>
        <v>Res - MF PTA Rebates_Thermostat - Programmable</v>
      </c>
      <c r="B140" s="18">
        <v>137</v>
      </c>
      <c r="C140" s="18" t="s">
        <v>722</v>
      </c>
      <c r="D140" s="18" t="s">
        <v>226</v>
      </c>
      <c r="E140" s="23" t="s">
        <v>150</v>
      </c>
      <c r="F140" s="23">
        <v>1</v>
      </c>
      <c r="G140" s="154">
        <v>0.88</v>
      </c>
      <c r="H140" s="447">
        <v>4</v>
      </c>
      <c r="I140" s="436">
        <v>4</v>
      </c>
      <c r="J140" s="23">
        <v>0</v>
      </c>
      <c r="K140" s="23">
        <f t="shared" si="19"/>
        <v>0</v>
      </c>
      <c r="L140" s="23">
        <f t="shared" si="19"/>
        <v>0</v>
      </c>
      <c r="M140" s="23">
        <f t="shared" si="19"/>
        <v>0</v>
      </c>
      <c r="N140" s="341">
        <f>'Thermostat Detail'!$L$13</f>
        <v>124.68584320000001</v>
      </c>
      <c r="O140" s="215">
        <f t="shared" si="18"/>
        <v>124.68584320000001</v>
      </c>
      <c r="P140" s="215">
        <f t="shared" si="18"/>
        <v>124.68584320000001</v>
      </c>
      <c r="Q140" s="215">
        <f t="shared" si="18"/>
        <v>124.68584320000001</v>
      </c>
      <c r="R140" s="15" t="s">
        <v>839</v>
      </c>
      <c r="S140" s="15" t="s">
        <v>840</v>
      </c>
      <c r="T140" s="15" t="s">
        <v>225</v>
      </c>
      <c r="U140" s="15" t="s">
        <v>224</v>
      </c>
      <c r="V140" s="413" t="s">
        <v>833</v>
      </c>
      <c r="W140" s="166"/>
      <c r="X140" s="166"/>
      <c r="Y140" s="166"/>
      <c r="Z140" s="166"/>
      <c r="AA140" s="158"/>
      <c r="AB140" s="397"/>
      <c r="AC140" s="158"/>
      <c r="AD140" s="166"/>
      <c r="AE140" s="158"/>
      <c r="AF140" s="397"/>
      <c r="AG140" s="166"/>
      <c r="AH140" s="397"/>
      <c r="AI140" s="166"/>
      <c r="AJ140" s="397"/>
      <c r="AK140" s="166"/>
      <c r="AL140" s="166"/>
      <c r="AM140" s="166"/>
      <c r="AN140" s="166"/>
      <c r="AO140" s="166"/>
      <c r="AP140" s="166"/>
      <c r="AQ140" s="166"/>
      <c r="AR140" s="166"/>
      <c r="AS140" s="166"/>
      <c r="AT140" s="166"/>
      <c r="AU140" s="343"/>
      <c r="AV140" s="343"/>
      <c r="AW140" s="343"/>
      <c r="AX140" s="343"/>
      <c r="AY140" s="344"/>
      <c r="AZ140" s="345"/>
      <c r="BA140" s="346"/>
    </row>
    <row r="141" spans="1:53">
      <c r="A141" s="2" t="str">
        <f t="shared" si="20"/>
        <v>Res - MF Rebates_Multifamily Custom</v>
      </c>
      <c r="B141" s="18">
        <v>138</v>
      </c>
      <c r="C141" s="18" t="s">
        <v>705</v>
      </c>
      <c r="D141" s="18" t="s">
        <v>669</v>
      </c>
      <c r="E141" s="23" t="s">
        <v>150</v>
      </c>
      <c r="F141" s="23">
        <v>1300</v>
      </c>
      <c r="G141" s="154">
        <v>0.72</v>
      </c>
      <c r="H141" s="447">
        <v>15</v>
      </c>
      <c r="I141" s="436">
        <v>15</v>
      </c>
      <c r="J141" s="23">
        <v>3</v>
      </c>
      <c r="K141" s="23">
        <f t="shared" ref="K141:K155" si="21">J141</f>
        <v>3</v>
      </c>
      <c r="L141" s="23">
        <v>1</v>
      </c>
      <c r="M141" s="23">
        <v>3</v>
      </c>
      <c r="N141" s="215">
        <v>1</v>
      </c>
      <c r="O141" s="215">
        <f t="shared" si="18"/>
        <v>1</v>
      </c>
      <c r="P141" s="215">
        <f t="shared" si="18"/>
        <v>1</v>
      </c>
      <c r="Q141" s="215">
        <f t="shared" si="18"/>
        <v>1</v>
      </c>
      <c r="R141" s="15" t="s">
        <v>140</v>
      </c>
      <c r="S141" s="15" t="s">
        <v>140</v>
      </c>
      <c r="T141" s="15" t="s">
        <v>140</v>
      </c>
      <c r="U141" s="15" t="s">
        <v>140</v>
      </c>
      <c r="V141" s="390" t="s">
        <v>140</v>
      </c>
      <c r="W141" s="390"/>
      <c r="X141" s="390"/>
      <c r="Y141" s="390"/>
      <c r="Z141" s="390"/>
      <c r="AA141" s="390"/>
      <c r="AB141" s="390"/>
      <c r="AC141" s="390"/>
      <c r="AD141" s="390"/>
      <c r="AE141" s="390"/>
      <c r="AF141" s="390"/>
      <c r="AG141" s="390"/>
      <c r="AH141" s="390"/>
      <c r="AI141" s="390"/>
      <c r="AJ141" s="390"/>
      <c r="AK141" s="390"/>
      <c r="AL141" s="390"/>
      <c r="AM141" s="390"/>
      <c r="AN141" s="390"/>
      <c r="AO141" s="390"/>
      <c r="AP141" s="390"/>
      <c r="AQ141" s="390"/>
      <c r="AR141" s="390"/>
      <c r="AS141" s="390"/>
      <c r="AT141" s="390"/>
      <c r="AU141" s="343"/>
      <c r="AV141" s="343"/>
      <c r="AW141" s="343"/>
      <c r="AX141" s="343"/>
      <c r="AY141" s="344"/>
      <c r="AZ141" s="345"/>
      <c r="BA141" s="346"/>
    </row>
    <row r="142" spans="1:53">
      <c r="A142" s="2" t="str">
        <f t="shared" si="20"/>
        <v>Bus - CI Assessments_Aerator - Bathroom</v>
      </c>
      <c r="B142" s="18">
        <v>139</v>
      </c>
      <c r="C142" s="18" t="s">
        <v>708</v>
      </c>
      <c r="D142" s="18" t="s">
        <v>726</v>
      </c>
      <c r="E142" s="23" t="s">
        <v>150</v>
      </c>
      <c r="F142" s="23">
        <v>1</v>
      </c>
      <c r="G142" s="154">
        <v>0.79</v>
      </c>
      <c r="H142" s="447">
        <v>9</v>
      </c>
      <c r="I142" s="443">
        <v>10</v>
      </c>
      <c r="J142" s="23">
        <v>35</v>
      </c>
      <c r="K142" s="23">
        <f t="shared" si="21"/>
        <v>35</v>
      </c>
      <c r="L142" s="23">
        <f t="shared" ref="L142:M146" si="22">K142</f>
        <v>35</v>
      </c>
      <c r="M142" s="23">
        <f t="shared" si="22"/>
        <v>35</v>
      </c>
      <c r="N142" s="215">
        <f>((X142-Z142)/X142)*AB142*AD142*AF142*AH142*AL142*AJ142</f>
        <v>6.1049460431654667</v>
      </c>
      <c r="O142" s="215">
        <f t="shared" si="18"/>
        <v>6.1049460431654667</v>
      </c>
      <c r="P142" s="215">
        <f t="shared" si="18"/>
        <v>6.1049460431654667</v>
      </c>
      <c r="Q142" s="215">
        <f t="shared" si="18"/>
        <v>6.1049460431654667</v>
      </c>
      <c r="R142" s="15" t="s">
        <v>838</v>
      </c>
      <c r="S142" s="15" t="s">
        <v>840</v>
      </c>
      <c r="T142" s="15" t="s">
        <v>367</v>
      </c>
      <c r="U142" s="15" t="s">
        <v>366</v>
      </c>
      <c r="V142" s="390" t="s">
        <v>362</v>
      </c>
      <c r="W142" s="390" t="s">
        <v>359</v>
      </c>
      <c r="X142" s="390">
        <v>1.39</v>
      </c>
      <c r="Y142" s="390" t="s">
        <v>358</v>
      </c>
      <c r="Z142" s="390">
        <v>0.94</v>
      </c>
      <c r="AA142" s="390" t="s">
        <v>357</v>
      </c>
      <c r="AB142" s="390">
        <v>1</v>
      </c>
      <c r="AC142" s="390" t="s">
        <v>368</v>
      </c>
      <c r="AD142" s="392">
        <v>1</v>
      </c>
      <c r="AE142" s="390" t="s">
        <v>364</v>
      </c>
      <c r="AF142" s="390">
        <v>20</v>
      </c>
      <c r="AG142" s="390" t="s">
        <v>363</v>
      </c>
      <c r="AH142" s="390">
        <v>250</v>
      </c>
      <c r="AI142" s="390" t="s">
        <v>355</v>
      </c>
      <c r="AJ142" s="393">
        <v>3.9699999999999996E-3</v>
      </c>
      <c r="AK142" s="390" t="s">
        <v>354</v>
      </c>
      <c r="AL142" s="392">
        <v>0.95</v>
      </c>
      <c r="AM142" s="390"/>
      <c r="AN142" s="390"/>
      <c r="AO142" s="166"/>
      <c r="AP142" s="166"/>
      <c r="AQ142" s="166"/>
      <c r="AR142" s="166"/>
      <c r="AS142" s="166"/>
      <c r="AT142" s="166"/>
      <c r="AU142" s="343"/>
      <c r="AV142" s="343"/>
      <c r="AW142" s="343"/>
      <c r="AX142" s="343"/>
      <c r="AY142" s="344"/>
      <c r="AZ142" s="347"/>
      <c r="BA142" s="346"/>
    </row>
    <row r="143" spans="1:53">
      <c r="A143" s="2" t="str">
        <f t="shared" si="20"/>
        <v>Bus - CI Assessments_Aerator - Kitchen</v>
      </c>
      <c r="B143" s="18">
        <v>140</v>
      </c>
      <c r="C143" s="18" t="s">
        <v>708</v>
      </c>
      <c r="D143" s="18" t="s">
        <v>727</v>
      </c>
      <c r="E143" s="23" t="s">
        <v>150</v>
      </c>
      <c r="F143" s="23">
        <v>1</v>
      </c>
      <c r="G143" s="154">
        <v>0.79</v>
      </c>
      <c r="H143" s="447">
        <v>9</v>
      </c>
      <c r="I143" s="443">
        <v>10</v>
      </c>
      <c r="J143" s="23">
        <v>8</v>
      </c>
      <c r="K143" s="23">
        <f t="shared" si="21"/>
        <v>8</v>
      </c>
      <c r="L143" s="23">
        <f t="shared" si="22"/>
        <v>8</v>
      </c>
      <c r="M143" s="23">
        <f t="shared" si="22"/>
        <v>8</v>
      </c>
      <c r="N143" s="215">
        <f>((X143-Z143)/X143)*AB143*AD143*AF143*AH143*AL143*AJ143</f>
        <v>7.4428057553956819</v>
      </c>
      <c r="O143" s="215">
        <f t="shared" si="18"/>
        <v>7.4428057553956819</v>
      </c>
      <c r="P143" s="215">
        <f t="shared" si="18"/>
        <v>7.4428057553956819</v>
      </c>
      <c r="Q143" s="215">
        <f t="shared" si="18"/>
        <v>7.4428057553956819</v>
      </c>
      <c r="R143" s="15" t="s">
        <v>838</v>
      </c>
      <c r="S143" s="15" t="s">
        <v>840</v>
      </c>
      <c r="T143" s="15" t="s">
        <v>367</v>
      </c>
      <c r="U143" s="15" t="s">
        <v>366</v>
      </c>
      <c r="V143" s="390" t="s">
        <v>362</v>
      </c>
      <c r="W143" s="390" t="s">
        <v>359</v>
      </c>
      <c r="X143" s="390">
        <v>1.39</v>
      </c>
      <c r="Y143" s="390" t="s">
        <v>358</v>
      </c>
      <c r="Z143" s="390">
        <v>0.94</v>
      </c>
      <c r="AA143" s="390" t="s">
        <v>357</v>
      </c>
      <c r="AB143" s="390">
        <v>1</v>
      </c>
      <c r="AC143" s="390" t="s">
        <v>365</v>
      </c>
      <c r="AD143" s="392">
        <v>1</v>
      </c>
      <c r="AE143" s="390" t="s">
        <v>364</v>
      </c>
      <c r="AF143" s="390">
        <v>20</v>
      </c>
      <c r="AG143" s="390" t="s">
        <v>363</v>
      </c>
      <c r="AH143" s="390">
        <v>250</v>
      </c>
      <c r="AI143" s="390" t="s">
        <v>355</v>
      </c>
      <c r="AJ143" s="393">
        <v>4.8399999999999997E-3</v>
      </c>
      <c r="AK143" s="390" t="s">
        <v>354</v>
      </c>
      <c r="AL143" s="392">
        <v>0.95</v>
      </c>
      <c r="AM143" s="390"/>
      <c r="AN143" s="390"/>
      <c r="AO143" s="166"/>
      <c r="AP143" s="166"/>
      <c r="AQ143" s="166"/>
      <c r="AR143" s="166"/>
      <c r="AS143" s="166"/>
      <c r="AT143" s="166"/>
      <c r="AU143" s="343"/>
      <c r="AV143" s="343"/>
      <c r="AW143" s="343"/>
      <c r="AX143" s="343"/>
      <c r="AY143" s="344"/>
      <c r="AZ143" s="345"/>
      <c r="BA143" s="346"/>
    </row>
    <row r="144" spans="1:53">
      <c r="A144" s="2" t="str">
        <f t="shared" si="20"/>
        <v>Bus - CI Assessments_Showerhead</v>
      </c>
      <c r="B144" s="18">
        <v>141</v>
      </c>
      <c r="C144" s="18" t="s">
        <v>708</v>
      </c>
      <c r="D144" s="18" t="s">
        <v>731</v>
      </c>
      <c r="E144" s="23" t="s">
        <v>150</v>
      </c>
      <c r="F144" s="23">
        <v>1</v>
      </c>
      <c r="G144" s="154">
        <v>0.79</v>
      </c>
      <c r="H144" s="447">
        <v>10</v>
      </c>
      <c r="I144" s="436">
        <v>10</v>
      </c>
      <c r="J144" s="23">
        <v>1</v>
      </c>
      <c r="K144" s="23">
        <f t="shared" si="21"/>
        <v>1</v>
      </c>
      <c r="L144" s="23">
        <f t="shared" si="22"/>
        <v>1</v>
      </c>
      <c r="M144" s="23">
        <f t="shared" si="22"/>
        <v>1</v>
      </c>
      <c r="N144" s="215">
        <f>100%*((X144*AB144-Z144*AB144)*AD144*365.25)*AF144*AH144</f>
        <v>19.917921113999995</v>
      </c>
      <c r="O144" s="215">
        <f t="shared" si="18"/>
        <v>19.917921113999995</v>
      </c>
      <c r="P144" s="215">
        <f t="shared" si="18"/>
        <v>19.917921113999995</v>
      </c>
      <c r="Q144" s="215">
        <f t="shared" si="18"/>
        <v>19.917921113999995</v>
      </c>
      <c r="R144" s="15" t="s">
        <v>838</v>
      </c>
      <c r="S144" s="15" t="s">
        <v>840</v>
      </c>
      <c r="T144" s="15" t="s">
        <v>361</v>
      </c>
      <c r="U144" s="15" t="s">
        <v>360</v>
      </c>
      <c r="V144" s="390" t="s">
        <v>353</v>
      </c>
      <c r="W144" s="390" t="s">
        <v>359</v>
      </c>
      <c r="X144" s="390">
        <v>2.67</v>
      </c>
      <c r="Y144" s="390" t="s">
        <v>358</v>
      </c>
      <c r="Z144" s="390">
        <v>1.5</v>
      </c>
      <c r="AA144" s="390" t="s">
        <v>357</v>
      </c>
      <c r="AB144" s="390">
        <v>8.1999999999999993</v>
      </c>
      <c r="AC144" s="390" t="s">
        <v>356</v>
      </c>
      <c r="AD144" s="390">
        <v>1</v>
      </c>
      <c r="AE144" s="390" t="s">
        <v>355</v>
      </c>
      <c r="AF144" s="465">
        <v>5.7999999999999996E-3</v>
      </c>
      <c r="AG144" s="390" t="s">
        <v>354</v>
      </c>
      <c r="AH144" s="392">
        <v>0.98</v>
      </c>
      <c r="AI144" s="390"/>
      <c r="AJ144" s="390"/>
      <c r="AK144" s="390"/>
      <c r="AL144" s="390"/>
      <c r="AM144" s="390"/>
      <c r="AN144" s="390"/>
      <c r="AO144" s="166"/>
      <c r="AP144" s="166"/>
      <c r="AQ144" s="166"/>
      <c r="AR144" s="166"/>
      <c r="AS144" s="166"/>
      <c r="AT144" s="166"/>
      <c r="AU144" s="343"/>
      <c r="AV144" s="343"/>
      <c r="AW144" s="343"/>
      <c r="AX144" s="343"/>
      <c r="AY144" s="344"/>
      <c r="AZ144" s="345"/>
      <c r="BA144" s="346"/>
    </row>
    <row r="145" spans="1:53">
      <c r="A145" s="2" t="str">
        <f t="shared" si="20"/>
        <v>Bus - CI Assessments_Pre Rinse Sprayer</v>
      </c>
      <c r="B145" s="18">
        <v>142</v>
      </c>
      <c r="C145" s="18" t="s">
        <v>708</v>
      </c>
      <c r="D145" s="18" t="s">
        <v>710</v>
      </c>
      <c r="E145" s="23" t="s">
        <v>150</v>
      </c>
      <c r="F145" s="23">
        <v>1</v>
      </c>
      <c r="G145" s="154">
        <v>0.79</v>
      </c>
      <c r="H145" s="447">
        <v>5</v>
      </c>
      <c r="I145" s="436">
        <v>5</v>
      </c>
      <c r="J145" s="23">
        <v>0</v>
      </c>
      <c r="K145" s="23">
        <f t="shared" si="21"/>
        <v>0</v>
      </c>
      <c r="L145" s="23">
        <f t="shared" si="22"/>
        <v>0</v>
      </c>
      <c r="M145" s="23">
        <f t="shared" si="22"/>
        <v>0</v>
      </c>
      <c r="N145" s="215">
        <f>(X145-Z145)*60*AB145*AD145*8.33*1*(AF145-AH145)*(1/AJ145)/100000</f>
        <v>474.829992</v>
      </c>
      <c r="O145" s="215">
        <f t="shared" ref="O145:Q164" si="23">N145</f>
        <v>474.829992</v>
      </c>
      <c r="P145" s="215">
        <f t="shared" si="23"/>
        <v>474.829992</v>
      </c>
      <c r="Q145" s="215">
        <f t="shared" si="23"/>
        <v>474.829992</v>
      </c>
      <c r="R145" s="15" t="s">
        <v>838</v>
      </c>
      <c r="S145" s="15" t="s">
        <v>840</v>
      </c>
      <c r="T145" s="15" t="s">
        <v>351</v>
      </c>
      <c r="U145" s="15" t="s">
        <v>350</v>
      </c>
      <c r="V145" s="157" t="s">
        <v>344</v>
      </c>
      <c r="W145" s="390" t="s">
        <v>349</v>
      </c>
      <c r="X145" s="461">
        <v>2.14</v>
      </c>
      <c r="Y145" s="390" t="s">
        <v>348</v>
      </c>
      <c r="Z145" s="462">
        <v>0.98</v>
      </c>
      <c r="AA145" s="390" t="s">
        <v>347</v>
      </c>
      <c r="AB145" s="418">
        <v>3</v>
      </c>
      <c r="AC145" s="390" t="s">
        <v>346</v>
      </c>
      <c r="AD145" s="390">
        <v>312</v>
      </c>
      <c r="AE145" s="390" t="s">
        <v>251</v>
      </c>
      <c r="AF145" s="419">
        <f>70+AH145</f>
        <v>124.1</v>
      </c>
      <c r="AG145" s="390" t="s">
        <v>250</v>
      </c>
      <c r="AH145" s="463">
        <v>54.1</v>
      </c>
      <c r="AI145" s="390" t="s">
        <v>345</v>
      </c>
      <c r="AJ145" s="392">
        <v>0.8</v>
      </c>
      <c r="AK145" s="166"/>
      <c r="AL145" s="166"/>
      <c r="AM145" s="166"/>
      <c r="AN145" s="166"/>
      <c r="AO145" s="166"/>
      <c r="AP145" s="166"/>
      <c r="AQ145" s="166"/>
      <c r="AR145" s="166"/>
      <c r="AS145" s="166"/>
      <c r="AT145" s="166"/>
      <c r="AU145" s="343"/>
      <c r="AV145" s="343"/>
      <c r="AW145" s="343"/>
      <c r="AX145" s="343"/>
      <c r="AY145" s="344"/>
      <c r="AZ145" s="345"/>
      <c r="BA145" s="346"/>
    </row>
    <row r="146" spans="1:53">
      <c r="A146" s="2" t="str">
        <f t="shared" si="20"/>
        <v>Bus - CI Assessments_Laminar</v>
      </c>
      <c r="B146" s="18">
        <v>143</v>
      </c>
      <c r="C146" s="18" t="s">
        <v>708</v>
      </c>
      <c r="D146" s="18" t="s">
        <v>352</v>
      </c>
      <c r="E146" s="23" t="s">
        <v>150</v>
      </c>
      <c r="F146" s="23">
        <v>1</v>
      </c>
      <c r="G146" s="154">
        <v>0.79</v>
      </c>
      <c r="H146" s="447">
        <v>9</v>
      </c>
      <c r="I146" s="436">
        <v>9</v>
      </c>
      <c r="J146" s="23">
        <v>400</v>
      </c>
      <c r="K146" s="23">
        <f t="shared" si="21"/>
        <v>400</v>
      </c>
      <c r="L146" s="23">
        <f t="shared" si="22"/>
        <v>400</v>
      </c>
      <c r="M146" s="23">
        <f t="shared" si="22"/>
        <v>400</v>
      </c>
      <c r="N146" s="216">
        <f>5010/280</f>
        <v>17.892857142857142</v>
      </c>
      <c r="O146" s="215">
        <f t="shared" si="23"/>
        <v>17.892857142857142</v>
      </c>
      <c r="P146" s="215">
        <f t="shared" si="23"/>
        <v>17.892857142857142</v>
      </c>
      <c r="Q146" s="215">
        <f t="shared" si="23"/>
        <v>17.892857142857142</v>
      </c>
      <c r="R146" s="15" t="s">
        <v>140</v>
      </c>
      <c r="S146" s="15" t="s">
        <v>140</v>
      </c>
      <c r="T146" s="15" t="s">
        <v>140</v>
      </c>
      <c r="U146" s="15" t="s">
        <v>140</v>
      </c>
      <c r="V146" s="410"/>
      <c r="W146" s="166"/>
      <c r="X146" s="166"/>
      <c r="Y146" s="166"/>
      <c r="Z146" s="166"/>
      <c r="AA146" s="158"/>
      <c r="AB146" s="166"/>
      <c r="AC146" s="158"/>
      <c r="AD146" s="166"/>
      <c r="AE146" s="158"/>
      <c r="AF146" s="166"/>
      <c r="AG146" s="166"/>
      <c r="AH146" s="166"/>
      <c r="AI146" s="166"/>
      <c r="AJ146" s="166"/>
      <c r="AK146" s="166"/>
      <c r="AL146" s="166"/>
      <c r="AM146" s="166"/>
      <c r="AN146" s="166"/>
      <c r="AO146" s="166"/>
      <c r="AP146" s="166"/>
      <c r="AQ146" s="166"/>
      <c r="AR146" s="166"/>
      <c r="AS146" s="166"/>
      <c r="AT146" s="166"/>
      <c r="AU146" s="343"/>
      <c r="AV146" s="343"/>
      <c r="AW146" s="343"/>
      <c r="AX146" s="343"/>
      <c r="AY146" s="344"/>
      <c r="AZ146" s="345"/>
      <c r="BA146" s="346"/>
    </row>
    <row r="147" spans="1:53">
      <c r="A147" s="2" t="str">
        <f t="shared" si="20"/>
        <v>Bus - SB Assessments_Aerator - Bathroom</v>
      </c>
      <c r="B147" s="18">
        <v>144</v>
      </c>
      <c r="C147" s="18" t="s">
        <v>709</v>
      </c>
      <c r="D147" s="18" t="s">
        <v>726</v>
      </c>
      <c r="E147" s="23" t="s">
        <v>150</v>
      </c>
      <c r="F147" s="23">
        <v>1</v>
      </c>
      <c r="G147" s="154">
        <v>0.92</v>
      </c>
      <c r="H147" s="447">
        <v>9</v>
      </c>
      <c r="I147" s="443">
        <v>10</v>
      </c>
      <c r="J147" s="23">
        <v>72</v>
      </c>
      <c r="K147" s="23">
        <f t="shared" si="21"/>
        <v>72</v>
      </c>
      <c r="L147" s="23">
        <f t="shared" ref="L147:L152" si="24">K147</f>
        <v>72</v>
      </c>
      <c r="M147" s="23">
        <f t="shared" ref="M147:M152" si="25">K147</f>
        <v>72</v>
      </c>
      <c r="N147" s="215">
        <f>((X147-Z147)/X147)*AB147*AD147*AF147*AH147*AL147*AJ147</f>
        <v>6.1049460431654667</v>
      </c>
      <c r="O147" s="215">
        <f t="shared" si="23"/>
        <v>6.1049460431654667</v>
      </c>
      <c r="P147" s="215">
        <f t="shared" si="23"/>
        <v>6.1049460431654667</v>
      </c>
      <c r="Q147" s="215">
        <f t="shared" si="23"/>
        <v>6.1049460431654667</v>
      </c>
      <c r="R147" s="15" t="s">
        <v>838</v>
      </c>
      <c r="S147" s="15" t="s">
        <v>840</v>
      </c>
      <c r="T147" s="15" t="s">
        <v>367</v>
      </c>
      <c r="U147" s="15" t="s">
        <v>366</v>
      </c>
      <c r="V147" s="390" t="s">
        <v>362</v>
      </c>
      <c r="W147" s="390" t="s">
        <v>359</v>
      </c>
      <c r="X147" s="390">
        <v>1.39</v>
      </c>
      <c r="Y147" s="390" t="s">
        <v>358</v>
      </c>
      <c r="Z147" s="390">
        <v>0.94</v>
      </c>
      <c r="AA147" s="390" t="s">
        <v>357</v>
      </c>
      <c r="AB147" s="390">
        <v>1</v>
      </c>
      <c r="AC147" s="390" t="s">
        <v>368</v>
      </c>
      <c r="AD147" s="392">
        <v>1</v>
      </c>
      <c r="AE147" s="390" t="s">
        <v>364</v>
      </c>
      <c r="AF147" s="390">
        <v>20</v>
      </c>
      <c r="AG147" s="390" t="s">
        <v>363</v>
      </c>
      <c r="AH147" s="390">
        <v>250</v>
      </c>
      <c r="AI147" s="390" t="s">
        <v>355</v>
      </c>
      <c r="AJ147" s="393">
        <v>3.9699999999999996E-3</v>
      </c>
      <c r="AK147" s="390" t="s">
        <v>354</v>
      </c>
      <c r="AL147" s="392">
        <v>0.95</v>
      </c>
      <c r="AM147" s="390"/>
      <c r="AN147" s="390"/>
      <c r="AO147" s="166"/>
      <c r="AP147" s="166"/>
      <c r="AQ147" s="166"/>
      <c r="AR147" s="166"/>
      <c r="AS147" s="166"/>
      <c r="AT147" s="166"/>
      <c r="AU147" s="343"/>
      <c r="AV147" s="343"/>
      <c r="AW147" s="343"/>
      <c r="AX147" s="343"/>
      <c r="AY147" s="344"/>
      <c r="AZ147" s="345"/>
      <c r="BA147" s="346"/>
    </row>
    <row r="148" spans="1:53">
      <c r="A148" s="2" t="str">
        <f t="shared" si="20"/>
        <v>Bus - SB Assessments_Aerator - Kitchen</v>
      </c>
      <c r="B148" s="18">
        <v>145</v>
      </c>
      <c r="C148" s="18" t="s">
        <v>709</v>
      </c>
      <c r="D148" s="18" t="s">
        <v>727</v>
      </c>
      <c r="E148" s="23" t="s">
        <v>150</v>
      </c>
      <c r="F148" s="23">
        <v>1</v>
      </c>
      <c r="G148" s="154">
        <v>0.92</v>
      </c>
      <c r="H148" s="447">
        <v>9</v>
      </c>
      <c r="I148" s="443">
        <v>10</v>
      </c>
      <c r="J148" s="23">
        <v>71</v>
      </c>
      <c r="K148" s="23">
        <f t="shared" si="21"/>
        <v>71</v>
      </c>
      <c r="L148" s="23">
        <f t="shared" si="24"/>
        <v>71</v>
      </c>
      <c r="M148" s="23">
        <f t="shared" si="25"/>
        <v>71</v>
      </c>
      <c r="N148" s="215">
        <f>((X148-Z148)/X148)*AB148*AD148*AF148*AH148*AL148*AJ148</f>
        <v>7.4428057553956819</v>
      </c>
      <c r="O148" s="215">
        <f t="shared" si="23"/>
        <v>7.4428057553956819</v>
      </c>
      <c r="P148" s="215">
        <f t="shared" si="23"/>
        <v>7.4428057553956819</v>
      </c>
      <c r="Q148" s="215">
        <f t="shared" si="23"/>
        <v>7.4428057553956819</v>
      </c>
      <c r="R148" s="15" t="s">
        <v>838</v>
      </c>
      <c r="S148" s="15" t="s">
        <v>840</v>
      </c>
      <c r="T148" s="15" t="s">
        <v>367</v>
      </c>
      <c r="U148" s="15" t="s">
        <v>366</v>
      </c>
      <c r="V148" s="390" t="s">
        <v>362</v>
      </c>
      <c r="W148" s="390" t="s">
        <v>359</v>
      </c>
      <c r="X148" s="390">
        <v>1.39</v>
      </c>
      <c r="Y148" s="390" t="s">
        <v>358</v>
      </c>
      <c r="Z148" s="390">
        <v>0.94</v>
      </c>
      <c r="AA148" s="390" t="s">
        <v>357</v>
      </c>
      <c r="AB148" s="390">
        <v>1</v>
      </c>
      <c r="AC148" s="390" t="s">
        <v>365</v>
      </c>
      <c r="AD148" s="392">
        <v>1</v>
      </c>
      <c r="AE148" s="390" t="s">
        <v>364</v>
      </c>
      <c r="AF148" s="390">
        <v>20</v>
      </c>
      <c r="AG148" s="390" t="s">
        <v>363</v>
      </c>
      <c r="AH148" s="390">
        <v>250</v>
      </c>
      <c r="AI148" s="390" t="s">
        <v>355</v>
      </c>
      <c r="AJ148" s="393">
        <v>4.8399999999999997E-3</v>
      </c>
      <c r="AK148" s="390" t="s">
        <v>354</v>
      </c>
      <c r="AL148" s="392">
        <v>0.95</v>
      </c>
      <c r="AM148" s="390"/>
      <c r="AN148" s="390"/>
      <c r="AO148" s="166"/>
      <c r="AP148" s="166"/>
      <c r="AQ148" s="166"/>
      <c r="AR148" s="166"/>
      <c r="AS148" s="166"/>
      <c r="AT148" s="166"/>
      <c r="AU148" s="343"/>
      <c r="AV148" s="343"/>
      <c r="AW148" s="343"/>
      <c r="AX148" s="343"/>
      <c r="AY148" s="344"/>
      <c r="AZ148" s="345"/>
      <c r="BA148" s="346"/>
    </row>
    <row r="149" spans="1:53">
      <c r="A149" s="2" t="str">
        <f t="shared" si="20"/>
        <v>Bus - SB Assessments_Showerhead</v>
      </c>
      <c r="B149" s="18">
        <v>146</v>
      </c>
      <c r="C149" s="18" t="s">
        <v>709</v>
      </c>
      <c r="D149" s="18" t="s">
        <v>731</v>
      </c>
      <c r="E149" s="23" t="s">
        <v>150</v>
      </c>
      <c r="F149" s="23">
        <v>1</v>
      </c>
      <c r="G149" s="154">
        <v>0.92</v>
      </c>
      <c r="H149" s="447">
        <v>10</v>
      </c>
      <c r="I149" s="436">
        <v>10</v>
      </c>
      <c r="J149" s="23">
        <v>32</v>
      </c>
      <c r="K149" s="23">
        <f t="shared" si="21"/>
        <v>32</v>
      </c>
      <c r="L149" s="23">
        <f t="shared" si="24"/>
        <v>32</v>
      </c>
      <c r="M149" s="23">
        <f t="shared" si="25"/>
        <v>32</v>
      </c>
      <c r="N149" s="215">
        <f>100%*((X149*AB149-Z149*AB149)*AD149*365.25)*AF149*AH149</f>
        <v>19.917921113999995</v>
      </c>
      <c r="O149" s="215">
        <f t="shared" si="23"/>
        <v>19.917921113999995</v>
      </c>
      <c r="P149" s="215">
        <f t="shared" si="23"/>
        <v>19.917921113999995</v>
      </c>
      <c r="Q149" s="215">
        <f t="shared" si="23"/>
        <v>19.917921113999995</v>
      </c>
      <c r="R149" s="15" t="s">
        <v>838</v>
      </c>
      <c r="S149" s="15" t="s">
        <v>840</v>
      </c>
      <c r="T149" s="15" t="s">
        <v>361</v>
      </c>
      <c r="U149" s="15" t="s">
        <v>360</v>
      </c>
      <c r="V149" s="390" t="s">
        <v>353</v>
      </c>
      <c r="W149" s="390" t="s">
        <v>359</v>
      </c>
      <c r="X149" s="390">
        <v>2.67</v>
      </c>
      <c r="Y149" s="390" t="s">
        <v>358</v>
      </c>
      <c r="Z149" s="390">
        <v>1.5</v>
      </c>
      <c r="AA149" s="390" t="s">
        <v>357</v>
      </c>
      <c r="AB149" s="390">
        <v>8.1999999999999993</v>
      </c>
      <c r="AC149" s="390" t="s">
        <v>356</v>
      </c>
      <c r="AD149" s="390">
        <v>1</v>
      </c>
      <c r="AE149" s="390" t="s">
        <v>355</v>
      </c>
      <c r="AF149" s="465">
        <v>5.7999999999999996E-3</v>
      </c>
      <c r="AG149" s="390" t="s">
        <v>354</v>
      </c>
      <c r="AH149" s="392">
        <v>0.98</v>
      </c>
      <c r="AI149" s="390"/>
      <c r="AJ149" s="390"/>
      <c r="AK149" s="390"/>
      <c r="AL149" s="390"/>
      <c r="AM149" s="390"/>
      <c r="AN149" s="390"/>
      <c r="AO149" s="166"/>
      <c r="AP149" s="166"/>
      <c r="AQ149" s="166"/>
      <c r="AR149" s="166"/>
      <c r="AS149" s="166"/>
      <c r="AT149" s="166"/>
      <c r="AU149" s="343"/>
      <c r="AV149" s="343"/>
      <c r="AW149" s="343"/>
      <c r="AX149" s="343"/>
      <c r="AY149" s="344"/>
      <c r="AZ149" s="345"/>
      <c r="BA149" s="346"/>
    </row>
    <row r="150" spans="1:53">
      <c r="A150" s="2" t="str">
        <f t="shared" si="20"/>
        <v>Bus - SB Assessments_Pipe Insulation - DHW</v>
      </c>
      <c r="B150" s="18">
        <v>147</v>
      </c>
      <c r="C150" s="18" t="s">
        <v>709</v>
      </c>
      <c r="D150" s="18" t="s">
        <v>681</v>
      </c>
      <c r="E150" s="23" t="s">
        <v>150</v>
      </c>
      <c r="F150" s="23">
        <v>1</v>
      </c>
      <c r="G150" s="154">
        <v>0.92</v>
      </c>
      <c r="H150" s="447">
        <v>15</v>
      </c>
      <c r="I150" s="436">
        <v>15</v>
      </c>
      <c r="J150" s="23">
        <v>675</v>
      </c>
      <c r="K150" s="23">
        <f t="shared" si="21"/>
        <v>675</v>
      </c>
      <c r="L150" s="23">
        <f t="shared" si="24"/>
        <v>675</v>
      </c>
      <c r="M150" s="23">
        <f t="shared" si="25"/>
        <v>675</v>
      </c>
      <c r="N150" s="216">
        <f>'Pipe Insulation Detail'!$B$48</f>
        <v>5.2492031493764015</v>
      </c>
      <c r="O150" s="215">
        <f t="shared" si="23"/>
        <v>5.2492031493764015</v>
      </c>
      <c r="P150" s="215">
        <f t="shared" si="23"/>
        <v>5.2492031493764015</v>
      </c>
      <c r="Q150" s="215">
        <f t="shared" si="23"/>
        <v>5.2492031493764015</v>
      </c>
      <c r="R150" s="15" t="s">
        <v>838</v>
      </c>
      <c r="S150" s="15" t="s">
        <v>840</v>
      </c>
      <c r="T150" s="15" t="s">
        <v>201</v>
      </c>
      <c r="U150" s="15" t="s">
        <v>200</v>
      </c>
      <c r="V150" s="413" t="s">
        <v>852</v>
      </c>
      <c r="W150" s="166"/>
      <c r="X150" s="166"/>
      <c r="Y150" s="166"/>
      <c r="Z150" s="166"/>
      <c r="AA150" s="158"/>
      <c r="AB150" s="166"/>
      <c r="AC150" s="158"/>
      <c r="AD150" s="166"/>
      <c r="AE150" s="158"/>
      <c r="AF150" s="166"/>
      <c r="AG150" s="166"/>
      <c r="AH150" s="166"/>
      <c r="AI150" s="166"/>
      <c r="AJ150" s="166"/>
      <c r="AK150" s="166"/>
      <c r="AL150" s="166"/>
      <c r="AM150" s="166"/>
      <c r="AN150" s="166"/>
      <c r="AO150" s="166"/>
      <c r="AP150" s="166"/>
      <c r="AQ150" s="166"/>
      <c r="AR150" s="166"/>
      <c r="AS150" s="166"/>
      <c r="AT150" s="166"/>
      <c r="AU150" s="343"/>
      <c r="AV150" s="343"/>
      <c r="AW150" s="343"/>
      <c r="AX150" s="343"/>
      <c r="AY150" s="344"/>
      <c r="AZ150" s="345"/>
      <c r="BA150" s="346"/>
    </row>
    <row r="151" spans="1:53">
      <c r="A151" s="2" t="str">
        <f t="shared" si="20"/>
        <v>Bus - SB Assessments_Pre Rinse Sprayer</v>
      </c>
      <c r="B151" s="18">
        <v>148</v>
      </c>
      <c r="C151" s="18" t="s">
        <v>709</v>
      </c>
      <c r="D151" s="18" t="s">
        <v>710</v>
      </c>
      <c r="E151" s="23" t="s">
        <v>150</v>
      </c>
      <c r="F151" s="23">
        <v>1</v>
      </c>
      <c r="G151" s="154">
        <v>0.92</v>
      </c>
      <c r="H151" s="447">
        <v>5</v>
      </c>
      <c r="I151" s="436">
        <v>5</v>
      </c>
      <c r="J151" s="23">
        <v>15</v>
      </c>
      <c r="K151" s="23">
        <f t="shared" si="21"/>
        <v>15</v>
      </c>
      <c r="L151" s="23">
        <f t="shared" si="24"/>
        <v>15</v>
      </c>
      <c r="M151" s="23">
        <f t="shared" si="25"/>
        <v>15</v>
      </c>
      <c r="N151" s="215">
        <f>(X151-Z151)*60*AB151*AD151*8.33*1*(AF151-AH151)*(1/AJ151)/100000</f>
        <v>237.414996</v>
      </c>
      <c r="O151" s="215">
        <f t="shared" si="23"/>
        <v>237.414996</v>
      </c>
      <c r="P151" s="215">
        <f t="shared" si="23"/>
        <v>237.414996</v>
      </c>
      <c r="Q151" s="215">
        <f t="shared" si="23"/>
        <v>237.414996</v>
      </c>
      <c r="R151" s="15" t="s">
        <v>838</v>
      </c>
      <c r="S151" s="15" t="s">
        <v>840</v>
      </c>
      <c r="T151" s="15" t="s">
        <v>351</v>
      </c>
      <c r="U151" s="15" t="s">
        <v>350</v>
      </c>
      <c r="V151" s="157" t="s">
        <v>344</v>
      </c>
      <c r="W151" s="390" t="s">
        <v>349</v>
      </c>
      <c r="X151" s="461">
        <v>2.14</v>
      </c>
      <c r="Y151" s="390" t="s">
        <v>348</v>
      </c>
      <c r="Z151" s="462">
        <v>0.98</v>
      </c>
      <c r="AA151" s="390" t="s">
        <v>347</v>
      </c>
      <c r="AB151" s="418">
        <v>1.5</v>
      </c>
      <c r="AC151" s="390" t="s">
        <v>346</v>
      </c>
      <c r="AD151" s="390">
        <v>312</v>
      </c>
      <c r="AE151" s="390" t="s">
        <v>251</v>
      </c>
      <c r="AF151" s="419">
        <f>70+AH151</f>
        <v>124.1</v>
      </c>
      <c r="AG151" s="390" t="s">
        <v>250</v>
      </c>
      <c r="AH151" s="463">
        <v>54.1</v>
      </c>
      <c r="AI151" s="390" t="s">
        <v>345</v>
      </c>
      <c r="AJ151" s="392">
        <v>0.8</v>
      </c>
      <c r="AK151" s="166"/>
      <c r="AL151" s="166"/>
      <c r="AM151" s="166"/>
      <c r="AN151" s="166"/>
      <c r="AO151" s="166"/>
      <c r="AP151" s="166"/>
      <c r="AQ151" s="166"/>
      <c r="AR151" s="166"/>
      <c r="AS151" s="166"/>
      <c r="AT151" s="166"/>
      <c r="AU151" s="343"/>
      <c r="AV151" s="343"/>
      <c r="AW151" s="343"/>
      <c r="AX151" s="343"/>
      <c r="AY151" s="344"/>
      <c r="AZ151" s="345"/>
      <c r="BA151" s="346"/>
    </row>
    <row r="152" spans="1:53">
      <c r="A152" s="2" t="str">
        <f t="shared" si="20"/>
        <v>Bus - SB Assessments_Thermostat - Programmable</v>
      </c>
      <c r="B152" s="18">
        <v>149</v>
      </c>
      <c r="C152" s="373" t="s">
        <v>709</v>
      </c>
      <c r="D152" s="373" t="s">
        <v>226</v>
      </c>
      <c r="E152" s="23" t="s">
        <v>150</v>
      </c>
      <c r="F152" s="23">
        <v>1</v>
      </c>
      <c r="G152" s="154">
        <v>0.92</v>
      </c>
      <c r="H152" s="447">
        <v>4</v>
      </c>
      <c r="I152" s="436">
        <v>4</v>
      </c>
      <c r="J152" s="23">
        <v>1</v>
      </c>
      <c r="K152" s="23">
        <f t="shared" si="21"/>
        <v>1</v>
      </c>
      <c r="L152" s="23">
        <f t="shared" si="24"/>
        <v>1</v>
      </c>
      <c r="M152" s="23">
        <f t="shared" si="25"/>
        <v>1</v>
      </c>
      <c r="N152" s="29">
        <f>'Thermostat Detail'!L13</f>
        <v>124.68584320000001</v>
      </c>
      <c r="O152" s="215">
        <f t="shared" si="23"/>
        <v>124.68584320000001</v>
      </c>
      <c r="P152" s="215">
        <f t="shared" si="23"/>
        <v>124.68584320000001</v>
      </c>
      <c r="Q152" s="215">
        <f t="shared" si="23"/>
        <v>124.68584320000001</v>
      </c>
      <c r="R152" s="15" t="s">
        <v>839</v>
      </c>
      <c r="S152" s="15" t="s">
        <v>840</v>
      </c>
      <c r="T152" s="15" t="str">
        <f>T140</f>
        <v>4.4.18</v>
      </c>
      <c r="U152" s="15" t="str">
        <f>U140</f>
        <v>CI-HVC-PROG-V02-150601</v>
      </c>
      <c r="V152" s="157" t="s">
        <v>833</v>
      </c>
      <c r="W152" s="390"/>
      <c r="X152" s="390"/>
      <c r="Y152" s="390"/>
      <c r="Z152" s="417"/>
      <c r="AA152" s="390"/>
      <c r="AB152" s="418"/>
      <c r="AC152" s="390"/>
      <c r="AD152" s="390"/>
      <c r="AE152" s="390"/>
      <c r="AF152" s="419"/>
      <c r="AG152" s="390"/>
      <c r="AH152" s="419"/>
      <c r="AI152" s="390"/>
      <c r="AJ152" s="392"/>
      <c r="AK152" s="166"/>
      <c r="AL152" s="166"/>
      <c r="AM152" s="166"/>
      <c r="AN152" s="166"/>
      <c r="AO152" s="166"/>
      <c r="AP152" s="166"/>
      <c r="AQ152" s="166"/>
      <c r="AR152" s="166"/>
      <c r="AS152" s="166"/>
      <c r="AT152" s="166"/>
      <c r="AU152" s="343"/>
      <c r="AV152" s="343"/>
      <c r="AW152" s="343"/>
      <c r="AX152" s="343"/>
      <c r="AY152" s="344"/>
      <c r="AZ152" s="345"/>
      <c r="BA152" s="346"/>
    </row>
    <row r="153" spans="1:53">
      <c r="A153" s="2" t="str">
        <f t="shared" si="20"/>
        <v>Bus - CI Assessments_Gas Optimization</v>
      </c>
      <c r="B153" s="18">
        <v>150</v>
      </c>
      <c r="C153" s="18" t="s">
        <v>708</v>
      </c>
      <c r="D153" s="18" t="s">
        <v>670</v>
      </c>
      <c r="E153" s="23" t="s">
        <v>150</v>
      </c>
      <c r="F153" s="23">
        <v>1</v>
      </c>
      <c r="G153" s="154">
        <v>1.02</v>
      </c>
      <c r="H153" s="447">
        <v>15</v>
      </c>
      <c r="I153" s="436">
        <v>15</v>
      </c>
      <c r="J153" s="23">
        <v>7</v>
      </c>
      <c r="K153" s="23">
        <f t="shared" si="21"/>
        <v>7</v>
      </c>
      <c r="L153" s="23">
        <v>5</v>
      </c>
      <c r="M153" s="23">
        <v>7</v>
      </c>
      <c r="N153" s="215">
        <v>35300</v>
      </c>
      <c r="O153" s="215">
        <f t="shared" si="23"/>
        <v>35300</v>
      </c>
      <c r="P153" s="215">
        <f t="shared" si="23"/>
        <v>35300</v>
      </c>
      <c r="Q153" s="215">
        <f t="shared" si="23"/>
        <v>35300</v>
      </c>
      <c r="R153" s="15" t="s">
        <v>140</v>
      </c>
      <c r="S153" s="15" t="s">
        <v>140</v>
      </c>
      <c r="T153" s="15" t="s">
        <v>140</v>
      </c>
      <c r="U153" s="15" t="s">
        <v>140</v>
      </c>
      <c r="V153" s="390" t="s">
        <v>140</v>
      </c>
      <c r="W153" s="390"/>
      <c r="X153" s="390"/>
      <c r="Y153" s="390"/>
      <c r="Z153" s="390"/>
      <c r="AA153" s="390"/>
      <c r="AB153" s="390"/>
      <c r="AC153" s="390"/>
      <c r="AD153" s="390"/>
      <c r="AE153" s="390"/>
      <c r="AF153" s="390"/>
      <c r="AG153" s="390"/>
      <c r="AH153" s="390"/>
      <c r="AI153" s="390"/>
      <c r="AJ153" s="390"/>
      <c r="AK153" s="390"/>
      <c r="AL153" s="390"/>
      <c r="AM153" s="390"/>
      <c r="AN153" s="390"/>
      <c r="AO153" s="390"/>
      <c r="AP153" s="390"/>
      <c r="AQ153" s="390"/>
      <c r="AR153" s="390"/>
      <c r="AS153" s="390"/>
      <c r="AT153" s="390"/>
      <c r="AU153" s="343"/>
      <c r="AV153" s="343"/>
      <c r="AW153" s="343"/>
      <c r="AX153" s="343"/>
      <c r="AY153" s="344"/>
      <c r="AZ153" s="345"/>
      <c r="BA153" s="346"/>
    </row>
    <row r="154" spans="1:53">
      <c r="A154" s="2" t="str">
        <f t="shared" si="20"/>
        <v>Bus - CI Assessments_Retrocommissioning</v>
      </c>
      <c r="B154" s="18">
        <v>151</v>
      </c>
      <c r="C154" s="18" t="s">
        <v>708</v>
      </c>
      <c r="D154" s="18" t="s">
        <v>671</v>
      </c>
      <c r="E154" s="23" t="s">
        <v>150</v>
      </c>
      <c r="F154" s="23">
        <v>1</v>
      </c>
      <c r="G154" s="154">
        <v>1.02</v>
      </c>
      <c r="H154" s="447">
        <v>15</v>
      </c>
      <c r="I154" s="436">
        <v>15</v>
      </c>
      <c r="J154" s="23">
        <v>2</v>
      </c>
      <c r="K154" s="23">
        <f t="shared" si="21"/>
        <v>2</v>
      </c>
      <c r="L154" s="23">
        <f>K154</f>
        <v>2</v>
      </c>
      <c r="M154" s="23">
        <f>L154</f>
        <v>2</v>
      </c>
      <c r="N154" s="215">
        <v>19700</v>
      </c>
      <c r="O154" s="215">
        <f t="shared" si="23"/>
        <v>19700</v>
      </c>
      <c r="P154" s="215">
        <f t="shared" si="23"/>
        <v>19700</v>
      </c>
      <c r="Q154" s="215">
        <f t="shared" si="23"/>
        <v>19700</v>
      </c>
      <c r="R154" s="15" t="s">
        <v>140</v>
      </c>
      <c r="S154" s="15" t="s">
        <v>140</v>
      </c>
      <c r="T154" s="15" t="s">
        <v>140</v>
      </c>
      <c r="U154" s="15" t="s">
        <v>140</v>
      </c>
      <c r="V154" s="390" t="s">
        <v>140</v>
      </c>
      <c r="W154" s="390"/>
      <c r="X154" s="390"/>
      <c r="Y154" s="390"/>
      <c r="Z154" s="390"/>
      <c r="AA154" s="390"/>
      <c r="AB154" s="390"/>
      <c r="AC154" s="390"/>
      <c r="AD154" s="390"/>
      <c r="AE154" s="390"/>
      <c r="AF154" s="390"/>
      <c r="AG154" s="390"/>
      <c r="AH154" s="390"/>
      <c r="AI154" s="390"/>
      <c r="AJ154" s="390"/>
      <c r="AK154" s="390"/>
      <c r="AL154" s="390"/>
      <c r="AM154" s="390"/>
      <c r="AN154" s="390"/>
      <c r="AO154" s="390"/>
      <c r="AP154" s="390"/>
      <c r="AQ154" s="390"/>
      <c r="AR154" s="390"/>
      <c r="AS154" s="390"/>
      <c r="AT154" s="390"/>
      <c r="AU154" s="343"/>
      <c r="AV154" s="343"/>
      <c r="AW154" s="343"/>
      <c r="AX154" s="343"/>
      <c r="AY154" s="344"/>
      <c r="AZ154" s="345"/>
      <c r="BA154" s="346"/>
    </row>
    <row r="155" spans="1:53">
      <c r="A155" s="2" t="str">
        <f t="shared" si="20"/>
        <v>Bus - CI Assessments_Engineering Study</v>
      </c>
      <c r="B155" s="18">
        <v>152</v>
      </c>
      <c r="C155" s="18" t="s">
        <v>708</v>
      </c>
      <c r="D155" s="18" t="s">
        <v>672</v>
      </c>
      <c r="E155" s="23" t="s">
        <v>150</v>
      </c>
      <c r="F155" s="23">
        <v>1</v>
      </c>
      <c r="G155" s="154">
        <v>1.02</v>
      </c>
      <c r="H155" s="447">
        <v>0</v>
      </c>
      <c r="I155" s="436">
        <v>0</v>
      </c>
      <c r="J155" s="23">
        <v>0</v>
      </c>
      <c r="K155" s="23">
        <f t="shared" si="21"/>
        <v>0</v>
      </c>
      <c r="L155" s="23">
        <f>K155</f>
        <v>0</v>
      </c>
      <c r="M155" s="23">
        <f>L155</f>
        <v>0</v>
      </c>
      <c r="N155" s="215">
        <v>1</v>
      </c>
      <c r="O155" s="215">
        <f t="shared" si="23"/>
        <v>1</v>
      </c>
      <c r="P155" s="215">
        <f t="shared" si="23"/>
        <v>1</v>
      </c>
      <c r="Q155" s="215">
        <f t="shared" si="23"/>
        <v>1</v>
      </c>
      <c r="R155" s="15" t="s">
        <v>140</v>
      </c>
      <c r="S155" s="15" t="s">
        <v>140</v>
      </c>
      <c r="T155" s="15" t="s">
        <v>140</v>
      </c>
      <c r="U155" s="15" t="s">
        <v>140</v>
      </c>
      <c r="V155" s="390" t="s">
        <v>140</v>
      </c>
      <c r="W155" s="390"/>
      <c r="X155" s="390"/>
      <c r="Y155" s="390"/>
      <c r="Z155" s="390"/>
      <c r="AA155" s="390"/>
      <c r="AB155" s="390"/>
      <c r="AC155" s="390"/>
      <c r="AD155" s="390"/>
      <c r="AE155" s="390"/>
      <c r="AF155" s="390"/>
      <c r="AG155" s="390"/>
      <c r="AH155" s="390"/>
      <c r="AI155" s="390"/>
      <c r="AJ155" s="390"/>
      <c r="AK155" s="390"/>
      <c r="AL155" s="390"/>
      <c r="AM155" s="390"/>
      <c r="AN155" s="390"/>
      <c r="AO155" s="390"/>
      <c r="AP155" s="390"/>
      <c r="AQ155" s="390"/>
      <c r="AR155" s="390"/>
      <c r="AS155" s="390"/>
      <c r="AT155" s="390"/>
      <c r="AU155" s="343"/>
      <c r="AV155" s="343"/>
      <c r="AW155" s="343"/>
      <c r="AX155" s="343"/>
      <c r="AY155" s="344"/>
      <c r="AZ155" s="345"/>
      <c r="BA155" s="346"/>
    </row>
    <row r="156" spans="1:53">
      <c r="A156" s="2" t="str">
        <f t="shared" si="20"/>
        <v>Bus - CI Rebates_Staffing</v>
      </c>
      <c r="B156" s="18">
        <v>153</v>
      </c>
      <c r="C156" s="18" t="s">
        <v>711</v>
      </c>
      <c r="D156" s="18" t="s">
        <v>673</v>
      </c>
      <c r="E156" s="23" t="s">
        <v>150</v>
      </c>
      <c r="F156" s="23">
        <v>1</v>
      </c>
      <c r="G156" s="154">
        <v>1.02</v>
      </c>
      <c r="H156" s="447">
        <v>0</v>
      </c>
      <c r="I156" s="436">
        <v>0</v>
      </c>
      <c r="J156" s="23"/>
      <c r="K156" s="23">
        <v>0</v>
      </c>
      <c r="L156" s="23">
        <v>0</v>
      </c>
      <c r="M156" s="23">
        <v>0</v>
      </c>
      <c r="N156" s="217">
        <v>1</v>
      </c>
      <c r="O156" s="215">
        <f t="shared" si="23"/>
        <v>1</v>
      </c>
      <c r="P156" s="215">
        <f t="shared" si="23"/>
        <v>1</v>
      </c>
      <c r="Q156" s="215">
        <f t="shared" si="23"/>
        <v>1</v>
      </c>
      <c r="R156" s="15" t="s">
        <v>140</v>
      </c>
      <c r="S156" s="15" t="s">
        <v>140</v>
      </c>
      <c r="T156" s="15" t="s">
        <v>140</v>
      </c>
      <c r="U156" s="15" t="s">
        <v>140</v>
      </c>
      <c r="V156" s="390" t="s">
        <v>140</v>
      </c>
      <c r="W156" s="169"/>
      <c r="X156" s="169"/>
      <c r="Y156" s="390"/>
      <c r="Z156" s="390"/>
      <c r="AA156" s="170"/>
      <c r="AB156" s="390"/>
      <c r="AC156" s="157"/>
      <c r="AD156" s="390"/>
      <c r="AE156" s="157"/>
      <c r="AF156" s="390"/>
      <c r="AG156" s="390"/>
      <c r="AH156" s="390"/>
      <c r="AI156" s="390"/>
      <c r="AJ156" s="390"/>
      <c r="AK156" s="390"/>
      <c r="AL156" s="390"/>
      <c r="AM156" s="390"/>
      <c r="AN156" s="390"/>
      <c r="AO156" s="390"/>
      <c r="AP156" s="390"/>
      <c r="AQ156" s="390"/>
      <c r="AR156" s="390"/>
      <c r="AS156" s="390"/>
      <c r="AT156" s="390"/>
      <c r="AU156" s="343"/>
      <c r="AV156" s="343"/>
      <c r="AW156" s="343"/>
      <c r="AX156" s="343"/>
      <c r="AY156" s="344"/>
      <c r="AZ156" s="345"/>
      <c r="BA156" s="346"/>
    </row>
    <row r="157" spans="1:53">
      <c r="A157" s="2" t="str">
        <f t="shared" si="20"/>
        <v>Bus - SB Rebates_Boiler ≥88% AFUE, &lt;300MBh</v>
      </c>
      <c r="B157" s="18">
        <v>154</v>
      </c>
      <c r="C157" s="23" t="s">
        <v>712</v>
      </c>
      <c r="D157" s="18" t="s">
        <v>718</v>
      </c>
      <c r="E157" s="23" t="s">
        <v>240</v>
      </c>
      <c r="F157" s="23">
        <v>150</v>
      </c>
      <c r="G157" s="154">
        <v>0.92</v>
      </c>
      <c r="H157" s="447">
        <v>20</v>
      </c>
      <c r="I157" s="484">
        <v>25</v>
      </c>
      <c r="J157" s="23">
        <v>0</v>
      </c>
      <c r="K157" s="23">
        <v>0</v>
      </c>
      <c r="L157" s="23">
        <v>0</v>
      </c>
      <c r="M157" s="23">
        <v>0</v>
      </c>
      <c r="N157" s="216">
        <f>X157*Z157*((AB157-AD157)/AD157)/100000/F157</f>
        <v>1.1919512195121962</v>
      </c>
      <c r="O157" s="215">
        <f t="shared" si="23"/>
        <v>1.1919512195121962</v>
      </c>
      <c r="P157" s="215">
        <f t="shared" si="23"/>
        <v>1.1919512195121962</v>
      </c>
      <c r="Q157" s="215">
        <f t="shared" si="23"/>
        <v>1.1919512195121962</v>
      </c>
      <c r="R157" s="15" t="s">
        <v>838</v>
      </c>
      <c r="S157" s="15" t="s">
        <v>840</v>
      </c>
      <c r="T157" s="15" t="s">
        <v>343</v>
      </c>
      <c r="U157" s="15" t="s">
        <v>342</v>
      </c>
      <c r="V157" s="166" t="s">
        <v>340</v>
      </c>
      <c r="W157" s="468" t="s">
        <v>1431</v>
      </c>
      <c r="X157" s="467">
        <v>1629</v>
      </c>
      <c r="Y157" s="158" t="s">
        <v>273</v>
      </c>
      <c r="Z157" s="398">
        <v>150000</v>
      </c>
      <c r="AA157" s="158" t="s">
        <v>341</v>
      </c>
      <c r="AB157" s="397">
        <v>0.88</v>
      </c>
      <c r="AC157" s="166" t="s">
        <v>248</v>
      </c>
      <c r="AD157" s="397">
        <v>0.82</v>
      </c>
      <c r="AE157" s="166"/>
      <c r="AF157" s="166"/>
      <c r="AG157" s="166"/>
      <c r="AH157" s="166"/>
      <c r="AI157" s="166"/>
      <c r="AJ157" s="166"/>
      <c r="AK157" s="166"/>
      <c r="AL157" s="166"/>
      <c r="AM157" s="166"/>
      <c r="AN157" s="166"/>
      <c r="AO157" s="166"/>
      <c r="AP157" s="166"/>
      <c r="AQ157" s="166"/>
      <c r="AR157" s="166"/>
      <c r="AS157" s="166"/>
      <c r="AT157" s="166"/>
      <c r="AU157" s="343"/>
      <c r="AV157" s="343"/>
      <c r="AW157" s="343"/>
      <c r="AX157" s="343"/>
      <c r="AY157" s="344"/>
      <c r="AZ157" s="347"/>
      <c r="BA157" s="346"/>
    </row>
    <row r="158" spans="1:53">
      <c r="A158" s="2" t="str">
        <f t="shared" si="20"/>
        <v>Bus - SB Rebates_Boiler ≥88% AFUE, ≥300MBh TE</v>
      </c>
      <c r="B158" s="18">
        <v>155</v>
      </c>
      <c r="C158" s="23" t="s">
        <v>712</v>
      </c>
      <c r="D158" s="18" t="s">
        <v>719</v>
      </c>
      <c r="E158" s="23" t="s">
        <v>240</v>
      </c>
      <c r="F158" s="23">
        <v>350</v>
      </c>
      <c r="G158" s="154">
        <v>0.92</v>
      </c>
      <c r="H158" s="447">
        <v>20</v>
      </c>
      <c r="I158" s="484">
        <v>25</v>
      </c>
      <c r="J158" s="23">
        <v>0</v>
      </c>
      <c r="K158" s="23">
        <v>0</v>
      </c>
      <c r="L158" s="23">
        <v>0</v>
      </c>
      <c r="M158" s="23">
        <v>0</v>
      </c>
      <c r="N158" s="216">
        <f>X158*Z158*((AB158-AD158)/AD158)/100000/F158</f>
        <v>1.6289999999999993</v>
      </c>
      <c r="O158" s="215">
        <f t="shared" si="23"/>
        <v>1.6289999999999993</v>
      </c>
      <c r="P158" s="215">
        <f t="shared" si="23"/>
        <v>1.6289999999999993</v>
      </c>
      <c r="Q158" s="215">
        <f t="shared" si="23"/>
        <v>1.6289999999999993</v>
      </c>
      <c r="R158" s="15" t="s">
        <v>838</v>
      </c>
      <c r="S158" s="15" t="s">
        <v>840</v>
      </c>
      <c r="T158" s="15" t="s">
        <v>343</v>
      </c>
      <c r="U158" s="15" t="s">
        <v>342</v>
      </c>
      <c r="V158" s="166" t="s">
        <v>340</v>
      </c>
      <c r="W158" s="468" t="s">
        <v>1431</v>
      </c>
      <c r="X158" s="467">
        <v>1629</v>
      </c>
      <c r="Y158" s="158" t="s">
        <v>273</v>
      </c>
      <c r="Z158" s="398">
        <v>350000</v>
      </c>
      <c r="AA158" s="158" t="s">
        <v>341</v>
      </c>
      <c r="AB158" s="397">
        <v>0.88</v>
      </c>
      <c r="AC158" s="166" t="s">
        <v>248</v>
      </c>
      <c r="AD158" s="397">
        <v>0.8</v>
      </c>
      <c r="AE158" s="166"/>
      <c r="AF158" s="166"/>
      <c r="AG158" s="166"/>
      <c r="AH158" s="166"/>
      <c r="AI158" s="166"/>
      <c r="AJ158" s="166"/>
      <c r="AK158" s="166"/>
      <c r="AL158" s="166"/>
      <c r="AM158" s="166"/>
      <c r="AN158" s="166"/>
      <c r="AO158" s="166"/>
      <c r="AP158" s="166"/>
      <c r="AQ158" s="166"/>
      <c r="AR158" s="166"/>
      <c r="AS158" s="166"/>
      <c r="AT158" s="166"/>
      <c r="AU158" s="343"/>
      <c r="AV158" s="343"/>
      <c r="AW158" s="343"/>
      <c r="AX158" s="343"/>
      <c r="AY158" s="344"/>
      <c r="AZ158" s="347"/>
      <c r="BA158" s="346"/>
    </row>
    <row r="159" spans="1:53">
      <c r="A159" s="2" t="str">
        <f t="shared" si="20"/>
        <v>Bus - SB Rebates_Boiler Reset Controls</v>
      </c>
      <c r="B159" s="18">
        <v>156</v>
      </c>
      <c r="C159" s="23" t="s">
        <v>712</v>
      </c>
      <c r="D159" s="18" t="s">
        <v>1061</v>
      </c>
      <c r="E159" s="23" t="s">
        <v>150</v>
      </c>
      <c r="F159" s="23">
        <v>200</v>
      </c>
      <c r="G159" s="154">
        <v>0.92</v>
      </c>
      <c r="H159" s="447">
        <v>20</v>
      </c>
      <c r="I159" s="436">
        <v>20</v>
      </c>
      <c r="J159" s="23">
        <v>0</v>
      </c>
      <c r="K159" s="23">
        <v>0</v>
      </c>
      <c r="L159" s="23">
        <v>0</v>
      </c>
      <c r="M159" s="23">
        <v>0</v>
      </c>
      <c r="N159" s="216">
        <f>X159*Z159/100</f>
        <v>1.3031999999999999</v>
      </c>
      <c r="O159" s="215">
        <f t="shared" si="23"/>
        <v>1.3031999999999999</v>
      </c>
      <c r="P159" s="215">
        <f t="shared" si="23"/>
        <v>1.3031999999999999</v>
      </c>
      <c r="Q159" s="215">
        <f t="shared" si="23"/>
        <v>1.3031999999999999</v>
      </c>
      <c r="R159" s="15" t="s">
        <v>838</v>
      </c>
      <c r="S159" s="15" t="s">
        <v>840</v>
      </c>
      <c r="T159" s="15" t="s">
        <v>339</v>
      </c>
      <c r="U159" s="15" t="s">
        <v>338</v>
      </c>
      <c r="V159" s="166" t="s">
        <v>336</v>
      </c>
      <c r="W159" s="468" t="s">
        <v>1431</v>
      </c>
      <c r="X159" s="467">
        <v>1629</v>
      </c>
      <c r="Y159" s="158" t="s">
        <v>337</v>
      </c>
      <c r="Z159" s="399">
        <v>0.08</v>
      </c>
      <c r="AA159" s="158"/>
      <c r="AB159" s="158"/>
      <c r="AC159" s="158"/>
      <c r="AD159" s="158"/>
      <c r="AE159" s="158"/>
      <c r="AF159" s="166"/>
      <c r="AG159" s="166"/>
      <c r="AH159" s="166"/>
      <c r="AI159" s="166"/>
      <c r="AJ159" s="166"/>
      <c r="AK159" s="166"/>
      <c r="AL159" s="166"/>
      <c r="AM159" s="166"/>
      <c r="AN159" s="166"/>
      <c r="AO159" s="166"/>
      <c r="AP159" s="166"/>
      <c r="AQ159" s="166"/>
      <c r="AR159" s="166"/>
      <c r="AS159" s="166"/>
      <c r="AT159" s="166"/>
      <c r="AU159" s="343"/>
      <c r="AV159" s="343"/>
      <c r="AW159" s="343"/>
      <c r="AX159" s="343"/>
      <c r="AY159" s="344"/>
      <c r="AZ159" s="345"/>
      <c r="BA159" s="346"/>
    </row>
    <row r="160" spans="1:53">
      <c r="A160" s="2" t="str">
        <f t="shared" si="20"/>
        <v>Bus - SB Rebates_Boiler Tune Up - Process</v>
      </c>
      <c r="B160" s="18">
        <v>157</v>
      </c>
      <c r="C160" s="23" t="s">
        <v>712</v>
      </c>
      <c r="D160" s="18" t="s">
        <v>335</v>
      </c>
      <c r="E160" s="23" t="s">
        <v>240</v>
      </c>
      <c r="F160" s="23">
        <v>200</v>
      </c>
      <c r="G160" s="154">
        <v>0.92</v>
      </c>
      <c r="H160" s="447">
        <v>3</v>
      </c>
      <c r="I160" s="436">
        <v>3</v>
      </c>
      <c r="J160" s="23">
        <v>0</v>
      </c>
      <c r="K160" s="23">
        <v>0</v>
      </c>
      <c r="L160" s="23">
        <v>0</v>
      </c>
      <c r="M160" s="23">
        <v>0</v>
      </c>
      <c r="N160" s="216">
        <f>(X160*8766*Z160)/100*(1-AB160/AD160)</f>
        <v>0.83823507428978783</v>
      </c>
      <c r="O160" s="215">
        <f t="shared" si="23"/>
        <v>0.83823507428978783</v>
      </c>
      <c r="P160" s="215">
        <f t="shared" si="23"/>
        <v>0.83823507428978783</v>
      </c>
      <c r="Q160" s="215">
        <f t="shared" si="23"/>
        <v>0.83823507428978783</v>
      </c>
      <c r="R160" s="15" t="s">
        <v>838</v>
      </c>
      <c r="S160" s="15" t="s">
        <v>840</v>
      </c>
      <c r="T160" s="15" t="s">
        <v>334</v>
      </c>
      <c r="U160" s="15" t="s">
        <v>333</v>
      </c>
      <c r="V160" s="166" t="s">
        <v>328</v>
      </c>
      <c r="W160" s="166" t="s">
        <v>332</v>
      </c>
      <c r="X160" s="398">
        <v>1</v>
      </c>
      <c r="Y160" s="166" t="s">
        <v>331</v>
      </c>
      <c r="Z160" s="405">
        <v>0.41899999999999998</v>
      </c>
      <c r="AA160" s="158" t="s">
        <v>330</v>
      </c>
      <c r="AB160" s="406">
        <v>0.82210000000000005</v>
      </c>
      <c r="AC160" s="158" t="s">
        <v>329</v>
      </c>
      <c r="AD160" s="406">
        <v>0.84130000000000005</v>
      </c>
      <c r="AE160" s="158"/>
      <c r="AF160" s="166"/>
      <c r="AG160" s="166"/>
      <c r="AH160" s="166"/>
      <c r="AI160" s="166"/>
      <c r="AJ160" s="166"/>
      <c r="AK160" s="166"/>
      <c r="AL160" s="166"/>
      <c r="AM160" s="166"/>
      <c r="AN160" s="166"/>
      <c r="AO160" s="166"/>
      <c r="AP160" s="166"/>
      <c r="AQ160" s="166"/>
      <c r="AR160" s="166"/>
      <c r="AS160" s="166"/>
      <c r="AT160" s="166"/>
      <c r="AU160" s="343"/>
      <c r="AV160" s="343"/>
      <c r="AW160" s="343"/>
      <c r="AX160" s="343"/>
      <c r="AY160" s="344"/>
      <c r="AZ160" s="345"/>
      <c r="BA160" s="346"/>
    </row>
    <row r="161" spans="1:53">
      <c r="A161" s="2" t="str">
        <f t="shared" si="20"/>
        <v>Bus - SB Rebates_Boiler Tune Up - Space Heating</v>
      </c>
      <c r="B161" s="18">
        <v>158</v>
      </c>
      <c r="C161" s="23" t="s">
        <v>712</v>
      </c>
      <c r="D161" s="18" t="s">
        <v>724</v>
      </c>
      <c r="E161" s="23" t="s">
        <v>240</v>
      </c>
      <c r="F161" s="23">
        <v>200</v>
      </c>
      <c r="G161" s="154">
        <v>0.92</v>
      </c>
      <c r="H161" s="447">
        <v>3</v>
      </c>
      <c r="I161" s="436">
        <v>3</v>
      </c>
      <c r="J161" s="23">
        <v>0</v>
      </c>
      <c r="K161" s="23">
        <v>0</v>
      </c>
      <c r="L161" s="23">
        <v>0</v>
      </c>
      <c r="M161" s="23">
        <v>0</v>
      </c>
      <c r="N161" s="216">
        <f>AD161*(X161*((AB161/Z161)-1))/100000</f>
        <v>0.38045006690183525</v>
      </c>
      <c r="O161" s="215">
        <f t="shared" si="23"/>
        <v>0.38045006690183525</v>
      </c>
      <c r="P161" s="215">
        <f t="shared" si="23"/>
        <v>0.38045006690183525</v>
      </c>
      <c r="Q161" s="215">
        <f t="shared" si="23"/>
        <v>0.38045006690183525</v>
      </c>
      <c r="R161" s="15" t="s">
        <v>838</v>
      </c>
      <c r="S161" s="15" t="s">
        <v>840</v>
      </c>
      <c r="T161" s="15" t="s">
        <v>327</v>
      </c>
      <c r="U161" s="15" t="s">
        <v>326</v>
      </c>
      <c r="V161" s="166" t="s">
        <v>322</v>
      </c>
      <c r="W161" s="468" t="s">
        <v>1431</v>
      </c>
      <c r="X161" s="467">
        <v>1629</v>
      </c>
      <c r="Y161" s="158" t="s">
        <v>325</v>
      </c>
      <c r="Z161" s="406">
        <v>0.82210000000000005</v>
      </c>
      <c r="AA161" s="158" t="s">
        <v>324</v>
      </c>
      <c r="AB161" s="406">
        <v>0.84130000000000005</v>
      </c>
      <c r="AC161" s="166" t="s">
        <v>323</v>
      </c>
      <c r="AD161" s="407">
        <v>1000</v>
      </c>
      <c r="AE161" s="166"/>
      <c r="AF161" s="166"/>
      <c r="AG161" s="166"/>
      <c r="AH161" s="166"/>
      <c r="AI161" s="166"/>
      <c r="AJ161" s="166"/>
      <c r="AK161" s="166"/>
      <c r="AL161" s="166"/>
      <c r="AM161" s="166"/>
      <c r="AN161" s="166"/>
      <c r="AO161" s="166"/>
      <c r="AP161" s="166"/>
      <c r="AQ161" s="166"/>
      <c r="AR161" s="166"/>
      <c r="AS161" s="166"/>
      <c r="AT161" s="166"/>
      <c r="AU161" s="343"/>
      <c r="AV161" s="343"/>
      <c r="AW161" s="343"/>
      <c r="AX161" s="343"/>
      <c r="AY161" s="344"/>
      <c r="AZ161" s="345"/>
      <c r="BA161" s="346"/>
    </row>
    <row r="162" spans="1:53">
      <c r="A162" s="2" t="str">
        <f t="shared" si="20"/>
        <v>Bus - SB Rebates_Condensing Unit Heater</v>
      </c>
      <c r="B162" s="18">
        <v>159</v>
      </c>
      <c r="C162" s="23" t="s">
        <v>712</v>
      </c>
      <c r="D162" s="18" t="s">
        <v>321</v>
      </c>
      <c r="E162" s="23" t="s">
        <v>240</v>
      </c>
      <c r="F162" s="23">
        <v>150</v>
      </c>
      <c r="G162" s="154">
        <v>0.92</v>
      </c>
      <c r="H162" s="447">
        <v>12</v>
      </c>
      <c r="I162" s="436">
        <v>12</v>
      </c>
      <c r="J162" s="23">
        <v>0</v>
      </c>
      <c r="K162" s="23">
        <v>0</v>
      </c>
      <c r="L162" s="23">
        <v>0</v>
      </c>
      <c r="M162" s="23">
        <v>0</v>
      </c>
      <c r="N162" s="216">
        <f>266/F162</f>
        <v>1.7733333333333334</v>
      </c>
      <c r="O162" s="215">
        <f t="shared" si="23"/>
        <v>1.7733333333333334</v>
      </c>
      <c r="P162" s="215">
        <f t="shared" si="23"/>
        <v>1.7733333333333334</v>
      </c>
      <c r="Q162" s="215">
        <f t="shared" si="23"/>
        <v>1.7733333333333334</v>
      </c>
      <c r="R162" s="15" t="s">
        <v>838</v>
      </c>
      <c r="S162" s="15" t="s">
        <v>840</v>
      </c>
      <c r="T162" s="15" t="s">
        <v>320</v>
      </c>
      <c r="U162" s="15" t="s">
        <v>319</v>
      </c>
      <c r="V162" s="166" t="s">
        <v>318</v>
      </c>
      <c r="W162" s="166"/>
      <c r="X162" s="166"/>
      <c r="Y162" s="166"/>
      <c r="Z162" s="166"/>
      <c r="AA162" s="158"/>
      <c r="AB162" s="166"/>
      <c r="AC162" s="158"/>
      <c r="AD162" s="166"/>
      <c r="AE162" s="158"/>
      <c r="AF162" s="166"/>
      <c r="AG162" s="166"/>
      <c r="AH162" s="166"/>
      <c r="AI162" s="166"/>
      <c r="AJ162" s="166"/>
      <c r="AK162" s="166"/>
      <c r="AL162" s="166"/>
      <c r="AM162" s="166"/>
      <c r="AN162" s="166"/>
      <c r="AO162" s="166"/>
      <c r="AP162" s="166"/>
      <c r="AQ162" s="166"/>
      <c r="AR162" s="166"/>
      <c r="AS162" s="166"/>
      <c r="AT162" s="166"/>
      <c r="AU162" s="343"/>
      <c r="AV162" s="343"/>
      <c r="AW162" s="343"/>
      <c r="AX162" s="343"/>
      <c r="AY162" s="344"/>
      <c r="AZ162" s="345"/>
      <c r="BA162" s="346"/>
    </row>
    <row r="163" spans="1:53">
      <c r="A163" s="2" t="str">
        <f t="shared" si="20"/>
        <v>Bus - SB Rebates_DCV - Kitchen</v>
      </c>
      <c r="B163" s="18">
        <v>160</v>
      </c>
      <c r="C163" s="23" t="s">
        <v>712</v>
      </c>
      <c r="D163" s="18" t="s">
        <v>312</v>
      </c>
      <c r="E163" s="23" t="s">
        <v>150</v>
      </c>
      <c r="F163" s="23">
        <v>1</v>
      </c>
      <c r="G163" s="154">
        <v>0.92</v>
      </c>
      <c r="H163" s="447">
        <v>15</v>
      </c>
      <c r="I163" s="436">
        <v>15</v>
      </c>
      <c r="J163" s="23">
        <v>0</v>
      </c>
      <c r="K163" s="23">
        <v>0</v>
      </c>
      <c r="L163" s="23">
        <v>0</v>
      </c>
      <c r="M163" s="23">
        <v>0</v>
      </c>
      <c r="N163" s="216">
        <f>X163*Z163*AB163/(AD163*100000)</f>
        <v>5998.5</v>
      </c>
      <c r="O163" s="215">
        <f t="shared" si="23"/>
        <v>5998.5</v>
      </c>
      <c r="P163" s="215">
        <f t="shared" si="23"/>
        <v>5998.5</v>
      </c>
      <c r="Q163" s="215">
        <f t="shared" si="23"/>
        <v>5998.5</v>
      </c>
      <c r="R163" s="15" t="s">
        <v>838</v>
      </c>
      <c r="S163" s="15" t="s">
        <v>840</v>
      </c>
      <c r="T163" s="15" t="s">
        <v>311</v>
      </c>
      <c r="U163" s="15" t="s">
        <v>310</v>
      </c>
      <c r="V163" s="166" t="s">
        <v>306</v>
      </c>
      <c r="W163" s="166" t="s">
        <v>305</v>
      </c>
      <c r="X163" s="166">
        <v>430</v>
      </c>
      <c r="Y163" s="166" t="s">
        <v>309</v>
      </c>
      <c r="Z163" s="166">
        <v>7.75</v>
      </c>
      <c r="AA163" s="158" t="s">
        <v>308</v>
      </c>
      <c r="AB163" s="411">
        <v>144000</v>
      </c>
      <c r="AC163" s="158" t="s">
        <v>307</v>
      </c>
      <c r="AD163" s="397">
        <v>0.8</v>
      </c>
      <c r="AE163" s="158"/>
      <c r="AF163" s="166"/>
      <c r="AG163" s="166"/>
      <c r="AH163" s="166"/>
      <c r="AI163" s="166"/>
      <c r="AJ163" s="166"/>
      <c r="AK163" s="166"/>
      <c r="AL163" s="166"/>
      <c r="AM163" s="166"/>
      <c r="AN163" s="166"/>
      <c r="AO163" s="166"/>
      <c r="AP163" s="166"/>
      <c r="AQ163" s="166"/>
      <c r="AR163" s="166"/>
      <c r="AS163" s="166"/>
      <c r="AT163" s="166"/>
      <c r="AU163" s="343"/>
      <c r="AV163" s="343"/>
      <c r="AW163" s="343"/>
      <c r="AX163" s="343"/>
      <c r="AY163" s="344"/>
      <c r="AZ163" s="345"/>
      <c r="BA163" s="346"/>
    </row>
    <row r="164" spans="1:53">
      <c r="A164" s="2" t="str">
        <f t="shared" si="20"/>
        <v>Bus - SB Rebates_Direct Fired Heaters</v>
      </c>
      <c r="B164" s="18">
        <v>161</v>
      </c>
      <c r="C164" s="23" t="s">
        <v>712</v>
      </c>
      <c r="D164" s="18" t="s">
        <v>317</v>
      </c>
      <c r="E164" s="23" t="s">
        <v>240</v>
      </c>
      <c r="F164" s="23">
        <v>150</v>
      </c>
      <c r="G164" s="154">
        <v>0.92</v>
      </c>
      <c r="H164" s="447">
        <v>20</v>
      </c>
      <c r="I164" s="436">
        <v>20</v>
      </c>
      <c r="J164" s="23">
        <v>0</v>
      </c>
      <c r="K164" s="23">
        <v>0</v>
      </c>
      <c r="L164" s="23">
        <v>0</v>
      </c>
      <c r="M164" s="23">
        <v>0</v>
      </c>
      <c r="N164" s="216">
        <f>AF164*X164*(Z164/AB164-1)/100000</f>
        <v>2.5169999999999986</v>
      </c>
      <c r="O164" s="215">
        <f t="shared" si="23"/>
        <v>2.5169999999999986</v>
      </c>
      <c r="P164" s="215">
        <f t="shared" si="23"/>
        <v>2.5169999999999986</v>
      </c>
      <c r="Q164" s="215">
        <f t="shared" si="23"/>
        <v>2.5169999999999986</v>
      </c>
      <c r="R164" s="15" t="s">
        <v>140</v>
      </c>
      <c r="S164" s="15" t="s">
        <v>140</v>
      </c>
      <c r="T164" s="15" t="s">
        <v>140</v>
      </c>
      <c r="U164" s="15" t="s">
        <v>140</v>
      </c>
      <c r="V164" s="166" t="s">
        <v>313</v>
      </c>
      <c r="W164" s="166" t="s">
        <v>273</v>
      </c>
      <c r="X164" s="166">
        <v>1000</v>
      </c>
      <c r="Y164" s="166" t="s">
        <v>316</v>
      </c>
      <c r="Z164" s="397">
        <v>0.92</v>
      </c>
      <c r="AA164" s="158" t="s">
        <v>315</v>
      </c>
      <c r="AB164" s="397">
        <v>0.8</v>
      </c>
      <c r="AC164" s="466" t="s">
        <v>302</v>
      </c>
      <c r="AD164" s="468">
        <f>(1540+1782)/2</f>
        <v>1661</v>
      </c>
      <c r="AE164" s="466" t="s">
        <v>314</v>
      </c>
      <c r="AF164" s="468">
        <v>1678</v>
      </c>
      <c r="AG164" s="166"/>
      <c r="AH164" s="166"/>
      <c r="AI164" s="166"/>
      <c r="AJ164" s="166"/>
      <c r="AK164" s="166"/>
      <c r="AL164" s="166"/>
      <c r="AM164" s="166"/>
      <c r="AN164" s="166"/>
      <c r="AO164" s="166"/>
      <c r="AP164" s="166"/>
      <c r="AQ164" s="166"/>
      <c r="AR164" s="166"/>
      <c r="AS164" s="166"/>
      <c r="AT164" s="166"/>
      <c r="AU164" s="343"/>
      <c r="AV164" s="343"/>
      <c r="AW164" s="343"/>
      <c r="AX164" s="343"/>
      <c r="AY164" s="344"/>
      <c r="AZ164" s="345"/>
      <c r="BA164" s="346"/>
    </row>
    <row r="165" spans="1:53">
      <c r="A165" s="2" t="str">
        <f t="shared" si="20"/>
        <v>Bus - SB Rebates_Double Rack Oven</v>
      </c>
      <c r="B165" s="18">
        <v>162</v>
      </c>
      <c r="C165" s="23" t="s">
        <v>712</v>
      </c>
      <c r="D165" s="18" t="s">
        <v>186</v>
      </c>
      <c r="E165" s="23" t="s">
        <v>150</v>
      </c>
      <c r="F165" s="23">
        <v>1</v>
      </c>
      <c r="G165" s="154">
        <v>0.92</v>
      </c>
      <c r="H165" s="447">
        <v>12</v>
      </c>
      <c r="I165" s="436">
        <v>12</v>
      </c>
      <c r="J165" s="23">
        <v>0</v>
      </c>
      <c r="K165" s="23">
        <v>0</v>
      </c>
      <c r="L165" s="23">
        <v>0</v>
      </c>
      <c r="M165" s="23">
        <v>0</v>
      </c>
      <c r="N165" s="216">
        <v>1930</v>
      </c>
      <c r="O165" s="215">
        <f t="shared" ref="O165:Q184" si="26">N165</f>
        <v>1930</v>
      </c>
      <c r="P165" s="215">
        <f t="shared" si="26"/>
        <v>1930</v>
      </c>
      <c r="Q165" s="215">
        <f t="shared" si="26"/>
        <v>1930</v>
      </c>
      <c r="R165" s="15" t="s">
        <v>838</v>
      </c>
      <c r="S165" s="15" t="s">
        <v>840</v>
      </c>
      <c r="T165" s="15" t="s">
        <v>185</v>
      </c>
      <c r="U165" s="15" t="s">
        <v>184</v>
      </c>
      <c r="V165" s="166"/>
      <c r="W165" s="166"/>
      <c r="X165" s="166"/>
      <c r="Y165" s="166"/>
      <c r="Z165" s="166"/>
      <c r="AA165" s="158"/>
      <c r="AB165" s="166"/>
      <c r="AC165" s="158"/>
      <c r="AD165" s="166"/>
      <c r="AE165" s="158"/>
      <c r="AF165" s="166"/>
      <c r="AG165" s="166"/>
      <c r="AH165" s="166"/>
      <c r="AI165" s="166"/>
      <c r="AJ165" s="166"/>
      <c r="AK165" s="166"/>
      <c r="AL165" s="166"/>
      <c r="AM165" s="166"/>
      <c r="AN165" s="166"/>
      <c r="AO165" s="166"/>
      <c r="AP165" s="166"/>
      <c r="AQ165" s="166"/>
      <c r="AR165" s="166"/>
      <c r="AS165" s="166"/>
      <c r="AT165" s="166"/>
      <c r="AU165" s="343"/>
      <c r="AV165" s="343"/>
      <c r="AW165" s="343"/>
      <c r="AX165" s="343"/>
      <c r="AY165" s="344"/>
    </row>
    <row r="166" spans="1:53">
      <c r="A166" s="2" t="str">
        <f t="shared" si="20"/>
        <v>Bus - SB Rebates_Energy Star Convection Oven</v>
      </c>
      <c r="B166" s="18">
        <v>163</v>
      </c>
      <c r="C166" s="23" t="s">
        <v>712</v>
      </c>
      <c r="D166" s="18" t="s">
        <v>196</v>
      </c>
      <c r="E166" s="23" t="s">
        <v>150</v>
      </c>
      <c r="F166" s="23">
        <v>1</v>
      </c>
      <c r="G166" s="154">
        <v>0.92</v>
      </c>
      <c r="H166" s="447">
        <v>12</v>
      </c>
      <c r="I166" s="436">
        <v>12</v>
      </c>
      <c r="J166" s="23">
        <v>0</v>
      </c>
      <c r="K166" s="23">
        <v>0</v>
      </c>
      <c r="L166" s="23">
        <v>0</v>
      </c>
      <c r="M166" s="23">
        <v>0</v>
      </c>
      <c r="N166" s="372">
        <f>(X166+Z166+AB166)*365.35/100000</f>
        <v>352.14445072463781</v>
      </c>
      <c r="O166" s="215">
        <f t="shared" si="26"/>
        <v>352.14445072463781</v>
      </c>
      <c r="P166" s="215">
        <f t="shared" si="26"/>
        <v>352.14445072463781</v>
      </c>
      <c r="Q166" s="215">
        <f t="shared" si="26"/>
        <v>352.14445072463781</v>
      </c>
      <c r="R166" s="15" t="s">
        <v>838</v>
      </c>
      <c r="S166" s="15" t="s">
        <v>840</v>
      </c>
      <c r="T166" s="15" t="s">
        <v>195</v>
      </c>
      <c r="U166" s="15" t="s">
        <v>194</v>
      </c>
      <c r="V166" s="166" t="s">
        <v>187</v>
      </c>
      <c r="W166" s="166" t="s">
        <v>190</v>
      </c>
      <c r="X166" s="398">
        <f>18000*10.3-12000*10.5</f>
        <v>59400</v>
      </c>
      <c r="Y166" s="166" t="s">
        <v>189</v>
      </c>
      <c r="Z166" s="398">
        <f>1*15/60*76000-1*15/60*44000</f>
        <v>8000</v>
      </c>
      <c r="AA166" s="158" t="s">
        <v>188</v>
      </c>
      <c r="AB166" s="398">
        <f>100*250/30%-100*250/46%</f>
        <v>28985.507246376823</v>
      </c>
      <c r="AC166" s="158"/>
      <c r="AD166" s="166"/>
      <c r="AE166" s="158"/>
      <c r="AF166" s="166"/>
      <c r="AG166" s="166"/>
      <c r="AH166" s="166"/>
      <c r="AI166" s="166"/>
      <c r="AJ166" s="166"/>
      <c r="AK166" s="166"/>
      <c r="AL166" s="166"/>
      <c r="AM166" s="166"/>
      <c r="AN166" s="166"/>
      <c r="AO166" s="166"/>
      <c r="AP166" s="166"/>
      <c r="AQ166" s="166"/>
      <c r="AR166" s="166"/>
      <c r="AS166" s="166"/>
      <c r="AT166" s="166"/>
      <c r="AU166" s="343"/>
      <c r="AV166" s="343"/>
      <c r="AW166" s="343"/>
      <c r="AX166" s="343"/>
      <c r="AY166" s="344"/>
    </row>
    <row r="167" spans="1:53">
      <c r="A167" s="2" t="str">
        <f t="shared" si="20"/>
        <v>Bus - SB Rebates_Energy Star Conveyer Oven</v>
      </c>
      <c r="B167" s="18">
        <v>164</v>
      </c>
      <c r="C167" s="23" t="s">
        <v>712</v>
      </c>
      <c r="D167" s="18" t="s">
        <v>199</v>
      </c>
      <c r="E167" s="23" t="s">
        <v>150</v>
      </c>
      <c r="F167" s="23">
        <v>1</v>
      </c>
      <c r="G167" s="154">
        <v>0.92</v>
      </c>
      <c r="H167" s="447">
        <v>17</v>
      </c>
      <c r="I167" s="436">
        <v>17</v>
      </c>
      <c r="J167" s="23">
        <v>0</v>
      </c>
      <c r="K167" s="23">
        <v>0</v>
      </c>
      <c r="L167" s="23">
        <v>0</v>
      </c>
      <c r="M167" s="23">
        <v>0</v>
      </c>
      <c r="N167" s="372">
        <v>884</v>
      </c>
      <c r="O167" s="215">
        <f t="shared" si="26"/>
        <v>884</v>
      </c>
      <c r="P167" s="215">
        <f t="shared" si="26"/>
        <v>884</v>
      </c>
      <c r="Q167" s="215">
        <f t="shared" si="26"/>
        <v>884</v>
      </c>
      <c r="R167" s="15" t="s">
        <v>838</v>
      </c>
      <c r="S167" s="15" t="s">
        <v>840</v>
      </c>
      <c r="T167" s="15" t="s">
        <v>198</v>
      </c>
      <c r="U167" s="15" t="s">
        <v>197</v>
      </c>
      <c r="V167" s="166" t="s">
        <v>187</v>
      </c>
      <c r="W167" s="166"/>
      <c r="X167" s="398"/>
      <c r="Y167" s="166"/>
      <c r="Z167" s="398"/>
      <c r="AA167" s="158"/>
      <c r="AB167" s="398"/>
      <c r="AC167" s="158"/>
      <c r="AD167" s="166"/>
      <c r="AE167" s="158"/>
      <c r="AF167" s="166"/>
      <c r="AG167" s="166"/>
      <c r="AH167" s="166"/>
      <c r="AI167" s="166"/>
      <c r="AJ167" s="166"/>
      <c r="AK167" s="166"/>
      <c r="AL167" s="166"/>
      <c r="AM167" s="166"/>
      <c r="AN167" s="166"/>
      <c r="AO167" s="166"/>
      <c r="AP167" s="166"/>
      <c r="AQ167" s="166"/>
      <c r="AR167" s="166"/>
      <c r="AS167" s="166"/>
      <c r="AT167" s="166"/>
      <c r="AU167" s="343"/>
      <c r="AV167" s="343"/>
      <c r="AW167" s="343"/>
      <c r="AX167" s="343"/>
      <c r="AY167" s="344"/>
    </row>
    <row r="168" spans="1:53">
      <c r="A168" s="2" t="str">
        <f t="shared" si="20"/>
        <v>Bus - SB Rebates_Energy Star Fryer</v>
      </c>
      <c r="B168" s="18">
        <v>165</v>
      </c>
      <c r="C168" s="23" t="s">
        <v>712</v>
      </c>
      <c r="D168" s="18" t="s">
        <v>193</v>
      </c>
      <c r="E168" s="23" t="s">
        <v>150</v>
      </c>
      <c r="F168" s="23">
        <v>1</v>
      </c>
      <c r="G168" s="154">
        <v>0.92</v>
      </c>
      <c r="H168" s="447">
        <v>15</v>
      </c>
      <c r="I168" s="443">
        <v>12</v>
      </c>
      <c r="J168" s="23">
        <v>0</v>
      </c>
      <c r="K168" s="23">
        <v>0</v>
      </c>
      <c r="L168" s="23">
        <v>0</v>
      </c>
      <c r="M168" s="23">
        <v>0</v>
      </c>
      <c r="N168" s="372">
        <f>(X168+Z168+AB168)*365.35/100000</f>
        <v>505.37299714285717</v>
      </c>
      <c r="O168" s="215">
        <f t="shared" si="26"/>
        <v>505.37299714285717</v>
      </c>
      <c r="P168" s="215">
        <f t="shared" si="26"/>
        <v>505.37299714285717</v>
      </c>
      <c r="Q168" s="215">
        <f t="shared" si="26"/>
        <v>505.37299714285717</v>
      </c>
      <c r="R168" s="15" t="s">
        <v>838</v>
      </c>
      <c r="S168" s="15" t="s">
        <v>840</v>
      </c>
      <c r="T168" s="15" t="s">
        <v>192</v>
      </c>
      <c r="U168" s="15" t="s">
        <v>191</v>
      </c>
      <c r="V168" s="166" t="s">
        <v>187</v>
      </c>
      <c r="W168" s="166" t="s">
        <v>190</v>
      </c>
      <c r="X168" s="398">
        <f>14000*13.25-9000*13.44</f>
        <v>64540</v>
      </c>
      <c r="Y168" s="166" t="s">
        <v>189</v>
      </c>
      <c r="Z168" s="166">
        <f>1*15/60*64000-1*15/60*62000</f>
        <v>500</v>
      </c>
      <c r="AA168" s="158" t="s">
        <v>188</v>
      </c>
      <c r="AB168" s="398">
        <f>150*570/35%-150*570/50%</f>
        <v>73285.71428571429</v>
      </c>
      <c r="AC168" s="158"/>
      <c r="AD168" s="166"/>
      <c r="AE168" s="158"/>
      <c r="AF168" s="166"/>
      <c r="AG168" s="166"/>
      <c r="AH168" s="166"/>
      <c r="AI168" s="166"/>
      <c r="AJ168" s="166"/>
      <c r="AK168" s="166"/>
      <c r="AL168" s="166"/>
      <c r="AM168" s="166"/>
      <c r="AN168" s="166"/>
      <c r="AO168" s="166"/>
      <c r="AP168" s="166"/>
      <c r="AQ168" s="166"/>
      <c r="AR168" s="166"/>
      <c r="AS168" s="166"/>
      <c r="AT168" s="166"/>
      <c r="AU168" s="343"/>
      <c r="AV168" s="343"/>
      <c r="AW168" s="343"/>
      <c r="AX168" s="343"/>
      <c r="AY168" s="344"/>
    </row>
    <row r="169" spans="1:53">
      <c r="A169" s="2" t="str">
        <f t="shared" si="20"/>
        <v>Bus - SB Rebates_Energy Star Steamer - 3 Pans</v>
      </c>
      <c r="B169" s="18">
        <v>166</v>
      </c>
      <c r="C169" s="23" t="s">
        <v>712</v>
      </c>
      <c r="D169" s="18" t="s">
        <v>183</v>
      </c>
      <c r="E169" s="23" t="s">
        <v>150</v>
      </c>
      <c r="F169" s="23">
        <v>1</v>
      </c>
      <c r="G169" s="154">
        <v>0.92</v>
      </c>
      <c r="H169" s="447">
        <v>12</v>
      </c>
      <c r="I169" s="436">
        <v>12</v>
      </c>
      <c r="J169" s="23">
        <v>0</v>
      </c>
      <c r="K169" s="23">
        <v>0</v>
      </c>
      <c r="L169" s="23">
        <v>0</v>
      </c>
      <c r="M169" s="23">
        <v>0</v>
      </c>
      <c r="N169" s="372">
        <f>'Food Equipment Detail'!$C$62</f>
        <v>752.01231086676478</v>
      </c>
      <c r="O169" s="215">
        <f t="shared" si="26"/>
        <v>752.01231086676478</v>
      </c>
      <c r="P169" s="215">
        <f t="shared" si="26"/>
        <v>752.01231086676478</v>
      </c>
      <c r="Q169" s="215">
        <f t="shared" si="26"/>
        <v>752.01231086676478</v>
      </c>
      <c r="R169" s="15" t="s">
        <v>835</v>
      </c>
      <c r="S169" s="15" t="s">
        <v>840</v>
      </c>
      <c r="T169" s="15" t="s">
        <v>179</v>
      </c>
      <c r="U169" s="15" t="s">
        <v>178</v>
      </c>
      <c r="V169" s="420"/>
      <c r="W169" s="166" t="s">
        <v>177</v>
      </c>
      <c r="X169" s="166">
        <v>40</v>
      </c>
      <c r="Y169" s="166" t="s">
        <v>176</v>
      </c>
      <c r="Z169" s="166">
        <v>15</v>
      </c>
      <c r="AA169" s="158" t="s">
        <v>153</v>
      </c>
      <c r="AB169" s="166">
        <v>6</v>
      </c>
      <c r="AC169" s="158" t="s">
        <v>175</v>
      </c>
      <c r="AD169" s="166">
        <v>365.25</v>
      </c>
      <c r="AE169" s="158"/>
      <c r="AF169" s="166"/>
      <c r="AG169" s="166"/>
      <c r="AH169" s="166"/>
      <c r="AI169" s="166"/>
      <c r="AJ169" s="166"/>
      <c r="AK169" s="166"/>
      <c r="AL169" s="166"/>
      <c r="AM169" s="166"/>
      <c r="AN169" s="166"/>
      <c r="AO169" s="166"/>
      <c r="AP169" s="166"/>
      <c r="AQ169" s="166"/>
      <c r="AR169" s="166"/>
      <c r="AS169" s="166"/>
      <c r="AT169" s="166"/>
      <c r="AU169" s="343"/>
      <c r="AV169" s="343"/>
      <c r="AW169" s="343"/>
      <c r="AX169" s="343"/>
      <c r="AY169" s="344"/>
    </row>
    <row r="170" spans="1:53">
      <c r="A170" s="2" t="str">
        <f t="shared" si="20"/>
        <v>Bus - SB Rebates_Energy Star Steamer - 4 Pans</v>
      </c>
      <c r="B170" s="18">
        <v>167</v>
      </c>
      <c r="C170" s="23" t="s">
        <v>712</v>
      </c>
      <c r="D170" s="18" t="s">
        <v>182</v>
      </c>
      <c r="E170" s="23" t="s">
        <v>150</v>
      </c>
      <c r="F170" s="23">
        <v>1</v>
      </c>
      <c r="G170" s="154">
        <v>0.92</v>
      </c>
      <c r="H170" s="447">
        <v>12</v>
      </c>
      <c r="I170" s="436">
        <v>12</v>
      </c>
      <c r="J170" s="23">
        <v>0</v>
      </c>
      <c r="K170" s="23">
        <v>0</v>
      </c>
      <c r="L170" s="23">
        <v>0</v>
      </c>
      <c r="M170" s="23">
        <v>0</v>
      </c>
      <c r="N170" s="372">
        <f>'Food Equipment Detail'!$D$62</f>
        <v>1007.2641787965732</v>
      </c>
      <c r="O170" s="215">
        <f t="shared" si="26"/>
        <v>1007.2641787965732</v>
      </c>
      <c r="P170" s="215">
        <f t="shared" si="26"/>
        <v>1007.2641787965732</v>
      </c>
      <c r="Q170" s="215">
        <f t="shared" si="26"/>
        <v>1007.2641787965732</v>
      </c>
      <c r="R170" s="15" t="s">
        <v>835</v>
      </c>
      <c r="S170" s="15" t="s">
        <v>840</v>
      </c>
      <c r="T170" s="15" t="s">
        <v>179</v>
      </c>
      <c r="U170" s="15" t="s">
        <v>178</v>
      </c>
      <c r="V170" s="420"/>
      <c r="W170" s="166" t="s">
        <v>177</v>
      </c>
      <c r="X170" s="166">
        <v>40</v>
      </c>
      <c r="Y170" s="166" t="s">
        <v>176</v>
      </c>
      <c r="Z170" s="166">
        <v>15</v>
      </c>
      <c r="AA170" s="158" t="s">
        <v>153</v>
      </c>
      <c r="AB170" s="166">
        <v>6</v>
      </c>
      <c r="AC170" s="158" t="s">
        <v>175</v>
      </c>
      <c r="AD170" s="166">
        <v>365.25</v>
      </c>
      <c r="AE170" s="158"/>
      <c r="AF170" s="166"/>
      <c r="AG170" s="166"/>
      <c r="AH170" s="166"/>
      <c r="AI170" s="166"/>
      <c r="AJ170" s="166"/>
      <c r="AK170" s="166"/>
      <c r="AL170" s="166"/>
      <c r="AM170" s="166"/>
      <c r="AN170" s="166"/>
      <c r="AO170" s="166"/>
      <c r="AP170" s="166"/>
      <c r="AQ170" s="166"/>
      <c r="AR170" s="166"/>
      <c r="AS170" s="166"/>
      <c r="AT170" s="166"/>
      <c r="AU170" s="343"/>
      <c r="AV170" s="343"/>
      <c r="AW170" s="343"/>
      <c r="AX170" s="343"/>
      <c r="AY170" s="344"/>
    </row>
    <row r="171" spans="1:53">
      <c r="A171" s="2" t="str">
        <f t="shared" si="20"/>
        <v>Bus - SB Rebates_Energy Star Steamer - 5 Pans</v>
      </c>
      <c r="B171" s="18">
        <v>168</v>
      </c>
      <c r="C171" s="23" t="s">
        <v>712</v>
      </c>
      <c r="D171" s="18" t="s">
        <v>181</v>
      </c>
      <c r="E171" s="23" t="s">
        <v>150</v>
      </c>
      <c r="F171" s="23">
        <v>1</v>
      </c>
      <c r="G171" s="154">
        <v>0.92</v>
      </c>
      <c r="H171" s="447">
        <v>12</v>
      </c>
      <c r="I171" s="436">
        <v>12</v>
      </c>
      <c r="J171" s="23">
        <v>0</v>
      </c>
      <c r="K171" s="23">
        <v>0</v>
      </c>
      <c r="L171" s="23">
        <v>0</v>
      </c>
      <c r="M171" s="23">
        <v>0</v>
      </c>
      <c r="N171" s="372">
        <f>'Food Equipment Detail'!$E$62</f>
        <v>1248.6709419898457</v>
      </c>
      <c r="O171" s="215">
        <f t="shared" si="26"/>
        <v>1248.6709419898457</v>
      </c>
      <c r="P171" s="215">
        <f t="shared" si="26"/>
        <v>1248.6709419898457</v>
      </c>
      <c r="Q171" s="215">
        <f t="shared" si="26"/>
        <v>1248.6709419898457</v>
      </c>
      <c r="R171" s="15" t="s">
        <v>835</v>
      </c>
      <c r="S171" s="15" t="s">
        <v>840</v>
      </c>
      <c r="T171" s="15" t="s">
        <v>179</v>
      </c>
      <c r="U171" s="15" t="s">
        <v>178</v>
      </c>
      <c r="V171" s="420"/>
      <c r="W171" s="166" t="s">
        <v>177</v>
      </c>
      <c r="X171" s="166">
        <v>40</v>
      </c>
      <c r="Y171" s="166" t="s">
        <v>176</v>
      </c>
      <c r="Z171" s="166">
        <v>15</v>
      </c>
      <c r="AA171" s="158" t="s">
        <v>153</v>
      </c>
      <c r="AB171" s="166">
        <v>6</v>
      </c>
      <c r="AC171" s="158" t="s">
        <v>175</v>
      </c>
      <c r="AD171" s="166">
        <v>365.25</v>
      </c>
      <c r="AE171" s="158"/>
      <c r="AF171" s="166"/>
      <c r="AG171" s="166"/>
      <c r="AH171" s="166"/>
      <c r="AI171" s="166"/>
      <c r="AJ171" s="166"/>
      <c r="AK171" s="166"/>
      <c r="AL171" s="166"/>
      <c r="AM171" s="166"/>
      <c r="AN171" s="166"/>
      <c r="AO171" s="166"/>
      <c r="AP171" s="166"/>
      <c r="AQ171" s="166"/>
      <c r="AR171" s="166"/>
      <c r="AS171" s="166"/>
      <c r="AT171" s="166"/>
      <c r="AU171" s="343"/>
      <c r="AV171" s="343"/>
      <c r="AW171" s="343"/>
      <c r="AX171" s="343"/>
      <c r="AY171" s="344"/>
    </row>
    <row r="172" spans="1:53">
      <c r="A172" s="2" t="str">
        <f t="shared" si="20"/>
        <v>Bus - SB Rebates_Energy Star Steamer - 6 Pans</v>
      </c>
      <c r="B172" s="18">
        <v>169</v>
      </c>
      <c r="C172" s="23" t="s">
        <v>712</v>
      </c>
      <c r="D172" s="18" t="s">
        <v>180</v>
      </c>
      <c r="E172" s="23" t="s">
        <v>150</v>
      </c>
      <c r="F172" s="23">
        <v>1</v>
      </c>
      <c r="G172" s="154">
        <v>0.92</v>
      </c>
      <c r="H172" s="447">
        <v>12</v>
      </c>
      <c r="I172" s="436">
        <v>12</v>
      </c>
      <c r="J172" s="23">
        <v>0</v>
      </c>
      <c r="K172" s="23">
        <v>0</v>
      </c>
      <c r="L172" s="23">
        <v>0</v>
      </c>
      <c r="M172" s="23">
        <v>0</v>
      </c>
      <c r="N172" s="372">
        <f>'Food Equipment Detail'!$F$62</f>
        <v>1503.8794358667649</v>
      </c>
      <c r="O172" s="215">
        <f t="shared" si="26"/>
        <v>1503.8794358667649</v>
      </c>
      <c r="P172" s="215">
        <f t="shared" si="26"/>
        <v>1503.8794358667649</v>
      </c>
      <c r="Q172" s="215">
        <f t="shared" si="26"/>
        <v>1503.8794358667649</v>
      </c>
      <c r="R172" s="15" t="s">
        <v>835</v>
      </c>
      <c r="S172" s="15" t="s">
        <v>840</v>
      </c>
      <c r="T172" s="15" t="s">
        <v>179</v>
      </c>
      <c r="U172" s="15" t="s">
        <v>178</v>
      </c>
      <c r="V172" s="420"/>
      <c r="W172" s="166" t="s">
        <v>177</v>
      </c>
      <c r="X172" s="166">
        <v>40</v>
      </c>
      <c r="Y172" s="166" t="s">
        <v>176</v>
      </c>
      <c r="Z172" s="166">
        <v>15</v>
      </c>
      <c r="AA172" s="158" t="s">
        <v>153</v>
      </c>
      <c r="AB172" s="166">
        <v>6</v>
      </c>
      <c r="AC172" s="158" t="s">
        <v>175</v>
      </c>
      <c r="AD172" s="166">
        <v>365.25</v>
      </c>
      <c r="AE172" s="158"/>
      <c r="AF172" s="166"/>
      <c r="AG172" s="166"/>
      <c r="AH172" s="166"/>
      <c r="AI172" s="166"/>
      <c r="AJ172" s="166"/>
      <c r="AK172" s="166"/>
      <c r="AL172" s="166"/>
      <c r="AM172" s="166"/>
      <c r="AN172" s="166"/>
      <c r="AO172" s="166"/>
      <c r="AP172" s="166"/>
      <c r="AQ172" s="166"/>
      <c r="AR172" s="166"/>
      <c r="AS172" s="166"/>
      <c r="AT172" s="166"/>
      <c r="AU172" s="343"/>
      <c r="AV172" s="343"/>
      <c r="AW172" s="343"/>
      <c r="AX172" s="343"/>
      <c r="AY172" s="344"/>
    </row>
    <row r="173" spans="1:53">
      <c r="A173" s="2" t="str">
        <f t="shared" si="20"/>
        <v>Bus - SB Rebates_Heat Recovery Grease Trap Filter</v>
      </c>
      <c r="B173" s="18">
        <v>170</v>
      </c>
      <c r="C173" s="23" t="s">
        <v>712</v>
      </c>
      <c r="D173" s="18" t="s">
        <v>151</v>
      </c>
      <c r="E173" s="23" t="s">
        <v>150</v>
      </c>
      <c r="F173" s="23">
        <v>1</v>
      </c>
      <c r="G173" s="154">
        <v>0.92</v>
      </c>
      <c r="H173" s="447">
        <v>15</v>
      </c>
      <c r="I173" s="436">
        <v>15</v>
      </c>
      <c r="J173" s="23">
        <v>0</v>
      </c>
      <c r="K173" s="23">
        <v>0</v>
      </c>
      <c r="L173" s="23">
        <v>0</v>
      </c>
      <c r="M173" s="23">
        <v>0</v>
      </c>
      <c r="N173" s="372">
        <f>((X173*Z173*AB173)*8.3*1*(AD173*AF173))/(AH173*100000)</f>
        <v>1757.3025600000001</v>
      </c>
      <c r="O173" s="215">
        <f t="shared" si="26"/>
        <v>1757.3025600000001</v>
      </c>
      <c r="P173" s="215">
        <f t="shared" si="26"/>
        <v>1757.3025600000001</v>
      </c>
      <c r="Q173" s="215">
        <f t="shared" si="26"/>
        <v>1757.3025600000001</v>
      </c>
      <c r="R173" s="15" t="s">
        <v>838</v>
      </c>
      <c r="S173" s="15" t="s">
        <v>840</v>
      </c>
      <c r="T173" s="15" t="s">
        <v>149</v>
      </c>
      <c r="U173" s="15" t="s">
        <v>148</v>
      </c>
      <c r="V173" s="166" t="s">
        <v>141</v>
      </c>
      <c r="W173" s="166" t="s">
        <v>147</v>
      </c>
      <c r="X173" s="166">
        <v>780</v>
      </c>
      <c r="Y173" s="166" t="s">
        <v>146</v>
      </c>
      <c r="Z173" s="166">
        <v>3</v>
      </c>
      <c r="AA173" s="158" t="s">
        <v>145</v>
      </c>
      <c r="AB173" s="166">
        <v>312</v>
      </c>
      <c r="AC173" s="158" t="s">
        <v>144</v>
      </c>
      <c r="AD173" s="166">
        <v>5.8</v>
      </c>
      <c r="AE173" s="158" t="s">
        <v>143</v>
      </c>
      <c r="AF173" s="166">
        <v>4</v>
      </c>
      <c r="AG173" s="166" t="s">
        <v>142</v>
      </c>
      <c r="AH173" s="397">
        <v>0.8</v>
      </c>
      <c r="AI173" s="166"/>
      <c r="AJ173" s="166"/>
      <c r="AK173" s="166"/>
      <c r="AL173" s="166"/>
      <c r="AM173" s="166"/>
      <c r="AN173" s="166"/>
      <c r="AO173" s="166"/>
      <c r="AP173" s="166"/>
      <c r="AQ173" s="166"/>
      <c r="AR173" s="166"/>
      <c r="AS173" s="166"/>
      <c r="AT173" s="166"/>
      <c r="AU173" s="343"/>
      <c r="AV173" s="343"/>
      <c r="AW173" s="343"/>
      <c r="AX173" s="343"/>
      <c r="AY173" s="344"/>
    </row>
    <row r="174" spans="1:53">
      <c r="A174" s="2" t="str">
        <f t="shared" si="20"/>
        <v>Bus - SB Rebates_Infrared Charbroiler</v>
      </c>
      <c r="B174" s="18">
        <v>171</v>
      </c>
      <c r="C174" s="23" t="s">
        <v>712</v>
      </c>
      <c r="D174" s="18" t="s">
        <v>174</v>
      </c>
      <c r="E174" s="23" t="s">
        <v>150</v>
      </c>
      <c r="F174" s="23">
        <v>1</v>
      </c>
      <c r="G174" s="154">
        <v>0.92</v>
      </c>
      <c r="H174" s="447">
        <v>12</v>
      </c>
      <c r="I174" s="436">
        <v>12</v>
      </c>
      <c r="J174" s="23">
        <v>0</v>
      </c>
      <c r="K174" s="23">
        <v>0</v>
      </c>
      <c r="L174" s="23">
        <v>0</v>
      </c>
      <c r="M174" s="23">
        <v>0</v>
      </c>
      <c r="N174" s="216">
        <f>((X174-Z174)*AB174*AD174/60+((AF174-AH174)*AJ174*AL174))*312/100000</f>
        <v>706.68</v>
      </c>
      <c r="O174" s="215">
        <f t="shared" si="26"/>
        <v>706.68</v>
      </c>
      <c r="P174" s="215">
        <f t="shared" si="26"/>
        <v>706.68</v>
      </c>
      <c r="Q174" s="215">
        <f t="shared" si="26"/>
        <v>706.68</v>
      </c>
      <c r="R174" s="15" t="s">
        <v>838</v>
      </c>
      <c r="S174" s="15" t="s">
        <v>840</v>
      </c>
      <c r="T174" s="15" t="s">
        <v>173</v>
      </c>
      <c r="U174" s="15" t="s">
        <v>172</v>
      </c>
      <c r="V174" s="166" t="s">
        <v>166</v>
      </c>
      <c r="W174" s="166" t="s">
        <v>171</v>
      </c>
      <c r="X174" s="166">
        <v>64000</v>
      </c>
      <c r="Y174" s="166" t="s">
        <v>170</v>
      </c>
      <c r="Z174" s="166">
        <v>54000</v>
      </c>
      <c r="AA174" s="158" t="s">
        <v>169</v>
      </c>
      <c r="AB174" s="166">
        <v>1</v>
      </c>
      <c r="AC174" s="158" t="s">
        <v>168</v>
      </c>
      <c r="AD174" s="166">
        <v>15</v>
      </c>
      <c r="AE174" s="158" t="s">
        <v>167</v>
      </c>
      <c r="AF174" s="166">
        <v>140000</v>
      </c>
      <c r="AG174" s="166" t="s">
        <v>155</v>
      </c>
      <c r="AH174" s="166">
        <v>105000</v>
      </c>
      <c r="AI174" s="166" t="s">
        <v>154</v>
      </c>
      <c r="AJ174" s="403">
        <v>0.8</v>
      </c>
      <c r="AK174" s="166" t="s">
        <v>153</v>
      </c>
      <c r="AL174" s="166">
        <v>8</v>
      </c>
      <c r="AM174" s="166"/>
      <c r="AN174" s="166"/>
      <c r="AO174" s="166"/>
      <c r="AP174" s="166"/>
      <c r="AQ174" s="166"/>
      <c r="AR174" s="166"/>
      <c r="AS174" s="166"/>
      <c r="AT174" s="166"/>
      <c r="AU174" s="343"/>
      <c r="AV174" s="343"/>
      <c r="AW174" s="343"/>
      <c r="AX174" s="343"/>
      <c r="AY174" s="344"/>
    </row>
    <row r="175" spans="1:53">
      <c r="A175" s="2" t="str">
        <f t="shared" si="20"/>
        <v>Bus - SB Rebates_Infrared Rotisserie Oven</v>
      </c>
      <c r="B175" s="18">
        <v>172</v>
      </c>
      <c r="C175" s="23" t="s">
        <v>712</v>
      </c>
      <c r="D175" s="18" t="s">
        <v>165</v>
      </c>
      <c r="E175" s="23" t="s">
        <v>150</v>
      </c>
      <c r="F175" s="23">
        <v>1</v>
      </c>
      <c r="G175" s="154">
        <v>0.92</v>
      </c>
      <c r="H175" s="447">
        <v>12</v>
      </c>
      <c r="I175" s="436">
        <v>12</v>
      </c>
      <c r="J175" s="23">
        <v>0</v>
      </c>
      <c r="K175" s="23">
        <v>0</v>
      </c>
      <c r="L175" s="23">
        <v>0</v>
      </c>
      <c r="M175" s="23">
        <v>0</v>
      </c>
      <c r="N175" s="216">
        <f>(X175-Z175)*AB175*AD175/100000</f>
        <v>599.04</v>
      </c>
      <c r="O175" s="215">
        <f t="shared" si="26"/>
        <v>599.04</v>
      </c>
      <c r="P175" s="215">
        <f t="shared" si="26"/>
        <v>599.04</v>
      </c>
      <c r="Q175" s="215">
        <f t="shared" si="26"/>
        <v>599.04</v>
      </c>
      <c r="R175" s="15" t="s">
        <v>838</v>
      </c>
      <c r="S175" s="15" t="s">
        <v>840</v>
      </c>
      <c r="T175" s="15" t="s">
        <v>164</v>
      </c>
      <c r="U175" s="15" t="s">
        <v>163</v>
      </c>
      <c r="V175" s="166" t="s">
        <v>152</v>
      </c>
      <c r="W175" s="166" t="s">
        <v>156</v>
      </c>
      <c r="X175" s="166">
        <v>90000</v>
      </c>
      <c r="Y175" s="166" t="s">
        <v>155</v>
      </c>
      <c r="Z175" s="166">
        <v>50000</v>
      </c>
      <c r="AA175" s="158" t="s">
        <v>154</v>
      </c>
      <c r="AB175" s="403">
        <v>0.6</v>
      </c>
      <c r="AC175" s="158" t="s">
        <v>153</v>
      </c>
      <c r="AD175" s="166">
        <v>2496</v>
      </c>
      <c r="AE175" s="158"/>
      <c r="AF175" s="166"/>
      <c r="AG175" s="166"/>
      <c r="AH175" s="166"/>
      <c r="AI175" s="166"/>
      <c r="AJ175" s="166"/>
      <c r="AK175" s="166"/>
      <c r="AL175" s="166"/>
      <c r="AM175" s="166"/>
      <c r="AN175" s="166"/>
      <c r="AO175" s="166"/>
      <c r="AP175" s="166"/>
      <c r="AQ175" s="166"/>
      <c r="AR175" s="166"/>
      <c r="AS175" s="166"/>
      <c r="AT175" s="166"/>
      <c r="AU175" s="343"/>
      <c r="AV175" s="343"/>
      <c r="AW175" s="343"/>
      <c r="AX175" s="343"/>
      <c r="AY175" s="344"/>
    </row>
    <row r="176" spans="1:53">
      <c r="A176" s="2" t="str">
        <f t="shared" si="20"/>
        <v>Bus - SB Rebates_Infrared Salamander Broiler</v>
      </c>
      <c r="B176" s="18">
        <v>173</v>
      </c>
      <c r="C176" s="23" t="s">
        <v>712</v>
      </c>
      <c r="D176" s="18" t="s">
        <v>162</v>
      </c>
      <c r="E176" s="23" t="s">
        <v>150</v>
      </c>
      <c r="F176" s="23">
        <v>1</v>
      </c>
      <c r="G176" s="154">
        <v>0.92</v>
      </c>
      <c r="H176" s="447">
        <v>12</v>
      </c>
      <c r="I176" s="436">
        <v>12</v>
      </c>
      <c r="J176" s="23">
        <v>0</v>
      </c>
      <c r="K176" s="23">
        <v>0</v>
      </c>
      <c r="L176" s="23">
        <v>0</v>
      </c>
      <c r="M176" s="23">
        <v>0</v>
      </c>
      <c r="N176" s="216">
        <f>(X176-Z176)*AB176*AD176/100000</f>
        <v>240.24</v>
      </c>
      <c r="O176" s="215">
        <f t="shared" si="26"/>
        <v>240.24</v>
      </c>
      <c r="P176" s="215">
        <f t="shared" si="26"/>
        <v>240.24</v>
      </c>
      <c r="Q176" s="215">
        <f t="shared" si="26"/>
        <v>240.24</v>
      </c>
      <c r="R176" s="15" t="s">
        <v>838</v>
      </c>
      <c r="S176" s="15" t="s">
        <v>840</v>
      </c>
      <c r="T176" s="15" t="s">
        <v>161</v>
      </c>
      <c r="U176" s="15" t="s">
        <v>160</v>
      </c>
      <c r="V176" s="166" t="s">
        <v>152</v>
      </c>
      <c r="W176" s="166" t="s">
        <v>156</v>
      </c>
      <c r="X176" s="166">
        <v>38500</v>
      </c>
      <c r="Y176" s="166" t="s">
        <v>155</v>
      </c>
      <c r="Z176" s="166">
        <v>24750</v>
      </c>
      <c r="AA176" s="158" t="s">
        <v>154</v>
      </c>
      <c r="AB176" s="403">
        <v>0.7</v>
      </c>
      <c r="AC176" s="158" t="s">
        <v>153</v>
      </c>
      <c r="AD176" s="166">
        <v>2496</v>
      </c>
      <c r="AE176" s="158"/>
      <c r="AF176" s="166"/>
      <c r="AG176" s="166"/>
      <c r="AH176" s="166"/>
      <c r="AI176" s="166"/>
      <c r="AJ176" s="166"/>
      <c r="AK176" s="166"/>
      <c r="AL176" s="166"/>
      <c r="AM176" s="166"/>
      <c r="AN176" s="166"/>
      <c r="AO176" s="166"/>
      <c r="AP176" s="166"/>
      <c r="AQ176" s="166"/>
      <c r="AR176" s="166"/>
      <c r="AS176" s="166"/>
      <c r="AT176" s="166"/>
      <c r="AU176" s="343"/>
      <c r="AV176" s="343"/>
      <c r="AW176" s="343"/>
      <c r="AX176" s="343"/>
      <c r="AY176" s="344"/>
    </row>
    <row r="177" spans="1:53">
      <c r="A177" s="2" t="str">
        <f t="shared" si="20"/>
        <v>Bus - SB Rebates_Infrared Upright Broiler</v>
      </c>
      <c r="B177" s="18">
        <v>174</v>
      </c>
      <c r="C177" s="23" t="s">
        <v>712</v>
      </c>
      <c r="D177" s="18" t="s">
        <v>159</v>
      </c>
      <c r="E177" s="23" t="s">
        <v>150</v>
      </c>
      <c r="F177" s="23">
        <v>1</v>
      </c>
      <c r="G177" s="154">
        <v>0.92</v>
      </c>
      <c r="H177" s="447">
        <v>12</v>
      </c>
      <c r="I177" s="436">
        <v>12</v>
      </c>
      <c r="J177" s="23">
        <v>0</v>
      </c>
      <c r="K177" s="23">
        <v>0</v>
      </c>
      <c r="L177" s="23">
        <v>0</v>
      </c>
      <c r="M177" s="23">
        <v>0</v>
      </c>
      <c r="N177" s="216">
        <f>(X177-Z177)*AB177*AD177/100000</f>
        <v>943.48800000000006</v>
      </c>
      <c r="O177" s="215">
        <f t="shared" si="26"/>
        <v>943.48800000000006</v>
      </c>
      <c r="P177" s="215">
        <f t="shared" si="26"/>
        <v>943.48800000000006</v>
      </c>
      <c r="Q177" s="215">
        <f t="shared" si="26"/>
        <v>943.48800000000006</v>
      </c>
      <c r="R177" s="15" t="s">
        <v>838</v>
      </c>
      <c r="S177" s="15" t="s">
        <v>840</v>
      </c>
      <c r="T177" s="15" t="s">
        <v>158</v>
      </c>
      <c r="U177" s="15" t="s">
        <v>157</v>
      </c>
      <c r="V177" s="166" t="s">
        <v>152</v>
      </c>
      <c r="W177" s="166" t="s">
        <v>156</v>
      </c>
      <c r="X177" s="166">
        <v>144000</v>
      </c>
      <c r="Y177" s="166" t="s">
        <v>155</v>
      </c>
      <c r="Z177" s="166">
        <v>90000</v>
      </c>
      <c r="AA177" s="158" t="s">
        <v>154</v>
      </c>
      <c r="AB177" s="403">
        <v>0.7</v>
      </c>
      <c r="AC177" s="158" t="s">
        <v>153</v>
      </c>
      <c r="AD177" s="166">
        <v>2496</v>
      </c>
      <c r="AE177" s="158"/>
      <c r="AF177" s="166"/>
      <c r="AG177" s="166"/>
      <c r="AH177" s="166"/>
      <c r="AI177" s="166"/>
      <c r="AJ177" s="166"/>
      <c r="AK177" s="166"/>
      <c r="AL177" s="166"/>
      <c r="AM177" s="166"/>
      <c r="AN177" s="166"/>
      <c r="AO177" s="166"/>
      <c r="AP177" s="166"/>
      <c r="AQ177" s="166"/>
      <c r="AR177" s="166"/>
      <c r="AS177" s="166"/>
      <c r="AT177" s="166"/>
      <c r="AU177" s="343"/>
      <c r="AV177" s="343"/>
      <c r="AW177" s="343"/>
      <c r="AX177" s="343"/>
      <c r="AY177" s="344"/>
    </row>
    <row r="178" spans="1:53">
      <c r="A178" s="2" t="str">
        <f t="shared" si="20"/>
        <v>Bus - SB Rebates_High Speed Washer - Hotel/Motel/Hospital</v>
      </c>
      <c r="B178" s="18">
        <v>175</v>
      </c>
      <c r="C178" s="23" t="s">
        <v>712</v>
      </c>
      <c r="D178" s="18" t="s">
        <v>238</v>
      </c>
      <c r="E178" s="23" t="s">
        <v>237</v>
      </c>
      <c r="F178" s="23">
        <v>250</v>
      </c>
      <c r="G178" s="154">
        <v>0.92</v>
      </c>
      <c r="H178" s="447">
        <v>7</v>
      </c>
      <c r="I178" s="436">
        <v>7</v>
      </c>
      <c r="J178" s="23">
        <v>2</v>
      </c>
      <c r="K178" s="23">
        <f t="shared" ref="K178:M204" si="27">J178</f>
        <v>2</v>
      </c>
      <c r="L178" s="23">
        <f t="shared" si="27"/>
        <v>2</v>
      </c>
      <c r="M178" s="23">
        <f t="shared" si="27"/>
        <v>2</v>
      </c>
      <c r="N178" s="216">
        <f>X178*Z178*AB178*AD178*AF178/AH178/100000*AJ178*AL178/F178</f>
        <v>11.243232000000003</v>
      </c>
      <c r="O178" s="215">
        <f t="shared" si="26"/>
        <v>11.243232000000003</v>
      </c>
      <c r="P178" s="215">
        <f t="shared" si="26"/>
        <v>11.243232000000003</v>
      </c>
      <c r="Q178" s="215">
        <f t="shared" si="26"/>
        <v>11.243232000000003</v>
      </c>
      <c r="R178" s="15" t="s">
        <v>838</v>
      </c>
      <c r="S178" s="15" t="s">
        <v>840</v>
      </c>
      <c r="T178" s="15" t="s">
        <v>236</v>
      </c>
      <c r="U178" s="15" t="s">
        <v>235</v>
      </c>
      <c r="V178" s="410"/>
      <c r="W178" s="166" t="s">
        <v>234</v>
      </c>
      <c r="X178" s="166">
        <v>10.4</v>
      </c>
      <c r="Y178" s="166" t="s">
        <v>233</v>
      </c>
      <c r="Z178" s="166">
        <v>360</v>
      </c>
      <c r="AA178" s="158" t="s">
        <v>232</v>
      </c>
      <c r="AB178" s="398">
        <v>250</v>
      </c>
      <c r="AC178" s="158" t="s">
        <v>231</v>
      </c>
      <c r="AD178" s="403">
        <v>0.25</v>
      </c>
      <c r="AE178" s="158" t="s">
        <v>230</v>
      </c>
      <c r="AF178" s="398">
        <v>1200</v>
      </c>
      <c r="AG178" s="397" t="s">
        <v>229</v>
      </c>
      <c r="AH178" s="397">
        <v>0.6</v>
      </c>
      <c r="AI178" s="166" t="s">
        <v>228</v>
      </c>
      <c r="AJ178" s="397">
        <v>0.91</v>
      </c>
      <c r="AK178" s="166" t="s">
        <v>227</v>
      </c>
      <c r="AL178" s="403">
        <v>0.66</v>
      </c>
      <c r="AM178" s="166"/>
      <c r="AN178" s="166"/>
      <c r="AO178" s="166"/>
      <c r="AP178" s="166"/>
      <c r="AQ178" s="166"/>
      <c r="AR178" s="166"/>
      <c r="AS178" s="166"/>
      <c r="AT178" s="166"/>
      <c r="AU178" s="343"/>
      <c r="AV178" s="343"/>
      <c r="AW178" s="343"/>
      <c r="AX178" s="343"/>
      <c r="AY178" s="344"/>
      <c r="AZ178" s="345"/>
      <c r="BA178" s="346"/>
    </row>
    <row r="179" spans="1:53">
      <c r="A179" s="2" t="str">
        <f t="shared" si="20"/>
        <v>Bus - SB Rebates_High Speed Washer - Laundromat</v>
      </c>
      <c r="B179" s="18">
        <v>176</v>
      </c>
      <c r="C179" s="23" t="s">
        <v>712</v>
      </c>
      <c r="D179" s="18" t="s">
        <v>239</v>
      </c>
      <c r="E179" s="23" t="s">
        <v>237</v>
      </c>
      <c r="F179" s="23">
        <v>250</v>
      </c>
      <c r="G179" s="154">
        <v>0.92</v>
      </c>
      <c r="H179" s="447">
        <v>7</v>
      </c>
      <c r="I179" s="436">
        <v>7</v>
      </c>
      <c r="J179" s="23">
        <v>2</v>
      </c>
      <c r="K179" s="23">
        <f t="shared" si="27"/>
        <v>2</v>
      </c>
      <c r="L179" s="23">
        <f t="shared" si="27"/>
        <v>2</v>
      </c>
      <c r="M179" s="23">
        <f t="shared" si="27"/>
        <v>2</v>
      </c>
      <c r="N179" s="216">
        <f>X179*Z179*AB179*AD179*AF179/AH179/100000*AJ179*AL179/F179</f>
        <v>4.648644</v>
      </c>
      <c r="O179" s="215">
        <f t="shared" si="26"/>
        <v>4.648644</v>
      </c>
      <c r="P179" s="215">
        <f t="shared" si="26"/>
        <v>4.648644</v>
      </c>
      <c r="Q179" s="215">
        <f t="shared" si="26"/>
        <v>4.648644</v>
      </c>
      <c r="R179" s="15" t="s">
        <v>838</v>
      </c>
      <c r="S179" s="15" t="s">
        <v>840</v>
      </c>
      <c r="T179" s="15" t="s">
        <v>236</v>
      </c>
      <c r="U179" s="15" t="s">
        <v>235</v>
      </c>
      <c r="V179" s="410"/>
      <c r="W179" s="166" t="s">
        <v>234</v>
      </c>
      <c r="X179" s="166">
        <v>4.3</v>
      </c>
      <c r="Y179" s="166" t="s">
        <v>233</v>
      </c>
      <c r="Z179" s="166">
        <v>360</v>
      </c>
      <c r="AA179" s="158" t="s">
        <v>232</v>
      </c>
      <c r="AB179" s="398">
        <v>250</v>
      </c>
      <c r="AC179" s="158" t="s">
        <v>231</v>
      </c>
      <c r="AD179" s="403">
        <v>0.25</v>
      </c>
      <c r="AE179" s="158" t="s">
        <v>230</v>
      </c>
      <c r="AF179" s="398">
        <v>1200</v>
      </c>
      <c r="AG179" s="397" t="s">
        <v>229</v>
      </c>
      <c r="AH179" s="397">
        <v>0.6</v>
      </c>
      <c r="AI179" s="166" t="s">
        <v>228</v>
      </c>
      <c r="AJ179" s="397">
        <v>0.91</v>
      </c>
      <c r="AK179" s="166" t="s">
        <v>227</v>
      </c>
      <c r="AL179" s="403">
        <v>0.66</v>
      </c>
      <c r="AM179" s="166"/>
      <c r="AN179" s="166"/>
      <c r="AO179" s="166"/>
      <c r="AP179" s="166"/>
      <c r="AQ179" s="166"/>
      <c r="AR179" s="166"/>
      <c r="AS179" s="166"/>
      <c r="AT179" s="166"/>
      <c r="AU179" s="343"/>
      <c r="AV179" s="343"/>
      <c r="AW179" s="343"/>
      <c r="AX179" s="343"/>
      <c r="AY179" s="344"/>
      <c r="AZ179" s="345"/>
      <c r="BA179" s="346"/>
    </row>
    <row r="180" spans="1:53">
      <c r="A180" s="2" t="str">
        <f t="shared" si="20"/>
        <v>Bus - SB Rebates_Infrared Heater</v>
      </c>
      <c r="B180" s="18">
        <v>177</v>
      </c>
      <c r="C180" s="23" t="s">
        <v>712</v>
      </c>
      <c r="D180" s="18" t="s">
        <v>295</v>
      </c>
      <c r="E180" s="23" t="s">
        <v>240</v>
      </c>
      <c r="F180" s="23">
        <v>150</v>
      </c>
      <c r="G180" s="154">
        <v>0.92</v>
      </c>
      <c r="H180" s="447">
        <v>12</v>
      </c>
      <c r="I180" s="436">
        <v>12</v>
      </c>
      <c r="J180" s="23">
        <v>0</v>
      </c>
      <c r="K180" s="23">
        <f t="shared" si="27"/>
        <v>0</v>
      </c>
      <c r="L180" s="23">
        <f t="shared" si="27"/>
        <v>0</v>
      </c>
      <c r="M180" s="23">
        <f t="shared" si="27"/>
        <v>0</v>
      </c>
      <c r="N180" s="216">
        <f>451/F180</f>
        <v>3.0066666666666668</v>
      </c>
      <c r="O180" s="215">
        <f t="shared" si="26"/>
        <v>3.0066666666666668</v>
      </c>
      <c r="P180" s="215">
        <f t="shared" si="26"/>
        <v>3.0066666666666668</v>
      </c>
      <c r="Q180" s="215">
        <f t="shared" si="26"/>
        <v>3.0066666666666668</v>
      </c>
      <c r="R180" s="15" t="s">
        <v>838</v>
      </c>
      <c r="S180" s="15" t="s">
        <v>840</v>
      </c>
      <c r="T180" s="15" t="s">
        <v>294</v>
      </c>
      <c r="U180" s="15" t="s">
        <v>293</v>
      </c>
      <c r="V180" s="166" t="s">
        <v>291</v>
      </c>
      <c r="W180" s="166" t="s">
        <v>292</v>
      </c>
      <c r="X180" s="411">
        <v>150</v>
      </c>
      <c r="Y180" s="166"/>
      <c r="Z180" s="166"/>
      <c r="AA180" s="158"/>
      <c r="AB180" s="166"/>
      <c r="AC180" s="158"/>
      <c r="AD180" s="166"/>
      <c r="AE180" s="158"/>
      <c r="AF180" s="166"/>
      <c r="AG180" s="166"/>
      <c r="AH180" s="166"/>
      <c r="AI180" s="166"/>
      <c r="AJ180" s="166"/>
      <c r="AK180" s="166"/>
      <c r="AL180" s="166"/>
      <c r="AM180" s="166"/>
      <c r="AN180" s="166"/>
      <c r="AO180" s="166"/>
      <c r="AP180" s="166"/>
      <c r="AQ180" s="166"/>
      <c r="AR180" s="166"/>
      <c r="AS180" s="166"/>
      <c r="AT180" s="166"/>
      <c r="AU180" s="343"/>
      <c r="AV180" s="343"/>
      <c r="AW180" s="343"/>
      <c r="AX180" s="343"/>
      <c r="AY180" s="344"/>
      <c r="AZ180" s="345"/>
      <c r="BA180" s="346"/>
    </row>
    <row r="181" spans="1:53">
      <c r="A181" s="2" t="str">
        <f t="shared" si="20"/>
        <v>Bus - SB Rebates_Modulating Commercial Gas Clothes Dryer</v>
      </c>
      <c r="B181" s="18">
        <v>178</v>
      </c>
      <c r="C181" s="23" t="s">
        <v>712</v>
      </c>
      <c r="D181" s="18" t="s">
        <v>290</v>
      </c>
      <c r="E181" s="23" t="s">
        <v>150</v>
      </c>
      <c r="F181" s="23">
        <v>1</v>
      </c>
      <c r="G181" s="154">
        <v>0.92</v>
      </c>
      <c r="H181" s="447">
        <v>14</v>
      </c>
      <c r="I181" s="436">
        <v>14</v>
      </c>
      <c r="J181" s="23">
        <v>0</v>
      </c>
      <c r="K181" s="23">
        <f t="shared" si="27"/>
        <v>0</v>
      </c>
      <c r="L181" s="23">
        <f t="shared" si="27"/>
        <v>0</v>
      </c>
      <c r="M181" s="23">
        <f t="shared" si="27"/>
        <v>0</v>
      </c>
      <c r="N181" s="216">
        <f>1483*0.18</f>
        <v>266.94</v>
      </c>
      <c r="O181" s="215">
        <f t="shared" si="26"/>
        <v>266.94</v>
      </c>
      <c r="P181" s="215">
        <f t="shared" si="26"/>
        <v>266.94</v>
      </c>
      <c r="Q181" s="215">
        <f t="shared" si="26"/>
        <v>266.94</v>
      </c>
      <c r="R181" s="15" t="s">
        <v>838</v>
      </c>
      <c r="S181" s="15" t="s">
        <v>840</v>
      </c>
      <c r="T181" s="15" t="s">
        <v>289</v>
      </c>
      <c r="U181" s="15" t="s">
        <v>288</v>
      </c>
      <c r="V181" s="166" t="s">
        <v>187</v>
      </c>
      <c r="W181" s="166"/>
      <c r="X181" s="166"/>
      <c r="Y181" s="166"/>
      <c r="Z181" s="166"/>
      <c r="AA181" s="158"/>
      <c r="AB181" s="166"/>
      <c r="AC181" s="158"/>
      <c r="AD181" s="166"/>
      <c r="AE181" s="158"/>
      <c r="AF181" s="166"/>
      <c r="AG181" s="166"/>
      <c r="AH181" s="166"/>
      <c r="AI181" s="166"/>
      <c r="AJ181" s="166"/>
      <c r="AK181" s="166"/>
      <c r="AL181" s="166"/>
      <c r="AM181" s="166"/>
      <c r="AN181" s="166"/>
      <c r="AO181" s="166"/>
      <c r="AP181" s="166"/>
      <c r="AQ181" s="166"/>
      <c r="AR181" s="166"/>
      <c r="AS181" s="166"/>
      <c r="AT181" s="166"/>
      <c r="AU181" s="343"/>
      <c r="AV181" s="343"/>
      <c r="AW181" s="343"/>
      <c r="AX181" s="343"/>
      <c r="AY181" s="344"/>
      <c r="AZ181" s="345"/>
      <c r="BA181" s="346"/>
    </row>
    <row r="182" spans="1:53">
      <c r="A182" s="2" t="str">
        <f t="shared" si="20"/>
        <v>Bus - SB Rebates_Ozone Laundry</v>
      </c>
      <c r="B182" s="18">
        <v>179</v>
      </c>
      <c r="C182" s="23" t="s">
        <v>712</v>
      </c>
      <c r="D182" s="18" t="s">
        <v>287</v>
      </c>
      <c r="E182" s="23" t="s">
        <v>237</v>
      </c>
      <c r="F182" s="23">
        <v>250</v>
      </c>
      <c r="G182" s="154">
        <v>0.92</v>
      </c>
      <c r="H182" s="447">
        <v>10</v>
      </c>
      <c r="I182" s="436">
        <v>10</v>
      </c>
      <c r="J182" s="23">
        <v>0</v>
      </c>
      <c r="K182" s="23">
        <f t="shared" si="27"/>
        <v>0</v>
      </c>
      <c r="L182" s="23">
        <f t="shared" si="27"/>
        <v>0</v>
      </c>
      <c r="M182" s="23">
        <f t="shared" si="27"/>
        <v>0</v>
      </c>
      <c r="N182" s="216">
        <f>X182*Z182*AB182*AD182/AF182</f>
        <v>30.722664192350027</v>
      </c>
      <c r="O182" s="215">
        <f t="shared" si="26"/>
        <v>30.722664192350027</v>
      </c>
      <c r="P182" s="215">
        <f t="shared" si="26"/>
        <v>30.722664192350027</v>
      </c>
      <c r="Q182" s="215">
        <f t="shared" si="26"/>
        <v>30.722664192350027</v>
      </c>
      <c r="R182" s="15" t="s">
        <v>838</v>
      </c>
      <c r="S182" s="15" t="s">
        <v>840</v>
      </c>
      <c r="T182" s="15" t="s">
        <v>286</v>
      </c>
      <c r="U182" s="15" t="s">
        <v>285</v>
      </c>
      <c r="V182" s="166" t="s">
        <v>278</v>
      </c>
      <c r="W182" s="166" t="s">
        <v>284</v>
      </c>
      <c r="X182" s="412">
        <v>8.8500000000000002E-3</v>
      </c>
      <c r="Y182" s="166" t="s">
        <v>283</v>
      </c>
      <c r="Z182" s="398">
        <v>916150</v>
      </c>
      <c r="AA182" s="158" t="s">
        <v>282</v>
      </c>
      <c r="AB182" s="166">
        <v>1.19</v>
      </c>
      <c r="AC182" s="158" t="s">
        <v>281</v>
      </c>
      <c r="AD182" s="397">
        <v>0.81</v>
      </c>
      <c r="AE182" s="158" t="s">
        <v>237</v>
      </c>
      <c r="AF182" s="166">
        <v>254.38</v>
      </c>
      <c r="AG182" s="166" t="s">
        <v>280</v>
      </c>
      <c r="AH182" s="403">
        <v>0.25</v>
      </c>
      <c r="AI182" s="166" t="s">
        <v>279</v>
      </c>
      <c r="AJ182" s="166">
        <v>2.0299999999999998</v>
      </c>
      <c r="AK182" s="166"/>
      <c r="AL182" s="166"/>
      <c r="AM182" s="166"/>
      <c r="AN182" s="166"/>
      <c r="AO182" s="166"/>
      <c r="AP182" s="166"/>
      <c r="AQ182" s="166"/>
      <c r="AR182" s="166"/>
      <c r="AS182" s="166"/>
      <c r="AT182" s="166"/>
      <c r="AU182" s="343"/>
      <c r="AV182" s="343"/>
      <c r="AW182" s="343"/>
      <c r="AX182" s="343"/>
      <c r="AY182" s="344"/>
      <c r="AZ182" s="345"/>
      <c r="BA182" s="346"/>
    </row>
    <row r="183" spans="1:53">
      <c r="A183" s="2" t="str">
        <f t="shared" si="20"/>
        <v>Bus - SB Rebates_Pipe Insulation - Dry Cleaners</v>
      </c>
      <c r="B183" s="18">
        <v>180</v>
      </c>
      <c r="C183" s="23" t="s">
        <v>712</v>
      </c>
      <c r="D183" s="18" t="s">
        <v>223</v>
      </c>
      <c r="E183" s="23" t="s">
        <v>210</v>
      </c>
      <c r="F183" s="23">
        <v>75</v>
      </c>
      <c r="G183" s="154">
        <v>0.92</v>
      </c>
      <c r="H183" s="447">
        <v>15</v>
      </c>
      <c r="I183" s="436">
        <v>15</v>
      </c>
      <c r="J183" s="23">
        <v>0</v>
      </c>
      <c r="K183" s="23">
        <f t="shared" si="27"/>
        <v>0</v>
      </c>
      <c r="L183" s="23">
        <f t="shared" si="27"/>
        <v>0</v>
      </c>
      <c r="M183" s="23">
        <f t="shared" si="27"/>
        <v>0</v>
      </c>
      <c r="N183" s="216">
        <f>'Pipe Insulation Detail'!$E$84</f>
        <v>4.1509563815028345</v>
      </c>
      <c r="O183" s="215">
        <f t="shared" si="26"/>
        <v>4.1509563815028345</v>
      </c>
      <c r="P183" s="215">
        <f t="shared" si="26"/>
        <v>4.1509563815028345</v>
      </c>
      <c r="Q183" s="215">
        <f t="shared" si="26"/>
        <v>4.1509563815028345</v>
      </c>
      <c r="R183" s="15" t="s">
        <v>837</v>
      </c>
      <c r="S183" s="15" t="s">
        <v>840</v>
      </c>
      <c r="T183" s="15" t="s">
        <v>201</v>
      </c>
      <c r="U183" s="15" t="s">
        <v>200</v>
      </c>
      <c r="V183" s="413" t="s">
        <v>852</v>
      </c>
      <c r="W183" s="166"/>
      <c r="X183" s="166"/>
      <c r="Y183" s="166"/>
      <c r="Z183" s="166"/>
      <c r="AA183" s="158"/>
      <c r="AB183" s="166"/>
      <c r="AC183" s="158"/>
      <c r="AD183" s="166"/>
      <c r="AE183" s="158"/>
      <c r="AF183" s="166"/>
      <c r="AG183" s="166"/>
      <c r="AH183" s="166"/>
      <c r="AI183" s="166"/>
      <c r="AJ183" s="166"/>
      <c r="AK183" s="166"/>
      <c r="AL183" s="166"/>
      <c r="AM183" s="166"/>
      <c r="AN183" s="166"/>
      <c r="AO183" s="166"/>
      <c r="AP183" s="166"/>
      <c r="AQ183" s="166"/>
      <c r="AR183" s="166"/>
      <c r="AS183" s="166"/>
      <c r="AT183" s="166"/>
      <c r="AU183" s="343"/>
      <c r="AV183" s="343"/>
      <c r="AW183" s="343"/>
      <c r="AX183" s="343"/>
      <c r="AY183" s="344"/>
      <c r="AZ183" s="345"/>
      <c r="BA183" s="346"/>
    </row>
    <row r="184" spans="1:53">
      <c r="A184" s="2" t="str">
        <f t="shared" si="20"/>
        <v>Bus - SB Rebates_Pipe Insulation - Dry Cleaners -Elbows</v>
      </c>
      <c r="B184" s="18">
        <v>181</v>
      </c>
      <c r="C184" s="23" t="s">
        <v>712</v>
      </c>
      <c r="D184" s="18" t="s">
        <v>222</v>
      </c>
      <c r="E184" s="23" t="s">
        <v>210</v>
      </c>
      <c r="F184" s="23">
        <v>75</v>
      </c>
      <c r="G184" s="154">
        <v>0.92</v>
      </c>
      <c r="H184" s="447">
        <v>15</v>
      </c>
      <c r="I184" s="436">
        <v>15</v>
      </c>
      <c r="J184" s="23">
        <v>0</v>
      </c>
      <c r="K184" s="23">
        <f t="shared" si="27"/>
        <v>0</v>
      </c>
      <c r="L184" s="23">
        <f t="shared" si="27"/>
        <v>0</v>
      </c>
      <c r="M184" s="23">
        <f t="shared" si="27"/>
        <v>0</v>
      </c>
      <c r="N184" s="216">
        <f>'Pipe Insulation Detail'!$C$84</f>
        <v>1.9924590631213606</v>
      </c>
      <c r="O184" s="215">
        <f t="shared" si="26"/>
        <v>1.9924590631213606</v>
      </c>
      <c r="P184" s="215">
        <f t="shared" si="26"/>
        <v>1.9924590631213606</v>
      </c>
      <c r="Q184" s="215">
        <f t="shared" si="26"/>
        <v>1.9924590631213606</v>
      </c>
      <c r="R184" s="15" t="s">
        <v>837</v>
      </c>
      <c r="S184" s="15" t="s">
        <v>840</v>
      </c>
      <c r="T184" s="15" t="s">
        <v>201</v>
      </c>
      <c r="U184" s="15" t="s">
        <v>200</v>
      </c>
      <c r="V184" s="413" t="s">
        <v>852</v>
      </c>
      <c r="W184" s="166"/>
      <c r="X184" s="166"/>
      <c r="Y184" s="166"/>
      <c r="Z184" s="166"/>
      <c r="AA184" s="158"/>
      <c r="AB184" s="166"/>
      <c r="AC184" s="158"/>
      <c r="AD184" s="166"/>
      <c r="AE184" s="158"/>
      <c r="AF184" s="166"/>
      <c r="AG184" s="166"/>
      <c r="AH184" s="166"/>
      <c r="AI184" s="166"/>
      <c r="AJ184" s="166"/>
      <c r="AK184" s="166"/>
      <c r="AL184" s="166"/>
      <c r="AM184" s="166"/>
      <c r="AN184" s="166"/>
      <c r="AO184" s="166"/>
      <c r="AP184" s="166"/>
      <c r="AQ184" s="166"/>
      <c r="AR184" s="166"/>
      <c r="AS184" s="166"/>
      <c r="AT184" s="166"/>
      <c r="AU184" s="343"/>
      <c r="AV184" s="343"/>
      <c r="AW184" s="343"/>
      <c r="AX184" s="343"/>
      <c r="AY184" s="344"/>
      <c r="AZ184" s="345"/>
      <c r="BA184" s="346"/>
    </row>
    <row r="185" spans="1:53">
      <c r="A185" s="2" t="str">
        <f t="shared" si="20"/>
        <v>Bus - SB Rebates_Pipe Insulation - HW Small 1" to 2"</v>
      </c>
      <c r="B185" s="18">
        <v>182</v>
      </c>
      <c r="C185" s="23" t="s">
        <v>712</v>
      </c>
      <c r="D185" s="18" t="s">
        <v>217</v>
      </c>
      <c r="E185" s="23" t="s">
        <v>210</v>
      </c>
      <c r="F185" s="23">
        <v>75</v>
      </c>
      <c r="G185" s="154">
        <v>0.92</v>
      </c>
      <c r="H185" s="447">
        <v>15</v>
      </c>
      <c r="I185" s="436">
        <v>15</v>
      </c>
      <c r="J185" s="23">
        <v>0</v>
      </c>
      <c r="K185" s="23">
        <f t="shared" si="27"/>
        <v>0</v>
      </c>
      <c r="L185" s="23">
        <f t="shared" si="27"/>
        <v>0</v>
      </c>
      <c r="M185" s="23">
        <f t="shared" si="27"/>
        <v>0</v>
      </c>
      <c r="N185" s="216">
        <f>'Pipe Insulation Detail'!$B$47</f>
        <v>2.6588140926267867</v>
      </c>
      <c r="O185" s="215">
        <f t="shared" ref="O185:Q204" si="28">N185</f>
        <v>2.6588140926267867</v>
      </c>
      <c r="P185" s="215">
        <f t="shared" si="28"/>
        <v>2.6588140926267867</v>
      </c>
      <c r="Q185" s="215">
        <f t="shared" si="28"/>
        <v>2.6588140926267867</v>
      </c>
      <c r="R185" s="15" t="s">
        <v>837</v>
      </c>
      <c r="S185" s="15" t="s">
        <v>840</v>
      </c>
      <c r="T185" s="15" t="s">
        <v>201</v>
      </c>
      <c r="U185" s="15" t="s">
        <v>200</v>
      </c>
      <c r="V185" s="413" t="s">
        <v>852</v>
      </c>
      <c r="W185" s="166"/>
      <c r="X185" s="166"/>
      <c r="Y185" s="166"/>
      <c r="Z185" s="166"/>
      <c r="AA185" s="158"/>
      <c r="AB185" s="166"/>
      <c r="AC185" s="158"/>
      <c r="AD185" s="166"/>
      <c r="AE185" s="158"/>
      <c r="AF185" s="166"/>
      <c r="AG185" s="166"/>
      <c r="AH185" s="166"/>
      <c r="AI185" s="166"/>
      <c r="AJ185" s="166"/>
      <c r="AK185" s="166"/>
      <c r="AL185" s="166"/>
      <c r="AM185" s="166"/>
      <c r="AN185" s="166"/>
      <c r="AO185" s="166"/>
      <c r="AP185" s="166"/>
      <c r="AQ185" s="166"/>
      <c r="AR185" s="166"/>
      <c r="AS185" s="166"/>
      <c r="AT185" s="166"/>
      <c r="AU185" s="343"/>
      <c r="AV185" s="343"/>
      <c r="AW185" s="343"/>
      <c r="AX185" s="343"/>
      <c r="AY185" s="344"/>
      <c r="AZ185" s="345"/>
      <c r="BA185" s="346"/>
    </row>
    <row r="186" spans="1:53">
      <c r="A186" s="2" t="str">
        <f t="shared" si="20"/>
        <v>Bus - SB Rebates_Pipe Insulation - HW Medium 2.1" to 4"</v>
      </c>
      <c r="B186" s="18">
        <v>183</v>
      </c>
      <c r="C186" s="23" t="s">
        <v>712</v>
      </c>
      <c r="D186" s="18" t="s">
        <v>216</v>
      </c>
      <c r="E186" s="23" t="s">
        <v>210</v>
      </c>
      <c r="F186" s="23">
        <v>75</v>
      </c>
      <c r="G186" s="154">
        <v>0.92</v>
      </c>
      <c r="H186" s="447">
        <v>15</v>
      </c>
      <c r="I186" s="436">
        <v>15</v>
      </c>
      <c r="J186" s="23">
        <v>0</v>
      </c>
      <c r="K186" s="23">
        <f t="shared" si="27"/>
        <v>0</v>
      </c>
      <c r="L186" s="23">
        <f t="shared" si="27"/>
        <v>0</v>
      </c>
      <c r="M186" s="23">
        <f t="shared" si="27"/>
        <v>0</v>
      </c>
      <c r="N186" s="216">
        <f>'Pipe Insulation Detail'!$B$48</f>
        <v>5.2492031493764015</v>
      </c>
      <c r="O186" s="215">
        <f t="shared" si="28"/>
        <v>5.2492031493764015</v>
      </c>
      <c r="P186" s="215">
        <f t="shared" si="28"/>
        <v>5.2492031493764015</v>
      </c>
      <c r="Q186" s="215">
        <f t="shared" si="28"/>
        <v>5.2492031493764015</v>
      </c>
      <c r="R186" s="15" t="s">
        <v>837</v>
      </c>
      <c r="S186" s="15" t="s">
        <v>840</v>
      </c>
      <c r="T186" s="15" t="s">
        <v>201</v>
      </c>
      <c r="U186" s="15" t="s">
        <v>200</v>
      </c>
      <c r="V186" s="413" t="s">
        <v>852</v>
      </c>
      <c r="W186" s="166"/>
      <c r="X186" s="166"/>
      <c r="Y186" s="166"/>
      <c r="Z186" s="166"/>
      <c r="AA186" s="158"/>
      <c r="AB186" s="166"/>
      <c r="AC186" s="158"/>
      <c r="AD186" s="166"/>
      <c r="AE186" s="158"/>
      <c r="AF186" s="166"/>
      <c r="AG186" s="166"/>
      <c r="AH186" s="166"/>
      <c r="AI186" s="166"/>
      <c r="AJ186" s="166"/>
      <c r="AK186" s="166"/>
      <c r="AL186" s="166"/>
      <c r="AM186" s="166"/>
      <c r="AN186" s="166"/>
      <c r="AO186" s="166"/>
      <c r="AP186" s="166"/>
      <c r="AQ186" s="166"/>
      <c r="AR186" s="166"/>
      <c r="AS186" s="166"/>
      <c r="AT186" s="166"/>
      <c r="AU186" s="343"/>
      <c r="AV186" s="343"/>
      <c r="AW186" s="343"/>
      <c r="AX186" s="343"/>
      <c r="AY186" s="344"/>
      <c r="AZ186" s="345"/>
      <c r="BA186" s="346"/>
    </row>
    <row r="187" spans="1:53">
      <c r="A187" s="2" t="str">
        <f t="shared" si="20"/>
        <v>Bus - SB Rebates_Pipe Insulation - HW Large &gt;4"</v>
      </c>
      <c r="B187" s="18">
        <v>184</v>
      </c>
      <c r="C187" s="23" t="s">
        <v>712</v>
      </c>
      <c r="D187" s="18" t="s">
        <v>215</v>
      </c>
      <c r="E187" s="23" t="s">
        <v>210</v>
      </c>
      <c r="F187" s="23">
        <v>75</v>
      </c>
      <c r="G187" s="154">
        <v>0.92</v>
      </c>
      <c r="H187" s="447">
        <v>15</v>
      </c>
      <c r="I187" s="436">
        <v>15</v>
      </c>
      <c r="J187" s="23">
        <v>0</v>
      </c>
      <c r="K187" s="23">
        <f t="shared" si="27"/>
        <v>0</v>
      </c>
      <c r="L187" s="23">
        <f t="shared" si="27"/>
        <v>0</v>
      </c>
      <c r="M187" s="23">
        <f t="shared" si="27"/>
        <v>0</v>
      </c>
      <c r="N187" s="216">
        <f>'Pipe Insulation Detail'!$B$49</f>
        <v>9.0407613085908682</v>
      </c>
      <c r="O187" s="215">
        <f t="shared" si="28"/>
        <v>9.0407613085908682</v>
      </c>
      <c r="P187" s="215">
        <f t="shared" si="28"/>
        <v>9.0407613085908682</v>
      </c>
      <c r="Q187" s="215">
        <f t="shared" si="28"/>
        <v>9.0407613085908682</v>
      </c>
      <c r="R187" s="15" t="s">
        <v>837</v>
      </c>
      <c r="S187" s="15" t="s">
        <v>840</v>
      </c>
      <c r="T187" s="15" t="s">
        <v>201</v>
      </c>
      <c r="U187" s="15" t="s">
        <v>200</v>
      </c>
      <c r="V187" s="413" t="s">
        <v>852</v>
      </c>
      <c r="W187" s="166"/>
      <c r="X187" s="166"/>
      <c r="Y187" s="166"/>
      <c r="Z187" s="166"/>
      <c r="AA187" s="158"/>
      <c r="AB187" s="166"/>
      <c r="AC187" s="158"/>
      <c r="AD187" s="166"/>
      <c r="AE187" s="158"/>
      <c r="AF187" s="166"/>
      <c r="AG187" s="166"/>
      <c r="AH187" s="166"/>
      <c r="AI187" s="166"/>
      <c r="AJ187" s="166"/>
      <c r="AK187" s="166"/>
      <c r="AL187" s="166"/>
      <c r="AM187" s="166"/>
      <c r="AN187" s="166"/>
      <c r="AO187" s="166"/>
      <c r="AP187" s="166"/>
      <c r="AQ187" s="166"/>
      <c r="AR187" s="166"/>
      <c r="AS187" s="166"/>
      <c r="AT187" s="166"/>
      <c r="AU187" s="343"/>
      <c r="AV187" s="343"/>
      <c r="AW187" s="343"/>
      <c r="AX187" s="343"/>
      <c r="AY187" s="344"/>
      <c r="AZ187" s="345"/>
      <c r="BA187" s="346"/>
    </row>
    <row r="188" spans="1:53">
      <c r="A188" s="2" t="str">
        <f t="shared" si="20"/>
        <v>Bus - SB Rebates_Pipe Insulation - Steam - Small 1" to 2"</v>
      </c>
      <c r="B188" s="18">
        <v>185</v>
      </c>
      <c r="C188" s="23" t="s">
        <v>712</v>
      </c>
      <c r="D188" s="18" t="s">
        <v>214</v>
      </c>
      <c r="E188" s="23" t="s">
        <v>210</v>
      </c>
      <c r="F188" s="23">
        <v>75</v>
      </c>
      <c r="G188" s="154">
        <v>0.92</v>
      </c>
      <c r="H188" s="447">
        <v>15</v>
      </c>
      <c r="I188" s="436">
        <v>15</v>
      </c>
      <c r="J188" s="23">
        <v>6</v>
      </c>
      <c r="K188" s="23">
        <f t="shared" si="27"/>
        <v>6</v>
      </c>
      <c r="L188" s="23">
        <f t="shared" si="27"/>
        <v>6</v>
      </c>
      <c r="M188" s="23">
        <f t="shared" si="27"/>
        <v>6</v>
      </c>
      <c r="N188" s="216">
        <f>'Pipe Insulation Detail'!$B$50</f>
        <v>3.1854757047967208</v>
      </c>
      <c r="O188" s="215">
        <f t="shared" si="28"/>
        <v>3.1854757047967208</v>
      </c>
      <c r="P188" s="215">
        <f t="shared" si="28"/>
        <v>3.1854757047967208</v>
      </c>
      <c r="Q188" s="215">
        <f t="shared" si="28"/>
        <v>3.1854757047967208</v>
      </c>
      <c r="R188" s="15" t="s">
        <v>837</v>
      </c>
      <c r="S188" s="15" t="s">
        <v>840</v>
      </c>
      <c r="T188" s="15" t="s">
        <v>201</v>
      </c>
      <c r="U188" s="15" t="s">
        <v>200</v>
      </c>
      <c r="V188" s="413" t="s">
        <v>852</v>
      </c>
      <c r="W188" s="166"/>
      <c r="X188" s="166"/>
      <c r="Y188" s="166"/>
      <c r="Z188" s="166"/>
      <c r="AA188" s="158"/>
      <c r="AB188" s="166"/>
      <c r="AC188" s="158"/>
      <c r="AD188" s="166"/>
      <c r="AE188" s="158"/>
      <c r="AF188" s="166"/>
      <c r="AG188" s="166"/>
      <c r="AH188" s="166"/>
      <c r="AI188" s="166"/>
      <c r="AJ188" s="166"/>
      <c r="AK188" s="166"/>
      <c r="AL188" s="166"/>
      <c r="AM188" s="166"/>
      <c r="AN188" s="166"/>
      <c r="AO188" s="166"/>
      <c r="AP188" s="166"/>
      <c r="AQ188" s="166"/>
      <c r="AR188" s="166"/>
      <c r="AS188" s="166"/>
      <c r="AT188" s="166"/>
      <c r="AU188" s="343"/>
      <c r="AV188" s="343"/>
      <c r="AW188" s="343"/>
      <c r="AX188" s="343"/>
      <c r="AY188" s="344"/>
      <c r="AZ188" s="345"/>
      <c r="BA188" s="346"/>
    </row>
    <row r="189" spans="1:53">
      <c r="A189" s="2" t="str">
        <f t="shared" si="20"/>
        <v>Bus - SB Rebates_Pipe Insulation - Steam - Med 2.1" to 5"</v>
      </c>
      <c r="B189" s="18">
        <v>186</v>
      </c>
      <c r="C189" s="23" t="s">
        <v>712</v>
      </c>
      <c r="D189" s="18" t="s">
        <v>213</v>
      </c>
      <c r="E189" s="23" t="s">
        <v>210</v>
      </c>
      <c r="F189" s="23">
        <v>75</v>
      </c>
      <c r="G189" s="154">
        <v>0.92</v>
      </c>
      <c r="H189" s="447">
        <v>15</v>
      </c>
      <c r="I189" s="436">
        <v>15</v>
      </c>
      <c r="J189" s="23">
        <v>5</v>
      </c>
      <c r="K189" s="23">
        <f t="shared" si="27"/>
        <v>5</v>
      </c>
      <c r="L189" s="23">
        <f t="shared" si="27"/>
        <v>5</v>
      </c>
      <c r="M189" s="23">
        <f t="shared" si="27"/>
        <v>5</v>
      </c>
      <c r="N189" s="216">
        <f>'Pipe Insulation Detail'!$B$51</f>
        <v>13.148126788517139</v>
      </c>
      <c r="O189" s="215">
        <f t="shared" si="28"/>
        <v>13.148126788517139</v>
      </c>
      <c r="P189" s="215">
        <f t="shared" si="28"/>
        <v>13.148126788517139</v>
      </c>
      <c r="Q189" s="215">
        <f t="shared" si="28"/>
        <v>13.148126788517139</v>
      </c>
      <c r="R189" s="15" t="s">
        <v>837</v>
      </c>
      <c r="S189" s="15" t="s">
        <v>840</v>
      </c>
      <c r="T189" s="15" t="s">
        <v>201</v>
      </c>
      <c r="U189" s="15" t="s">
        <v>200</v>
      </c>
      <c r="V189" s="413" t="s">
        <v>852</v>
      </c>
      <c r="W189" s="166"/>
      <c r="X189" s="166"/>
      <c r="Y189" s="166"/>
      <c r="Z189" s="166"/>
      <c r="AA189" s="158"/>
      <c r="AB189" s="166"/>
      <c r="AC189" s="158"/>
      <c r="AD189" s="166"/>
      <c r="AE189" s="158"/>
      <c r="AF189" s="166"/>
      <c r="AG189" s="166"/>
      <c r="AH189" s="166"/>
      <c r="AI189" s="166"/>
      <c r="AJ189" s="166"/>
      <c r="AK189" s="166"/>
      <c r="AL189" s="166"/>
      <c r="AM189" s="166"/>
      <c r="AN189" s="166"/>
      <c r="AO189" s="166"/>
      <c r="AP189" s="166"/>
      <c r="AQ189" s="166"/>
      <c r="AR189" s="166"/>
      <c r="AS189" s="166"/>
      <c r="AT189" s="166"/>
      <c r="AU189" s="343"/>
      <c r="AV189" s="343"/>
      <c r="AW189" s="343"/>
      <c r="AX189" s="343"/>
      <c r="AY189" s="344"/>
      <c r="AZ189" s="345"/>
      <c r="BA189" s="346"/>
    </row>
    <row r="190" spans="1:53">
      <c r="A190" s="2" t="str">
        <f t="shared" si="20"/>
        <v>Bus - SB Rebates_Pipe Insulation - Steam - Large 5.1" to 8"</v>
      </c>
      <c r="B190" s="18">
        <v>187</v>
      </c>
      <c r="C190" s="23" t="s">
        <v>712</v>
      </c>
      <c r="D190" s="18" t="s">
        <v>212</v>
      </c>
      <c r="E190" s="23" t="s">
        <v>210</v>
      </c>
      <c r="F190" s="23">
        <v>75</v>
      </c>
      <c r="G190" s="154">
        <v>0.92</v>
      </c>
      <c r="H190" s="447">
        <v>15</v>
      </c>
      <c r="I190" s="436">
        <v>15</v>
      </c>
      <c r="J190" s="23">
        <v>0</v>
      </c>
      <c r="K190" s="23">
        <f t="shared" si="27"/>
        <v>0</v>
      </c>
      <c r="L190" s="23">
        <f t="shared" si="27"/>
        <v>0</v>
      </c>
      <c r="M190" s="23">
        <f t="shared" si="27"/>
        <v>0</v>
      </c>
      <c r="N190" s="216">
        <f>'Pipe Insulation Detail'!$B$52</f>
        <v>24.25563238537794</v>
      </c>
      <c r="O190" s="215">
        <f t="shared" si="28"/>
        <v>24.25563238537794</v>
      </c>
      <c r="P190" s="215">
        <f t="shared" si="28"/>
        <v>24.25563238537794</v>
      </c>
      <c r="Q190" s="215">
        <f t="shared" si="28"/>
        <v>24.25563238537794</v>
      </c>
      <c r="R190" s="15" t="s">
        <v>837</v>
      </c>
      <c r="S190" s="15" t="s">
        <v>840</v>
      </c>
      <c r="T190" s="15" t="s">
        <v>201</v>
      </c>
      <c r="U190" s="15" t="s">
        <v>200</v>
      </c>
      <c r="V190" s="413" t="s">
        <v>852</v>
      </c>
      <c r="W190" s="166"/>
      <c r="X190" s="166"/>
      <c r="Y190" s="166"/>
      <c r="Z190" s="166"/>
      <c r="AA190" s="158"/>
      <c r="AB190" s="166"/>
      <c r="AC190" s="158"/>
      <c r="AD190" s="166"/>
      <c r="AE190" s="158"/>
      <c r="AF190" s="166"/>
      <c r="AG190" s="166"/>
      <c r="AH190" s="166"/>
      <c r="AI190" s="166"/>
      <c r="AJ190" s="166"/>
      <c r="AK190" s="166"/>
      <c r="AL190" s="166"/>
      <c r="AM190" s="166"/>
      <c r="AN190" s="166"/>
      <c r="AO190" s="166"/>
      <c r="AP190" s="166"/>
      <c r="AQ190" s="166"/>
      <c r="AR190" s="166"/>
      <c r="AS190" s="166"/>
      <c r="AT190" s="166"/>
      <c r="AU190" s="343"/>
      <c r="AV190" s="343"/>
      <c r="AW190" s="343"/>
      <c r="AX190" s="343"/>
      <c r="AY190" s="344"/>
      <c r="AZ190" s="345"/>
      <c r="BA190" s="346"/>
    </row>
    <row r="191" spans="1:53">
      <c r="A191" s="2" t="str">
        <f t="shared" si="20"/>
        <v>Bus - SB Rebates_Pipe Insulation - Steam - X-Large &gt;8"</v>
      </c>
      <c r="B191" s="18">
        <v>188</v>
      </c>
      <c r="C191" s="23" t="s">
        <v>712</v>
      </c>
      <c r="D191" s="18" t="s">
        <v>211</v>
      </c>
      <c r="E191" s="23" t="s">
        <v>210</v>
      </c>
      <c r="F191" s="23">
        <v>75</v>
      </c>
      <c r="G191" s="154">
        <v>0.92</v>
      </c>
      <c r="H191" s="447">
        <v>15</v>
      </c>
      <c r="I191" s="436">
        <v>15</v>
      </c>
      <c r="J191" s="23">
        <v>0</v>
      </c>
      <c r="K191" s="23">
        <f t="shared" si="27"/>
        <v>0</v>
      </c>
      <c r="L191" s="23">
        <f t="shared" si="27"/>
        <v>0</v>
      </c>
      <c r="M191" s="23">
        <f t="shared" si="27"/>
        <v>0</v>
      </c>
      <c r="N191" s="216">
        <f>'Pipe Insulation Detail'!$B$53</f>
        <v>35.984797966765058</v>
      </c>
      <c r="O191" s="215">
        <f t="shared" si="28"/>
        <v>35.984797966765058</v>
      </c>
      <c r="P191" s="215">
        <f t="shared" si="28"/>
        <v>35.984797966765058</v>
      </c>
      <c r="Q191" s="215">
        <f t="shared" si="28"/>
        <v>35.984797966765058</v>
      </c>
      <c r="R191" s="15" t="s">
        <v>837</v>
      </c>
      <c r="S191" s="15" t="s">
        <v>840</v>
      </c>
      <c r="T191" s="15" t="s">
        <v>201</v>
      </c>
      <c r="U191" s="15" t="s">
        <v>200</v>
      </c>
      <c r="V191" s="413" t="s">
        <v>852</v>
      </c>
      <c r="W191" s="166"/>
      <c r="X191" s="166"/>
      <c r="Y191" s="166"/>
      <c r="Z191" s="166"/>
      <c r="AA191" s="158"/>
      <c r="AB191" s="166"/>
      <c r="AC191" s="158"/>
      <c r="AD191" s="166"/>
      <c r="AE191" s="158"/>
      <c r="AF191" s="166"/>
      <c r="AG191" s="166"/>
      <c r="AH191" s="166"/>
      <c r="AI191" s="166"/>
      <c r="AJ191" s="166"/>
      <c r="AK191" s="166"/>
      <c r="AL191" s="166"/>
      <c r="AM191" s="166"/>
      <c r="AN191" s="166"/>
      <c r="AO191" s="166"/>
      <c r="AP191" s="166"/>
      <c r="AQ191" s="166"/>
      <c r="AR191" s="166"/>
      <c r="AS191" s="166"/>
      <c r="AT191" s="166"/>
      <c r="AU191" s="343"/>
      <c r="AV191" s="343"/>
      <c r="AW191" s="343"/>
      <c r="AX191" s="343"/>
      <c r="AY191" s="344"/>
      <c r="AZ191" s="345"/>
      <c r="BA191" s="346"/>
    </row>
    <row r="192" spans="1:53">
      <c r="A192" s="2" t="str">
        <f t="shared" si="20"/>
        <v>Bus - SB Rebates_Pipe Insulation - Steam Med Fitting</v>
      </c>
      <c r="B192" s="18">
        <v>189</v>
      </c>
      <c r="C192" s="23" t="s">
        <v>712</v>
      </c>
      <c r="D192" s="18" t="s">
        <v>208</v>
      </c>
      <c r="E192" s="23" t="s">
        <v>150</v>
      </c>
      <c r="F192" s="23">
        <v>1</v>
      </c>
      <c r="G192" s="154">
        <v>0.92</v>
      </c>
      <c r="H192" s="447">
        <v>15</v>
      </c>
      <c r="I192" s="436">
        <v>15</v>
      </c>
      <c r="J192" s="23">
        <v>5</v>
      </c>
      <c r="K192" s="23">
        <f t="shared" si="27"/>
        <v>5</v>
      </c>
      <c r="L192" s="23">
        <f t="shared" si="27"/>
        <v>5</v>
      </c>
      <c r="M192" s="23">
        <f t="shared" si="27"/>
        <v>5</v>
      </c>
      <c r="N192" s="216">
        <f>'Pipe Insulation Detail'!$B$55</f>
        <v>12.515179237984789</v>
      </c>
      <c r="O192" s="215">
        <f t="shared" si="28"/>
        <v>12.515179237984789</v>
      </c>
      <c r="P192" s="215">
        <f t="shared" si="28"/>
        <v>12.515179237984789</v>
      </c>
      <c r="Q192" s="215">
        <f t="shared" si="28"/>
        <v>12.515179237984789</v>
      </c>
      <c r="R192" s="15" t="s">
        <v>837</v>
      </c>
      <c r="S192" s="15" t="s">
        <v>840</v>
      </c>
      <c r="T192" s="15" t="s">
        <v>201</v>
      </c>
      <c r="U192" s="15" t="s">
        <v>200</v>
      </c>
      <c r="V192" s="413" t="s">
        <v>852</v>
      </c>
      <c r="W192" s="166"/>
      <c r="X192" s="166"/>
      <c r="Y192" s="166"/>
      <c r="Z192" s="166"/>
      <c r="AA192" s="158"/>
      <c r="AB192" s="166"/>
      <c r="AC192" s="158"/>
      <c r="AD192" s="166"/>
      <c r="AE192" s="158"/>
      <c r="AF192" s="166"/>
      <c r="AG192" s="166"/>
      <c r="AH192" s="166"/>
      <c r="AI192" s="166"/>
      <c r="AJ192" s="166"/>
      <c r="AK192" s="166"/>
      <c r="AL192" s="166"/>
      <c r="AM192" s="166"/>
      <c r="AN192" s="166"/>
      <c r="AO192" s="166"/>
      <c r="AP192" s="166"/>
      <c r="AQ192" s="166"/>
      <c r="AR192" s="166"/>
      <c r="AS192" s="166"/>
      <c r="AT192" s="166"/>
      <c r="AU192" s="343"/>
      <c r="AV192" s="343"/>
      <c r="AW192" s="343"/>
      <c r="AX192" s="343"/>
      <c r="AY192" s="344"/>
      <c r="AZ192" s="345"/>
      <c r="BA192" s="346"/>
    </row>
    <row r="193" spans="1:53">
      <c r="A193" s="2" t="str">
        <f t="shared" si="20"/>
        <v>Bus - SB Rebates_Pipe Insulation - Steam Large Fitting</v>
      </c>
      <c r="B193" s="18">
        <v>190</v>
      </c>
      <c r="C193" s="23" t="s">
        <v>712</v>
      </c>
      <c r="D193" s="18" t="s">
        <v>207</v>
      </c>
      <c r="E193" s="23" t="s">
        <v>150</v>
      </c>
      <c r="F193" s="23">
        <v>1</v>
      </c>
      <c r="G193" s="154">
        <v>0.92</v>
      </c>
      <c r="H193" s="447">
        <v>15</v>
      </c>
      <c r="I193" s="436">
        <v>15</v>
      </c>
      <c r="J193" s="23">
        <v>0</v>
      </c>
      <c r="K193" s="23">
        <f t="shared" si="27"/>
        <v>0</v>
      </c>
      <c r="L193" s="23">
        <f t="shared" si="27"/>
        <v>0</v>
      </c>
      <c r="M193" s="23">
        <f t="shared" si="27"/>
        <v>0</v>
      </c>
      <c r="N193" s="216">
        <f>'Pipe Insulation Detail'!$B$56</f>
        <v>51.249515380658096</v>
      </c>
      <c r="O193" s="215">
        <f t="shared" si="28"/>
        <v>51.249515380658096</v>
      </c>
      <c r="P193" s="215">
        <f t="shared" si="28"/>
        <v>51.249515380658096</v>
      </c>
      <c r="Q193" s="215">
        <f t="shared" si="28"/>
        <v>51.249515380658096</v>
      </c>
      <c r="R193" s="15" t="s">
        <v>837</v>
      </c>
      <c r="S193" s="15" t="s">
        <v>840</v>
      </c>
      <c r="T193" s="15" t="s">
        <v>201</v>
      </c>
      <c r="U193" s="15" t="s">
        <v>200</v>
      </c>
      <c r="V193" s="413" t="s">
        <v>852</v>
      </c>
      <c r="W193" s="166"/>
      <c r="X193" s="166"/>
      <c r="Y193" s="166"/>
      <c r="Z193" s="166"/>
      <c r="AA193" s="158"/>
      <c r="AB193" s="166"/>
      <c r="AC193" s="158"/>
      <c r="AD193" s="166"/>
      <c r="AE193" s="158"/>
      <c r="AF193" s="166"/>
      <c r="AG193" s="166"/>
      <c r="AH193" s="166"/>
      <c r="AI193" s="166"/>
      <c r="AJ193" s="166"/>
      <c r="AK193" s="166"/>
      <c r="AL193" s="166"/>
      <c r="AM193" s="166"/>
      <c r="AN193" s="166"/>
      <c r="AO193" s="166"/>
      <c r="AP193" s="166"/>
      <c r="AQ193" s="166"/>
      <c r="AR193" s="166"/>
      <c r="AS193" s="166"/>
      <c r="AT193" s="166"/>
      <c r="AU193" s="343"/>
      <c r="AV193" s="343"/>
      <c r="AW193" s="343"/>
      <c r="AX193" s="343"/>
      <c r="AY193" s="344"/>
      <c r="AZ193" s="345"/>
      <c r="BA193" s="346"/>
    </row>
    <row r="194" spans="1:53">
      <c r="A194" s="2" t="str">
        <f t="shared" si="20"/>
        <v>Bus - SB Rebates_Pipe Insulation - Steam X-Large Fitting</v>
      </c>
      <c r="B194" s="18">
        <v>191</v>
      </c>
      <c r="C194" s="23" t="s">
        <v>712</v>
      </c>
      <c r="D194" s="18" t="s">
        <v>206</v>
      </c>
      <c r="E194" s="23" t="s">
        <v>150</v>
      </c>
      <c r="F194" s="23">
        <v>1</v>
      </c>
      <c r="G194" s="154">
        <v>0.92</v>
      </c>
      <c r="H194" s="447">
        <v>15</v>
      </c>
      <c r="I194" s="436">
        <v>15</v>
      </c>
      <c r="J194" s="23">
        <v>0</v>
      </c>
      <c r="K194" s="23">
        <f t="shared" si="27"/>
        <v>0</v>
      </c>
      <c r="L194" s="23">
        <f t="shared" si="27"/>
        <v>0</v>
      </c>
      <c r="M194" s="23">
        <f t="shared" si="27"/>
        <v>0</v>
      </c>
      <c r="N194" s="216">
        <f>'Pipe Insulation Detail'!$B$57</f>
        <v>99.138118398437726</v>
      </c>
      <c r="O194" s="215">
        <f t="shared" si="28"/>
        <v>99.138118398437726</v>
      </c>
      <c r="P194" s="215">
        <f t="shared" si="28"/>
        <v>99.138118398437726</v>
      </c>
      <c r="Q194" s="215">
        <f t="shared" si="28"/>
        <v>99.138118398437726</v>
      </c>
      <c r="R194" s="15" t="s">
        <v>837</v>
      </c>
      <c r="S194" s="15" t="s">
        <v>840</v>
      </c>
      <c r="T194" s="15" t="s">
        <v>201</v>
      </c>
      <c r="U194" s="15" t="s">
        <v>200</v>
      </c>
      <c r="V194" s="413" t="s">
        <v>852</v>
      </c>
      <c r="W194" s="166"/>
      <c r="X194" s="166"/>
      <c r="Y194" s="166"/>
      <c r="Z194" s="166"/>
      <c r="AA194" s="158"/>
      <c r="AB194" s="166"/>
      <c r="AC194" s="158"/>
      <c r="AD194" s="166"/>
      <c r="AE194" s="158"/>
      <c r="AF194" s="166"/>
      <c r="AG194" s="166"/>
      <c r="AH194" s="166"/>
      <c r="AI194" s="166"/>
      <c r="AJ194" s="166"/>
      <c r="AK194" s="166"/>
      <c r="AL194" s="166"/>
      <c r="AM194" s="166"/>
      <c r="AN194" s="166"/>
      <c r="AO194" s="166"/>
      <c r="AP194" s="166"/>
      <c r="AQ194" s="166"/>
      <c r="AR194" s="166"/>
      <c r="AS194" s="166"/>
      <c r="AT194" s="166"/>
      <c r="AU194" s="343"/>
      <c r="AV194" s="343"/>
      <c r="AW194" s="343"/>
      <c r="AX194" s="343"/>
      <c r="AY194" s="344"/>
      <c r="AZ194" s="345"/>
      <c r="BA194" s="346"/>
    </row>
    <row r="195" spans="1:53">
      <c r="A195" s="2" t="str">
        <f t="shared" si="20"/>
        <v>Bus - SB Rebates_Pipe Insulation - Steam Med Valve</v>
      </c>
      <c r="B195" s="18">
        <v>192</v>
      </c>
      <c r="C195" s="23" t="s">
        <v>712</v>
      </c>
      <c r="D195" s="18" t="s">
        <v>204</v>
      </c>
      <c r="E195" s="23" t="s">
        <v>150</v>
      </c>
      <c r="F195" s="23">
        <v>1</v>
      </c>
      <c r="G195" s="154">
        <v>0.92</v>
      </c>
      <c r="H195" s="447">
        <v>15</v>
      </c>
      <c r="I195" s="436">
        <v>15</v>
      </c>
      <c r="J195" s="23">
        <v>0</v>
      </c>
      <c r="K195" s="23">
        <f t="shared" si="27"/>
        <v>0</v>
      </c>
      <c r="L195" s="23">
        <f t="shared" si="27"/>
        <v>0</v>
      </c>
      <c r="M195" s="23">
        <f t="shared" si="27"/>
        <v>0</v>
      </c>
      <c r="N195" s="216">
        <f>'Pipe Insulation Detail'!$B$59</f>
        <v>37.423389683572815</v>
      </c>
      <c r="O195" s="215">
        <f t="shared" si="28"/>
        <v>37.423389683572815</v>
      </c>
      <c r="P195" s="215">
        <f t="shared" si="28"/>
        <v>37.423389683572815</v>
      </c>
      <c r="Q195" s="215">
        <f t="shared" si="28"/>
        <v>37.423389683572815</v>
      </c>
      <c r="R195" s="15" t="s">
        <v>837</v>
      </c>
      <c r="S195" s="15" t="s">
        <v>840</v>
      </c>
      <c r="T195" s="15" t="s">
        <v>201</v>
      </c>
      <c r="U195" s="15" t="s">
        <v>200</v>
      </c>
      <c r="V195" s="413" t="s">
        <v>852</v>
      </c>
      <c r="W195" s="166"/>
      <c r="X195" s="166"/>
      <c r="Y195" s="166"/>
      <c r="Z195" s="166"/>
      <c r="AA195" s="158"/>
      <c r="AB195" s="166"/>
      <c r="AC195" s="158"/>
      <c r="AD195" s="166"/>
      <c r="AE195" s="158"/>
      <c r="AF195" s="166"/>
      <c r="AG195" s="166"/>
      <c r="AH195" s="166"/>
      <c r="AI195" s="166"/>
      <c r="AJ195" s="166"/>
      <c r="AK195" s="166"/>
      <c r="AL195" s="166"/>
      <c r="AM195" s="166"/>
      <c r="AN195" s="166"/>
      <c r="AO195" s="166"/>
      <c r="AP195" s="166"/>
      <c r="AQ195" s="166"/>
      <c r="AR195" s="166"/>
      <c r="AS195" s="166"/>
      <c r="AT195" s="166"/>
      <c r="AU195" s="343"/>
      <c r="AV195" s="343"/>
      <c r="AW195" s="343"/>
      <c r="AX195" s="343"/>
      <c r="AY195" s="344"/>
      <c r="AZ195" s="345"/>
      <c r="BA195" s="346"/>
    </row>
    <row r="196" spans="1:53">
      <c r="A196" s="2" t="str">
        <f t="shared" si="20"/>
        <v>Bus - SB Rebates_Pipe Insulation - Steam Large Valve</v>
      </c>
      <c r="B196" s="18">
        <v>193</v>
      </c>
      <c r="C196" s="23" t="s">
        <v>712</v>
      </c>
      <c r="D196" s="18" t="s">
        <v>203</v>
      </c>
      <c r="E196" s="23" t="s">
        <v>150</v>
      </c>
      <c r="F196" s="23">
        <v>1</v>
      </c>
      <c r="G196" s="154">
        <v>0.92</v>
      </c>
      <c r="H196" s="447">
        <v>15</v>
      </c>
      <c r="I196" s="436">
        <v>15</v>
      </c>
      <c r="J196" s="23">
        <v>0</v>
      </c>
      <c r="K196" s="23">
        <f t="shared" si="27"/>
        <v>0</v>
      </c>
      <c r="L196" s="23">
        <f t="shared" si="27"/>
        <v>0</v>
      </c>
      <c r="M196" s="23">
        <f t="shared" si="27"/>
        <v>0</v>
      </c>
      <c r="N196" s="216">
        <f>'Pipe Insulation Detail'!$B$60</f>
        <v>107.52607289087437</v>
      </c>
      <c r="O196" s="215">
        <f t="shared" si="28"/>
        <v>107.52607289087437</v>
      </c>
      <c r="P196" s="215">
        <f t="shared" si="28"/>
        <v>107.52607289087437</v>
      </c>
      <c r="Q196" s="215">
        <f t="shared" si="28"/>
        <v>107.52607289087437</v>
      </c>
      <c r="R196" s="15" t="s">
        <v>837</v>
      </c>
      <c r="S196" s="15" t="s">
        <v>840</v>
      </c>
      <c r="T196" s="15" t="s">
        <v>201</v>
      </c>
      <c r="U196" s="15" t="s">
        <v>200</v>
      </c>
      <c r="V196" s="413" t="s">
        <v>852</v>
      </c>
      <c r="W196" s="166"/>
      <c r="X196" s="166"/>
      <c r="Y196" s="166"/>
      <c r="Z196" s="166"/>
      <c r="AA196" s="158"/>
      <c r="AB196" s="166"/>
      <c r="AC196" s="158"/>
      <c r="AD196" s="166"/>
      <c r="AE196" s="158"/>
      <c r="AF196" s="166"/>
      <c r="AG196" s="166"/>
      <c r="AH196" s="166"/>
      <c r="AI196" s="166"/>
      <c r="AJ196" s="166"/>
      <c r="AK196" s="166"/>
      <c r="AL196" s="166"/>
      <c r="AM196" s="166"/>
      <c r="AN196" s="166"/>
      <c r="AO196" s="166"/>
      <c r="AP196" s="166"/>
      <c r="AQ196" s="166"/>
      <c r="AR196" s="166"/>
      <c r="AS196" s="166"/>
      <c r="AT196" s="166"/>
      <c r="AU196" s="343"/>
      <c r="AV196" s="343"/>
      <c r="AW196" s="343"/>
      <c r="AX196" s="343"/>
      <c r="AY196" s="344"/>
      <c r="AZ196" s="345"/>
      <c r="BA196" s="346"/>
    </row>
    <row r="197" spans="1:53">
      <c r="A197" s="2" t="str">
        <f t="shared" ref="A197:A260" si="29">C197&amp;"_"&amp;D197</f>
        <v>Bus - SB Rebates_Pipe Insulation - Steam X-Large Valve</v>
      </c>
      <c r="B197" s="18">
        <v>194</v>
      </c>
      <c r="C197" s="23" t="s">
        <v>712</v>
      </c>
      <c r="D197" s="18" t="s">
        <v>202</v>
      </c>
      <c r="E197" s="23" t="s">
        <v>150</v>
      </c>
      <c r="F197" s="23">
        <v>1</v>
      </c>
      <c r="G197" s="154">
        <v>0.92</v>
      </c>
      <c r="H197" s="447">
        <v>15</v>
      </c>
      <c r="I197" s="436">
        <v>15</v>
      </c>
      <c r="J197" s="23">
        <v>0</v>
      </c>
      <c r="K197" s="23">
        <f t="shared" si="27"/>
        <v>0</v>
      </c>
      <c r="L197" s="23">
        <f t="shared" si="27"/>
        <v>0</v>
      </c>
      <c r="M197" s="23">
        <f t="shared" si="27"/>
        <v>0</v>
      </c>
      <c r="N197" s="216">
        <f>'Pipe Insulation Detail'!$B$61</f>
        <v>175.06254164158375</v>
      </c>
      <c r="O197" s="215">
        <f t="shared" si="28"/>
        <v>175.06254164158375</v>
      </c>
      <c r="P197" s="215">
        <f t="shared" si="28"/>
        <v>175.06254164158375</v>
      </c>
      <c r="Q197" s="215">
        <f t="shared" si="28"/>
        <v>175.06254164158375</v>
      </c>
      <c r="R197" s="15" t="s">
        <v>837</v>
      </c>
      <c r="S197" s="15" t="s">
        <v>840</v>
      </c>
      <c r="T197" s="15" t="s">
        <v>201</v>
      </c>
      <c r="U197" s="15" t="s">
        <v>200</v>
      </c>
      <c r="V197" s="413" t="s">
        <v>852</v>
      </c>
      <c r="W197" s="166"/>
      <c r="X197" s="166"/>
      <c r="Y197" s="166"/>
      <c r="Z197" s="166"/>
      <c r="AA197" s="158"/>
      <c r="AB197" s="166"/>
      <c r="AC197" s="158"/>
      <c r="AD197" s="166"/>
      <c r="AE197" s="158"/>
      <c r="AF197" s="166"/>
      <c r="AG197" s="166"/>
      <c r="AH197" s="166"/>
      <c r="AI197" s="166"/>
      <c r="AJ197" s="166"/>
      <c r="AK197" s="166"/>
      <c r="AL197" s="166"/>
      <c r="AM197" s="166"/>
      <c r="AN197" s="166"/>
      <c r="AO197" s="166"/>
      <c r="AP197" s="166"/>
      <c r="AQ197" s="166"/>
      <c r="AR197" s="166"/>
      <c r="AS197" s="166"/>
      <c r="AT197" s="166"/>
      <c r="AU197" s="343"/>
      <c r="AV197" s="343"/>
      <c r="AW197" s="343"/>
      <c r="AX197" s="343"/>
      <c r="AY197" s="344"/>
      <c r="AZ197" s="345"/>
      <c r="BA197" s="346"/>
    </row>
    <row r="198" spans="1:53">
      <c r="A198" s="2" t="str">
        <f t="shared" si="29"/>
        <v>Bus - SB Rebates_Pre Rinse Sprayer</v>
      </c>
      <c r="B198" s="18">
        <v>195</v>
      </c>
      <c r="C198" s="23" t="s">
        <v>712</v>
      </c>
      <c r="D198" s="18" t="s">
        <v>710</v>
      </c>
      <c r="E198" s="23" t="s">
        <v>150</v>
      </c>
      <c r="F198" s="23">
        <v>1</v>
      </c>
      <c r="G198" s="154">
        <v>0.92</v>
      </c>
      <c r="H198" s="447">
        <v>5</v>
      </c>
      <c r="I198" s="436">
        <v>5</v>
      </c>
      <c r="J198" s="23">
        <v>5</v>
      </c>
      <c r="K198" s="23">
        <f t="shared" si="27"/>
        <v>5</v>
      </c>
      <c r="L198" s="23">
        <f t="shared" si="27"/>
        <v>5</v>
      </c>
      <c r="M198" s="23">
        <f t="shared" si="27"/>
        <v>5</v>
      </c>
      <c r="N198" s="215">
        <f>(X198-Z198)*60*AB198*AD198*8.33*1*(AF198-AH198)*(1/AJ198)/100000</f>
        <v>51.167025000000002</v>
      </c>
      <c r="O198" s="215">
        <f t="shared" si="28"/>
        <v>51.167025000000002</v>
      </c>
      <c r="P198" s="215">
        <f t="shared" si="28"/>
        <v>51.167025000000002</v>
      </c>
      <c r="Q198" s="215">
        <f t="shared" si="28"/>
        <v>51.167025000000002</v>
      </c>
      <c r="R198" s="15" t="s">
        <v>837</v>
      </c>
      <c r="S198" s="15" t="s">
        <v>840</v>
      </c>
      <c r="T198" s="15" t="s">
        <v>351</v>
      </c>
      <c r="U198" s="15" t="s">
        <v>350</v>
      </c>
      <c r="V198" s="157" t="s">
        <v>344</v>
      </c>
      <c r="W198" s="390" t="s">
        <v>349</v>
      </c>
      <c r="X198" s="461">
        <v>1.23</v>
      </c>
      <c r="Y198" s="390" t="s">
        <v>348</v>
      </c>
      <c r="Z198" s="462">
        <v>0.98</v>
      </c>
      <c r="AA198" s="390" t="s">
        <v>347</v>
      </c>
      <c r="AB198" s="418">
        <v>1.5</v>
      </c>
      <c r="AC198" s="390" t="s">
        <v>346</v>
      </c>
      <c r="AD198" s="390">
        <v>312</v>
      </c>
      <c r="AE198" s="390" t="s">
        <v>251</v>
      </c>
      <c r="AF198" s="419">
        <f>70+AH198</f>
        <v>124.1</v>
      </c>
      <c r="AG198" s="390" t="s">
        <v>250</v>
      </c>
      <c r="AH198" s="463">
        <v>54.1</v>
      </c>
      <c r="AI198" s="390" t="s">
        <v>345</v>
      </c>
      <c r="AJ198" s="392">
        <v>0.8</v>
      </c>
      <c r="AK198" s="166"/>
      <c r="AL198" s="166"/>
      <c r="AM198" s="166"/>
      <c r="AN198" s="166"/>
      <c r="AO198" s="166"/>
      <c r="AP198" s="166"/>
      <c r="AQ198" s="166"/>
      <c r="AR198" s="166"/>
      <c r="AS198" s="166"/>
      <c r="AT198" s="166"/>
      <c r="AU198" s="343"/>
      <c r="AV198" s="343"/>
      <c r="AW198" s="343"/>
      <c r="AX198" s="343"/>
      <c r="AY198" s="344"/>
      <c r="AZ198" s="345"/>
      <c r="BA198" s="346"/>
    </row>
    <row r="199" spans="1:53">
      <c r="A199" s="2" t="str">
        <f t="shared" si="29"/>
        <v>Bus - SB Rebates_Steam Boiler ≥82% AFUE, &gt;300MBh TE</v>
      </c>
      <c r="B199" s="18">
        <v>196</v>
      </c>
      <c r="C199" s="23" t="s">
        <v>712</v>
      </c>
      <c r="D199" s="18" t="s">
        <v>723</v>
      </c>
      <c r="E199" s="23" t="s">
        <v>240</v>
      </c>
      <c r="F199" s="23">
        <v>450</v>
      </c>
      <c r="G199" s="154">
        <v>0.92</v>
      </c>
      <c r="H199" s="447">
        <v>20</v>
      </c>
      <c r="I199" s="484">
        <v>25</v>
      </c>
      <c r="J199" s="23">
        <v>0</v>
      </c>
      <c r="K199" s="23">
        <f t="shared" si="27"/>
        <v>0</v>
      </c>
      <c r="L199" s="23">
        <f t="shared" si="27"/>
        <v>0</v>
      </c>
      <c r="M199" s="23">
        <f t="shared" si="27"/>
        <v>0</v>
      </c>
      <c r="N199" s="216">
        <f>X199*Z199*((AB199-AD199)/AD199)/100000/F199</f>
        <v>0.61860759493670714</v>
      </c>
      <c r="O199" s="215">
        <f t="shared" si="28"/>
        <v>0.61860759493670714</v>
      </c>
      <c r="P199" s="215">
        <f t="shared" si="28"/>
        <v>0.61860759493670714</v>
      </c>
      <c r="Q199" s="215">
        <f t="shared" si="28"/>
        <v>0.61860759493670714</v>
      </c>
      <c r="R199" s="15" t="s">
        <v>838</v>
      </c>
      <c r="S199" s="15" t="s">
        <v>840</v>
      </c>
      <c r="T199" s="15" t="s">
        <v>343</v>
      </c>
      <c r="U199" s="15" t="s">
        <v>342</v>
      </c>
      <c r="V199" s="166" t="s">
        <v>340</v>
      </c>
      <c r="W199" s="468" t="s">
        <v>1431</v>
      </c>
      <c r="X199" s="467">
        <v>1629</v>
      </c>
      <c r="Y199" s="158" t="s">
        <v>273</v>
      </c>
      <c r="Z199" s="398">
        <v>450000</v>
      </c>
      <c r="AA199" s="158" t="s">
        <v>341</v>
      </c>
      <c r="AB199" s="408">
        <v>0.82</v>
      </c>
      <c r="AC199" s="166" t="s">
        <v>248</v>
      </c>
      <c r="AD199" s="397">
        <v>0.79</v>
      </c>
      <c r="AE199" s="166"/>
      <c r="AF199" s="166"/>
      <c r="AG199" s="166"/>
      <c r="AH199" s="166"/>
      <c r="AI199" s="414"/>
      <c r="AJ199" s="415"/>
      <c r="AK199" s="414"/>
      <c r="AL199" s="397"/>
      <c r="AM199" s="166"/>
      <c r="AN199" s="166"/>
      <c r="AO199" s="166"/>
      <c r="AP199" s="166"/>
      <c r="AQ199" s="166"/>
      <c r="AR199" s="166"/>
      <c r="AS199" s="166"/>
      <c r="AT199" s="166"/>
      <c r="AU199" s="343"/>
      <c r="AV199" s="343"/>
      <c r="AW199" s="343"/>
      <c r="AX199" s="343"/>
      <c r="AY199" s="344"/>
      <c r="AZ199" s="345"/>
      <c r="BA199" s="346"/>
    </row>
    <row r="200" spans="1:53">
      <c r="A200" s="2" t="str">
        <f t="shared" si="29"/>
        <v>Bus - SB Rebates_Steam Traps - Dry Cleaner/Industrial</v>
      </c>
      <c r="B200" s="18">
        <v>197</v>
      </c>
      <c r="C200" s="23" t="s">
        <v>712</v>
      </c>
      <c r="D200" s="18" t="s">
        <v>269</v>
      </c>
      <c r="E200" s="23" t="s">
        <v>150</v>
      </c>
      <c r="F200" s="23">
        <v>1</v>
      </c>
      <c r="G200" s="154">
        <v>0.92</v>
      </c>
      <c r="H200" s="447">
        <v>6</v>
      </c>
      <c r="I200" s="436">
        <v>6</v>
      </c>
      <c r="J200" s="23">
        <v>0</v>
      </c>
      <c r="K200" s="23">
        <f t="shared" si="27"/>
        <v>0</v>
      </c>
      <c r="L200" s="23">
        <f t="shared" si="27"/>
        <v>0</v>
      </c>
      <c r="M200" s="23">
        <f t="shared" si="27"/>
        <v>0</v>
      </c>
      <c r="N200" s="216">
        <f>X200*(Z200/AB200)*AD200*AF200/100000</f>
        <v>137.91939591078068</v>
      </c>
      <c r="O200" s="215">
        <f t="shared" si="28"/>
        <v>137.91939591078068</v>
      </c>
      <c r="P200" s="215">
        <f t="shared" si="28"/>
        <v>137.91939591078068</v>
      </c>
      <c r="Q200" s="215">
        <f t="shared" si="28"/>
        <v>137.91939591078068</v>
      </c>
      <c r="R200" s="15" t="s">
        <v>838</v>
      </c>
      <c r="S200" s="15" t="s">
        <v>840</v>
      </c>
      <c r="T200" s="15" t="s">
        <v>266</v>
      </c>
      <c r="U200" s="15" t="s">
        <v>265</v>
      </c>
      <c r="V200" s="166" t="s">
        <v>259</v>
      </c>
      <c r="W200" s="166" t="s">
        <v>264</v>
      </c>
      <c r="X200" s="166">
        <v>19.100000000000001</v>
      </c>
      <c r="Y200" s="166" t="s">
        <v>263</v>
      </c>
      <c r="Z200" s="166">
        <v>890</v>
      </c>
      <c r="AA200" s="158" t="s">
        <v>262</v>
      </c>
      <c r="AB200" s="399">
        <v>0.80700000000000005</v>
      </c>
      <c r="AC200" s="158" t="s">
        <v>153</v>
      </c>
      <c r="AD200" s="166">
        <v>2425</v>
      </c>
      <c r="AE200" s="166" t="s">
        <v>260</v>
      </c>
      <c r="AF200" s="397">
        <v>0.27</v>
      </c>
      <c r="AG200" s="166"/>
      <c r="AH200" s="166"/>
      <c r="AI200" s="166"/>
      <c r="AJ200" s="166"/>
      <c r="AK200" s="166"/>
      <c r="AL200" s="166"/>
      <c r="AM200" s="166"/>
      <c r="AN200" s="166"/>
      <c r="AO200" s="166"/>
      <c r="AP200" s="166"/>
      <c r="AQ200" s="166"/>
      <c r="AR200" s="166"/>
      <c r="AS200" s="166"/>
      <c r="AT200" s="166"/>
      <c r="AU200" s="343"/>
      <c r="AV200" s="343"/>
      <c r="AW200" s="343"/>
      <c r="AX200" s="343"/>
      <c r="AY200" s="344"/>
      <c r="AZ200" s="345"/>
      <c r="BA200" s="346"/>
    </row>
    <row r="201" spans="1:53">
      <c r="A201" s="2" t="str">
        <f t="shared" si="29"/>
        <v>Bus - SB Rebates_Steam Traps - HVAC Repair/Rep - Audit</v>
      </c>
      <c r="B201" s="18">
        <v>198</v>
      </c>
      <c r="C201" s="23" t="s">
        <v>712</v>
      </c>
      <c r="D201" s="18" t="s">
        <v>268</v>
      </c>
      <c r="E201" s="23" t="s">
        <v>150</v>
      </c>
      <c r="F201" s="23">
        <v>1</v>
      </c>
      <c r="G201" s="154">
        <v>0.92</v>
      </c>
      <c r="H201" s="447">
        <v>6</v>
      </c>
      <c r="I201" s="436">
        <v>6</v>
      </c>
      <c r="J201" s="23">
        <v>7</v>
      </c>
      <c r="K201" s="23">
        <f t="shared" si="27"/>
        <v>7</v>
      </c>
      <c r="L201" s="23">
        <f t="shared" si="27"/>
        <v>7</v>
      </c>
      <c r="M201" s="23">
        <f t="shared" si="27"/>
        <v>7</v>
      </c>
      <c r="N201" s="216">
        <f>X201*(Z201/AB201)*AD201*AF201/100000</f>
        <v>88.453924126394057</v>
      </c>
      <c r="O201" s="215">
        <f t="shared" si="28"/>
        <v>88.453924126394057</v>
      </c>
      <c r="P201" s="215">
        <f t="shared" si="28"/>
        <v>88.453924126394057</v>
      </c>
      <c r="Q201" s="215">
        <f t="shared" si="28"/>
        <v>88.453924126394057</v>
      </c>
      <c r="R201" s="15" t="s">
        <v>838</v>
      </c>
      <c r="S201" s="15" t="s">
        <v>840</v>
      </c>
      <c r="T201" s="15" t="s">
        <v>266</v>
      </c>
      <c r="U201" s="15" t="s">
        <v>265</v>
      </c>
      <c r="V201" s="166" t="s">
        <v>259</v>
      </c>
      <c r="W201" s="166" t="s">
        <v>264</v>
      </c>
      <c r="X201" s="166">
        <v>6.9</v>
      </c>
      <c r="Y201" s="166" t="s">
        <v>263</v>
      </c>
      <c r="Z201" s="166">
        <v>951</v>
      </c>
      <c r="AA201" s="158" t="s">
        <v>262</v>
      </c>
      <c r="AB201" s="399">
        <v>0.80700000000000005</v>
      </c>
      <c r="AC201" s="158" t="s">
        <v>261</v>
      </c>
      <c r="AD201" s="166">
        <v>4029</v>
      </c>
      <c r="AE201" s="166" t="s">
        <v>260</v>
      </c>
      <c r="AF201" s="397">
        <v>0.27</v>
      </c>
      <c r="AG201" s="166"/>
      <c r="AH201" s="166"/>
      <c r="AI201" s="166"/>
      <c r="AJ201" s="166"/>
      <c r="AK201" s="166"/>
      <c r="AL201" s="166"/>
      <c r="AM201" s="166"/>
      <c r="AN201" s="166"/>
      <c r="AO201" s="166"/>
      <c r="AP201" s="166"/>
      <c r="AQ201" s="166"/>
      <c r="AR201" s="166"/>
      <c r="AS201" s="166"/>
      <c r="AT201" s="166"/>
      <c r="AU201" s="343"/>
      <c r="AV201" s="343"/>
      <c r="AW201" s="343"/>
      <c r="AX201" s="343"/>
      <c r="AY201" s="344"/>
      <c r="AZ201" s="345"/>
      <c r="BA201" s="346"/>
    </row>
    <row r="202" spans="1:53">
      <c r="A202" s="2" t="str">
        <f t="shared" si="29"/>
        <v>Bus - SB Rebates_Steam Traps - HVAC Repair/Rep - No Audit</v>
      </c>
      <c r="B202" s="18">
        <v>199</v>
      </c>
      <c r="C202" s="23" t="s">
        <v>712</v>
      </c>
      <c r="D202" s="18" t="s">
        <v>267</v>
      </c>
      <c r="E202" s="23" t="s">
        <v>150</v>
      </c>
      <c r="F202" s="23">
        <v>1</v>
      </c>
      <c r="G202" s="154">
        <v>0.92</v>
      </c>
      <c r="H202" s="447">
        <v>6</v>
      </c>
      <c r="I202" s="436">
        <v>6</v>
      </c>
      <c r="J202" s="23">
        <v>2</v>
      </c>
      <c r="K202" s="23">
        <f t="shared" si="27"/>
        <v>2</v>
      </c>
      <c r="L202" s="23">
        <f t="shared" si="27"/>
        <v>2</v>
      </c>
      <c r="M202" s="23">
        <f t="shared" si="27"/>
        <v>2</v>
      </c>
      <c r="N202" s="216">
        <f>X202*(Z202/AB202)*AD202*AF202/100000</f>
        <v>88.453924126394057</v>
      </c>
      <c r="O202" s="215">
        <f t="shared" si="28"/>
        <v>88.453924126394057</v>
      </c>
      <c r="P202" s="215">
        <f t="shared" si="28"/>
        <v>88.453924126394057</v>
      </c>
      <c r="Q202" s="215">
        <f t="shared" si="28"/>
        <v>88.453924126394057</v>
      </c>
      <c r="R202" s="15" t="s">
        <v>838</v>
      </c>
      <c r="S202" s="15" t="s">
        <v>840</v>
      </c>
      <c r="T202" s="15" t="s">
        <v>266</v>
      </c>
      <c r="U202" s="15" t="s">
        <v>265</v>
      </c>
      <c r="V202" s="166" t="s">
        <v>259</v>
      </c>
      <c r="W202" s="166" t="s">
        <v>264</v>
      </c>
      <c r="X202" s="166">
        <v>6.9</v>
      </c>
      <c r="Y202" s="166" t="s">
        <v>263</v>
      </c>
      <c r="Z202" s="166">
        <v>951</v>
      </c>
      <c r="AA202" s="158" t="s">
        <v>262</v>
      </c>
      <c r="AB202" s="399">
        <v>0.80700000000000005</v>
      </c>
      <c r="AC202" s="158" t="s">
        <v>261</v>
      </c>
      <c r="AD202" s="166">
        <v>4029</v>
      </c>
      <c r="AE202" s="166" t="s">
        <v>260</v>
      </c>
      <c r="AF202" s="397">
        <v>0.27</v>
      </c>
      <c r="AG202" s="166"/>
      <c r="AH202" s="166"/>
      <c r="AI202" s="166"/>
      <c r="AJ202" s="399"/>
      <c r="AK202" s="166"/>
      <c r="AL202" s="166"/>
      <c r="AM202" s="166"/>
      <c r="AN202" s="166"/>
      <c r="AO202" s="166"/>
      <c r="AP202" s="166"/>
      <c r="AQ202" s="166"/>
      <c r="AR202" s="166"/>
      <c r="AS202" s="166"/>
      <c r="AT202" s="166"/>
      <c r="AU202" s="343"/>
      <c r="AV202" s="343"/>
      <c r="AW202" s="343"/>
      <c r="AX202" s="343"/>
      <c r="AY202" s="344"/>
      <c r="AZ202" s="345"/>
      <c r="BA202" s="346"/>
    </row>
    <row r="203" spans="1:53">
      <c r="A203" s="2" t="str">
        <f t="shared" si="29"/>
        <v>Bus - SB Rebates_Steam Traps - Test</v>
      </c>
      <c r="B203" s="18">
        <v>200</v>
      </c>
      <c r="C203" s="23" t="s">
        <v>712</v>
      </c>
      <c r="D203" s="18" t="s">
        <v>258</v>
      </c>
      <c r="E203" s="23" t="s">
        <v>150</v>
      </c>
      <c r="F203" s="23">
        <v>1</v>
      </c>
      <c r="G203" s="154">
        <v>0.92</v>
      </c>
      <c r="H203" s="447">
        <v>3</v>
      </c>
      <c r="I203" s="436">
        <v>3</v>
      </c>
      <c r="J203" s="23">
        <v>3</v>
      </c>
      <c r="K203" s="23">
        <f t="shared" si="27"/>
        <v>3</v>
      </c>
      <c r="L203" s="23">
        <f t="shared" si="27"/>
        <v>3</v>
      </c>
      <c r="M203" s="23">
        <f t="shared" si="27"/>
        <v>3</v>
      </c>
      <c r="N203" s="216">
        <v>0</v>
      </c>
      <c r="O203" s="215">
        <f t="shared" si="28"/>
        <v>0</v>
      </c>
      <c r="P203" s="215">
        <f t="shared" si="28"/>
        <v>0</v>
      </c>
      <c r="Q203" s="215">
        <f t="shared" si="28"/>
        <v>0</v>
      </c>
      <c r="R203" s="15" t="s">
        <v>140</v>
      </c>
      <c r="S203" s="15" t="s">
        <v>140</v>
      </c>
      <c r="T203" s="15" t="s">
        <v>140</v>
      </c>
      <c r="U203" s="15" t="s">
        <v>140</v>
      </c>
      <c r="V203" s="390" t="s">
        <v>140</v>
      </c>
      <c r="W203" s="166"/>
      <c r="X203" s="166"/>
      <c r="Y203" s="166"/>
      <c r="Z203" s="166"/>
      <c r="AA203" s="158"/>
      <c r="AB203" s="397"/>
      <c r="AC203" s="158"/>
      <c r="AD203" s="166"/>
      <c r="AE203" s="158"/>
      <c r="AF203" s="397"/>
      <c r="AG203" s="166"/>
      <c r="AH203" s="397"/>
      <c r="AI203" s="166"/>
      <c r="AJ203" s="397"/>
      <c r="AK203" s="166"/>
      <c r="AL203" s="166"/>
      <c r="AM203" s="166"/>
      <c r="AN203" s="166"/>
      <c r="AO203" s="166"/>
      <c r="AP203" s="166"/>
      <c r="AQ203" s="166"/>
      <c r="AR203" s="166"/>
      <c r="AS203" s="166"/>
      <c r="AT203" s="166"/>
      <c r="AU203" s="343"/>
      <c r="AV203" s="343"/>
      <c r="AW203" s="343"/>
      <c r="AX203" s="343"/>
      <c r="AY203" s="344"/>
      <c r="AZ203" s="345"/>
      <c r="BA203" s="346"/>
    </row>
    <row r="204" spans="1:53">
      <c r="A204" s="2" t="str">
        <f t="shared" si="29"/>
        <v>Bus - SB Rebates_Thermostat - Programmable</v>
      </c>
      <c r="B204" s="18">
        <v>201</v>
      </c>
      <c r="C204" s="23" t="s">
        <v>712</v>
      </c>
      <c r="D204" s="18" t="s">
        <v>226</v>
      </c>
      <c r="E204" s="23" t="s">
        <v>150</v>
      </c>
      <c r="F204" s="23">
        <v>1</v>
      </c>
      <c r="G204" s="154">
        <v>0.92</v>
      </c>
      <c r="H204" s="447">
        <v>4</v>
      </c>
      <c r="I204" s="436">
        <v>4</v>
      </c>
      <c r="J204" s="23">
        <v>5</v>
      </c>
      <c r="K204" s="23">
        <f t="shared" si="27"/>
        <v>5</v>
      </c>
      <c r="L204" s="23">
        <f t="shared" si="27"/>
        <v>5</v>
      </c>
      <c r="M204" s="23">
        <f t="shared" si="27"/>
        <v>5</v>
      </c>
      <c r="N204" s="341">
        <f>'Thermostat Detail'!$L$13</f>
        <v>124.68584320000001</v>
      </c>
      <c r="O204" s="215">
        <f t="shared" si="28"/>
        <v>124.68584320000001</v>
      </c>
      <c r="P204" s="215">
        <f t="shared" si="28"/>
        <v>124.68584320000001</v>
      </c>
      <c r="Q204" s="215">
        <f t="shared" si="28"/>
        <v>124.68584320000001</v>
      </c>
      <c r="R204" s="15" t="s">
        <v>839</v>
      </c>
      <c r="S204" s="15" t="s">
        <v>840</v>
      </c>
      <c r="T204" s="15" t="s">
        <v>225</v>
      </c>
      <c r="U204" s="15" t="s">
        <v>224</v>
      </c>
      <c r="V204" s="413" t="s">
        <v>833</v>
      </c>
      <c r="W204" s="166"/>
      <c r="X204" s="166"/>
      <c r="Y204" s="166"/>
      <c r="Z204" s="166"/>
      <c r="AA204" s="158"/>
      <c r="AB204" s="397"/>
      <c r="AC204" s="158"/>
      <c r="AD204" s="166"/>
      <c r="AE204" s="158"/>
      <c r="AF204" s="397"/>
      <c r="AG204" s="166"/>
      <c r="AH204" s="397"/>
      <c r="AI204" s="166"/>
      <c r="AJ204" s="397"/>
      <c r="AK204" s="166"/>
      <c r="AL204" s="166"/>
      <c r="AM204" s="166"/>
      <c r="AN204" s="166"/>
      <c r="AO204" s="166"/>
      <c r="AP204" s="166"/>
      <c r="AQ204" s="166"/>
      <c r="AR204" s="166"/>
      <c r="AS204" s="166"/>
      <c r="AT204" s="166"/>
      <c r="AU204" s="343"/>
      <c r="AV204" s="343"/>
      <c r="AW204" s="343"/>
      <c r="AX204" s="343"/>
      <c r="AY204" s="344"/>
      <c r="AZ204" s="345"/>
      <c r="BA204" s="346"/>
    </row>
    <row r="205" spans="1:53">
      <c r="A205" s="2" t="str">
        <f t="shared" si="29"/>
        <v>Bus - SB Rebates_Water Heater - Storage 88% TE ≥75MBh</v>
      </c>
      <c r="B205" s="18">
        <v>202</v>
      </c>
      <c r="C205" s="23" t="s">
        <v>712</v>
      </c>
      <c r="D205" s="18" t="s">
        <v>254</v>
      </c>
      <c r="E205" s="23" t="s">
        <v>150</v>
      </c>
      <c r="F205" s="23">
        <v>1</v>
      </c>
      <c r="G205" s="154">
        <v>0.92</v>
      </c>
      <c r="H205" s="447">
        <v>15</v>
      </c>
      <c r="I205" s="436">
        <v>15</v>
      </c>
      <c r="J205" s="23">
        <v>0</v>
      </c>
      <c r="K205" s="23">
        <v>0</v>
      </c>
      <c r="L205" s="23">
        <v>0</v>
      </c>
      <c r="M205" s="23">
        <v>0</v>
      </c>
      <c r="N205" s="216">
        <f>(X205-Z205)*AB205*8.33*(1/AD205-1/AF205)/100000+((AJ205-AL205)*8766/100000)</f>
        <v>1514.573584976577</v>
      </c>
      <c r="O205" s="215">
        <f t="shared" ref="O205:Q207" si="30">N205</f>
        <v>1514.573584976577</v>
      </c>
      <c r="P205" s="215">
        <f t="shared" si="30"/>
        <v>1514.573584976577</v>
      </c>
      <c r="Q205" s="215">
        <f t="shared" si="30"/>
        <v>1514.573584976577</v>
      </c>
      <c r="R205" s="15" t="s">
        <v>838</v>
      </c>
      <c r="S205" s="15" t="s">
        <v>840</v>
      </c>
      <c r="T205" s="15" t="s">
        <v>253</v>
      </c>
      <c r="U205" s="15" t="s">
        <v>252</v>
      </c>
      <c r="V205" s="166" t="s">
        <v>243</v>
      </c>
      <c r="W205" s="166" t="s">
        <v>251</v>
      </c>
      <c r="X205" s="166">
        <v>125</v>
      </c>
      <c r="Y205" s="166" t="s">
        <v>250</v>
      </c>
      <c r="Z205" s="166">
        <v>54</v>
      </c>
      <c r="AA205" s="158" t="s">
        <v>249</v>
      </c>
      <c r="AB205" s="398">
        <f>511*AH205</f>
        <v>127750</v>
      </c>
      <c r="AC205" s="395" t="s">
        <v>248</v>
      </c>
      <c r="AD205" s="404">
        <f xml:space="preserve"> 0.6002 - (0.0011 * AH205)</f>
        <v>0.32519999999999993</v>
      </c>
      <c r="AE205" s="394" t="s">
        <v>247</v>
      </c>
      <c r="AF205" s="166">
        <v>0.88</v>
      </c>
      <c r="AG205" s="166" t="s">
        <v>246</v>
      </c>
      <c r="AH205" s="166">
        <v>250</v>
      </c>
      <c r="AI205" s="166" t="s">
        <v>245</v>
      </c>
      <c r="AJ205" s="398">
        <f>200000/800+110*SQRT(150)</f>
        <v>1597.219358530748</v>
      </c>
      <c r="AK205" s="166" t="s">
        <v>244</v>
      </c>
      <c r="AL205" s="166">
        <v>1029</v>
      </c>
      <c r="AM205" s="166"/>
      <c r="AN205" s="166"/>
      <c r="AO205" s="166"/>
      <c r="AP205" s="166"/>
      <c r="AQ205" s="166"/>
      <c r="AR205" s="166"/>
      <c r="AS205" s="166"/>
      <c r="AT205" s="166"/>
      <c r="AU205" s="343"/>
      <c r="AV205" s="343"/>
      <c r="AW205" s="343"/>
      <c r="AX205" s="343"/>
      <c r="AY205" s="344"/>
      <c r="AZ205" s="345"/>
      <c r="BA205" s="346"/>
    </row>
    <row r="206" spans="1:53">
      <c r="A206" s="2" t="str">
        <f t="shared" si="29"/>
        <v>Bus - SB Rebates_Water Heater 88% TE - Laundromat</v>
      </c>
      <c r="B206" s="18">
        <v>203</v>
      </c>
      <c r="C206" s="23" t="s">
        <v>712</v>
      </c>
      <c r="D206" s="18" t="s">
        <v>242</v>
      </c>
      <c r="E206" s="23" t="s">
        <v>240</v>
      </c>
      <c r="F206" s="23">
        <v>75</v>
      </c>
      <c r="G206" s="154">
        <v>0.92</v>
      </c>
      <c r="H206" s="447">
        <v>15</v>
      </c>
      <c r="I206" s="436">
        <v>15</v>
      </c>
      <c r="J206" s="23">
        <v>0</v>
      </c>
      <c r="K206" s="23">
        <v>0</v>
      </c>
      <c r="L206" s="23">
        <v>0</v>
      </c>
      <c r="M206" s="23">
        <v>0</v>
      </c>
      <c r="N206" s="216">
        <f>'Laundromat Boiler Detail'!B23</f>
        <v>1.0567132867132856</v>
      </c>
      <c r="O206" s="215">
        <f t="shared" si="30"/>
        <v>1.0567132867132856</v>
      </c>
      <c r="P206" s="215">
        <f t="shared" si="30"/>
        <v>1.0567132867132856</v>
      </c>
      <c r="Q206" s="215">
        <f t="shared" si="30"/>
        <v>1.0567132867132856</v>
      </c>
      <c r="R206" s="15" t="s">
        <v>836</v>
      </c>
      <c r="S206" s="15" t="s">
        <v>140</v>
      </c>
      <c r="T206" s="15" t="s">
        <v>140</v>
      </c>
      <c r="U206" s="15" t="s">
        <v>140</v>
      </c>
      <c r="V206" s="410" t="s">
        <v>853</v>
      </c>
      <c r="W206" s="166"/>
      <c r="X206" s="166"/>
      <c r="Y206" s="166"/>
      <c r="Z206" s="166"/>
      <c r="AA206" s="158"/>
      <c r="AB206" s="166"/>
      <c r="AC206" s="158"/>
      <c r="AD206" s="166"/>
      <c r="AE206" s="158"/>
      <c r="AF206" s="166"/>
      <c r="AG206" s="166"/>
      <c r="AH206" s="166"/>
      <c r="AI206" s="166"/>
      <c r="AJ206" s="166"/>
      <c r="AK206" s="166"/>
      <c r="AL206" s="166"/>
      <c r="AM206" s="166"/>
      <c r="AN206" s="166"/>
      <c r="AO206" s="166"/>
      <c r="AP206" s="166"/>
      <c r="AQ206" s="166"/>
      <c r="AR206" s="166"/>
      <c r="AS206" s="166"/>
      <c r="AT206" s="166"/>
      <c r="AU206" s="343"/>
      <c r="AV206" s="343"/>
      <c r="AW206" s="343"/>
      <c r="AX206" s="343"/>
      <c r="AY206" s="344"/>
      <c r="AZ206" s="345"/>
      <c r="BA206" s="346"/>
    </row>
    <row r="207" spans="1:53">
      <c r="A207" s="2" t="str">
        <f t="shared" si="29"/>
        <v>Bus - SB Rebates_Water Heater 95% TE - Laundromat</v>
      </c>
      <c r="B207" s="18">
        <v>204</v>
      </c>
      <c r="C207" s="23" t="s">
        <v>712</v>
      </c>
      <c r="D207" s="18" t="s">
        <v>241</v>
      </c>
      <c r="E207" s="23" t="s">
        <v>240</v>
      </c>
      <c r="F207" s="23">
        <v>75</v>
      </c>
      <c r="G207" s="154">
        <v>0.92</v>
      </c>
      <c r="H207" s="447">
        <v>15</v>
      </c>
      <c r="I207" s="436">
        <v>15</v>
      </c>
      <c r="J207" s="23">
        <v>0</v>
      </c>
      <c r="K207" s="23">
        <v>0</v>
      </c>
      <c r="L207" s="23">
        <v>0</v>
      </c>
      <c r="M207" s="23">
        <v>0</v>
      </c>
      <c r="N207" s="216">
        <f>'Laundromat Boiler Detail'!C23</f>
        <v>1.8353441295546562</v>
      </c>
      <c r="O207" s="215">
        <f t="shared" si="30"/>
        <v>1.8353441295546562</v>
      </c>
      <c r="P207" s="215">
        <f t="shared" si="30"/>
        <v>1.8353441295546562</v>
      </c>
      <c r="Q207" s="215">
        <f t="shared" si="30"/>
        <v>1.8353441295546562</v>
      </c>
      <c r="R207" s="15" t="s">
        <v>836</v>
      </c>
      <c r="S207" s="15" t="s">
        <v>140</v>
      </c>
      <c r="T207" s="15" t="s">
        <v>140</v>
      </c>
      <c r="U207" s="15" t="s">
        <v>140</v>
      </c>
      <c r="V207" s="410" t="s">
        <v>853</v>
      </c>
      <c r="W207" s="166"/>
      <c r="X207" s="166"/>
      <c r="Y207" s="166"/>
      <c r="Z207" s="166"/>
      <c r="AA207" s="158"/>
      <c r="AB207" s="166"/>
      <c r="AC207" s="158"/>
      <c r="AD207" s="166"/>
      <c r="AE207" s="158"/>
      <c r="AF207" s="166"/>
      <c r="AG207" s="166"/>
      <c r="AH207" s="166"/>
      <c r="AI207" s="166"/>
      <c r="AJ207" s="166"/>
      <c r="AK207" s="166"/>
      <c r="AL207" s="166"/>
      <c r="AM207" s="166"/>
      <c r="AN207" s="166"/>
      <c r="AO207" s="166"/>
      <c r="AP207" s="166"/>
      <c r="AQ207" s="166"/>
      <c r="AR207" s="166"/>
      <c r="AS207" s="166"/>
      <c r="AT207" s="166"/>
      <c r="AU207" s="343"/>
      <c r="AV207" s="343"/>
      <c r="AW207" s="343"/>
      <c r="AX207" s="343"/>
      <c r="AY207" s="344"/>
      <c r="AZ207" s="345"/>
      <c r="BA207" s="346"/>
    </row>
    <row r="208" spans="1:53" ht="14.25" customHeight="1">
      <c r="A208" s="2" t="str">
        <f t="shared" si="29"/>
        <v>Bus - SB Rebates -PTA_Boiler ≥88% AFUE, &lt;300MBh (SB)</v>
      </c>
      <c r="B208" s="18">
        <v>205</v>
      </c>
      <c r="C208" s="23" t="s">
        <v>791</v>
      </c>
      <c r="D208" s="18" t="s">
        <v>785</v>
      </c>
      <c r="E208" s="23" t="s">
        <v>240</v>
      </c>
      <c r="F208" s="23">
        <v>150</v>
      </c>
      <c r="G208" s="154">
        <v>0.92</v>
      </c>
      <c r="H208" s="447">
        <v>20</v>
      </c>
      <c r="I208" s="484">
        <v>25</v>
      </c>
      <c r="J208" s="23"/>
      <c r="K208" s="23">
        <f t="shared" ref="K208:M227" si="31">J208</f>
        <v>0</v>
      </c>
      <c r="L208" s="23">
        <f t="shared" si="31"/>
        <v>0</v>
      </c>
      <c r="M208" s="23">
        <f t="shared" si="31"/>
        <v>0</v>
      </c>
      <c r="N208" s="216">
        <f t="shared" ref="N208:Q215" si="32">N157</f>
        <v>1.1919512195121962</v>
      </c>
      <c r="O208" s="216">
        <f t="shared" si="32"/>
        <v>1.1919512195121962</v>
      </c>
      <c r="P208" s="216">
        <f t="shared" si="32"/>
        <v>1.1919512195121962</v>
      </c>
      <c r="Q208" s="216">
        <f t="shared" si="32"/>
        <v>1.1919512195121962</v>
      </c>
      <c r="R208" s="15" t="s">
        <v>838</v>
      </c>
      <c r="S208" s="379" t="s">
        <v>840</v>
      </c>
      <c r="T208" s="379" t="str">
        <f>T157</f>
        <v>4.4.10</v>
      </c>
      <c r="U208" s="379" t="str">
        <f>U157</f>
        <v>CI-HVC-BOIL-V05-150601</v>
      </c>
      <c r="V208" s="410" t="str">
        <f>V157</f>
        <v>ΔTherms = EFLH * Capacity * ((Eff_actual - Eff_base)/Eff_base)) / 100,000</v>
      </c>
      <c r="W208" s="166"/>
      <c r="X208" s="166"/>
      <c r="Y208" s="166"/>
      <c r="Z208" s="166"/>
      <c r="AA208" s="158"/>
      <c r="AB208" s="166"/>
      <c r="AC208" s="158"/>
      <c r="AD208" s="166"/>
      <c r="AE208" s="158"/>
      <c r="AF208" s="166"/>
      <c r="AG208" s="166"/>
      <c r="AH208" s="166"/>
      <c r="AI208" s="166"/>
      <c r="AJ208" s="166"/>
      <c r="AK208" s="166"/>
      <c r="AL208" s="166"/>
      <c r="AM208" s="166"/>
      <c r="AN208" s="166"/>
      <c r="AO208" s="166"/>
      <c r="AP208" s="166"/>
      <c r="AQ208" s="166"/>
      <c r="AR208" s="166"/>
      <c r="AS208" s="166"/>
      <c r="AT208" s="166"/>
      <c r="AU208" s="343"/>
      <c r="AV208" s="343"/>
      <c r="AW208" s="343"/>
      <c r="AX208" s="343"/>
      <c r="AY208" s="344"/>
      <c r="AZ208" s="345"/>
      <c r="BA208" s="346"/>
    </row>
    <row r="209" spans="1:53" ht="14.25" customHeight="1">
      <c r="A209" s="2" t="str">
        <f t="shared" si="29"/>
        <v>Bus - SB Rebates -PTA_Boiler ≥88% AFUE, ≥300MBh TE (SB)</v>
      </c>
      <c r="B209" s="18">
        <v>206</v>
      </c>
      <c r="C209" s="23" t="s">
        <v>791</v>
      </c>
      <c r="D209" s="18" t="s">
        <v>786</v>
      </c>
      <c r="E209" s="23" t="s">
        <v>240</v>
      </c>
      <c r="F209" s="23">
        <v>350</v>
      </c>
      <c r="G209" s="154">
        <v>0.92</v>
      </c>
      <c r="H209" s="447">
        <v>20</v>
      </c>
      <c r="I209" s="484">
        <v>25</v>
      </c>
      <c r="J209" s="23">
        <v>2</v>
      </c>
      <c r="K209" s="23">
        <f t="shared" si="31"/>
        <v>2</v>
      </c>
      <c r="L209" s="23">
        <f t="shared" si="31"/>
        <v>2</v>
      </c>
      <c r="M209" s="23">
        <f t="shared" si="31"/>
        <v>2</v>
      </c>
      <c r="N209" s="216">
        <f t="shared" si="32"/>
        <v>1.6289999999999993</v>
      </c>
      <c r="O209" s="216">
        <f t="shared" si="32"/>
        <v>1.6289999999999993</v>
      </c>
      <c r="P209" s="216">
        <f t="shared" si="32"/>
        <v>1.6289999999999993</v>
      </c>
      <c r="Q209" s="216">
        <f t="shared" si="32"/>
        <v>1.6289999999999993</v>
      </c>
      <c r="R209" s="15" t="s">
        <v>838</v>
      </c>
      <c r="S209" s="379" t="s">
        <v>840</v>
      </c>
      <c r="T209" s="379" t="str">
        <f t="shared" ref="T209:U215" si="33">T158</f>
        <v>4.4.10</v>
      </c>
      <c r="U209" s="379" t="str">
        <f t="shared" si="33"/>
        <v>CI-HVC-BOIL-V05-150601</v>
      </c>
      <c r="V209" s="410" t="str">
        <f t="shared" ref="V209:AT209" si="34">V157</f>
        <v>ΔTherms = EFLH * Capacity * ((Eff_actual - Eff_base)/Eff_base)) / 100,000</v>
      </c>
      <c r="W209" s="410" t="str">
        <f t="shared" si="34"/>
        <v>EFHL_SBES</v>
      </c>
      <c r="X209" s="410">
        <f t="shared" si="34"/>
        <v>1629</v>
      </c>
      <c r="Y209" s="410" t="str">
        <f t="shared" si="34"/>
        <v>Capacity</v>
      </c>
      <c r="Z209" s="410">
        <f t="shared" si="34"/>
        <v>150000</v>
      </c>
      <c r="AA209" s="410" t="str">
        <f t="shared" si="34"/>
        <v>Eff_actual</v>
      </c>
      <c r="AB209" s="410">
        <f t="shared" si="34"/>
        <v>0.88</v>
      </c>
      <c r="AC209" s="410" t="str">
        <f t="shared" si="34"/>
        <v>Eff_base</v>
      </c>
      <c r="AD209" s="410">
        <f t="shared" si="34"/>
        <v>0.82</v>
      </c>
      <c r="AE209" s="410">
        <f t="shared" si="34"/>
        <v>0</v>
      </c>
      <c r="AF209" s="410">
        <f t="shared" si="34"/>
        <v>0</v>
      </c>
      <c r="AG209" s="410">
        <f t="shared" si="34"/>
        <v>0</v>
      </c>
      <c r="AH209" s="410">
        <f t="shared" si="34"/>
        <v>0</v>
      </c>
      <c r="AI209" s="410">
        <f t="shared" si="34"/>
        <v>0</v>
      </c>
      <c r="AJ209" s="410">
        <f t="shared" si="34"/>
        <v>0</v>
      </c>
      <c r="AK209" s="410">
        <f t="shared" si="34"/>
        <v>0</v>
      </c>
      <c r="AL209" s="410">
        <f t="shared" si="34"/>
        <v>0</v>
      </c>
      <c r="AM209" s="410">
        <f t="shared" si="34"/>
        <v>0</v>
      </c>
      <c r="AN209" s="410">
        <f t="shared" si="34"/>
        <v>0</v>
      </c>
      <c r="AO209" s="410">
        <f t="shared" si="34"/>
        <v>0</v>
      </c>
      <c r="AP209" s="410">
        <f t="shared" si="34"/>
        <v>0</v>
      </c>
      <c r="AQ209" s="410">
        <f t="shared" si="34"/>
        <v>0</v>
      </c>
      <c r="AR209" s="410">
        <f t="shared" si="34"/>
        <v>0</v>
      </c>
      <c r="AS209" s="410">
        <f t="shared" si="34"/>
        <v>0</v>
      </c>
      <c r="AT209" s="410">
        <f t="shared" si="34"/>
        <v>0</v>
      </c>
      <c r="AU209" s="343"/>
      <c r="AV209" s="343"/>
      <c r="AW209" s="343"/>
      <c r="AX209" s="343"/>
      <c r="AY209" s="344"/>
      <c r="AZ209" s="345"/>
      <c r="BA209" s="346"/>
    </row>
    <row r="210" spans="1:53" ht="14.25" customHeight="1">
      <c r="A210" s="2" t="str">
        <f t="shared" si="29"/>
        <v>Bus - SB Rebates -PTA_Boiler Reset Controls (SB)</v>
      </c>
      <c r="B210" s="18">
        <v>207</v>
      </c>
      <c r="C210" s="23" t="s">
        <v>791</v>
      </c>
      <c r="D210" s="18" t="s">
        <v>787</v>
      </c>
      <c r="E210" s="23" t="s">
        <v>240</v>
      </c>
      <c r="F210" s="23">
        <v>200</v>
      </c>
      <c r="G210" s="154">
        <v>0.92</v>
      </c>
      <c r="H210" s="447">
        <v>20</v>
      </c>
      <c r="I210" s="436">
        <v>20</v>
      </c>
      <c r="J210" s="23">
        <v>5</v>
      </c>
      <c r="K210" s="23">
        <f t="shared" si="31"/>
        <v>5</v>
      </c>
      <c r="L210" s="23">
        <f t="shared" si="31"/>
        <v>5</v>
      </c>
      <c r="M210" s="23">
        <f t="shared" si="31"/>
        <v>5</v>
      </c>
      <c r="N210" s="216">
        <f t="shared" si="32"/>
        <v>1.3031999999999999</v>
      </c>
      <c r="O210" s="216">
        <f t="shared" si="32"/>
        <v>1.3031999999999999</v>
      </c>
      <c r="P210" s="216">
        <f t="shared" si="32"/>
        <v>1.3031999999999999</v>
      </c>
      <c r="Q210" s="216">
        <f t="shared" si="32"/>
        <v>1.3031999999999999</v>
      </c>
      <c r="R210" s="15" t="s">
        <v>838</v>
      </c>
      <c r="S210" s="379" t="s">
        <v>840</v>
      </c>
      <c r="T210" s="379" t="str">
        <f t="shared" si="33"/>
        <v>4.4.4</v>
      </c>
      <c r="U210" s="379" t="str">
        <f t="shared" si="33"/>
        <v>CI-HVC-BLRC-V03-150601</v>
      </c>
      <c r="V210" s="410" t="str">
        <f t="shared" ref="V210:V215" si="35">V158</f>
        <v>ΔTherms = EFLH * Capacity * ((Eff_actual - Eff_base)/Eff_base)) / 100,000</v>
      </c>
      <c r="W210" s="166"/>
      <c r="X210" s="166"/>
      <c r="Y210" s="166"/>
      <c r="Z210" s="166"/>
      <c r="AA210" s="158"/>
      <c r="AB210" s="166"/>
      <c r="AC210" s="158"/>
      <c r="AD210" s="166"/>
      <c r="AE210" s="158"/>
      <c r="AF210" s="166"/>
      <c r="AG210" s="166"/>
      <c r="AH210" s="166"/>
      <c r="AI210" s="166"/>
      <c r="AJ210" s="166"/>
      <c r="AK210" s="166"/>
      <c r="AL210" s="166"/>
      <c r="AM210" s="166"/>
      <c r="AN210" s="166"/>
      <c r="AO210" s="166"/>
      <c r="AP210" s="166"/>
      <c r="AQ210" s="166"/>
      <c r="AR210" s="166"/>
      <c r="AS210" s="166"/>
      <c r="AT210" s="166"/>
      <c r="AU210" s="343"/>
      <c r="AV210" s="343"/>
      <c r="AW210" s="343"/>
      <c r="AX210" s="343"/>
      <c r="AY210" s="344"/>
      <c r="AZ210" s="345"/>
      <c r="BA210" s="346"/>
    </row>
    <row r="211" spans="1:53" ht="14.25" customHeight="1">
      <c r="A211" s="2" t="str">
        <f t="shared" si="29"/>
        <v>Bus - SB Rebates -PTA_Boiler Tune Up - Process</v>
      </c>
      <c r="B211" s="18">
        <v>208</v>
      </c>
      <c r="C211" s="23" t="s">
        <v>791</v>
      </c>
      <c r="D211" s="18" t="s">
        <v>335</v>
      </c>
      <c r="E211" s="23" t="s">
        <v>240</v>
      </c>
      <c r="F211" s="23">
        <v>200</v>
      </c>
      <c r="G211" s="154">
        <v>0.92</v>
      </c>
      <c r="H211" s="447">
        <v>3</v>
      </c>
      <c r="I211" s="436">
        <v>3</v>
      </c>
      <c r="J211" s="23"/>
      <c r="K211" s="23">
        <f t="shared" si="31"/>
        <v>0</v>
      </c>
      <c r="L211" s="23">
        <f t="shared" si="31"/>
        <v>0</v>
      </c>
      <c r="M211" s="23">
        <f t="shared" si="31"/>
        <v>0</v>
      </c>
      <c r="N211" s="216">
        <f t="shared" si="32"/>
        <v>0.83823507428978783</v>
      </c>
      <c r="O211" s="216">
        <f t="shared" si="32"/>
        <v>0.83823507428978783</v>
      </c>
      <c r="P211" s="216">
        <f t="shared" si="32"/>
        <v>0.83823507428978783</v>
      </c>
      <c r="Q211" s="216">
        <f t="shared" si="32"/>
        <v>0.83823507428978783</v>
      </c>
      <c r="R211" s="15" t="s">
        <v>838</v>
      </c>
      <c r="S211" s="379" t="s">
        <v>840</v>
      </c>
      <c r="T211" s="379" t="str">
        <f t="shared" si="33"/>
        <v>4.4.3</v>
      </c>
      <c r="U211" s="379" t="str">
        <f t="shared" si="33"/>
        <v>CI-HVC-PBTU-V05-160601</v>
      </c>
      <c r="V211" s="410" t="str">
        <f t="shared" si="35"/>
        <v>∆Therms = Boiler_Input_Capacity * Savings_Factor * EFLH / 100</v>
      </c>
      <c r="W211" s="166"/>
      <c r="X211" s="166"/>
      <c r="Y211" s="166"/>
      <c r="Z211" s="166"/>
      <c r="AA211" s="158"/>
      <c r="AB211" s="166"/>
      <c r="AC211" s="158"/>
      <c r="AD211" s="166"/>
      <c r="AE211" s="158"/>
      <c r="AF211" s="166"/>
      <c r="AG211" s="166"/>
      <c r="AH211" s="166"/>
      <c r="AI211" s="166"/>
      <c r="AJ211" s="166"/>
      <c r="AK211" s="166"/>
      <c r="AL211" s="166"/>
      <c r="AM211" s="166"/>
      <c r="AN211" s="166"/>
      <c r="AO211" s="166"/>
      <c r="AP211" s="166"/>
      <c r="AQ211" s="166"/>
      <c r="AR211" s="166"/>
      <c r="AS211" s="166"/>
      <c r="AT211" s="166"/>
      <c r="AU211" s="343"/>
      <c r="AV211" s="343"/>
      <c r="AW211" s="343"/>
      <c r="AX211" s="343"/>
      <c r="AY211" s="344"/>
      <c r="AZ211" s="345"/>
      <c r="BA211" s="346"/>
    </row>
    <row r="212" spans="1:53" ht="14.25" customHeight="1">
      <c r="A212" s="2" t="str">
        <f t="shared" si="29"/>
        <v>Bus - SB Rebates -PTA_Boiler Tune Up - Space Heating (SB)</v>
      </c>
      <c r="B212" s="18">
        <v>209</v>
      </c>
      <c r="C212" s="23" t="s">
        <v>791</v>
      </c>
      <c r="D212" s="18" t="s">
        <v>788</v>
      </c>
      <c r="E212" s="23" t="s">
        <v>240</v>
      </c>
      <c r="F212" s="23">
        <v>200</v>
      </c>
      <c r="G212" s="154">
        <v>0.92</v>
      </c>
      <c r="H212" s="447">
        <v>3</v>
      </c>
      <c r="I212" s="436">
        <v>3</v>
      </c>
      <c r="J212" s="23">
        <v>2</v>
      </c>
      <c r="K212" s="23">
        <f t="shared" si="31"/>
        <v>2</v>
      </c>
      <c r="L212" s="23">
        <f t="shared" si="31"/>
        <v>2</v>
      </c>
      <c r="M212" s="23">
        <f t="shared" si="31"/>
        <v>2</v>
      </c>
      <c r="N212" s="216">
        <f t="shared" si="32"/>
        <v>0.38045006690183525</v>
      </c>
      <c r="O212" s="216">
        <f t="shared" si="32"/>
        <v>0.38045006690183525</v>
      </c>
      <c r="P212" s="216">
        <f t="shared" si="32"/>
        <v>0.38045006690183525</v>
      </c>
      <c r="Q212" s="216">
        <f t="shared" si="32"/>
        <v>0.38045006690183525</v>
      </c>
      <c r="R212" s="15" t="s">
        <v>838</v>
      </c>
      <c r="S212" s="379" t="s">
        <v>840</v>
      </c>
      <c r="T212" s="379" t="str">
        <f t="shared" si="33"/>
        <v>4.4.2</v>
      </c>
      <c r="U212" s="379" t="str">
        <f t="shared" si="33"/>
        <v>CI-HVC-BLRT-V06-160601</v>
      </c>
      <c r="V212" s="410" t="str">
        <f t="shared" si="35"/>
        <v>Δtherms=((Ngi * 8766*UF)/100) * (1- (Effpre/Effmeasured))</v>
      </c>
      <c r="W212" s="166"/>
      <c r="X212" s="166"/>
      <c r="Y212" s="166"/>
      <c r="Z212" s="166"/>
      <c r="AA212" s="158"/>
      <c r="AB212" s="166"/>
      <c r="AC212" s="158"/>
      <c r="AD212" s="166"/>
      <c r="AE212" s="158"/>
      <c r="AF212" s="166"/>
      <c r="AG212" s="166"/>
      <c r="AH212" s="166"/>
      <c r="AI212" s="166"/>
      <c r="AJ212" s="166"/>
      <c r="AK212" s="166"/>
      <c r="AL212" s="166"/>
      <c r="AM212" s="166"/>
      <c r="AN212" s="166"/>
      <c r="AO212" s="166"/>
      <c r="AP212" s="166"/>
      <c r="AQ212" s="166"/>
      <c r="AR212" s="166"/>
      <c r="AS212" s="166"/>
      <c r="AT212" s="166"/>
      <c r="AU212" s="343"/>
      <c r="AV212" s="343"/>
      <c r="AW212" s="343"/>
      <c r="AX212" s="343"/>
      <c r="AY212" s="344"/>
      <c r="AZ212" s="345"/>
      <c r="BA212" s="346"/>
    </row>
    <row r="213" spans="1:53" ht="14.25" customHeight="1">
      <c r="A213" s="2" t="str">
        <f t="shared" si="29"/>
        <v>Bus - SB Rebates -PTA_Condensing Unit Heater</v>
      </c>
      <c r="B213" s="18">
        <v>210</v>
      </c>
      <c r="C213" s="23" t="s">
        <v>791</v>
      </c>
      <c r="D213" s="18" t="s">
        <v>321</v>
      </c>
      <c r="E213" s="23" t="s">
        <v>240</v>
      </c>
      <c r="F213" s="23">
        <v>150</v>
      </c>
      <c r="G213" s="154">
        <v>0.92</v>
      </c>
      <c r="H213" s="447">
        <v>12</v>
      </c>
      <c r="I213" s="436">
        <v>12</v>
      </c>
      <c r="J213" s="23"/>
      <c r="K213" s="23">
        <f t="shared" si="31"/>
        <v>0</v>
      </c>
      <c r="L213" s="23">
        <f t="shared" si="31"/>
        <v>0</v>
      </c>
      <c r="M213" s="23">
        <f t="shared" si="31"/>
        <v>0</v>
      </c>
      <c r="N213" s="216">
        <f t="shared" si="32"/>
        <v>1.7733333333333334</v>
      </c>
      <c r="O213" s="216">
        <f t="shared" si="32"/>
        <v>1.7733333333333334</v>
      </c>
      <c r="P213" s="216">
        <f t="shared" si="32"/>
        <v>1.7733333333333334</v>
      </c>
      <c r="Q213" s="216">
        <f t="shared" si="32"/>
        <v>1.7733333333333334</v>
      </c>
      <c r="R213" s="15" t="s">
        <v>838</v>
      </c>
      <c r="S213" s="379" t="s">
        <v>840</v>
      </c>
      <c r="T213" s="379" t="str">
        <f t="shared" si="33"/>
        <v>4.4.5</v>
      </c>
      <c r="U213" s="379" t="str">
        <f t="shared" si="33"/>
        <v>CI-HVC-CUHT-V01-120601</v>
      </c>
      <c r="V213" s="410" t="str">
        <f t="shared" si="35"/>
        <v>Δtherms=(Capacity * EFLH * (((Effbefore + Ei) / Effbefore) - 1)) / 100,000</v>
      </c>
      <c r="W213" s="166"/>
      <c r="X213" s="166"/>
      <c r="Y213" s="166"/>
      <c r="Z213" s="166"/>
      <c r="AA213" s="158"/>
      <c r="AB213" s="166"/>
      <c r="AC213" s="158"/>
      <c r="AD213" s="166"/>
      <c r="AE213" s="158"/>
      <c r="AF213" s="166"/>
      <c r="AG213" s="166"/>
      <c r="AH213" s="166"/>
      <c r="AI213" s="166"/>
      <c r="AJ213" s="166"/>
      <c r="AK213" s="166"/>
      <c r="AL213" s="166"/>
      <c r="AM213" s="166"/>
      <c r="AN213" s="166"/>
      <c r="AO213" s="166"/>
      <c r="AP213" s="166"/>
      <c r="AQ213" s="166"/>
      <c r="AR213" s="166"/>
      <c r="AS213" s="166"/>
      <c r="AT213" s="166"/>
      <c r="AU213" s="343"/>
      <c r="AV213" s="343"/>
      <c r="AW213" s="343"/>
      <c r="AX213" s="343"/>
      <c r="AY213" s="344"/>
      <c r="AZ213" s="345"/>
      <c r="BA213" s="346"/>
    </row>
    <row r="214" spans="1:53" ht="14.25" customHeight="1">
      <c r="A214" s="2" t="str">
        <f t="shared" si="29"/>
        <v>Bus - SB Rebates -PTA_DCV - Kitchen</v>
      </c>
      <c r="B214" s="18">
        <v>211</v>
      </c>
      <c r="C214" s="380" t="s">
        <v>791</v>
      </c>
      <c r="D214" s="373" t="s">
        <v>312</v>
      </c>
      <c r="E214" s="380" t="s">
        <v>150</v>
      </c>
      <c r="F214" s="380">
        <v>1</v>
      </c>
      <c r="G214" s="381">
        <v>0.92</v>
      </c>
      <c r="H214" s="447">
        <v>15</v>
      </c>
      <c r="I214" s="436">
        <v>15</v>
      </c>
      <c r="J214" s="380"/>
      <c r="K214" s="380">
        <f t="shared" si="31"/>
        <v>0</v>
      </c>
      <c r="L214" s="380">
        <f t="shared" si="31"/>
        <v>0</v>
      </c>
      <c r="M214" s="380">
        <f t="shared" si="31"/>
        <v>0</v>
      </c>
      <c r="N214" s="372">
        <f t="shared" si="32"/>
        <v>5998.5</v>
      </c>
      <c r="O214" s="216">
        <f t="shared" si="32"/>
        <v>5998.5</v>
      </c>
      <c r="P214" s="216">
        <f t="shared" si="32"/>
        <v>5998.5</v>
      </c>
      <c r="Q214" s="216">
        <f t="shared" si="32"/>
        <v>5998.5</v>
      </c>
      <c r="R214" s="15" t="s">
        <v>838</v>
      </c>
      <c r="S214" s="379" t="s">
        <v>840</v>
      </c>
      <c r="T214" s="379" t="str">
        <f t="shared" si="33"/>
        <v>4.2.16</v>
      </c>
      <c r="U214" s="379" t="str">
        <f t="shared" si="33"/>
        <v>CI-FSE-VENT-V03-160601</v>
      </c>
      <c r="V214" s="410" t="str">
        <f t="shared" si="35"/>
        <v>Deemed Savings assumed average size of 150 MBH</v>
      </c>
      <c r="W214" s="166"/>
      <c r="X214" s="166"/>
      <c r="Y214" s="166"/>
      <c r="Z214" s="166"/>
      <c r="AA214" s="158"/>
      <c r="AB214" s="166"/>
      <c r="AC214" s="158"/>
      <c r="AD214" s="166"/>
      <c r="AE214" s="158"/>
      <c r="AF214" s="166"/>
      <c r="AG214" s="166"/>
      <c r="AH214" s="166"/>
      <c r="AI214" s="166"/>
      <c r="AJ214" s="166"/>
      <c r="AK214" s="166"/>
      <c r="AL214" s="166"/>
      <c r="AM214" s="166"/>
      <c r="AN214" s="166"/>
      <c r="AO214" s="166"/>
      <c r="AP214" s="166"/>
      <c r="AQ214" s="166"/>
      <c r="AR214" s="166"/>
      <c r="AS214" s="166"/>
      <c r="AT214" s="166"/>
      <c r="AU214" s="343"/>
      <c r="AV214" s="343"/>
      <c r="AW214" s="343"/>
      <c r="AX214" s="343"/>
      <c r="AY214" s="344"/>
      <c r="AZ214" s="345"/>
      <c r="BA214" s="346"/>
    </row>
    <row r="215" spans="1:53" s="374" customFormat="1" ht="14.25" customHeight="1">
      <c r="A215" s="2" t="str">
        <f t="shared" si="29"/>
        <v>Bus - SB Rebates -PTA_Direct Fired Heaters</v>
      </c>
      <c r="B215" s="18">
        <v>212</v>
      </c>
      <c r="C215" s="380" t="s">
        <v>791</v>
      </c>
      <c r="D215" s="373" t="s">
        <v>317</v>
      </c>
      <c r="E215" s="380" t="s">
        <v>240</v>
      </c>
      <c r="F215" s="380">
        <v>150</v>
      </c>
      <c r="G215" s="381">
        <v>0.92</v>
      </c>
      <c r="H215" s="447">
        <v>20</v>
      </c>
      <c r="I215" s="436">
        <v>20</v>
      </c>
      <c r="J215" s="380"/>
      <c r="K215" s="380">
        <f t="shared" si="31"/>
        <v>0</v>
      </c>
      <c r="L215" s="380">
        <f t="shared" si="31"/>
        <v>0</v>
      </c>
      <c r="M215" s="380">
        <f t="shared" si="31"/>
        <v>0</v>
      </c>
      <c r="N215" s="372">
        <f t="shared" si="32"/>
        <v>2.5169999999999986</v>
      </c>
      <c r="O215" s="216">
        <f t="shared" si="32"/>
        <v>2.5169999999999986</v>
      </c>
      <c r="P215" s="216">
        <f t="shared" si="32"/>
        <v>2.5169999999999986</v>
      </c>
      <c r="Q215" s="216">
        <f t="shared" si="32"/>
        <v>2.5169999999999986</v>
      </c>
      <c r="R215" s="379" t="str">
        <f>R164</f>
        <v>Custom</v>
      </c>
      <c r="S215" s="379" t="str">
        <f>S164</f>
        <v>Custom</v>
      </c>
      <c r="T215" s="379" t="str">
        <f t="shared" si="33"/>
        <v>Custom</v>
      </c>
      <c r="U215" s="379" t="str">
        <f t="shared" si="33"/>
        <v>Custom</v>
      </c>
      <c r="V215" s="410" t="str">
        <f t="shared" si="35"/>
        <v>ΔTherms = CFM * HP* Annual Heating Load /(Eff(heat) * 100,000)</v>
      </c>
      <c r="W215" s="166"/>
      <c r="X215" s="166"/>
      <c r="Y215" s="166"/>
      <c r="Z215" s="166"/>
      <c r="AA215" s="158"/>
      <c r="AB215" s="166"/>
      <c r="AC215" s="158"/>
      <c r="AD215" s="166"/>
      <c r="AE215" s="158"/>
      <c r="AF215" s="166"/>
      <c r="AG215" s="166"/>
      <c r="AH215" s="166"/>
      <c r="AI215" s="166"/>
      <c r="AJ215" s="166"/>
      <c r="AK215" s="166"/>
      <c r="AL215" s="166"/>
      <c r="AM215" s="166"/>
      <c r="AN215" s="166"/>
      <c r="AO215" s="166"/>
      <c r="AP215" s="166"/>
      <c r="AQ215" s="166"/>
      <c r="AR215" s="166"/>
      <c r="AS215" s="166"/>
      <c r="AT215" s="166"/>
      <c r="AU215" s="375"/>
      <c r="AV215" s="375"/>
      <c r="AW215" s="375"/>
      <c r="AX215" s="375"/>
      <c r="AY215" s="376"/>
      <c r="AZ215" s="377"/>
      <c r="BA215" s="378"/>
    </row>
    <row r="216" spans="1:53">
      <c r="A216" s="2" t="str">
        <f t="shared" si="29"/>
        <v>Bus - SB Rebates -PTA_High Speed Washer - Hotel/Motel/Hospital</v>
      </c>
      <c r="B216" s="18">
        <v>213</v>
      </c>
      <c r="C216" s="380" t="s">
        <v>791</v>
      </c>
      <c r="D216" s="373" t="s">
        <v>238</v>
      </c>
      <c r="E216" s="380" t="s">
        <v>237</v>
      </c>
      <c r="F216" s="380">
        <v>250</v>
      </c>
      <c r="G216" s="381">
        <v>0.92</v>
      </c>
      <c r="H216" s="447">
        <v>7</v>
      </c>
      <c r="I216" s="436">
        <v>7</v>
      </c>
      <c r="J216" s="380">
        <v>4</v>
      </c>
      <c r="K216" s="380">
        <f t="shared" si="31"/>
        <v>4</v>
      </c>
      <c r="L216" s="380">
        <f t="shared" si="31"/>
        <v>4</v>
      </c>
      <c r="M216" s="380">
        <f t="shared" si="31"/>
        <v>4</v>
      </c>
      <c r="N216" s="382">
        <f t="shared" ref="N216:Q245" si="36">N178</f>
        <v>11.243232000000003</v>
      </c>
      <c r="O216" s="379">
        <f t="shared" si="36"/>
        <v>11.243232000000003</v>
      </c>
      <c r="P216" s="379">
        <f t="shared" si="36"/>
        <v>11.243232000000003</v>
      </c>
      <c r="Q216" s="379">
        <f t="shared" si="36"/>
        <v>11.243232000000003</v>
      </c>
      <c r="R216" s="15" t="s">
        <v>838</v>
      </c>
      <c r="S216" s="379" t="s">
        <v>840</v>
      </c>
      <c r="T216" s="379" t="str">
        <f t="shared" ref="T216:V220" si="37">T178</f>
        <v>4.8.5</v>
      </c>
      <c r="U216" s="379" t="str">
        <f t="shared" si="37"/>
        <v>CI-MSC-HSCW-V01-180101</v>
      </c>
      <c r="V216" s="410">
        <f t="shared" si="37"/>
        <v>0</v>
      </c>
      <c r="W216" s="166"/>
      <c r="X216" s="166"/>
      <c r="Y216" s="166"/>
      <c r="Z216" s="166"/>
      <c r="AA216" s="158"/>
      <c r="AB216" s="166"/>
      <c r="AC216" s="158"/>
      <c r="AD216" s="166"/>
      <c r="AE216" s="158"/>
      <c r="AF216" s="166"/>
      <c r="AG216" s="166"/>
      <c r="AH216" s="166"/>
      <c r="AI216" s="166"/>
      <c r="AJ216" s="166"/>
      <c r="AK216" s="166"/>
      <c r="AL216" s="166"/>
      <c r="AM216" s="166"/>
      <c r="AN216" s="166"/>
      <c r="AO216" s="166"/>
      <c r="AP216" s="166"/>
      <c r="AQ216" s="166"/>
      <c r="AR216" s="166"/>
      <c r="AS216" s="166"/>
      <c r="AT216" s="166"/>
      <c r="AU216" s="343"/>
      <c r="AV216" s="343"/>
      <c r="AW216" s="343"/>
      <c r="AX216" s="343"/>
      <c r="AY216" s="344"/>
      <c r="AZ216" s="345"/>
      <c r="BA216" s="346"/>
    </row>
    <row r="217" spans="1:53">
      <c r="A217" s="2" t="str">
        <f t="shared" si="29"/>
        <v>Bus - SB Rebates -PTA_High Speed Washer - Laundromat</v>
      </c>
      <c r="B217" s="18">
        <v>214</v>
      </c>
      <c r="C217" s="380" t="s">
        <v>791</v>
      </c>
      <c r="D217" s="373" t="s">
        <v>239</v>
      </c>
      <c r="E217" s="380" t="s">
        <v>237</v>
      </c>
      <c r="F217" s="380">
        <v>250</v>
      </c>
      <c r="G217" s="381">
        <v>0.92</v>
      </c>
      <c r="H217" s="447">
        <v>7</v>
      </c>
      <c r="I217" s="436">
        <v>7</v>
      </c>
      <c r="J217" s="380"/>
      <c r="K217" s="380">
        <f t="shared" si="31"/>
        <v>0</v>
      </c>
      <c r="L217" s="380">
        <f t="shared" si="31"/>
        <v>0</v>
      </c>
      <c r="M217" s="380">
        <f t="shared" si="31"/>
        <v>0</v>
      </c>
      <c r="N217" s="382">
        <f t="shared" si="36"/>
        <v>4.648644</v>
      </c>
      <c r="O217" s="379">
        <f t="shared" si="36"/>
        <v>4.648644</v>
      </c>
      <c r="P217" s="379">
        <f t="shared" si="36"/>
        <v>4.648644</v>
      </c>
      <c r="Q217" s="379">
        <f t="shared" si="36"/>
        <v>4.648644</v>
      </c>
      <c r="R217" s="15" t="s">
        <v>838</v>
      </c>
      <c r="S217" s="379" t="s">
        <v>840</v>
      </c>
      <c r="T217" s="379" t="str">
        <f t="shared" si="37"/>
        <v>4.8.5</v>
      </c>
      <c r="U217" s="379" t="str">
        <f t="shared" si="37"/>
        <v>CI-MSC-HSCW-V01-180101</v>
      </c>
      <c r="V217" s="410">
        <f t="shared" si="37"/>
        <v>0</v>
      </c>
      <c r="W217" s="166"/>
      <c r="X217" s="166"/>
      <c r="Y217" s="166"/>
      <c r="Z217" s="166"/>
      <c r="AA217" s="158"/>
      <c r="AB217" s="166"/>
      <c r="AC217" s="158"/>
      <c r="AD217" s="166"/>
      <c r="AE217" s="158"/>
      <c r="AF217" s="166"/>
      <c r="AG217" s="166"/>
      <c r="AH217" s="166"/>
      <c r="AI217" s="166"/>
      <c r="AJ217" s="166"/>
      <c r="AK217" s="166"/>
      <c r="AL217" s="166"/>
      <c r="AM217" s="166"/>
      <c r="AN217" s="166"/>
      <c r="AO217" s="166"/>
      <c r="AP217" s="166"/>
      <c r="AQ217" s="166"/>
      <c r="AR217" s="166"/>
      <c r="AS217" s="166"/>
      <c r="AT217" s="166"/>
      <c r="AU217" s="343"/>
      <c r="AV217" s="343"/>
      <c r="AW217" s="343"/>
      <c r="AX217" s="343"/>
      <c r="AY217" s="344"/>
      <c r="AZ217" s="345"/>
      <c r="BA217" s="346"/>
    </row>
    <row r="218" spans="1:53">
      <c r="A218" s="2" t="str">
        <f t="shared" si="29"/>
        <v>Bus - SB Rebates -PTA_Infrared Heater</v>
      </c>
      <c r="B218" s="18">
        <v>215</v>
      </c>
      <c r="C218" s="380" t="s">
        <v>791</v>
      </c>
      <c r="D218" s="373" t="s">
        <v>295</v>
      </c>
      <c r="E218" s="380" t="s">
        <v>240</v>
      </c>
      <c r="F218" s="380">
        <v>150</v>
      </c>
      <c r="G218" s="381">
        <v>0.92</v>
      </c>
      <c r="H218" s="447">
        <v>12</v>
      </c>
      <c r="I218" s="436">
        <v>12</v>
      </c>
      <c r="J218" s="380"/>
      <c r="K218" s="380">
        <f t="shared" si="31"/>
        <v>0</v>
      </c>
      <c r="L218" s="380">
        <f t="shared" si="31"/>
        <v>0</v>
      </c>
      <c r="M218" s="380">
        <f t="shared" si="31"/>
        <v>0</v>
      </c>
      <c r="N218" s="382">
        <f t="shared" si="36"/>
        <v>3.0066666666666668</v>
      </c>
      <c r="O218" s="379">
        <f t="shared" si="36"/>
        <v>3.0066666666666668</v>
      </c>
      <c r="P218" s="379">
        <f t="shared" si="36"/>
        <v>3.0066666666666668</v>
      </c>
      <c r="Q218" s="379">
        <f t="shared" si="36"/>
        <v>3.0066666666666668</v>
      </c>
      <c r="R218" s="15" t="s">
        <v>838</v>
      </c>
      <c r="S218" s="379" t="s">
        <v>840</v>
      </c>
      <c r="T218" s="379" t="str">
        <f t="shared" si="37"/>
        <v>4.4.12</v>
      </c>
      <c r="U218" s="379" t="str">
        <f t="shared" si="37"/>
        <v>CI-HVC-IRHT-V01-120601</v>
      </c>
      <c r="V218" s="410" t="str">
        <f t="shared" si="37"/>
        <v>ΔTherms = 451 / (Estimate Size)</v>
      </c>
      <c r="W218" s="166"/>
      <c r="X218" s="166"/>
      <c r="Y218" s="166"/>
      <c r="Z218" s="166"/>
      <c r="AA218" s="158"/>
      <c r="AB218" s="166"/>
      <c r="AC218" s="158"/>
      <c r="AD218" s="166"/>
      <c r="AE218" s="158"/>
      <c r="AF218" s="166"/>
      <c r="AG218" s="166"/>
      <c r="AH218" s="166"/>
      <c r="AI218" s="166"/>
      <c r="AJ218" s="166"/>
      <c r="AK218" s="166"/>
      <c r="AL218" s="166"/>
      <c r="AM218" s="166"/>
      <c r="AN218" s="166"/>
      <c r="AO218" s="166"/>
      <c r="AP218" s="166"/>
      <c r="AQ218" s="166"/>
      <c r="AR218" s="166"/>
      <c r="AS218" s="166"/>
      <c r="AT218" s="166"/>
      <c r="AU218" s="343"/>
      <c r="AV218" s="343"/>
      <c r="AW218" s="343"/>
      <c r="AX218" s="343"/>
      <c r="AY218" s="344"/>
      <c r="AZ218" s="345"/>
      <c r="BA218" s="346"/>
    </row>
    <row r="219" spans="1:53">
      <c r="A219" s="2" t="str">
        <f t="shared" si="29"/>
        <v>Bus - SB Rebates -PTA_Modulating Commercial Gas Clothes Dryer</v>
      </c>
      <c r="B219" s="18">
        <v>216</v>
      </c>
      <c r="C219" s="380" t="s">
        <v>791</v>
      </c>
      <c r="D219" s="373" t="s">
        <v>290</v>
      </c>
      <c r="E219" s="380" t="s">
        <v>150</v>
      </c>
      <c r="F219" s="380">
        <v>1</v>
      </c>
      <c r="G219" s="381">
        <v>0.92</v>
      </c>
      <c r="H219" s="447">
        <v>14</v>
      </c>
      <c r="I219" s="436">
        <v>14</v>
      </c>
      <c r="J219" s="380"/>
      <c r="K219" s="380">
        <f t="shared" si="31"/>
        <v>0</v>
      </c>
      <c r="L219" s="380">
        <f t="shared" si="31"/>
        <v>0</v>
      </c>
      <c r="M219" s="380">
        <f t="shared" si="31"/>
        <v>0</v>
      </c>
      <c r="N219" s="382">
        <f t="shared" si="36"/>
        <v>266.94</v>
      </c>
      <c r="O219" s="379">
        <f t="shared" si="36"/>
        <v>266.94</v>
      </c>
      <c r="P219" s="379">
        <f t="shared" si="36"/>
        <v>266.94</v>
      </c>
      <c r="Q219" s="379">
        <f t="shared" si="36"/>
        <v>266.94</v>
      </c>
      <c r="R219" s="15" t="s">
        <v>838</v>
      </c>
      <c r="S219" s="379" t="s">
        <v>840</v>
      </c>
      <c r="T219" s="379" t="str">
        <f t="shared" si="37"/>
        <v>4.8.4</v>
      </c>
      <c r="U219" s="379" t="str">
        <f t="shared" si="37"/>
        <v>CI-MSC-MODD-V01-160601</v>
      </c>
      <c r="V219" s="410" t="str">
        <f t="shared" si="37"/>
        <v>Deemed Savings</v>
      </c>
      <c r="W219" s="166"/>
      <c r="X219" s="166"/>
      <c r="Y219" s="166"/>
      <c r="Z219" s="166"/>
      <c r="AA219" s="158"/>
      <c r="AB219" s="166"/>
      <c r="AC219" s="158"/>
      <c r="AD219" s="166"/>
      <c r="AE219" s="158"/>
      <c r="AF219" s="166"/>
      <c r="AG219" s="166"/>
      <c r="AH219" s="166"/>
      <c r="AI219" s="166"/>
      <c r="AJ219" s="166"/>
      <c r="AK219" s="166"/>
      <c r="AL219" s="166"/>
      <c r="AM219" s="166"/>
      <c r="AN219" s="166"/>
      <c r="AO219" s="166"/>
      <c r="AP219" s="166"/>
      <c r="AQ219" s="166"/>
      <c r="AR219" s="166"/>
      <c r="AS219" s="166"/>
      <c r="AT219" s="166"/>
      <c r="AU219" s="343"/>
      <c r="AV219" s="343"/>
      <c r="AW219" s="343"/>
      <c r="AX219" s="343"/>
      <c r="AY219" s="344"/>
      <c r="AZ219" s="345"/>
      <c r="BA219" s="346"/>
    </row>
    <row r="220" spans="1:53">
      <c r="A220" s="2" t="str">
        <f t="shared" si="29"/>
        <v>Bus - SB Rebates -PTA_Ozone Laundry</v>
      </c>
      <c r="B220" s="18">
        <v>217</v>
      </c>
      <c r="C220" s="380" t="s">
        <v>791</v>
      </c>
      <c r="D220" s="373" t="s">
        <v>287</v>
      </c>
      <c r="E220" s="380" t="s">
        <v>237</v>
      </c>
      <c r="F220" s="380">
        <v>250</v>
      </c>
      <c r="G220" s="381">
        <v>0.92</v>
      </c>
      <c r="H220" s="447">
        <v>10</v>
      </c>
      <c r="I220" s="436">
        <v>10</v>
      </c>
      <c r="J220" s="380"/>
      <c r="K220" s="380">
        <f t="shared" si="31"/>
        <v>0</v>
      </c>
      <c r="L220" s="380">
        <f t="shared" si="31"/>
        <v>0</v>
      </c>
      <c r="M220" s="380">
        <f t="shared" si="31"/>
        <v>0</v>
      </c>
      <c r="N220" s="382">
        <f t="shared" si="36"/>
        <v>30.722664192350027</v>
      </c>
      <c r="O220" s="379">
        <f t="shared" si="36"/>
        <v>30.722664192350027</v>
      </c>
      <c r="P220" s="379">
        <f t="shared" si="36"/>
        <v>30.722664192350027</v>
      </c>
      <c r="Q220" s="379">
        <f t="shared" si="36"/>
        <v>30.722664192350027</v>
      </c>
      <c r="R220" s="15" t="s">
        <v>838</v>
      </c>
      <c r="S220" s="379" t="s">
        <v>840</v>
      </c>
      <c r="T220" s="379" t="str">
        <f t="shared" si="37"/>
        <v>4.3.6</v>
      </c>
      <c r="U220" s="379" t="str">
        <f t="shared" si="37"/>
        <v>CI-HW-OZLD-VO1-140601</v>
      </c>
      <c r="V220" s="410" t="str">
        <f t="shared" si="37"/>
        <v>ΔTherm = ThermBase * %hot_water_savings, ThermBase = WHE * WUtiliz * WUsage_hot/lb-capacity</v>
      </c>
      <c r="W220" s="166"/>
      <c r="X220" s="166"/>
      <c r="Y220" s="166"/>
      <c r="Z220" s="166"/>
      <c r="AA220" s="158"/>
      <c r="AB220" s="166"/>
      <c r="AC220" s="158"/>
      <c r="AD220" s="166"/>
      <c r="AE220" s="158"/>
      <c r="AF220" s="166"/>
      <c r="AG220" s="166"/>
      <c r="AH220" s="166"/>
      <c r="AI220" s="166"/>
      <c r="AJ220" s="166"/>
      <c r="AK220" s="166"/>
      <c r="AL220" s="166"/>
      <c r="AM220" s="166"/>
      <c r="AN220" s="166"/>
      <c r="AO220" s="166"/>
      <c r="AP220" s="166"/>
      <c r="AQ220" s="166"/>
      <c r="AR220" s="166"/>
      <c r="AS220" s="166"/>
      <c r="AT220" s="166"/>
      <c r="AU220" s="343"/>
      <c r="AV220" s="343"/>
      <c r="AW220" s="343"/>
      <c r="AX220" s="343"/>
      <c r="AY220" s="344"/>
      <c r="AZ220" s="345"/>
      <c r="BA220" s="346"/>
    </row>
    <row r="221" spans="1:53">
      <c r="A221" s="2" t="str">
        <f t="shared" si="29"/>
        <v>Bus - SB Rebates -PTA_Pipe Insulation - Dry Cleaners</v>
      </c>
      <c r="B221" s="18">
        <v>218</v>
      </c>
      <c r="C221" s="380" t="s">
        <v>791</v>
      </c>
      <c r="D221" s="373" t="s">
        <v>223</v>
      </c>
      <c r="E221" s="380" t="s">
        <v>210</v>
      </c>
      <c r="F221" s="380">
        <v>75</v>
      </c>
      <c r="G221" s="381">
        <v>0.92</v>
      </c>
      <c r="H221" s="447">
        <v>15</v>
      </c>
      <c r="I221" s="436">
        <v>15</v>
      </c>
      <c r="J221" s="380"/>
      <c r="K221" s="380">
        <f t="shared" si="31"/>
        <v>0</v>
      </c>
      <c r="L221" s="380">
        <f t="shared" si="31"/>
        <v>0</v>
      </c>
      <c r="M221" s="380">
        <f t="shared" si="31"/>
        <v>0</v>
      </c>
      <c r="N221" s="382">
        <f t="shared" si="36"/>
        <v>4.1509563815028345</v>
      </c>
      <c r="O221" s="379">
        <f t="shared" si="36"/>
        <v>4.1509563815028345</v>
      </c>
      <c r="P221" s="379">
        <f t="shared" si="36"/>
        <v>4.1509563815028345</v>
      </c>
      <c r="Q221" s="379">
        <f t="shared" si="36"/>
        <v>4.1509563815028345</v>
      </c>
      <c r="R221" s="15" t="s">
        <v>837</v>
      </c>
      <c r="S221" s="379" t="s">
        <v>840</v>
      </c>
      <c r="T221" s="379" t="str">
        <f t="shared" ref="T221:U245" si="38">T183</f>
        <v>4.4.14</v>
      </c>
      <c r="U221" s="379" t="str">
        <f t="shared" si="38"/>
        <v>CI-HVC-PINS-V04-160601</v>
      </c>
      <c r="V221" s="413" t="s">
        <v>852</v>
      </c>
      <c r="W221" s="166"/>
      <c r="X221" s="166"/>
      <c r="Y221" s="166"/>
      <c r="Z221" s="166"/>
      <c r="AA221" s="158"/>
      <c r="AB221" s="166"/>
      <c r="AC221" s="158"/>
      <c r="AD221" s="166"/>
      <c r="AE221" s="158"/>
      <c r="AF221" s="166"/>
      <c r="AG221" s="166"/>
      <c r="AH221" s="166"/>
      <c r="AI221" s="166"/>
      <c r="AJ221" s="166"/>
      <c r="AK221" s="166"/>
      <c r="AL221" s="166"/>
      <c r="AM221" s="166"/>
      <c r="AN221" s="166"/>
      <c r="AO221" s="166"/>
      <c r="AP221" s="166"/>
      <c r="AQ221" s="166"/>
      <c r="AR221" s="166"/>
      <c r="AS221" s="166"/>
      <c r="AT221" s="166"/>
      <c r="AU221" s="343"/>
      <c r="AV221" s="343"/>
      <c r="AW221" s="343"/>
      <c r="AX221" s="343"/>
      <c r="AY221" s="344"/>
      <c r="AZ221" s="345"/>
      <c r="BA221" s="346"/>
    </row>
    <row r="222" spans="1:53">
      <c r="A222" s="2" t="str">
        <f t="shared" si="29"/>
        <v>Bus - SB Rebates -PTA_Pipe Insulation - Dry Cleaners -Elbows</v>
      </c>
      <c r="B222" s="18">
        <v>219</v>
      </c>
      <c r="C222" s="380" t="s">
        <v>791</v>
      </c>
      <c r="D222" s="373" t="s">
        <v>222</v>
      </c>
      <c r="E222" s="380" t="s">
        <v>210</v>
      </c>
      <c r="F222" s="380">
        <v>75</v>
      </c>
      <c r="G222" s="381">
        <v>0.92</v>
      </c>
      <c r="H222" s="447">
        <v>15</v>
      </c>
      <c r="I222" s="436">
        <v>15</v>
      </c>
      <c r="J222" s="380"/>
      <c r="K222" s="380">
        <f t="shared" si="31"/>
        <v>0</v>
      </c>
      <c r="L222" s="380">
        <f t="shared" si="31"/>
        <v>0</v>
      </c>
      <c r="M222" s="380">
        <f t="shared" si="31"/>
        <v>0</v>
      </c>
      <c r="N222" s="382">
        <f t="shared" si="36"/>
        <v>1.9924590631213606</v>
      </c>
      <c r="O222" s="379">
        <f t="shared" si="36"/>
        <v>1.9924590631213606</v>
      </c>
      <c r="P222" s="379">
        <f t="shared" si="36"/>
        <v>1.9924590631213606</v>
      </c>
      <c r="Q222" s="379">
        <f t="shared" si="36"/>
        <v>1.9924590631213606</v>
      </c>
      <c r="R222" s="15" t="s">
        <v>837</v>
      </c>
      <c r="S222" s="379" t="s">
        <v>840</v>
      </c>
      <c r="T222" s="379" t="str">
        <f t="shared" si="38"/>
        <v>4.4.14</v>
      </c>
      <c r="U222" s="379" t="str">
        <f t="shared" si="38"/>
        <v>CI-HVC-PINS-V04-160601</v>
      </c>
      <c r="V222" s="413" t="s">
        <v>852</v>
      </c>
      <c r="W222" s="166"/>
      <c r="X222" s="166"/>
      <c r="Y222" s="166"/>
      <c r="Z222" s="166"/>
      <c r="AA222" s="158"/>
      <c r="AB222" s="166"/>
      <c r="AC222" s="158"/>
      <c r="AD222" s="166"/>
      <c r="AE222" s="158"/>
      <c r="AF222" s="166"/>
      <c r="AG222" s="166"/>
      <c r="AH222" s="166"/>
      <c r="AI222" s="166"/>
      <c r="AJ222" s="166"/>
      <c r="AK222" s="166"/>
      <c r="AL222" s="166"/>
      <c r="AM222" s="166"/>
      <c r="AN222" s="166"/>
      <c r="AO222" s="166"/>
      <c r="AP222" s="166"/>
      <c r="AQ222" s="166"/>
      <c r="AR222" s="166"/>
      <c r="AS222" s="166"/>
      <c r="AT222" s="166"/>
      <c r="AU222" s="343"/>
      <c r="AV222" s="343"/>
      <c r="AW222" s="343"/>
      <c r="AX222" s="343"/>
      <c r="AY222" s="344"/>
      <c r="AZ222" s="345"/>
      <c r="BA222" s="346"/>
    </row>
    <row r="223" spans="1:53">
      <c r="A223" s="2" t="str">
        <f t="shared" si="29"/>
        <v>Bus - SB Rebates -PTA_Pipe Insulation - HW Small 1" to 2"</v>
      </c>
      <c r="B223" s="18">
        <v>220</v>
      </c>
      <c r="C223" s="380" t="s">
        <v>791</v>
      </c>
      <c r="D223" s="373" t="s">
        <v>217</v>
      </c>
      <c r="E223" s="380" t="s">
        <v>210</v>
      </c>
      <c r="F223" s="380">
        <v>75</v>
      </c>
      <c r="G223" s="381">
        <v>0.92</v>
      </c>
      <c r="H223" s="447">
        <v>15</v>
      </c>
      <c r="I223" s="436">
        <v>15</v>
      </c>
      <c r="J223" s="380">
        <v>2</v>
      </c>
      <c r="K223" s="380">
        <f t="shared" si="31"/>
        <v>2</v>
      </c>
      <c r="L223" s="380">
        <f t="shared" si="31"/>
        <v>2</v>
      </c>
      <c r="M223" s="380">
        <f t="shared" si="31"/>
        <v>2</v>
      </c>
      <c r="N223" s="382">
        <f t="shared" si="36"/>
        <v>2.6588140926267867</v>
      </c>
      <c r="O223" s="379">
        <f t="shared" si="36"/>
        <v>2.6588140926267867</v>
      </c>
      <c r="P223" s="379">
        <f t="shared" si="36"/>
        <v>2.6588140926267867</v>
      </c>
      <c r="Q223" s="379">
        <f t="shared" si="36"/>
        <v>2.6588140926267867</v>
      </c>
      <c r="R223" s="15" t="s">
        <v>837</v>
      </c>
      <c r="S223" s="379" t="s">
        <v>840</v>
      </c>
      <c r="T223" s="379" t="str">
        <f t="shared" si="38"/>
        <v>4.4.14</v>
      </c>
      <c r="U223" s="379" t="str">
        <f t="shared" si="38"/>
        <v>CI-HVC-PINS-V04-160601</v>
      </c>
      <c r="V223" s="413" t="s">
        <v>852</v>
      </c>
      <c r="W223" s="166"/>
      <c r="X223" s="166"/>
      <c r="Y223" s="166"/>
      <c r="Z223" s="166"/>
      <c r="AA223" s="158"/>
      <c r="AB223" s="166"/>
      <c r="AC223" s="158"/>
      <c r="AD223" s="166"/>
      <c r="AE223" s="158"/>
      <c r="AF223" s="166"/>
      <c r="AG223" s="166"/>
      <c r="AH223" s="166"/>
      <c r="AI223" s="166"/>
      <c r="AJ223" s="166"/>
      <c r="AK223" s="166"/>
      <c r="AL223" s="166"/>
      <c r="AM223" s="166"/>
      <c r="AN223" s="166"/>
      <c r="AO223" s="166"/>
      <c r="AP223" s="166"/>
      <c r="AQ223" s="166"/>
      <c r="AR223" s="166"/>
      <c r="AS223" s="166"/>
      <c r="AT223" s="166"/>
      <c r="AU223" s="343"/>
      <c r="AV223" s="343"/>
      <c r="AW223" s="343"/>
      <c r="AX223" s="343"/>
      <c r="AY223" s="344"/>
      <c r="AZ223" s="345"/>
      <c r="BA223" s="346"/>
    </row>
    <row r="224" spans="1:53">
      <c r="A224" s="2" t="str">
        <f t="shared" si="29"/>
        <v>Bus - SB Rebates -PTA_Pipe Insulation - HW Medium 2.1" to 4"</v>
      </c>
      <c r="B224" s="18">
        <v>221</v>
      </c>
      <c r="C224" s="380" t="s">
        <v>791</v>
      </c>
      <c r="D224" s="373" t="s">
        <v>216</v>
      </c>
      <c r="E224" s="380" t="s">
        <v>210</v>
      </c>
      <c r="F224" s="380">
        <v>75</v>
      </c>
      <c r="G224" s="381">
        <v>0.92</v>
      </c>
      <c r="H224" s="447">
        <v>15</v>
      </c>
      <c r="I224" s="436">
        <v>15</v>
      </c>
      <c r="J224" s="380">
        <v>10</v>
      </c>
      <c r="K224" s="380">
        <f t="shared" si="31"/>
        <v>10</v>
      </c>
      <c r="L224" s="380">
        <f t="shared" si="31"/>
        <v>10</v>
      </c>
      <c r="M224" s="380">
        <f t="shared" si="31"/>
        <v>10</v>
      </c>
      <c r="N224" s="382">
        <f t="shared" si="36"/>
        <v>5.2492031493764015</v>
      </c>
      <c r="O224" s="379">
        <f t="shared" si="36"/>
        <v>5.2492031493764015</v>
      </c>
      <c r="P224" s="379">
        <f t="shared" si="36"/>
        <v>5.2492031493764015</v>
      </c>
      <c r="Q224" s="379">
        <f t="shared" si="36"/>
        <v>5.2492031493764015</v>
      </c>
      <c r="R224" s="15" t="s">
        <v>837</v>
      </c>
      <c r="S224" s="379" t="s">
        <v>840</v>
      </c>
      <c r="T224" s="379" t="str">
        <f t="shared" si="38"/>
        <v>4.4.14</v>
      </c>
      <c r="U224" s="379" t="str">
        <f t="shared" si="38"/>
        <v>CI-HVC-PINS-V04-160601</v>
      </c>
      <c r="V224" s="413" t="s">
        <v>852</v>
      </c>
      <c r="W224" s="166"/>
      <c r="X224" s="166"/>
      <c r="Y224" s="166"/>
      <c r="Z224" s="166"/>
      <c r="AA224" s="158"/>
      <c r="AB224" s="166"/>
      <c r="AC224" s="158"/>
      <c r="AD224" s="166"/>
      <c r="AE224" s="158"/>
      <c r="AF224" s="166"/>
      <c r="AG224" s="166"/>
      <c r="AH224" s="166"/>
      <c r="AI224" s="166"/>
      <c r="AJ224" s="166"/>
      <c r="AK224" s="166"/>
      <c r="AL224" s="166"/>
      <c r="AM224" s="166"/>
      <c r="AN224" s="166"/>
      <c r="AO224" s="166"/>
      <c r="AP224" s="166"/>
      <c r="AQ224" s="166"/>
      <c r="AR224" s="166"/>
      <c r="AS224" s="166"/>
      <c r="AT224" s="166"/>
      <c r="AU224" s="343"/>
      <c r="AV224" s="343"/>
      <c r="AW224" s="343"/>
      <c r="AX224" s="343"/>
      <c r="AY224" s="344"/>
      <c r="AZ224" s="345"/>
      <c r="BA224" s="346"/>
    </row>
    <row r="225" spans="1:53">
      <c r="A225" s="2" t="str">
        <f t="shared" si="29"/>
        <v>Bus - SB Rebates -PTA_Pipe Insulation - HW Large &gt;4"</v>
      </c>
      <c r="B225" s="18">
        <v>222</v>
      </c>
      <c r="C225" s="23" t="s">
        <v>791</v>
      </c>
      <c r="D225" s="18" t="s">
        <v>215</v>
      </c>
      <c r="E225" s="23" t="s">
        <v>210</v>
      </c>
      <c r="F225" s="23">
        <v>75</v>
      </c>
      <c r="G225" s="154">
        <v>0.92</v>
      </c>
      <c r="H225" s="447">
        <v>15</v>
      </c>
      <c r="I225" s="436">
        <v>15</v>
      </c>
      <c r="J225" s="23">
        <v>2</v>
      </c>
      <c r="K225" s="23">
        <f t="shared" si="31"/>
        <v>2</v>
      </c>
      <c r="L225" s="23">
        <f t="shared" si="31"/>
        <v>2</v>
      </c>
      <c r="M225" s="23">
        <f t="shared" si="31"/>
        <v>2</v>
      </c>
      <c r="N225" s="379">
        <f t="shared" si="36"/>
        <v>9.0407613085908682</v>
      </c>
      <c r="O225" s="379">
        <f t="shared" si="36"/>
        <v>9.0407613085908682</v>
      </c>
      <c r="P225" s="379">
        <f t="shared" si="36"/>
        <v>9.0407613085908682</v>
      </c>
      <c r="Q225" s="379">
        <f t="shared" si="36"/>
        <v>9.0407613085908682</v>
      </c>
      <c r="R225" s="15" t="s">
        <v>837</v>
      </c>
      <c r="S225" s="379" t="s">
        <v>840</v>
      </c>
      <c r="T225" s="379" t="str">
        <f t="shared" si="38"/>
        <v>4.4.14</v>
      </c>
      <c r="U225" s="379" t="str">
        <f t="shared" si="38"/>
        <v>CI-HVC-PINS-V04-160601</v>
      </c>
      <c r="V225" s="413" t="s">
        <v>852</v>
      </c>
      <c r="W225" s="166"/>
      <c r="X225" s="166"/>
      <c r="Y225" s="166"/>
      <c r="Z225" s="166"/>
      <c r="AA225" s="158"/>
      <c r="AB225" s="166"/>
      <c r="AC225" s="158"/>
      <c r="AD225" s="166"/>
      <c r="AE225" s="158"/>
      <c r="AF225" s="166"/>
      <c r="AG225" s="166"/>
      <c r="AH225" s="166"/>
      <c r="AI225" s="166"/>
      <c r="AJ225" s="166"/>
      <c r="AK225" s="166"/>
      <c r="AL225" s="166"/>
      <c r="AM225" s="166"/>
      <c r="AN225" s="166"/>
      <c r="AO225" s="166"/>
      <c r="AP225" s="166"/>
      <c r="AQ225" s="166"/>
      <c r="AR225" s="166"/>
      <c r="AS225" s="166"/>
      <c r="AT225" s="166"/>
      <c r="AU225" s="343"/>
      <c r="AV225" s="343"/>
      <c r="AW225" s="343"/>
      <c r="AX225" s="343"/>
      <c r="AY225" s="344"/>
      <c r="AZ225" s="345"/>
      <c r="BA225" s="346"/>
    </row>
    <row r="226" spans="1:53">
      <c r="A226" s="2" t="str">
        <f t="shared" si="29"/>
        <v>Bus - SB Rebates -PTA_Pipe Insulation - Steam - Small 1" to 2"</v>
      </c>
      <c r="B226" s="18">
        <v>223</v>
      </c>
      <c r="C226" s="23" t="s">
        <v>791</v>
      </c>
      <c r="D226" s="18" t="s">
        <v>214</v>
      </c>
      <c r="E226" s="23" t="s">
        <v>210</v>
      </c>
      <c r="F226" s="23">
        <v>75</v>
      </c>
      <c r="G226" s="154">
        <v>0.92</v>
      </c>
      <c r="H226" s="447">
        <v>15</v>
      </c>
      <c r="I226" s="436">
        <v>15</v>
      </c>
      <c r="J226" s="23">
        <v>4</v>
      </c>
      <c r="K226" s="23">
        <f t="shared" si="31"/>
        <v>4</v>
      </c>
      <c r="L226" s="23">
        <f t="shared" si="31"/>
        <v>4</v>
      </c>
      <c r="M226" s="23">
        <f t="shared" si="31"/>
        <v>4</v>
      </c>
      <c r="N226" s="379">
        <f t="shared" si="36"/>
        <v>3.1854757047967208</v>
      </c>
      <c r="O226" s="379">
        <f t="shared" si="36"/>
        <v>3.1854757047967208</v>
      </c>
      <c r="P226" s="379">
        <f t="shared" si="36"/>
        <v>3.1854757047967208</v>
      </c>
      <c r="Q226" s="379">
        <f t="shared" si="36"/>
        <v>3.1854757047967208</v>
      </c>
      <c r="R226" s="15" t="s">
        <v>837</v>
      </c>
      <c r="S226" s="379" t="s">
        <v>840</v>
      </c>
      <c r="T226" s="379" t="str">
        <f t="shared" si="38"/>
        <v>4.4.14</v>
      </c>
      <c r="U226" s="379" t="str">
        <f t="shared" si="38"/>
        <v>CI-HVC-PINS-V04-160601</v>
      </c>
      <c r="V226" s="413" t="s">
        <v>852</v>
      </c>
      <c r="W226" s="166"/>
      <c r="X226" s="166"/>
      <c r="Y226" s="166"/>
      <c r="Z226" s="166"/>
      <c r="AA226" s="158"/>
      <c r="AB226" s="166"/>
      <c r="AC226" s="158"/>
      <c r="AD226" s="166"/>
      <c r="AE226" s="158"/>
      <c r="AF226" s="166"/>
      <c r="AG226" s="166"/>
      <c r="AH226" s="166"/>
      <c r="AI226" s="166"/>
      <c r="AJ226" s="166"/>
      <c r="AK226" s="166"/>
      <c r="AL226" s="166"/>
      <c r="AM226" s="166"/>
      <c r="AN226" s="166"/>
      <c r="AO226" s="166"/>
      <c r="AP226" s="166"/>
      <c r="AQ226" s="166"/>
      <c r="AR226" s="166"/>
      <c r="AS226" s="166"/>
      <c r="AT226" s="166"/>
      <c r="AU226" s="343"/>
      <c r="AV226" s="343"/>
      <c r="AW226" s="343"/>
      <c r="AX226" s="343"/>
      <c r="AY226" s="344"/>
      <c r="AZ226" s="345"/>
      <c r="BA226" s="346"/>
    </row>
    <row r="227" spans="1:53">
      <c r="A227" s="2" t="str">
        <f t="shared" si="29"/>
        <v>Bus - SB Rebates -PTA_Pipe Insulation - Steam - Med 2.1" to 5"</v>
      </c>
      <c r="B227" s="18">
        <v>224</v>
      </c>
      <c r="C227" s="23" t="s">
        <v>791</v>
      </c>
      <c r="D227" s="18" t="s">
        <v>213</v>
      </c>
      <c r="E227" s="23" t="s">
        <v>210</v>
      </c>
      <c r="F227" s="23">
        <v>75</v>
      </c>
      <c r="G227" s="154">
        <v>0.92</v>
      </c>
      <c r="H227" s="447">
        <v>15</v>
      </c>
      <c r="I227" s="436">
        <v>15</v>
      </c>
      <c r="J227" s="23">
        <v>6</v>
      </c>
      <c r="K227" s="23">
        <f t="shared" si="31"/>
        <v>6</v>
      </c>
      <c r="L227" s="23">
        <f t="shared" si="31"/>
        <v>6</v>
      </c>
      <c r="M227" s="23">
        <f t="shared" si="31"/>
        <v>6</v>
      </c>
      <c r="N227" s="379">
        <f t="shared" si="36"/>
        <v>13.148126788517139</v>
      </c>
      <c r="O227" s="379">
        <f t="shared" si="36"/>
        <v>13.148126788517139</v>
      </c>
      <c r="P227" s="379">
        <f t="shared" si="36"/>
        <v>13.148126788517139</v>
      </c>
      <c r="Q227" s="379">
        <f t="shared" si="36"/>
        <v>13.148126788517139</v>
      </c>
      <c r="R227" s="15" t="s">
        <v>837</v>
      </c>
      <c r="S227" s="379" t="s">
        <v>840</v>
      </c>
      <c r="T227" s="379" t="str">
        <f t="shared" si="38"/>
        <v>4.4.14</v>
      </c>
      <c r="U227" s="379" t="str">
        <f t="shared" si="38"/>
        <v>CI-HVC-PINS-V04-160601</v>
      </c>
      <c r="V227" s="413" t="s">
        <v>852</v>
      </c>
      <c r="W227" s="166"/>
      <c r="X227" s="166"/>
      <c r="Y227" s="166"/>
      <c r="Z227" s="166"/>
      <c r="AA227" s="158"/>
      <c r="AB227" s="166"/>
      <c r="AC227" s="158"/>
      <c r="AD227" s="166"/>
      <c r="AE227" s="158"/>
      <c r="AF227" s="166"/>
      <c r="AG227" s="166"/>
      <c r="AH227" s="166"/>
      <c r="AI227" s="166"/>
      <c r="AJ227" s="166"/>
      <c r="AK227" s="166"/>
      <c r="AL227" s="166"/>
      <c r="AM227" s="166"/>
      <c r="AN227" s="166"/>
      <c r="AO227" s="166"/>
      <c r="AP227" s="166"/>
      <c r="AQ227" s="166"/>
      <c r="AR227" s="166"/>
      <c r="AS227" s="166"/>
      <c r="AT227" s="166"/>
      <c r="AU227" s="343"/>
      <c r="AV227" s="343"/>
      <c r="AW227" s="343"/>
      <c r="AX227" s="343"/>
      <c r="AY227" s="344"/>
      <c r="AZ227" s="345"/>
      <c r="BA227" s="346"/>
    </row>
    <row r="228" spans="1:53">
      <c r="A228" s="2" t="str">
        <f t="shared" si="29"/>
        <v>Bus - SB Rebates -PTA_Pipe Insulation - Steam - Large 5.1" to 8"</v>
      </c>
      <c r="B228" s="18">
        <v>225</v>
      </c>
      <c r="C228" s="23" t="s">
        <v>791</v>
      </c>
      <c r="D228" s="18" t="s">
        <v>212</v>
      </c>
      <c r="E228" s="23" t="s">
        <v>210</v>
      </c>
      <c r="F228" s="23">
        <v>75</v>
      </c>
      <c r="G228" s="154">
        <v>0.92</v>
      </c>
      <c r="H228" s="447">
        <v>15</v>
      </c>
      <c r="I228" s="436">
        <v>15</v>
      </c>
      <c r="J228" s="23">
        <v>4</v>
      </c>
      <c r="K228" s="23">
        <f t="shared" ref="K228:M247" si="39">J228</f>
        <v>4</v>
      </c>
      <c r="L228" s="23">
        <f t="shared" si="39"/>
        <v>4</v>
      </c>
      <c r="M228" s="23">
        <f t="shared" si="39"/>
        <v>4</v>
      </c>
      <c r="N228" s="379">
        <f t="shared" si="36"/>
        <v>24.25563238537794</v>
      </c>
      <c r="O228" s="379">
        <f t="shared" si="36"/>
        <v>24.25563238537794</v>
      </c>
      <c r="P228" s="379">
        <f t="shared" si="36"/>
        <v>24.25563238537794</v>
      </c>
      <c r="Q228" s="379">
        <f t="shared" si="36"/>
        <v>24.25563238537794</v>
      </c>
      <c r="R228" s="15" t="s">
        <v>837</v>
      </c>
      <c r="S228" s="379" t="s">
        <v>840</v>
      </c>
      <c r="T228" s="379" t="str">
        <f t="shared" si="38"/>
        <v>4.4.14</v>
      </c>
      <c r="U228" s="379" t="str">
        <f t="shared" si="38"/>
        <v>CI-HVC-PINS-V04-160601</v>
      </c>
      <c r="V228" s="413" t="s">
        <v>852</v>
      </c>
      <c r="W228" s="166"/>
      <c r="X228" s="166"/>
      <c r="Y228" s="166"/>
      <c r="Z228" s="166"/>
      <c r="AA228" s="158"/>
      <c r="AB228" s="166"/>
      <c r="AC228" s="158"/>
      <c r="AD228" s="166"/>
      <c r="AE228" s="158"/>
      <c r="AF228" s="166"/>
      <c r="AG228" s="166"/>
      <c r="AH228" s="166"/>
      <c r="AI228" s="166"/>
      <c r="AJ228" s="166"/>
      <c r="AK228" s="166"/>
      <c r="AL228" s="166"/>
      <c r="AM228" s="166"/>
      <c r="AN228" s="166"/>
      <c r="AO228" s="166"/>
      <c r="AP228" s="166"/>
      <c r="AQ228" s="166"/>
      <c r="AR228" s="166"/>
      <c r="AS228" s="166"/>
      <c r="AT228" s="166"/>
      <c r="AU228" s="343"/>
      <c r="AV228" s="343"/>
      <c r="AW228" s="343"/>
      <c r="AX228" s="343"/>
      <c r="AY228" s="344"/>
      <c r="AZ228" s="345"/>
      <c r="BA228" s="346"/>
    </row>
    <row r="229" spans="1:53">
      <c r="A229" s="2" t="str">
        <f t="shared" si="29"/>
        <v>Bus - SB Rebates -PTA_Pipe Insulation - Steam - X-Large &gt;8"</v>
      </c>
      <c r="B229" s="18">
        <v>226</v>
      </c>
      <c r="C229" s="23" t="s">
        <v>791</v>
      </c>
      <c r="D229" s="18" t="s">
        <v>211</v>
      </c>
      <c r="E229" s="23" t="s">
        <v>210</v>
      </c>
      <c r="F229" s="23">
        <v>75</v>
      </c>
      <c r="G229" s="154">
        <v>0.92</v>
      </c>
      <c r="H229" s="447">
        <v>15</v>
      </c>
      <c r="I229" s="436">
        <v>15</v>
      </c>
      <c r="J229" s="23"/>
      <c r="K229" s="23">
        <f t="shared" si="39"/>
        <v>0</v>
      </c>
      <c r="L229" s="23">
        <f t="shared" si="39"/>
        <v>0</v>
      </c>
      <c r="M229" s="23">
        <f t="shared" si="39"/>
        <v>0</v>
      </c>
      <c r="N229" s="379">
        <f t="shared" si="36"/>
        <v>35.984797966765058</v>
      </c>
      <c r="O229" s="379">
        <f t="shared" si="36"/>
        <v>35.984797966765058</v>
      </c>
      <c r="P229" s="379">
        <f t="shared" si="36"/>
        <v>35.984797966765058</v>
      </c>
      <c r="Q229" s="379">
        <f t="shared" si="36"/>
        <v>35.984797966765058</v>
      </c>
      <c r="R229" s="15" t="s">
        <v>837</v>
      </c>
      <c r="S229" s="379" t="s">
        <v>840</v>
      </c>
      <c r="T229" s="379" t="str">
        <f t="shared" si="38"/>
        <v>4.4.14</v>
      </c>
      <c r="U229" s="379" t="str">
        <f t="shared" si="38"/>
        <v>CI-HVC-PINS-V04-160601</v>
      </c>
      <c r="V229" s="413" t="s">
        <v>852</v>
      </c>
      <c r="W229" s="166"/>
      <c r="X229" s="166"/>
      <c r="Y229" s="166"/>
      <c r="Z229" s="166"/>
      <c r="AA229" s="158"/>
      <c r="AB229" s="166"/>
      <c r="AC229" s="158"/>
      <c r="AD229" s="166"/>
      <c r="AE229" s="158"/>
      <c r="AF229" s="166"/>
      <c r="AG229" s="166"/>
      <c r="AH229" s="166"/>
      <c r="AI229" s="166"/>
      <c r="AJ229" s="166"/>
      <c r="AK229" s="166"/>
      <c r="AL229" s="166"/>
      <c r="AM229" s="166"/>
      <c r="AN229" s="166"/>
      <c r="AO229" s="166"/>
      <c r="AP229" s="166"/>
      <c r="AQ229" s="166"/>
      <c r="AR229" s="166"/>
      <c r="AS229" s="166"/>
      <c r="AT229" s="166"/>
      <c r="AU229" s="343"/>
      <c r="AV229" s="343"/>
      <c r="AW229" s="343"/>
      <c r="AX229" s="343"/>
      <c r="AY229" s="344"/>
      <c r="AZ229" s="345"/>
      <c r="BA229" s="346"/>
    </row>
    <row r="230" spans="1:53">
      <c r="A230" s="2" t="str">
        <f t="shared" si="29"/>
        <v>Bus - SB Rebates -PTA_Pipe Insulation - Steam Med Fitting</v>
      </c>
      <c r="B230" s="18">
        <v>227</v>
      </c>
      <c r="C230" s="23" t="s">
        <v>791</v>
      </c>
      <c r="D230" s="18" t="s">
        <v>208</v>
      </c>
      <c r="E230" s="23" t="s">
        <v>150</v>
      </c>
      <c r="F230" s="23">
        <v>1</v>
      </c>
      <c r="G230" s="154">
        <v>0.92</v>
      </c>
      <c r="H230" s="447">
        <v>15</v>
      </c>
      <c r="I230" s="436">
        <v>15</v>
      </c>
      <c r="J230" s="23"/>
      <c r="K230" s="23">
        <f t="shared" si="39"/>
        <v>0</v>
      </c>
      <c r="L230" s="23">
        <f t="shared" si="39"/>
        <v>0</v>
      </c>
      <c r="M230" s="23">
        <f t="shared" si="39"/>
        <v>0</v>
      </c>
      <c r="N230" s="379">
        <f t="shared" si="36"/>
        <v>12.515179237984789</v>
      </c>
      <c r="O230" s="379">
        <f t="shared" si="36"/>
        <v>12.515179237984789</v>
      </c>
      <c r="P230" s="379">
        <f t="shared" si="36"/>
        <v>12.515179237984789</v>
      </c>
      <c r="Q230" s="379">
        <f t="shared" si="36"/>
        <v>12.515179237984789</v>
      </c>
      <c r="R230" s="15" t="s">
        <v>837</v>
      </c>
      <c r="S230" s="379" t="s">
        <v>840</v>
      </c>
      <c r="T230" s="379" t="str">
        <f t="shared" si="38"/>
        <v>4.4.14</v>
      </c>
      <c r="U230" s="379" t="str">
        <f t="shared" si="38"/>
        <v>CI-HVC-PINS-V04-160601</v>
      </c>
      <c r="V230" s="413" t="s">
        <v>852</v>
      </c>
      <c r="W230" s="166"/>
      <c r="X230" s="166"/>
      <c r="Y230" s="166"/>
      <c r="Z230" s="166"/>
      <c r="AA230" s="158"/>
      <c r="AB230" s="166"/>
      <c r="AC230" s="158"/>
      <c r="AD230" s="166"/>
      <c r="AE230" s="158"/>
      <c r="AF230" s="166"/>
      <c r="AG230" s="166"/>
      <c r="AH230" s="166"/>
      <c r="AI230" s="166"/>
      <c r="AJ230" s="166"/>
      <c r="AK230" s="166"/>
      <c r="AL230" s="166"/>
      <c r="AM230" s="166"/>
      <c r="AN230" s="166"/>
      <c r="AO230" s="166"/>
      <c r="AP230" s="166"/>
      <c r="AQ230" s="166"/>
      <c r="AR230" s="166"/>
      <c r="AS230" s="166"/>
      <c r="AT230" s="166"/>
      <c r="AU230" s="343"/>
      <c r="AV230" s="343"/>
      <c r="AW230" s="343"/>
      <c r="AX230" s="343"/>
      <c r="AY230" s="344"/>
      <c r="AZ230" s="345"/>
      <c r="BA230" s="346"/>
    </row>
    <row r="231" spans="1:53">
      <c r="A231" s="2" t="str">
        <f t="shared" si="29"/>
        <v>Bus - SB Rebates -PTA_Pipe Insulation - Steam Large Fitting</v>
      </c>
      <c r="B231" s="18">
        <v>228</v>
      </c>
      <c r="C231" s="23" t="s">
        <v>791</v>
      </c>
      <c r="D231" s="18" t="s">
        <v>207</v>
      </c>
      <c r="E231" s="23" t="s">
        <v>150</v>
      </c>
      <c r="F231" s="23">
        <v>1</v>
      </c>
      <c r="G231" s="154">
        <v>0.92</v>
      </c>
      <c r="H231" s="447">
        <v>15</v>
      </c>
      <c r="I231" s="436">
        <v>15</v>
      </c>
      <c r="J231" s="23"/>
      <c r="K231" s="23">
        <f t="shared" si="39"/>
        <v>0</v>
      </c>
      <c r="L231" s="23">
        <f t="shared" si="39"/>
        <v>0</v>
      </c>
      <c r="M231" s="23">
        <f t="shared" si="39"/>
        <v>0</v>
      </c>
      <c r="N231" s="379">
        <f t="shared" si="36"/>
        <v>51.249515380658096</v>
      </c>
      <c r="O231" s="379">
        <f t="shared" si="36"/>
        <v>51.249515380658096</v>
      </c>
      <c r="P231" s="379">
        <f t="shared" si="36"/>
        <v>51.249515380658096</v>
      </c>
      <c r="Q231" s="379">
        <f t="shared" si="36"/>
        <v>51.249515380658096</v>
      </c>
      <c r="R231" s="15" t="s">
        <v>837</v>
      </c>
      <c r="S231" s="379" t="s">
        <v>840</v>
      </c>
      <c r="T231" s="379" t="str">
        <f t="shared" si="38"/>
        <v>4.4.14</v>
      </c>
      <c r="U231" s="379" t="str">
        <f t="shared" si="38"/>
        <v>CI-HVC-PINS-V04-160601</v>
      </c>
      <c r="V231" s="413" t="s">
        <v>852</v>
      </c>
      <c r="W231" s="166"/>
      <c r="X231" s="166"/>
      <c r="Y231" s="166"/>
      <c r="Z231" s="166"/>
      <c r="AA231" s="158"/>
      <c r="AB231" s="166"/>
      <c r="AC231" s="158"/>
      <c r="AD231" s="166"/>
      <c r="AE231" s="158"/>
      <c r="AF231" s="166"/>
      <c r="AG231" s="166"/>
      <c r="AH231" s="166"/>
      <c r="AI231" s="166"/>
      <c r="AJ231" s="166"/>
      <c r="AK231" s="166"/>
      <c r="AL231" s="166"/>
      <c r="AM231" s="166"/>
      <c r="AN231" s="166"/>
      <c r="AO231" s="166"/>
      <c r="AP231" s="166"/>
      <c r="AQ231" s="166"/>
      <c r="AR231" s="166"/>
      <c r="AS231" s="166"/>
      <c r="AT231" s="166"/>
      <c r="AU231" s="343"/>
      <c r="AV231" s="343"/>
      <c r="AW231" s="343"/>
      <c r="AX231" s="343"/>
      <c r="AY231" s="344"/>
      <c r="AZ231" s="345"/>
      <c r="BA231" s="346"/>
    </row>
    <row r="232" spans="1:53">
      <c r="A232" s="2" t="str">
        <f t="shared" si="29"/>
        <v>Bus - SB Rebates -PTA_Pipe Insulation - Steam X-Large Fitting</v>
      </c>
      <c r="B232" s="18">
        <v>229</v>
      </c>
      <c r="C232" s="23" t="s">
        <v>791</v>
      </c>
      <c r="D232" s="18" t="s">
        <v>206</v>
      </c>
      <c r="E232" s="23" t="s">
        <v>150</v>
      </c>
      <c r="F232" s="23">
        <v>1</v>
      </c>
      <c r="G232" s="154">
        <v>0.92</v>
      </c>
      <c r="H232" s="447">
        <v>15</v>
      </c>
      <c r="I232" s="436">
        <v>15</v>
      </c>
      <c r="J232" s="23"/>
      <c r="K232" s="23">
        <f t="shared" si="39"/>
        <v>0</v>
      </c>
      <c r="L232" s="23">
        <f t="shared" si="39"/>
        <v>0</v>
      </c>
      <c r="M232" s="23">
        <f t="shared" si="39"/>
        <v>0</v>
      </c>
      <c r="N232" s="379">
        <f t="shared" si="36"/>
        <v>99.138118398437726</v>
      </c>
      <c r="O232" s="379">
        <f t="shared" si="36"/>
        <v>99.138118398437726</v>
      </c>
      <c r="P232" s="379">
        <f t="shared" si="36"/>
        <v>99.138118398437726</v>
      </c>
      <c r="Q232" s="379">
        <f t="shared" si="36"/>
        <v>99.138118398437726</v>
      </c>
      <c r="R232" s="15" t="s">
        <v>837</v>
      </c>
      <c r="S232" s="379" t="s">
        <v>840</v>
      </c>
      <c r="T232" s="379" t="str">
        <f t="shared" si="38"/>
        <v>4.4.14</v>
      </c>
      <c r="U232" s="379" t="str">
        <f t="shared" si="38"/>
        <v>CI-HVC-PINS-V04-160601</v>
      </c>
      <c r="V232" s="413" t="s">
        <v>852</v>
      </c>
      <c r="W232" s="166"/>
      <c r="X232" s="166"/>
      <c r="Y232" s="166"/>
      <c r="Z232" s="166"/>
      <c r="AA232" s="158"/>
      <c r="AB232" s="166"/>
      <c r="AC232" s="158"/>
      <c r="AD232" s="166"/>
      <c r="AE232" s="158"/>
      <c r="AF232" s="166"/>
      <c r="AG232" s="166"/>
      <c r="AH232" s="166"/>
      <c r="AI232" s="166"/>
      <c r="AJ232" s="166"/>
      <c r="AK232" s="166"/>
      <c r="AL232" s="166"/>
      <c r="AM232" s="166"/>
      <c r="AN232" s="166"/>
      <c r="AO232" s="166"/>
      <c r="AP232" s="166"/>
      <c r="AQ232" s="166"/>
      <c r="AR232" s="166"/>
      <c r="AS232" s="166"/>
      <c r="AT232" s="166"/>
      <c r="AU232" s="343"/>
      <c r="AV232" s="343"/>
      <c r="AW232" s="343"/>
      <c r="AX232" s="343"/>
      <c r="AY232" s="344"/>
      <c r="AZ232" s="345"/>
      <c r="BA232" s="346"/>
    </row>
    <row r="233" spans="1:53">
      <c r="A233" s="2" t="str">
        <f t="shared" si="29"/>
        <v>Bus - SB Rebates -PTA_Pipe Insulation - Steam Med Valve</v>
      </c>
      <c r="B233" s="18">
        <v>230</v>
      </c>
      <c r="C233" s="23" t="s">
        <v>791</v>
      </c>
      <c r="D233" s="18" t="s">
        <v>204</v>
      </c>
      <c r="E233" s="23" t="s">
        <v>150</v>
      </c>
      <c r="F233" s="23">
        <v>1</v>
      </c>
      <c r="G233" s="154">
        <v>0.92</v>
      </c>
      <c r="H233" s="447">
        <v>15</v>
      </c>
      <c r="I233" s="436">
        <v>15</v>
      </c>
      <c r="J233" s="23"/>
      <c r="K233" s="23">
        <f t="shared" si="39"/>
        <v>0</v>
      </c>
      <c r="L233" s="23">
        <f t="shared" si="39"/>
        <v>0</v>
      </c>
      <c r="M233" s="23">
        <f t="shared" si="39"/>
        <v>0</v>
      </c>
      <c r="N233" s="379">
        <f t="shared" si="36"/>
        <v>37.423389683572815</v>
      </c>
      <c r="O233" s="379">
        <f t="shared" si="36"/>
        <v>37.423389683572815</v>
      </c>
      <c r="P233" s="379">
        <f t="shared" si="36"/>
        <v>37.423389683572815</v>
      </c>
      <c r="Q233" s="379">
        <f t="shared" si="36"/>
        <v>37.423389683572815</v>
      </c>
      <c r="R233" s="15" t="s">
        <v>837</v>
      </c>
      <c r="S233" s="379" t="s">
        <v>840</v>
      </c>
      <c r="T233" s="379" t="str">
        <f t="shared" si="38"/>
        <v>4.4.14</v>
      </c>
      <c r="U233" s="379" t="str">
        <f t="shared" si="38"/>
        <v>CI-HVC-PINS-V04-160601</v>
      </c>
      <c r="V233" s="413" t="s">
        <v>852</v>
      </c>
      <c r="W233" s="166"/>
      <c r="X233" s="166"/>
      <c r="Y233" s="166"/>
      <c r="Z233" s="166"/>
      <c r="AA233" s="158"/>
      <c r="AB233" s="166"/>
      <c r="AC233" s="158"/>
      <c r="AD233" s="166"/>
      <c r="AE233" s="158"/>
      <c r="AF233" s="166"/>
      <c r="AG233" s="166"/>
      <c r="AH233" s="166"/>
      <c r="AI233" s="166"/>
      <c r="AJ233" s="166"/>
      <c r="AK233" s="166"/>
      <c r="AL233" s="166"/>
      <c r="AM233" s="166"/>
      <c r="AN233" s="166"/>
      <c r="AO233" s="166"/>
      <c r="AP233" s="166"/>
      <c r="AQ233" s="166"/>
      <c r="AR233" s="166"/>
      <c r="AS233" s="166"/>
      <c r="AT233" s="166"/>
    </row>
    <row r="234" spans="1:53">
      <c r="A234" s="2" t="str">
        <f t="shared" si="29"/>
        <v>Bus - SB Rebates -PTA_Pipe Insulation - Steam Large Valve</v>
      </c>
      <c r="B234" s="18">
        <v>231</v>
      </c>
      <c r="C234" s="23" t="s">
        <v>791</v>
      </c>
      <c r="D234" s="18" t="s">
        <v>203</v>
      </c>
      <c r="E234" s="23" t="s">
        <v>150</v>
      </c>
      <c r="F234" s="23">
        <v>1</v>
      </c>
      <c r="G234" s="154">
        <v>0.92</v>
      </c>
      <c r="H234" s="447">
        <v>15</v>
      </c>
      <c r="I234" s="436">
        <v>15</v>
      </c>
      <c r="J234" s="23"/>
      <c r="K234" s="23">
        <f t="shared" si="39"/>
        <v>0</v>
      </c>
      <c r="L234" s="23">
        <f t="shared" si="39"/>
        <v>0</v>
      </c>
      <c r="M234" s="23">
        <f t="shared" si="39"/>
        <v>0</v>
      </c>
      <c r="N234" s="379">
        <f t="shared" si="36"/>
        <v>107.52607289087437</v>
      </c>
      <c r="O234" s="379">
        <f t="shared" si="36"/>
        <v>107.52607289087437</v>
      </c>
      <c r="P234" s="379">
        <f t="shared" si="36"/>
        <v>107.52607289087437</v>
      </c>
      <c r="Q234" s="379">
        <f t="shared" si="36"/>
        <v>107.52607289087437</v>
      </c>
      <c r="R234" s="15" t="s">
        <v>837</v>
      </c>
      <c r="S234" s="379" t="s">
        <v>840</v>
      </c>
      <c r="T234" s="379" t="str">
        <f t="shared" si="38"/>
        <v>4.4.14</v>
      </c>
      <c r="U234" s="379" t="str">
        <f t="shared" si="38"/>
        <v>CI-HVC-PINS-V04-160601</v>
      </c>
      <c r="V234" s="413" t="s">
        <v>852</v>
      </c>
      <c r="W234" s="166"/>
      <c r="X234" s="166"/>
      <c r="Y234" s="166"/>
      <c r="Z234" s="166"/>
      <c r="AA234" s="158"/>
      <c r="AB234" s="166"/>
      <c r="AC234" s="158"/>
      <c r="AD234" s="166"/>
      <c r="AE234" s="158"/>
      <c r="AF234" s="166"/>
      <c r="AG234" s="166"/>
      <c r="AH234" s="166"/>
      <c r="AI234" s="166"/>
      <c r="AJ234" s="166"/>
      <c r="AK234" s="166"/>
      <c r="AL234" s="166"/>
      <c r="AM234" s="166"/>
      <c r="AN234" s="166"/>
      <c r="AO234" s="166"/>
      <c r="AP234" s="166"/>
      <c r="AQ234" s="166"/>
      <c r="AR234" s="166"/>
      <c r="AS234" s="166"/>
      <c r="AT234" s="166"/>
    </row>
    <row r="235" spans="1:53">
      <c r="A235" s="2" t="str">
        <f t="shared" si="29"/>
        <v>Bus - SB Rebates -PTA_Pipe Insulation - Steam X-Large Valve</v>
      </c>
      <c r="B235" s="18">
        <v>232</v>
      </c>
      <c r="C235" s="23" t="s">
        <v>791</v>
      </c>
      <c r="D235" s="18" t="s">
        <v>202</v>
      </c>
      <c r="E235" s="23" t="s">
        <v>150</v>
      </c>
      <c r="F235" s="23">
        <v>1</v>
      </c>
      <c r="G235" s="154">
        <v>0.92</v>
      </c>
      <c r="H235" s="447">
        <v>15</v>
      </c>
      <c r="I235" s="436">
        <v>15</v>
      </c>
      <c r="J235" s="23"/>
      <c r="K235" s="23">
        <f t="shared" si="39"/>
        <v>0</v>
      </c>
      <c r="L235" s="23">
        <f t="shared" si="39"/>
        <v>0</v>
      </c>
      <c r="M235" s="23">
        <f t="shared" si="39"/>
        <v>0</v>
      </c>
      <c r="N235" s="379">
        <f t="shared" si="36"/>
        <v>175.06254164158375</v>
      </c>
      <c r="O235" s="379">
        <f t="shared" si="36"/>
        <v>175.06254164158375</v>
      </c>
      <c r="P235" s="379">
        <f t="shared" si="36"/>
        <v>175.06254164158375</v>
      </c>
      <c r="Q235" s="379">
        <f t="shared" si="36"/>
        <v>175.06254164158375</v>
      </c>
      <c r="R235" s="15" t="s">
        <v>837</v>
      </c>
      <c r="S235" s="379" t="s">
        <v>840</v>
      </c>
      <c r="T235" s="379" t="str">
        <f t="shared" si="38"/>
        <v>4.4.14</v>
      </c>
      <c r="U235" s="379" t="str">
        <f t="shared" si="38"/>
        <v>CI-HVC-PINS-V04-160601</v>
      </c>
      <c r="V235" s="413" t="s">
        <v>852</v>
      </c>
      <c r="W235" s="166"/>
      <c r="X235" s="166"/>
      <c r="Y235" s="166"/>
      <c r="Z235" s="166"/>
      <c r="AA235" s="158"/>
      <c r="AB235" s="166"/>
      <c r="AC235" s="158"/>
      <c r="AD235" s="166"/>
      <c r="AE235" s="158"/>
      <c r="AF235" s="166"/>
      <c r="AG235" s="166"/>
      <c r="AH235" s="166"/>
      <c r="AI235" s="166"/>
      <c r="AJ235" s="166"/>
      <c r="AK235" s="166"/>
      <c r="AL235" s="166"/>
      <c r="AM235" s="166"/>
      <c r="AN235" s="166"/>
      <c r="AO235" s="166"/>
      <c r="AP235" s="166"/>
      <c r="AQ235" s="166"/>
      <c r="AR235" s="166"/>
      <c r="AS235" s="166"/>
      <c r="AT235" s="166"/>
    </row>
    <row r="236" spans="1:53">
      <c r="A236" s="2" t="str">
        <f t="shared" si="29"/>
        <v>Bus - SB Rebates -PTA_Pre Rinse Sprayer (P)</v>
      </c>
      <c r="B236" s="18">
        <v>233</v>
      </c>
      <c r="C236" s="23" t="s">
        <v>791</v>
      </c>
      <c r="D236" s="18" t="s">
        <v>789</v>
      </c>
      <c r="E236" s="23" t="s">
        <v>150</v>
      </c>
      <c r="F236" s="23">
        <v>1</v>
      </c>
      <c r="G236" s="154">
        <v>0.92</v>
      </c>
      <c r="H236" s="447">
        <v>5</v>
      </c>
      <c r="I236" s="436">
        <v>5</v>
      </c>
      <c r="J236" s="23"/>
      <c r="K236" s="23">
        <f t="shared" si="39"/>
        <v>0</v>
      </c>
      <c r="L236" s="23">
        <f t="shared" si="39"/>
        <v>0</v>
      </c>
      <c r="M236" s="23">
        <f t="shared" si="39"/>
        <v>0</v>
      </c>
      <c r="N236" s="379">
        <f t="shared" si="36"/>
        <v>51.167025000000002</v>
      </c>
      <c r="O236" s="379">
        <f t="shared" si="36"/>
        <v>51.167025000000002</v>
      </c>
      <c r="P236" s="379">
        <f t="shared" si="36"/>
        <v>51.167025000000002</v>
      </c>
      <c r="Q236" s="379">
        <f t="shared" si="36"/>
        <v>51.167025000000002</v>
      </c>
      <c r="R236" s="15" t="s">
        <v>837</v>
      </c>
      <c r="S236" s="379" t="s">
        <v>840</v>
      </c>
      <c r="T236" s="379" t="str">
        <f t="shared" si="38"/>
        <v>4.2.11</v>
      </c>
      <c r="U236" s="379" t="str">
        <f t="shared" si="38"/>
        <v>CI-FSE-SPRY-V04-180101</v>
      </c>
      <c r="V236" s="410" t="str">
        <f>V198</f>
        <v>ΔTherms = (FLObase - FLOeff)gal/min x 60 min/hr x HOURSday x DAYSyear x 8.33 x 1 x (Tout - Tin) x (1/EFF) /100,000</v>
      </c>
      <c r="W236" s="166"/>
      <c r="X236" s="166"/>
      <c r="Y236" s="166"/>
      <c r="Z236" s="166"/>
      <c r="AA236" s="158"/>
      <c r="AB236" s="166"/>
      <c r="AC236" s="158"/>
      <c r="AD236" s="166"/>
      <c r="AE236" s="158"/>
      <c r="AF236" s="166"/>
      <c r="AG236" s="166"/>
      <c r="AH236" s="166"/>
      <c r="AI236" s="166"/>
      <c r="AJ236" s="166"/>
      <c r="AK236" s="166"/>
      <c r="AL236" s="166"/>
      <c r="AM236" s="166"/>
      <c r="AN236" s="166"/>
      <c r="AO236" s="166"/>
      <c r="AP236" s="166"/>
      <c r="AQ236" s="166"/>
      <c r="AR236" s="166"/>
      <c r="AS236" s="166"/>
      <c r="AT236" s="166"/>
    </row>
    <row r="237" spans="1:53">
      <c r="A237" s="2" t="str">
        <f t="shared" si="29"/>
        <v>Bus - SB Rebates -PTA_Steam Boiler ≥82% AFUE, &gt;300MBh TE (SB)</v>
      </c>
      <c r="B237" s="18">
        <v>234</v>
      </c>
      <c r="C237" s="23" t="s">
        <v>791</v>
      </c>
      <c r="D237" s="18" t="s">
        <v>790</v>
      </c>
      <c r="E237" s="23" t="s">
        <v>240</v>
      </c>
      <c r="F237" s="23">
        <v>450</v>
      </c>
      <c r="G237" s="154">
        <v>0.92</v>
      </c>
      <c r="H237" s="447">
        <v>20</v>
      </c>
      <c r="I237" s="484">
        <v>25</v>
      </c>
      <c r="J237" s="23"/>
      <c r="K237" s="23">
        <f t="shared" si="39"/>
        <v>0</v>
      </c>
      <c r="L237" s="23">
        <f t="shared" si="39"/>
        <v>0</v>
      </c>
      <c r="M237" s="23">
        <f t="shared" si="39"/>
        <v>0</v>
      </c>
      <c r="N237" s="379">
        <f t="shared" si="36"/>
        <v>0.61860759493670714</v>
      </c>
      <c r="O237" s="379">
        <f t="shared" si="36"/>
        <v>0.61860759493670714</v>
      </c>
      <c r="P237" s="379">
        <f t="shared" si="36"/>
        <v>0.61860759493670714</v>
      </c>
      <c r="Q237" s="379">
        <f t="shared" si="36"/>
        <v>0.61860759493670714</v>
      </c>
      <c r="R237" s="15" t="s">
        <v>838</v>
      </c>
      <c r="S237" s="379" t="s">
        <v>840</v>
      </c>
      <c r="T237" s="379" t="str">
        <f t="shared" si="38"/>
        <v>4.4.10</v>
      </c>
      <c r="U237" s="379" t="str">
        <f t="shared" si="38"/>
        <v>CI-HVC-BOIL-V05-150601</v>
      </c>
      <c r="V237" s="410" t="str">
        <f>V199</f>
        <v>ΔTherms = EFLH * Capacity * ((Eff_actual - Eff_base)/Eff_base)) / 100,000</v>
      </c>
      <c r="W237" s="166"/>
      <c r="X237" s="166"/>
      <c r="Y237" s="166"/>
      <c r="Z237" s="166"/>
      <c r="AA237" s="158"/>
      <c r="AB237" s="166"/>
      <c r="AC237" s="158"/>
      <c r="AD237" s="166"/>
      <c r="AE237" s="158"/>
      <c r="AF237" s="166"/>
      <c r="AG237" s="166"/>
      <c r="AH237" s="166"/>
      <c r="AI237" s="166"/>
      <c r="AJ237" s="166"/>
      <c r="AK237" s="166"/>
      <c r="AL237" s="166"/>
      <c r="AM237" s="166"/>
      <c r="AN237" s="166"/>
      <c r="AO237" s="166"/>
      <c r="AP237" s="166"/>
      <c r="AQ237" s="166"/>
      <c r="AR237" s="166"/>
      <c r="AS237" s="166"/>
      <c r="AT237" s="166"/>
    </row>
    <row r="238" spans="1:53">
      <c r="A238" s="2" t="str">
        <f t="shared" si="29"/>
        <v>Bus - SB Rebates -PTA_Steam Traps - Dry Cleaner/Industrial</v>
      </c>
      <c r="B238" s="18">
        <v>235</v>
      </c>
      <c r="C238" s="23" t="s">
        <v>791</v>
      </c>
      <c r="D238" s="18" t="s">
        <v>269</v>
      </c>
      <c r="E238" s="23" t="s">
        <v>150</v>
      </c>
      <c r="F238" s="23">
        <v>1</v>
      </c>
      <c r="G238" s="154">
        <v>0.92</v>
      </c>
      <c r="H238" s="447">
        <v>6</v>
      </c>
      <c r="I238" s="436">
        <v>6</v>
      </c>
      <c r="J238" s="23">
        <v>5</v>
      </c>
      <c r="K238" s="23">
        <f t="shared" si="39"/>
        <v>5</v>
      </c>
      <c r="L238" s="23">
        <f t="shared" si="39"/>
        <v>5</v>
      </c>
      <c r="M238" s="23">
        <f t="shared" si="39"/>
        <v>5</v>
      </c>
      <c r="N238" s="379">
        <f t="shared" si="36"/>
        <v>137.91939591078068</v>
      </c>
      <c r="O238" s="379">
        <f t="shared" si="36"/>
        <v>137.91939591078068</v>
      </c>
      <c r="P238" s="379">
        <f t="shared" si="36"/>
        <v>137.91939591078068</v>
      </c>
      <c r="Q238" s="379">
        <f t="shared" si="36"/>
        <v>137.91939591078068</v>
      </c>
      <c r="R238" s="15" t="s">
        <v>838</v>
      </c>
      <c r="S238" s="379" t="s">
        <v>840</v>
      </c>
      <c r="T238" s="379" t="str">
        <f t="shared" si="38"/>
        <v>4.4.16</v>
      </c>
      <c r="U238" s="379" t="str">
        <f t="shared" si="38"/>
        <v>CI-HVC-STRE-V05-180101</v>
      </c>
      <c r="V238" s="410" t="str">
        <f>V200</f>
        <v>ΔTherm = Sa * (Hv/B) * Hours * A * L / 100,000</v>
      </c>
      <c r="W238" s="166"/>
      <c r="X238" s="166"/>
      <c r="Y238" s="166"/>
      <c r="Z238" s="166"/>
      <c r="AA238" s="158"/>
      <c r="AB238" s="166"/>
      <c r="AC238" s="158"/>
      <c r="AD238" s="166"/>
      <c r="AE238" s="158"/>
      <c r="AF238" s="166"/>
      <c r="AG238" s="166"/>
      <c r="AH238" s="166"/>
      <c r="AI238" s="166"/>
      <c r="AJ238" s="166"/>
      <c r="AK238" s="166"/>
      <c r="AL238" s="166"/>
      <c r="AM238" s="166"/>
      <c r="AN238" s="166"/>
      <c r="AO238" s="166"/>
      <c r="AP238" s="166"/>
      <c r="AQ238" s="166"/>
      <c r="AR238" s="166"/>
      <c r="AS238" s="166"/>
      <c r="AT238" s="166"/>
    </row>
    <row r="239" spans="1:53">
      <c r="A239" s="2" t="str">
        <f t="shared" si="29"/>
        <v>Bus - SB Rebates -PTA_Steam Traps - HVAC Repair/Rep - Audit</v>
      </c>
      <c r="B239" s="18">
        <v>236</v>
      </c>
      <c r="C239" s="23" t="s">
        <v>791</v>
      </c>
      <c r="D239" s="18" t="s">
        <v>268</v>
      </c>
      <c r="E239" s="23" t="s">
        <v>150</v>
      </c>
      <c r="F239" s="23">
        <v>1</v>
      </c>
      <c r="G239" s="154">
        <v>0.92</v>
      </c>
      <c r="H239" s="447">
        <v>6</v>
      </c>
      <c r="I239" s="436">
        <v>6</v>
      </c>
      <c r="J239" s="23">
        <v>2</v>
      </c>
      <c r="K239" s="23">
        <f t="shared" si="39"/>
        <v>2</v>
      </c>
      <c r="L239" s="23">
        <f t="shared" si="39"/>
        <v>2</v>
      </c>
      <c r="M239" s="23">
        <f t="shared" si="39"/>
        <v>2</v>
      </c>
      <c r="N239" s="379">
        <f t="shared" si="36"/>
        <v>88.453924126394057</v>
      </c>
      <c r="O239" s="379">
        <f t="shared" si="36"/>
        <v>88.453924126394057</v>
      </c>
      <c r="P239" s="379">
        <f t="shared" si="36"/>
        <v>88.453924126394057</v>
      </c>
      <c r="Q239" s="379">
        <f t="shared" si="36"/>
        <v>88.453924126394057</v>
      </c>
      <c r="R239" s="15" t="s">
        <v>838</v>
      </c>
      <c r="S239" s="379" t="s">
        <v>840</v>
      </c>
      <c r="T239" s="379" t="str">
        <f t="shared" si="38"/>
        <v>4.4.16</v>
      </c>
      <c r="U239" s="379" t="str">
        <f t="shared" si="38"/>
        <v>CI-HVC-STRE-V05-180101</v>
      </c>
      <c r="V239" s="410" t="str">
        <f>V201</f>
        <v>ΔTherm = Sa * (Hv/B) * Hours * A * L / 100,000</v>
      </c>
      <c r="W239" s="166"/>
      <c r="X239" s="166"/>
      <c r="Y239" s="166"/>
      <c r="Z239" s="166"/>
      <c r="AA239" s="158"/>
      <c r="AB239" s="166"/>
      <c r="AC239" s="158"/>
      <c r="AD239" s="166"/>
      <c r="AE239" s="158"/>
      <c r="AF239" s="166"/>
      <c r="AG239" s="166"/>
      <c r="AH239" s="166"/>
      <c r="AI239" s="166"/>
      <c r="AJ239" s="166"/>
      <c r="AK239" s="166"/>
      <c r="AL239" s="166"/>
      <c r="AM239" s="166"/>
      <c r="AN239" s="166"/>
      <c r="AO239" s="166"/>
      <c r="AP239" s="166"/>
      <c r="AQ239" s="166"/>
      <c r="AR239" s="166"/>
      <c r="AS239" s="166"/>
      <c r="AT239" s="166"/>
    </row>
    <row r="240" spans="1:53">
      <c r="A240" s="2" t="str">
        <f t="shared" si="29"/>
        <v>Bus - SB Rebates -PTA_Steam Traps - HVAC Repair/Rep - No Audit</v>
      </c>
      <c r="B240" s="18">
        <v>237</v>
      </c>
      <c r="C240" s="23" t="s">
        <v>791</v>
      </c>
      <c r="D240" s="18" t="s">
        <v>267</v>
      </c>
      <c r="E240" s="23" t="s">
        <v>150</v>
      </c>
      <c r="F240" s="23">
        <v>1</v>
      </c>
      <c r="G240" s="154">
        <v>0.92</v>
      </c>
      <c r="H240" s="447">
        <v>6</v>
      </c>
      <c r="I240" s="436">
        <v>6</v>
      </c>
      <c r="J240" s="23">
        <v>2</v>
      </c>
      <c r="K240" s="23">
        <f t="shared" si="39"/>
        <v>2</v>
      </c>
      <c r="L240" s="23">
        <f t="shared" si="39"/>
        <v>2</v>
      </c>
      <c r="M240" s="23">
        <f t="shared" si="39"/>
        <v>2</v>
      </c>
      <c r="N240" s="379">
        <f t="shared" si="36"/>
        <v>88.453924126394057</v>
      </c>
      <c r="O240" s="379">
        <f t="shared" si="36"/>
        <v>88.453924126394057</v>
      </c>
      <c r="P240" s="379">
        <f t="shared" si="36"/>
        <v>88.453924126394057</v>
      </c>
      <c r="Q240" s="379">
        <f t="shared" si="36"/>
        <v>88.453924126394057</v>
      </c>
      <c r="R240" s="15" t="s">
        <v>838</v>
      </c>
      <c r="S240" s="379" t="s">
        <v>840</v>
      </c>
      <c r="T240" s="379" t="str">
        <f t="shared" si="38"/>
        <v>4.4.16</v>
      </c>
      <c r="U240" s="379" t="str">
        <f t="shared" si="38"/>
        <v>CI-HVC-STRE-V05-180101</v>
      </c>
      <c r="V240" s="410" t="str">
        <f>V202</f>
        <v>ΔTherm = Sa * (Hv/B) * Hours * A * L / 100,000</v>
      </c>
      <c r="W240" s="166"/>
      <c r="X240" s="166"/>
      <c r="Y240" s="166"/>
      <c r="Z240" s="166"/>
      <c r="AA240" s="158"/>
      <c r="AB240" s="166"/>
      <c r="AC240" s="158"/>
      <c r="AD240" s="166"/>
      <c r="AE240" s="158"/>
      <c r="AF240" s="166"/>
      <c r="AG240" s="166"/>
      <c r="AH240" s="166"/>
      <c r="AI240" s="166"/>
      <c r="AJ240" s="166"/>
      <c r="AK240" s="166"/>
      <c r="AL240" s="166"/>
      <c r="AM240" s="166"/>
      <c r="AN240" s="166"/>
      <c r="AO240" s="166"/>
      <c r="AP240" s="166"/>
      <c r="AQ240" s="166"/>
      <c r="AR240" s="166"/>
      <c r="AS240" s="166"/>
      <c r="AT240" s="166"/>
    </row>
    <row r="241" spans="1:54">
      <c r="A241" s="2" t="str">
        <f t="shared" si="29"/>
        <v>Bus - SB Rebates -PTA_Steam Traps - Test</v>
      </c>
      <c r="B241" s="18">
        <v>238</v>
      </c>
      <c r="C241" s="23" t="s">
        <v>791</v>
      </c>
      <c r="D241" s="18" t="s">
        <v>258</v>
      </c>
      <c r="E241" s="23" t="s">
        <v>150</v>
      </c>
      <c r="F241" s="23">
        <v>1</v>
      </c>
      <c r="G241" s="154">
        <v>0.92</v>
      </c>
      <c r="H241" s="447">
        <v>3</v>
      </c>
      <c r="I241" s="436">
        <v>3</v>
      </c>
      <c r="J241" s="23"/>
      <c r="K241" s="23">
        <f t="shared" si="39"/>
        <v>0</v>
      </c>
      <c r="L241" s="23">
        <f t="shared" si="39"/>
        <v>0</v>
      </c>
      <c r="M241" s="23">
        <f t="shared" si="39"/>
        <v>0</v>
      </c>
      <c r="N241" s="379">
        <f t="shared" si="36"/>
        <v>0</v>
      </c>
      <c r="O241" s="379">
        <f t="shared" si="36"/>
        <v>0</v>
      </c>
      <c r="P241" s="379">
        <f t="shared" si="36"/>
        <v>0</v>
      </c>
      <c r="Q241" s="379">
        <f t="shared" si="36"/>
        <v>0</v>
      </c>
      <c r="R241" s="379" t="str">
        <f>R203</f>
        <v>Custom</v>
      </c>
      <c r="S241" s="379" t="str">
        <f>S203</f>
        <v>Custom</v>
      </c>
      <c r="T241" s="379" t="str">
        <f t="shared" si="38"/>
        <v>Custom</v>
      </c>
      <c r="U241" s="379" t="str">
        <f t="shared" si="38"/>
        <v>Custom</v>
      </c>
      <c r="V241" s="390" t="s">
        <v>140</v>
      </c>
      <c r="W241" s="166"/>
      <c r="X241" s="166"/>
      <c r="Y241" s="166"/>
      <c r="Z241" s="166"/>
      <c r="AA241" s="158"/>
      <c r="AB241" s="166"/>
      <c r="AC241" s="158"/>
      <c r="AD241" s="166"/>
      <c r="AE241" s="158"/>
      <c r="AF241" s="166"/>
      <c r="AG241" s="166"/>
      <c r="AH241" s="166"/>
      <c r="AI241" s="166"/>
      <c r="AJ241" s="166"/>
      <c r="AK241" s="166"/>
      <c r="AL241" s="166"/>
      <c r="AM241" s="166"/>
      <c r="AN241" s="166"/>
      <c r="AO241" s="166"/>
      <c r="AP241" s="166"/>
      <c r="AQ241" s="166"/>
      <c r="AR241" s="166"/>
      <c r="AS241" s="166"/>
      <c r="AT241" s="166"/>
    </row>
    <row r="242" spans="1:54">
      <c r="A242" s="2" t="str">
        <f t="shared" si="29"/>
        <v>Bus - SB Rebates -PTA_Thermostat - Programmable</v>
      </c>
      <c r="B242" s="18">
        <v>239</v>
      </c>
      <c r="C242" s="23" t="s">
        <v>791</v>
      </c>
      <c r="D242" s="18" t="s">
        <v>226</v>
      </c>
      <c r="E242" s="23" t="s">
        <v>150</v>
      </c>
      <c r="F242" s="23">
        <v>1</v>
      </c>
      <c r="G242" s="154">
        <v>0.92</v>
      </c>
      <c r="H242" s="447">
        <v>4</v>
      </c>
      <c r="I242" s="436">
        <v>4</v>
      </c>
      <c r="J242" s="23"/>
      <c r="K242" s="23">
        <f t="shared" si="39"/>
        <v>0</v>
      </c>
      <c r="L242" s="23">
        <f t="shared" si="39"/>
        <v>0</v>
      </c>
      <c r="M242" s="23">
        <f t="shared" si="39"/>
        <v>0</v>
      </c>
      <c r="N242" s="379">
        <f t="shared" si="36"/>
        <v>124.68584320000001</v>
      </c>
      <c r="O242" s="379">
        <f t="shared" si="36"/>
        <v>124.68584320000001</v>
      </c>
      <c r="P242" s="379">
        <f t="shared" si="36"/>
        <v>124.68584320000001</v>
      </c>
      <c r="Q242" s="379">
        <f t="shared" si="36"/>
        <v>124.68584320000001</v>
      </c>
      <c r="R242" s="15" t="s">
        <v>839</v>
      </c>
      <c r="S242" s="379" t="s">
        <v>840</v>
      </c>
      <c r="T242" s="379" t="str">
        <f t="shared" si="38"/>
        <v>4.4.18</v>
      </c>
      <c r="U242" s="379" t="str">
        <f t="shared" si="38"/>
        <v>CI-HVC-PROG-V02-150601</v>
      </c>
      <c r="V242" s="413" t="s">
        <v>833</v>
      </c>
      <c r="W242" s="166"/>
      <c r="X242" s="166"/>
      <c r="Y242" s="166"/>
      <c r="Z242" s="166"/>
      <c r="AA242" s="158"/>
      <c r="AB242" s="166"/>
      <c r="AC242" s="158"/>
      <c r="AD242" s="166"/>
      <c r="AE242" s="158"/>
      <c r="AF242" s="166"/>
      <c r="AG242" s="166"/>
      <c r="AH242" s="166"/>
      <c r="AI242" s="166"/>
      <c r="AJ242" s="166"/>
      <c r="AK242" s="166"/>
      <c r="AL242" s="166"/>
      <c r="AM242" s="166"/>
      <c r="AN242" s="166"/>
      <c r="AO242" s="166"/>
      <c r="AP242" s="166"/>
      <c r="AQ242" s="166"/>
      <c r="AR242" s="166"/>
      <c r="AS242" s="166"/>
      <c r="AT242" s="166"/>
    </row>
    <row r="243" spans="1:54">
      <c r="A243" s="2" t="str">
        <f t="shared" si="29"/>
        <v>Bus - SB Rebates -PTA_Water Heater - Storage 88% TE ≥75MBh</v>
      </c>
      <c r="B243" s="18">
        <v>240</v>
      </c>
      <c r="C243" s="23" t="s">
        <v>791</v>
      </c>
      <c r="D243" s="18" t="s">
        <v>254</v>
      </c>
      <c r="E243" s="23" t="s">
        <v>150</v>
      </c>
      <c r="F243" s="23">
        <v>1</v>
      </c>
      <c r="G243" s="154">
        <v>0.92</v>
      </c>
      <c r="H243" s="447">
        <v>15</v>
      </c>
      <c r="I243" s="436">
        <v>15</v>
      </c>
      <c r="J243" s="23"/>
      <c r="K243" s="23">
        <f t="shared" si="39"/>
        <v>0</v>
      </c>
      <c r="L243" s="23">
        <f t="shared" si="39"/>
        <v>0</v>
      </c>
      <c r="M243" s="23">
        <f t="shared" si="39"/>
        <v>0</v>
      </c>
      <c r="N243" s="379">
        <f t="shared" si="36"/>
        <v>1514.573584976577</v>
      </c>
      <c r="O243" s="379">
        <f t="shared" si="36"/>
        <v>1514.573584976577</v>
      </c>
      <c r="P243" s="379">
        <f t="shared" si="36"/>
        <v>1514.573584976577</v>
      </c>
      <c r="Q243" s="379">
        <f t="shared" si="36"/>
        <v>1514.573584976577</v>
      </c>
      <c r="R243" s="15" t="s">
        <v>838</v>
      </c>
      <c r="S243" s="379" t="s">
        <v>840</v>
      </c>
      <c r="T243" s="379" t="str">
        <f t="shared" si="38"/>
        <v>4.3.1</v>
      </c>
      <c r="U243" s="379" t="str">
        <f t="shared" si="38"/>
        <v>CI-HW-STWH-V03-180101</v>
      </c>
      <c r="V243" s="410" t="str">
        <f>V205</f>
        <v>ΔTherms = ((T_out - T_in) * HotWaterUse_Gal * γWater * 1 * (1/EF_gasbase - 1/EF_Eff))/100000 + ((SL_gasbase - SL_eff) * 8766)/100000</v>
      </c>
      <c r="W243" s="166"/>
      <c r="X243" s="166"/>
      <c r="Y243" s="166"/>
      <c r="Z243" s="166"/>
      <c r="AA243" s="158"/>
      <c r="AB243" s="166"/>
      <c r="AC243" s="158"/>
      <c r="AD243" s="166"/>
      <c r="AE243" s="158"/>
      <c r="AF243" s="166"/>
      <c r="AG243" s="166"/>
      <c r="AH243" s="166"/>
      <c r="AI243" s="166"/>
      <c r="AJ243" s="166"/>
      <c r="AK243" s="166"/>
      <c r="AL243" s="166"/>
      <c r="AM243" s="166"/>
      <c r="AN243" s="166"/>
      <c r="AO243" s="166"/>
      <c r="AP243" s="166"/>
      <c r="AQ243" s="166"/>
      <c r="AR243" s="166"/>
      <c r="AS243" s="166"/>
      <c r="AT243" s="166"/>
    </row>
    <row r="244" spans="1:54">
      <c r="A244" s="2" t="str">
        <f t="shared" si="29"/>
        <v>Bus - SB Rebates -PTA_Water Heater 88% TE - Laundromat</v>
      </c>
      <c r="B244" s="18">
        <v>241</v>
      </c>
      <c r="C244" s="23" t="s">
        <v>791</v>
      </c>
      <c r="D244" s="18" t="s">
        <v>242</v>
      </c>
      <c r="E244" s="23" t="s">
        <v>240</v>
      </c>
      <c r="F244" s="23">
        <v>75</v>
      </c>
      <c r="G244" s="154">
        <v>0.92</v>
      </c>
      <c r="H244" s="447">
        <v>15</v>
      </c>
      <c r="I244" s="436">
        <v>15</v>
      </c>
      <c r="J244" s="23"/>
      <c r="K244" s="23">
        <f t="shared" si="39"/>
        <v>0</v>
      </c>
      <c r="L244" s="23">
        <f t="shared" si="39"/>
        <v>0</v>
      </c>
      <c r="M244" s="23">
        <f t="shared" si="39"/>
        <v>0</v>
      </c>
      <c r="N244" s="379">
        <f t="shared" si="36"/>
        <v>1.0567132867132856</v>
      </c>
      <c r="O244" s="379">
        <f t="shared" si="36"/>
        <v>1.0567132867132856</v>
      </c>
      <c r="P244" s="379">
        <f t="shared" si="36"/>
        <v>1.0567132867132856</v>
      </c>
      <c r="Q244" s="379">
        <f t="shared" si="36"/>
        <v>1.0567132867132856</v>
      </c>
      <c r="R244" s="15" t="s">
        <v>836</v>
      </c>
      <c r="S244" s="379" t="str">
        <f>S206</f>
        <v>Custom</v>
      </c>
      <c r="T244" s="379" t="str">
        <f t="shared" si="38"/>
        <v>Custom</v>
      </c>
      <c r="U244" s="379" t="str">
        <f t="shared" si="38"/>
        <v>Custom</v>
      </c>
      <c r="V244" s="410" t="s">
        <v>853</v>
      </c>
      <c r="W244" s="166"/>
      <c r="X244" s="166"/>
      <c r="Y244" s="166"/>
      <c r="Z244" s="166"/>
      <c r="AA244" s="158"/>
      <c r="AB244" s="166"/>
      <c r="AC244" s="158"/>
      <c r="AD244" s="166"/>
      <c r="AE244" s="158"/>
      <c r="AF244" s="166"/>
      <c r="AG244" s="166"/>
      <c r="AH244" s="166"/>
      <c r="AI244" s="166"/>
      <c r="AJ244" s="166"/>
      <c r="AK244" s="166"/>
      <c r="AL244" s="166"/>
      <c r="AM244" s="166"/>
      <c r="AN244" s="166"/>
      <c r="AO244" s="166"/>
      <c r="AP244" s="166"/>
      <c r="AQ244" s="166"/>
      <c r="AR244" s="166"/>
      <c r="AS244" s="166"/>
      <c r="AT244" s="166"/>
    </row>
    <row r="245" spans="1:54">
      <c r="A245" s="2" t="str">
        <f t="shared" si="29"/>
        <v>Bus - SB Rebates -PTA_Water Heater 95% TE - Laundromat</v>
      </c>
      <c r="B245" s="18">
        <v>242</v>
      </c>
      <c r="C245" s="23" t="s">
        <v>791</v>
      </c>
      <c r="D245" s="18" t="s">
        <v>241</v>
      </c>
      <c r="E245" s="23" t="s">
        <v>240</v>
      </c>
      <c r="F245" s="23">
        <v>75</v>
      </c>
      <c r="G245" s="154">
        <v>0.92</v>
      </c>
      <c r="H245" s="447">
        <v>15</v>
      </c>
      <c r="I245" s="436">
        <v>15</v>
      </c>
      <c r="J245" s="23"/>
      <c r="K245" s="23">
        <f t="shared" si="39"/>
        <v>0</v>
      </c>
      <c r="L245" s="23">
        <f t="shared" si="39"/>
        <v>0</v>
      </c>
      <c r="M245" s="23">
        <f t="shared" si="39"/>
        <v>0</v>
      </c>
      <c r="N245" s="379">
        <f t="shared" si="36"/>
        <v>1.8353441295546562</v>
      </c>
      <c r="O245" s="379">
        <f t="shared" si="36"/>
        <v>1.8353441295546562</v>
      </c>
      <c r="P245" s="379">
        <f t="shared" si="36"/>
        <v>1.8353441295546562</v>
      </c>
      <c r="Q245" s="379">
        <f t="shared" si="36"/>
        <v>1.8353441295546562</v>
      </c>
      <c r="R245" s="15" t="s">
        <v>836</v>
      </c>
      <c r="S245" s="379" t="str">
        <f>S207</f>
        <v>Custom</v>
      </c>
      <c r="T245" s="379" t="str">
        <f t="shared" si="38"/>
        <v>Custom</v>
      </c>
      <c r="U245" s="379" t="str">
        <f t="shared" si="38"/>
        <v>Custom</v>
      </c>
      <c r="V245" s="410" t="str">
        <f>V207</f>
        <v>See 'Laudromat Broiler Detail' Tab</v>
      </c>
      <c r="W245" s="166"/>
      <c r="X245" s="166"/>
      <c r="Y245" s="166"/>
      <c r="Z245" s="166"/>
      <c r="AA245" s="158"/>
      <c r="AB245" s="166"/>
      <c r="AC245" s="158"/>
      <c r="AD245" s="166"/>
      <c r="AE245" s="158"/>
      <c r="AF245" s="166"/>
      <c r="AG245" s="166"/>
      <c r="AH245" s="166"/>
      <c r="AI245" s="166"/>
      <c r="AJ245" s="166"/>
      <c r="AK245" s="166"/>
      <c r="AL245" s="166"/>
      <c r="AM245" s="166"/>
      <c r="AN245" s="166"/>
      <c r="AO245" s="166"/>
      <c r="AP245" s="166"/>
      <c r="AQ245" s="166"/>
      <c r="AR245" s="166"/>
      <c r="AS245" s="166"/>
      <c r="AT245" s="166"/>
    </row>
    <row r="246" spans="1:54">
      <c r="A246" s="2" t="str">
        <f t="shared" si="29"/>
        <v>Bus - CI Rebates_Boiler ≥88% AFUE, &lt;300MBh</v>
      </c>
      <c r="B246" s="18">
        <v>243</v>
      </c>
      <c r="C246" s="18" t="s">
        <v>711</v>
      </c>
      <c r="D246" s="18" t="s">
        <v>718</v>
      </c>
      <c r="E246" s="23" t="s">
        <v>240</v>
      </c>
      <c r="F246" s="23">
        <v>200</v>
      </c>
      <c r="G246" s="154">
        <v>0.79</v>
      </c>
      <c r="H246" s="447">
        <v>20</v>
      </c>
      <c r="I246" s="484">
        <v>25</v>
      </c>
      <c r="J246" s="23">
        <v>3</v>
      </c>
      <c r="K246" s="23">
        <f t="shared" si="39"/>
        <v>3</v>
      </c>
      <c r="L246" s="23">
        <f t="shared" si="39"/>
        <v>3</v>
      </c>
      <c r="M246" s="23">
        <f t="shared" si="39"/>
        <v>3</v>
      </c>
      <c r="N246" s="216">
        <f>X246*Z246*((AB246-AD246)/AD246)/100000/F246</f>
        <v>1.2278048780487816</v>
      </c>
      <c r="O246" s="215">
        <f t="shared" ref="O246:Q265" si="40">N246</f>
        <v>1.2278048780487816</v>
      </c>
      <c r="P246" s="215">
        <f t="shared" si="40"/>
        <v>1.2278048780487816</v>
      </c>
      <c r="Q246" s="215">
        <f t="shared" si="40"/>
        <v>1.2278048780487816</v>
      </c>
      <c r="R246" s="15" t="s">
        <v>838</v>
      </c>
      <c r="S246" s="15" t="s">
        <v>840</v>
      </c>
      <c r="T246" s="15" t="s">
        <v>343</v>
      </c>
      <c r="U246" s="15" t="s">
        <v>342</v>
      </c>
      <c r="V246" s="166" t="s">
        <v>340</v>
      </c>
      <c r="W246" s="468" t="s">
        <v>271</v>
      </c>
      <c r="X246" s="467">
        <v>1678</v>
      </c>
      <c r="Y246" s="158" t="s">
        <v>273</v>
      </c>
      <c r="Z246" s="398">
        <v>200000</v>
      </c>
      <c r="AA246" s="158" t="s">
        <v>341</v>
      </c>
      <c r="AB246" s="397">
        <v>0.88</v>
      </c>
      <c r="AC246" s="166" t="s">
        <v>248</v>
      </c>
      <c r="AD246" s="397">
        <v>0.82</v>
      </c>
      <c r="AE246" s="166"/>
      <c r="AF246" s="166"/>
      <c r="AG246" s="166"/>
      <c r="AH246" s="166"/>
      <c r="AI246" s="166"/>
      <c r="AJ246" s="166"/>
      <c r="AK246" s="166"/>
      <c r="AL246" s="166"/>
      <c r="AM246" s="166"/>
      <c r="AN246" s="166"/>
      <c r="AO246" s="166"/>
      <c r="AP246" s="166"/>
      <c r="AQ246" s="166"/>
      <c r="AR246" s="166"/>
      <c r="AS246" s="166"/>
      <c r="AT246" s="166"/>
      <c r="AU246" s="343"/>
      <c r="AV246" s="343"/>
      <c r="AW246" s="343"/>
      <c r="AX246" s="343"/>
      <c r="AY246" s="344"/>
      <c r="AZ246" s="345"/>
      <c r="BA246" s="346"/>
      <c r="BB246" s="27"/>
    </row>
    <row r="247" spans="1:54">
      <c r="A247" s="2" t="str">
        <f t="shared" si="29"/>
        <v>Bus - CI Rebates_Boiler ≥88% AFUE, ≥300MBh TE</v>
      </c>
      <c r="B247" s="18">
        <v>244</v>
      </c>
      <c r="C247" s="18" t="s">
        <v>711</v>
      </c>
      <c r="D247" s="18" t="s">
        <v>719</v>
      </c>
      <c r="E247" s="23" t="s">
        <v>240</v>
      </c>
      <c r="F247" s="23">
        <v>400</v>
      </c>
      <c r="G247" s="154">
        <v>0.79</v>
      </c>
      <c r="H247" s="447">
        <v>20</v>
      </c>
      <c r="I247" s="484">
        <v>25</v>
      </c>
      <c r="J247" s="23">
        <v>5</v>
      </c>
      <c r="K247" s="23">
        <f t="shared" si="39"/>
        <v>5</v>
      </c>
      <c r="L247" s="23">
        <f t="shared" si="39"/>
        <v>5</v>
      </c>
      <c r="M247" s="23">
        <f t="shared" si="39"/>
        <v>5</v>
      </c>
      <c r="N247" s="216">
        <f>X247*Z247*((AB247-AD247)/AD247)/100000/F247</f>
        <v>1.6779999999999993</v>
      </c>
      <c r="O247" s="215">
        <f t="shared" si="40"/>
        <v>1.6779999999999993</v>
      </c>
      <c r="P247" s="215">
        <f t="shared" si="40"/>
        <v>1.6779999999999993</v>
      </c>
      <c r="Q247" s="215">
        <f t="shared" si="40"/>
        <v>1.6779999999999993</v>
      </c>
      <c r="R247" s="15" t="s">
        <v>838</v>
      </c>
      <c r="S247" s="15" t="s">
        <v>840</v>
      </c>
      <c r="T247" s="15" t="s">
        <v>343</v>
      </c>
      <c r="U247" s="15" t="s">
        <v>342</v>
      </c>
      <c r="V247" s="166" t="s">
        <v>340</v>
      </c>
      <c r="W247" s="468" t="s">
        <v>271</v>
      </c>
      <c r="X247" s="467">
        <v>1678</v>
      </c>
      <c r="Y247" s="158" t="s">
        <v>273</v>
      </c>
      <c r="Z247" s="398">
        <v>400000</v>
      </c>
      <c r="AA247" s="158" t="s">
        <v>341</v>
      </c>
      <c r="AB247" s="397">
        <v>0.88</v>
      </c>
      <c r="AC247" s="166" t="s">
        <v>248</v>
      </c>
      <c r="AD247" s="397">
        <v>0.8</v>
      </c>
      <c r="AE247" s="166"/>
      <c r="AF247" s="166"/>
      <c r="AG247" s="166"/>
      <c r="AH247" s="166"/>
      <c r="AI247" s="166"/>
      <c r="AJ247" s="166"/>
      <c r="AK247" s="166"/>
      <c r="AL247" s="166"/>
      <c r="AM247" s="166"/>
      <c r="AN247" s="166"/>
      <c r="AO247" s="166"/>
      <c r="AP247" s="166"/>
      <c r="AQ247" s="166"/>
      <c r="AR247" s="166"/>
      <c r="AS247" s="166"/>
      <c r="AT247" s="166"/>
      <c r="AU247" s="343"/>
      <c r="AV247" s="343"/>
      <c r="AW247" s="343"/>
      <c r="AX247" s="343"/>
      <c r="AY247" s="344"/>
      <c r="AZ247" s="345"/>
      <c r="BA247" s="346"/>
      <c r="BB247" s="27"/>
    </row>
    <row r="248" spans="1:54">
      <c r="A248" s="2" t="str">
        <f t="shared" si="29"/>
        <v>Bus - CI Rebates_Boiler Reset Controls</v>
      </c>
      <c r="B248" s="18">
        <v>245</v>
      </c>
      <c r="C248" s="18" t="s">
        <v>711</v>
      </c>
      <c r="D248" s="18" t="s">
        <v>1061</v>
      </c>
      <c r="E248" s="23" t="s">
        <v>150</v>
      </c>
      <c r="F248" s="23">
        <v>200</v>
      </c>
      <c r="G248" s="154">
        <v>0.79</v>
      </c>
      <c r="H248" s="447">
        <v>20</v>
      </c>
      <c r="I248" s="436">
        <v>20</v>
      </c>
      <c r="J248" s="23">
        <v>12</v>
      </c>
      <c r="K248" s="23">
        <f t="shared" ref="K248:M267" si="41">J248</f>
        <v>12</v>
      </c>
      <c r="L248" s="23">
        <f t="shared" si="41"/>
        <v>12</v>
      </c>
      <c r="M248" s="23">
        <f t="shared" si="41"/>
        <v>12</v>
      </c>
      <c r="N248" s="216">
        <f>X248*Z248/100</f>
        <v>1.3424</v>
      </c>
      <c r="O248" s="215">
        <f t="shared" si="40"/>
        <v>1.3424</v>
      </c>
      <c r="P248" s="215">
        <f t="shared" si="40"/>
        <v>1.3424</v>
      </c>
      <c r="Q248" s="215">
        <f t="shared" si="40"/>
        <v>1.3424</v>
      </c>
      <c r="R248" s="15" t="s">
        <v>838</v>
      </c>
      <c r="S248" s="15" t="s">
        <v>840</v>
      </c>
      <c r="T248" s="15" t="s">
        <v>339</v>
      </c>
      <c r="U248" s="15" t="s">
        <v>338</v>
      </c>
      <c r="V248" s="166" t="s">
        <v>336</v>
      </c>
      <c r="W248" s="468" t="s">
        <v>271</v>
      </c>
      <c r="X248" s="467">
        <v>1678</v>
      </c>
      <c r="Y248" s="158" t="s">
        <v>337</v>
      </c>
      <c r="Z248" s="399">
        <v>0.08</v>
      </c>
      <c r="AA248" s="158"/>
      <c r="AB248" s="158"/>
      <c r="AC248" s="158"/>
      <c r="AD248" s="158"/>
      <c r="AE248" s="158"/>
      <c r="AF248" s="166"/>
      <c r="AG248" s="166"/>
      <c r="AH248" s="166"/>
      <c r="AI248" s="166"/>
      <c r="AJ248" s="166"/>
      <c r="AK248" s="166"/>
      <c r="AL248" s="166"/>
      <c r="AM248" s="166"/>
      <c r="AN248" s="166"/>
      <c r="AO248" s="166"/>
      <c r="AP248" s="166"/>
      <c r="AQ248" s="166"/>
      <c r="AR248" s="166"/>
      <c r="AS248" s="166"/>
      <c r="AT248" s="166"/>
      <c r="AU248" s="343"/>
      <c r="AV248" s="343"/>
      <c r="AW248" s="343"/>
      <c r="AX248" s="343"/>
      <c r="AY248" s="344"/>
      <c r="AZ248" s="345"/>
      <c r="BA248" s="346"/>
      <c r="BB248" s="27"/>
    </row>
    <row r="249" spans="1:54">
      <c r="A249" s="2" t="str">
        <f t="shared" si="29"/>
        <v>Bus - CI Rebates_Boiler Tune Up - Process</v>
      </c>
      <c r="B249" s="18">
        <v>246</v>
      </c>
      <c r="C249" s="18" t="s">
        <v>711</v>
      </c>
      <c r="D249" s="18" t="s">
        <v>335</v>
      </c>
      <c r="E249" s="23" t="s">
        <v>240</v>
      </c>
      <c r="F249" s="23">
        <v>2500</v>
      </c>
      <c r="G249" s="154">
        <v>0.79</v>
      </c>
      <c r="H249" s="447">
        <v>3</v>
      </c>
      <c r="I249" s="436">
        <v>3</v>
      </c>
      <c r="J249" s="23">
        <v>18</v>
      </c>
      <c r="K249" s="23">
        <f t="shared" si="41"/>
        <v>18</v>
      </c>
      <c r="L249" s="23">
        <f t="shared" si="41"/>
        <v>18</v>
      </c>
      <c r="M249" s="23">
        <f t="shared" si="41"/>
        <v>18</v>
      </c>
      <c r="N249" s="216">
        <f>(X249*8766*Z249)/100*(1-AB249/AD249)</f>
        <v>0.83823507428978783</v>
      </c>
      <c r="O249" s="215">
        <f t="shared" si="40"/>
        <v>0.83823507428978783</v>
      </c>
      <c r="P249" s="215">
        <f t="shared" si="40"/>
        <v>0.83823507428978783</v>
      </c>
      <c r="Q249" s="215">
        <f t="shared" si="40"/>
        <v>0.83823507428978783</v>
      </c>
      <c r="R249" s="15" t="s">
        <v>838</v>
      </c>
      <c r="S249" s="15" t="s">
        <v>840</v>
      </c>
      <c r="T249" s="15" t="s">
        <v>334</v>
      </c>
      <c r="U249" s="15" t="s">
        <v>333</v>
      </c>
      <c r="V249" s="166" t="s">
        <v>328</v>
      </c>
      <c r="W249" s="166" t="s">
        <v>332</v>
      </c>
      <c r="X249" s="398">
        <v>1</v>
      </c>
      <c r="Y249" s="166" t="s">
        <v>331</v>
      </c>
      <c r="Z249" s="405">
        <v>0.41899999999999998</v>
      </c>
      <c r="AA249" s="158" t="s">
        <v>330</v>
      </c>
      <c r="AB249" s="406">
        <v>0.82210000000000005</v>
      </c>
      <c r="AC249" s="158" t="s">
        <v>329</v>
      </c>
      <c r="AD249" s="406">
        <v>0.84130000000000005</v>
      </c>
      <c r="AE249" s="158"/>
      <c r="AF249" s="166"/>
      <c r="AG249" s="166"/>
      <c r="AH249" s="166"/>
      <c r="AI249" s="166"/>
      <c r="AJ249" s="166"/>
      <c r="AK249" s="166"/>
      <c r="AL249" s="166"/>
      <c r="AM249" s="166"/>
      <c r="AN249" s="166"/>
      <c r="AO249" s="166"/>
      <c r="AP249" s="166"/>
      <c r="AQ249" s="166"/>
      <c r="AR249" s="166"/>
      <c r="AS249" s="166"/>
      <c r="AT249" s="166"/>
      <c r="AU249" s="343"/>
      <c r="AV249" s="343"/>
      <c r="AW249" s="343"/>
      <c r="AX249" s="343"/>
      <c r="AY249" s="344"/>
      <c r="AZ249" s="345"/>
      <c r="BA249" s="346"/>
      <c r="BB249" s="27"/>
    </row>
    <row r="250" spans="1:54">
      <c r="A250" s="2" t="str">
        <f t="shared" si="29"/>
        <v>Bus - CI Rebates_Boiler Tune Up - Space Heating</v>
      </c>
      <c r="B250" s="18">
        <v>247</v>
      </c>
      <c r="C250" s="18" t="s">
        <v>711</v>
      </c>
      <c r="D250" s="18" t="s">
        <v>724</v>
      </c>
      <c r="E250" s="23" t="s">
        <v>240</v>
      </c>
      <c r="F250" s="23">
        <v>2500</v>
      </c>
      <c r="G250" s="154">
        <v>0.79</v>
      </c>
      <c r="H250" s="447">
        <v>3</v>
      </c>
      <c r="I250" s="436">
        <v>3</v>
      </c>
      <c r="J250" s="23">
        <v>2</v>
      </c>
      <c r="K250" s="23">
        <f t="shared" si="41"/>
        <v>2</v>
      </c>
      <c r="L250" s="23">
        <f t="shared" si="41"/>
        <v>2</v>
      </c>
      <c r="M250" s="23">
        <f t="shared" si="41"/>
        <v>2</v>
      </c>
      <c r="N250" s="216">
        <f>AD250*(X250*((AB250/Z250)-1))/100000</f>
        <v>0.3918939301788088</v>
      </c>
      <c r="O250" s="215">
        <f t="shared" si="40"/>
        <v>0.3918939301788088</v>
      </c>
      <c r="P250" s="215">
        <f t="shared" si="40"/>
        <v>0.3918939301788088</v>
      </c>
      <c r="Q250" s="215">
        <f t="shared" si="40"/>
        <v>0.3918939301788088</v>
      </c>
      <c r="R250" s="15" t="s">
        <v>838</v>
      </c>
      <c r="S250" s="15" t="s">
        <v>840</v>
      </c>
      <c r="T250" s="15" t="s">
        <v>327</v>
      </c>
      <c r="U250" s="15" t="s">
        <v>326</v>
      </c>
      <c r="V250" s="166" t="s">
        <v>322</v>
      </c>
      <c r="W250" s="468" t="s">
        <v>271</v>
      </c>
      <c r="X250" s="467">
        <v>1678</v>
      </c>
      <c r="Y250" s="158" t="s">
        <v>325</v>
      </c>
      <c r="Z250" s="406">
        <v>0.82210000000000005</v>
      </c>
      <c r="AA250" s="158" t="s">
        <v>324</v>
      </c>
      <c r="AB250" s="406">
        <v>0.84130000000000005</v>
      </c>
      <c r="AC250" s="166" t="s">
        <v>323</v>
      </c>
      <c r="AD250" s="407">
        <v>1000</v>
      </c>
      <c r="AE250" s="166"/>
      <c r="AF250" s="166"/>
      <c r="AG250" s="166"/>
      <c r="AH250" s="166"/>
      <c r="AI250" s="166"/>
      <c r="AJ250" s="166"/>
      <c r="AK250" s="166"/>
      <c r="AL250" s="166"/>
      <c r="AM250" s="166"/>
      <c r="AN250" s="166"/>
      <c r="AO250" s="166"/>
      <c r="AP250" s="166"/>
      <c r="AQ250" s="166"/>
      <c r="AR250" s="166"/>
      <c r="AS250" s="166"/>
      <c r="AT250" s="166"/>
      <c r="AU250" s="343"/>
      <c r="AV250" s="343"/>
      <c r="AW250" s="343"/>
      <c r="AX250" s="343"/>
      <c r="AY250" s="344"/>
      <c r="AZ250" s="345"/>
      <c r="BA250" s="346"/>
      <c r="BB250" s="27"/>
    </row>
    <row r="251" spans="1:54">
      <c r="A251" s="2" t="str">
        <f t="shared" si="29"/>
        <v>Bus - CI Rebates_Condensing Unit Heater</v>
      </c>
      <c r="B251" s="18">
        <v>248</v>
      </c>
      <c r="C251" s="18" t="s">
        <v>711</v>
      </c>
      <c r="D251" s="18" t="s">
        <v>321</v>
      </c>
      <c r="E251" s="23" t="s">
        <v>240</v>
      </c>
      <c r="F251" s="23">
        <v>150</v>
      </c>
      <c r="G251" s="154">
        <v>0.79</v>
      </c>
      <c r="H251" s="447">
        <v>12</v>
      </c>
      <c r="I251" s="436">
        <v>12</v>
      </c>
      <c r="J251" s="23">
        <v>0</v>
      </c>
      <c r="K251" s="23">
        <f t="shared" si="41"/>
        <v>0</v>
      </c>
      <c r="L251" s="23">
        <f t="shared" si="41"/>
        <v>0</v>
      </c>
      <c r="M251" s="23">
        <f t="shared" si="41"/>
        <v>0</v>
      </c>
      <c r="N251" s="216">
        <f>266/F251</f>
        <v>1.7733333333333334</v>
      </c>
      <c r="O251" s="215">
        <f t="shared" si="40"/>
        <v>1.7733333333333334</v>
      </c>
      <c r="P251" s="215">
        <f t="shared" si="40"/>
        <v>1.7733333333333334</v>
      </c>
      <c r="Q251" s="215">
        <f t="shared" si="40"/>
        <v>1.7733333333333334</v>
      </c>
      <c r="R251" s="15" t="s">
        <v>838</v>
      </c>
      <c r="S251" s="15" t="s">
        <v>840</v>
      </c>
      <c r="T251" s="15" t="s">
        <v>320</v>
      </c>
      <c r="U251" s="15" t="s">
        <v>319</v>
      </c>
      <c r="V251" s="166" t="s">
        <v>318</v>
      </c>
      <c r="W251" s="166"/>
      <c r="X251" s="166"/>
      <c r="Y251" s="166"/>
      <c r="Z251" s="166"/>
      <c r="AA251" s="158"/>
      <c r="AB251" s="166"/>
      <c r="AC251" s="158"/>
      <c r="AD251" s="166"/>
      <c r="AE251" s="158"/>
      <c r="AF251" s="166"/>
      <c r="AG251" s="166"/>
      <c r="AH251" s="166"/>
      <c r="AI251" s="166"/>
      <c r="AJ251" s="166"/>
      <c r="AK251" s="166"/>
      <c r="AL251" s="166"/>
      <c r="AM251" s="166"/>
      <c r="AN251" s="166"/>
      <c r="AO251" s="166"/>
      <c r="AP251" s="166"/>
      <c r="AQ251" s="166"/>
      <c r="AR251" s="166"/>
      <c r="AS251" s="166"/>
      <c r="AT251" s="166"/>
      <c r="AU251" s="343"/>
      <c r="AV251" s="343"/>
      <c r="AW251" s="343"/>
      <c r="AX251" s="343"/>
      <c r="AY251" s="344"/>
      <c r="AZ251" s="345"/>
      <c r="BA251" s="346"/>
      <c r="BB251" s="27"/>
    </row>
    <row r="252" spans="1:54">
      <c r="A252" s="2" t="str">
        <f t="shared" si="29"/>
        <v>Bus - CI Rebates_DCV - Kitchen</v>
      </c>
      <c r="B252" s="18">
        <v>249</v>
      </c>
      <c r="C252" s="18" t="s">
        <v>711</v>
      </c>
      <c r="D252" s="18" t="s">
        <v>312</v>
      </c>
      <c r="E252" s="23" t="s">
        <v>150</v>
      </c>
      <c r="F252" s="23">
        <v>1</v>
      </c>
      <c r="G252" s="154">
        <v>0.79</v>
      </c>
      <c r="H252" s="447">
        <v>15</v>
      </c>
      <c r="I252" s="436">
        <v>15</v>
      </c>
      <c r="J252" s="23">
        <v>5</v>
      </c>
      <c r="K252" s="23">
        <f t="shared" si="41"/>
        <v>5</v>
      </c>
      <c r="L252" s="23">
        <f t="shared" si="41"/>
        <v>5</v>
      </c>
      <c r="M252" s="23">
        <f t="shared" si="41"/>
        <v>5</v>
      </c>
      <c r="N252" s="216">
        <f>X252*Z252*AB252/(AD252*100000)</f>
        <v>5998.5</v>
      </c>
      <c r="O252" s="215">
        <f t="shared" si="40"/>
        <v>5998.5</v>
      </c>
      <c r="P252" s="215">
        <f t="shared" si="40"/>
        <v>5998.5</v>
      </c>
      <c r="Q252" s="215">
        <f t="shared" si="40"/>
        <v>5998.5</v>
      </c>
      <c r="R252" s="15" t="s">
        <v>838</v>
      </c>
      <c r="S252" s="15" t="s">
        <v>840</v>
      </c>
      <c r="T252" s="15" t="s">
        <v>311</v>
      </c>
      <c r="U252" s="15" t="s">
        <v>310</v>
      </c>
      <c r="V252" s="166" t="s">
        <v>306</v>
      </c>
      <c r="W252" s="166" t="s">
        <v>305</v>
      </c>
      <c r="X252" s="166">
        <v>430</v>
      </c>
      <c r="Y252" s="166" t="s">
        <v>309</v>
      </c>
      <c r="Z252" s="166">
        <v>7.75</v>
      </c>
      <c r="AA252" s="158" t="s">
        <v>308</v>
      </c>
      <c r="AB252" s="411">
        <v>144000</v>
      </c>
      <c r="AC252" s="158" t="s">
        <v>307</v>
      </c>
      <c r="AD252" s="397">
        <v>0.8</v>
      </c>
      <c r="AE252" s="158"/>
      <c r="AF252" s="166"/>
      <c r="AG252" s="166"/>
      <c r="AH252" s="166"/>
      <c r="AI252" s="166"/>
      <c r="AJ252" s="166"/>
      <c r="AK252" s="166"/>
      <c r="AL252" s="166"/>
      <c r="AM252" s="166"/>
      <c r="AN252" s="166"/>
      <c r="AO252" s="166"/>
      <c r="AP252" s="166"/>
      <c r="AQ252" s="166"/>
      <c r="AR252" s="166"/>
      <c r="AS252" s="166"/>
      <c r="AT252" s="166"/>
      <c r="AU252" s="343"/>
      <c r="AV252" s="343"/>
      <c r="AW252" s="343"/>
      <c r="AX252" s="343"/>
      <c r="AY252" s="344"/>
      <c r="AZ252" s="345"/>
      <c r="BA252" s="346"/>
      <c r="BB252" s="27"/>
    </row>
    <row r="253" spans="1:54">
      <c r="A253" s="2" t="str">
        <f t="shared" si="29"/>
        <v>Bus - CI Rebates_Direct Fired Heaters</v>
      </c>
      <c r="B253" s="18">
        <v>250</v>
      </c>
      <c r="C253" s="18" t="s">
        <v>711</v>
      </c>
      <c r="D253" s="18" t="s">
        <v>317</v>
      </c>
      <c r="E253" s="23" t="s">
        <v>240</v>
      </c>
      <c r="F253" s="23">
        <v>150</v>
      </c>
      <c r="G253" s="154">
        <v>0.79</v>
      </c>
      <c r="H253" s="447">
        <v>20</v>
      </c>
      <c r="I253" s="436">
        <v>20</v>
      </c>
      <c r="J253" s="23">
        <v>0</v>
      </c>
      <c r="K253" s="23">
        <f t="shared" si="41"/>
        <v>0</v>
      </c>
      <c r="L253" s="23">
        <f t="shared" si="41"/>
        <v>0</v>
      </c>
      <c r="M253" s="23">
        <f t="shared" si="41"/>
        <v>0</v>
      </c>
      <c r="N253" s="216">
        <f>AF253*X253*(Z253/AB253-1)/100000</f>
        <v>2.5169999999999986</v>
      </c>
      <c r="O253" s="215">
        <f t="shared" si="40"/>
        <v>2.5169999999999986</v>
      </c>
      <c r="P253" s="215">
        <f t="shared" si="40"/>
        <v>2.5169999999999986</v>
      </c>
      <c r="Q253" s="215">
        <f t="shared" si="40"/>
        <v>2.5169999999999986</v>
      </c>
      <c r="R253" s="15" t="s">
        <v>140</v>
      </c>
      <c r="S253" s="15" t="s">
        <v>140</v>
      </c>
      <c r="T253" s="15" t="s">
        <v>140</v>
      </c>
      <c r="U253" s="15" t="s">
        <v>140</v>
      </c>
      <c r="V253" s="166" t="s">
        <v>313</v>
      </c>
      <c r="W253" s="166" t="s">
        <v>273</v>
      </c>
      <c r="X253" s="166">
        <v>1000</v>
      </c>
      <c r="Y253" s="166" t="s">
        <v>316</v>
      </c>
      <c r="Z253" s="397">
        <v>0.92</v>
      </c>
      <c r="AA253" s="158" t="s">
        <v>315</v>
      </c>
      <c r="AB253" s="397">
        <v>0.8</v>
      </c>
      <c r="AC253" s="466" t="s">
        <v>302</v>
      </c>
      <c r="AD253" s="468">
        <f>(1540+1782)/2</f>
        <v>1661</v>
      </c>
      <c r="AE253" s="466" t="s">
        <v>314</v>
      </c>
      <c r="AF253" s="468">
        <v>1678</v>
      </c>
      <c r="AG253" s="166"/>
      <c r="AH253" s="166"/>
      <c r="AI253" s="166"/>
      <c r="AJ253" s="166"/>
      <c r="AK253" s="166"/>
      <c r="AL253" s="166"/>
      <c r="AM253" s="166"/>
      <c r="AN253" s="166"/>
      <c r="AO253" s="166"/>
      <c r="AP253" s="166"/>
      <c r="AQ253" s="166"/>
      <c r="AR253" s="166"/>
      <c r="AS253" s="166"/>
      <c r="AT253" s="166"/>
      <c r="AU253" s="343"/>
      <c r="AV253" s="343"/>
      <c r="AW253" s="343"/>
      <c r="AX253" s="343"/>
      <c r="AY253" s="344"/>
      <c r="AZ253" s="345"/>
      <c r="BA253" s="346"/>
      <c r="BB253" s="27"/>
    </row>
    <row r="254" spans="1:54">
      <c r="A254" s="2" t="str">
        <f t="shared" si="29"/>
        <v>Bus - CI Rebates_High Speed Washer - Hotel/Motel/Hospital</v>
      </c>
      <c r="B254" s="18">
        <v>251</v>
      </c>
      <c r="C254" s="18" t="s">
        <v>711</v>
      </c>
      <c r="D254" s="18" t="s">
        <v>238</v>
      </c>
      <c r="E254" s="23" t="s">
        <v>237</v>
      </c>
      <c r="F254" s="23">
        <v>250</v>
      </c>
      <c r="G254" s="154">
        <v>0.79</v>
      </c>
      <c r="H254" s="447">
        <v>7</v>
      </c>
      <c r="I254" s="436">
        <v>7</v>
      </c>
      <c r="J254" s="23">
        <v>2</v>
      </c>
      <c r="K254" s="23">
        <f t="shared" si="41"/>
        <v>2</v>
      </c>
      <c r="L254" s="23">
        <f t="shared" si="41"/>
        <v>2</v>
      </c>
      <c r="M254" s="23">
        <f t="shared" si="41"/>
        <v>2</v>
      </c>
      <c r="N254" s="216">
        <f>X254*Z254*AB254*AD254*AF254/AH254/100000*AJ254*AL254/F254</f>
        <v>11.243232000000003</v>
      </c>
      <c r="O254" s="215">
        <f t="shared" si="40"/>
        <v>11.243232000000003</v>
      </c>
      <c r="P254" s="215">
        <f t="shared" si="40"/>
        <v>11.243232000000003</v>
      </c>
      <c r="Q254" s="215">
        <f t="shared" si="40"/>
        <v>11.243232000000003</v>
      </c>
      <c r="R254" s="15" t="s">
        <v>838</v>
      </c>
      <c r="S254" s="15" t="s">
        <v>840</v>
      </c>
      <c r="T254" s="15" t="s">
        <v>236</v>
      </c>
      <c r="U254" s="15" t="s">
        <v>235</v>
      </c>
      <c r="V254" s="410"/>
      <c r="W254" s="166" t="s">
        <v>234</v>
      </c>
      <c r="X254" s="166">
        <v>10.4</v>
      </c>
      <c r="Y254" s="166" t="s">
        <v>233</v>
      </c>
      <c r="Z254" s="166">
        <v>360</v>
      </c>
      <c r="AA254" s="158" t="s">
        <v>232</v>
      </c>
      <c r="AB254" s="398">
        <v>250</v>
      </c>
      <c r="AC254" s="158" t="s">
        <v>231</v>
      </c>
      <c r="AD254" s="403">
        <v>0.25</v>
      </c>
      <c r="AE254" s="158" t="s">
        <v>230</v>
      </c>
      <c r="AF254" s="398">
        <v>1200</v>
      </c>
      <c r="AG254" s="397" t="s">
        <v>229</v>
      </c>
      <c r="AH254" s="397">
        <v>0.6</v>
      </c>
      <c r="AI254" s="166" t="s">
        <v>228</v>
      </c>
      <c r="AJ254" s="397">
        <v>0.91</v>
      </c>
      <c r="AK254" s="166" t="s">
        <v>227</v>
      </c>
      <c r="AL254" s="403">
        <v>0.66</v>
      </c>
      <c r="AM254" s="166"/>
      <c r="AN254" s="166"/>
      <c r="AO254" s="166"/>
      <c r="AP254" s="166"/>
      <c r="AQ254" s="166"/>
      <c r="AR254" s="166"/>
      <c r="AS254" s="166"/>
      <c r="AT254" s="166"/>
      <c r="AU254" s="343"/>
      <c r="AV254" s="343"/>
      <c r="AW254" s="343"/>
      <c r="AX254" s="343"/>
      <c r="AY254" s="344"/>
      <c r="AZ254" s="345"/>
      <c r="BA254" s="346"/>
      <c r="BB254" s="27"/>
    </row>
    <row r="255" spans="1:54">
      <c r="A255" s="2" t="str">
        <f t="shared" si="29"/>
        <v>Bus - CI Rebates_Infrared Heater</v>
      </c>
      <c r="B255" s="18">
        <v>252</v>
      </c>
      <c r="C255" s="18" t="s">
        <v>711</v>
      </c>
      <c r="D255" s="18" t="s">
        <v>295</v>
      </c>
      <c r="E255" s="23" t="s">
        <v>240</v>
      </c>
      <c r="F255" s="23">
        <v>150</v>
      </c>
      <c r="G255" s="154">
        <v>0.79</v>
      </c>
      <c r="H255" s="447">
        <v>12</v>
      </c>
      <c r="I255" s="436">
        <v>12</v>
      </c>
      <c r="J255" s="23">
        <v>0</v>
      </c>
      <c r="K255" s="23">
        <f t="shared" si="41"/>
        <v>0</v>
      </c>
      <c r="L255" s="23">
        <f t="shared" si="41"/>
        <v>0</v>
      </c>
      <c r="M255" s="23">
        <f t="shared" si="41"/>
        <v>0</v>
      </c>
      <c r="N255" s="216">
        <f>451/F255</f>
        <v>3.0066666666666668</v>
      </c>
      <c r="O255" s="215">
        <f t="shared" si="40"/>
        <v>3.0066666666666668</v>
      </c>
      <c r="P255" s="215">
        <f t="shared" si="40"/>
        <v>3.0066666666666668</v>
      </c>
      <c r="Q255" s="215">
        <f t="shared" si="40"/>
        <v>3.0066666666666668</v>
      </c>
      <c r="R255" s="15" t="s">
        <v>838</v>
      </c>
      <c r="S255" s="15" t="s">
        <v>840</v>
      </c>
      <c r="T255" s="15" t="s">
        <v>294</v>
      </c>
      <c r="U255" s="15" t="s">
        <v>293</v>
      </c>
      <c r="V255" s="166" t="s">
        <v>291</v>
      </c>
      <c r="W255" s="166" t="s">
        <v>292</v>
      </c>
      <c r="X255" s="411">
        <v>150</v>
      </c>
      <c r="Y255" s="166"/>
      <c r="Z255" s="166"/>
      <c r="AA255" s="158"/>
      <c r="AB255" s="166"/>
      <c r="AC255" s="158"/>
      <c r="AD255" s="166"/>
      <c r="AE255" s="158"/>
      <c r="AF255" s="166"/>
      <c r="AG255" s="166"/>
      <c r="AH255" s="166"/>
      <c r="AI255" s="166"/>
      <c r="AJ255" s="166"/>
      <c r="AK255" s="166"/>
      <c r="AL255" s="166"/>
      <c r="AM255" s="166"/>
      <c r="AN255" s="166"/>
      <c r="AO255" s="166"/>
      <c r="AP255" s="166"/>
      <c r="AQ255" s="166"/>
      <c r="AR255" s="166"/>
      <c r="AS255" s="166"/>
      <c r="AT255" s="166"/>
      <c r="AU255" s="343"/>
      <c r="AV255" s="343"/>
      <c r="AW255" s="343"/>
      <c r="AX255" s="343"/>
      <c r="AY255" s="344"/>
      <c r="AZ255" s="345"/>
      <c r="BA255" s="346"/>
      <c r="BB255" s="27"/>
    </row>
    <row r="256" spans="1:54">
      <c r="A256" s="2" t="str">
        <f t="shared" si="29"/>
        <v>Bus - CI Rebates_Modulating Commercial Gas Clothes Dryer</v>
      </c>
      <c r="B256" s="18">
        <v>253</v>
      </c>
      <c r="C256" s="18" t="s">
        <v>711</v>
      </c>
      <c r="D256" s="18" t="s">
        <v>290</v>
      </c>
      <c r="E256" s="23" t="s">
        <v>150</v>
      </c>
      <c r="F256" s="23">
        <v>1</v>
      </c>
      <c r="G256" s="154">
        <v>0.79</v>
      </c>
      <c r="H256" s="447">
        <v>14</v>
      </c>
      <c r="I256" s="436">
        <v>14</v>
      </c>
      <c r="J256" s="23">
        <v>0</v>
      </c>
      <c r="K256" s="23">
        <f t="shared" si="41"/>
        <v>0</v>
      </c>
      <c r="L256" s="23">
        <f t="shared" si="41"/>
        <v>0</v>
      </c>
      <c r="M256" s="23">
        <f t="shared" si="41"/>
        <v>0</v>
      </c>
      <c r="N256" s="216">
        <f>1483*0.18</f>
        <v>266.94</v>
      </c>
      <c r="O256" s="215">
        <f t="shared" si="40"/>
        <v>266.94</v>
      </c>
      <c r="P256" s="215">
        <f t="shared" si="40"/>
        <v>266.94</v>
      </c>
      <c r="Q256" s="215">
        <f t="shared" si="40"/>
        <v>266.94</v>
      </c>
      <c r="R256" s="15" t="s">
        <v>838</v>
      </c>
      <c r="S256" s="15" t="s">
        <v>840</v>
      </c>
      <c r="T256" s="15" t="s">
        <v>289</v>
      </c>
      <c r="U256" s="15" t="s">
        <v>288</v>
      </c>
      <c r="V256" s="166" t="s">
        <v>187</v>
      </c>
      <c r="W256" s="166"/>
      <c r="X256" s="166"/>
      <c r="Y256" s="166"/>
      <c r="Z256" s="166"/>
      <c r="AA256" s="158"/>
      <c r="AB256" s="166"/>
      <c r="AC256" s="158"/>
      <c r="AD256" s="166"/>
      <c r="AE256" s="158"/>
      <c r="AF256" s="166"/>
      <c r="AG256" s="166"/>
      <c r="AH256" s="166"/>
      <c r="AI256" s="166"/>
      <c r="AJ256" s="166"/>
      <c r="AK256" s="166"/>
      <c r="AL256" s="166"/>
      <c r="AM256" s="166"/>
      <c r="AN256" s="166"/>
      <c r="AO256" s="166"/>
      <c r="AP256" s="166"/>
      <c r="AQ256" s="166"/>
      <c r="AR256" s="166"/>
      <c r="AS256" s="166"/>
      <c r="AT256" s="166"/>
      <c r="AU256" s="343"/>
      <c r="AV256" s="343"/>
      <c r="AW256" s="343"/>
      <c r="AX256" s="343"/>
      <c r="AY256" s="344"/>
      <c r="AZ256" s="345"/>
      <c r="BA256" s="346"/>
      <c r="BB256" s="27"/>
    </row>
    <row r="257" spans="1:54">
      <c r="A257" s="2" t="str">
        <f t="shared" si="29"/>
        <v>Bus - CI Rebates_Ozone Laundry</v>
      </c>
      <c r="B257" s="18">
        <v>254</v>
      </c>
      <c r="C257" s="18" t="s">
        <v>711</v>
      </c>
      <c r="D257" s="18" t="s">
        <v>287</v>
      </c>
      <c r="E257" s="23" t="s">
        <v>237</v>
      </c>
      <c r="F257" s="23">
        <v>250</v>
      </c>
      <c r="G257" s="154">
        <v>0.79</v>
      </c>
      <c r="H257" s="447">
        <v>10</v>
      </c>
      <c r="I257" s="436">
        <v>10</v>
      </c>
      <c r="J257" s="23">
        <v>0</v>
      </c>
      <c r="K257" s="23">
        <f t="shared" si="41"/>
        <v>0</v>
      </c>
      <c r="L257" s="23">
        <f t="shared" si="41"/>
        <v>0</v>
      </c>
      <c r="M257" s="23">
        <f t="shared" si="41"/>
        <v>0</v>
      </c>
      <c r="N257" s="216">
        <f>X257*Z257*AB257*AD257/AF257</f>
        <v>30.722664192350027</v>
      </c>
      <c r="O257" s="215">
        <f t="shared" si="40"/>
        <v>30.722664192350027</v>
      </c>
      <c r="P257" s="215">
        <f t="shared" si="40"/>
        <v>30.722664192350027</v>
      </c>
      <c r="Q257" s="215">
        <f t="shared" si="40"/>
        <v>30.722664192350027</v>
      </c>
      <c r="R257" s="15" t="s">
        <v>838</v>
      </c>
      <c r="S257" s="15" t="s">
        <v>840</v>
      </c>
      <c r="T257" s="15" t="s">
        <v>286</v>
      </c>
      <c r="U257" s="15" t="s">
        <v>285</v>
      </c>
      <c r="V257" s="166" t="s">
        <v>278</v>
      </c>
      <c r="W257" s="166" t="s">
        <v>284</v>
      </c>
      <c r="X257" s="412">
        <v>8.8500000000000002E-3</v>
      </c>
      <c r="Y257" s="166" t="s">
        <v>283</v>
      </c>
      <c r="Z257" s="398">
        <v>916150</v>
      </c>
      <c r="AA257" s="158" t="s">
        <v>282</v>
      </c>
      <c r="AB257" s="166">
        <v>1.19</v>
      </c>
      <c r="AC257" s="158" t="s">
        <v>281</v>
      </c>
      <c r="AD257" s="397">
        <v>0.81</v>
      </c>
      <c r="AE257" s="158" t="s">
        <v>237</v>
      </c>
      <c r="AF257" s="166">
        <v>254.38</v>
      </c>
      <c r="AG257" s="166" t="s">
        <v>280</v>
      </c>
      <c r="AH257" s="403">
        <v>0.25</v>
      </c>
      <c r="AI257" s="166" t="s">
        <v>279</v>
      </c>
      <c r="AJ257" s="166">
        <v>2.0299999999999998</v>
      </c>
      <c r="AK257" s="166"/>
      <c r="AL257" s="166"/>
      <c r="AM257" s="166"/>
      <c r="AN257" s="166"/>
      <c r="AO257" s="166"/>
      <c r="AP257" s="166"/>
      <c r="AQ257" s="166"/>
      <c r="AR257" s="166"/>
      <c r="AS257" s="166"/>
      <c r="AT257" s="166"/>
      <c r="AU257" s="343"/>
      <c r="AV257" s="343"/>
      <c r="AW257" s="343"/>
      <c r="AX257" s="343"/>
      <c r="AY257" s="344"/>
      <c r="AZ257" s="345"/>
      <c r="BA257" s="346"/>
      <c r="BB257" s="27"/>
    </row>
    <row r="258" spans="1:54">
      <c r="A258" s="2" t="str">
        <f t="shared" si="29"/>
        <v>Bus - CI Rebates_Pipe Insulation - HW Small 1" to 2"</v>
      </c>
      <c r="B258" s="18">
        <v>255</v>
      </c>
      <c r="C258" s="18" t="s">
        <v>711</v>
      </c>
      <c r="D258" s="18" t="s">
        <v>217</v>
      </c>
      <c r="E258" s="23" t="s">
        <v>210</v>
      </c>
      <c r="F258" s="23">
        <v>75</v>
      </c>
      <c r="G258" s="154">
        <v>0.79</v>
      </c>
      <c r="H258" s="447">
        <v>15</v>
      </c>
      <c r="I258" s="436">
        <v>15</v>
      </c>
      <c r="J258" s="23">
        <v>35</v>
      </c>
      <c r="K258" s="23">
        <f t="shared" si="41"/>
        <v>35</v>
      </c>
      <c r="L258" s="23">
        <f t="shared" si="41"/>
        <v>35</v>
      </c>
      <c r="M258" s="23">
        <f t="shared" si="41"/>
        <v>35</v>
      </c>
      <c r="N258" s="216">
        <f>'Pipe Insulation Detail'!$B$47</f>
        <v>2.6588140926267867</v>
      </c>
      <c r="O258" s="215">
        <f t="shared" si="40"/>
        <v>2.6588140926267867</v>
      </c>
      <c r="P258" s="215">
        <f t="shared" si="40"/>
        <v>2.6588140926267867</v>
      </c>
      <c r="Q258" s="215">
        <f t="shared" si="40"/>
        <v>2.6588140926267867</v>
      </c>
      <c r="R258" s="15" t="s">
        <v>837</v>
      </c>
      <c r="S258" s="15" t="s">
        <v>840</v>
      </c>
      <c r="T258" s="15" t="s">
        <v>201</v>
      </c>
      <c r="U258" s="15" t="s">
        <v>200</v>
      </c>
      <c r="V258" s="413" t="s">
        <v>852</v>
      </c>
      <c r="W258" s="166"/>
      <c r="X258" s="166"/>
      <c r="Y258" s="166"/>
      <c r="Z258" s="166"/>
      <c r="AA258" s="158"/>
      <c r="AB258" s="166"/>
      <c r="AC258" s="158"/>
      <c r="AD258" s="166"/>
      <c r="AE258" s="158"/>
      <c r="AF258" s="166"/>
      <c r="AG258" s="166"/>
      <c r="AH258" s="166"/>
      <c r="AI258" s="166"/>
      <c r="AJ258" s="166"/>
      <c r="AK258" s="166"/>
      <c r="AL258" s="166"/>
      <c r="AM258" s="166"/>
      <c r="AN258" s="166"/>
      <c r="AO258" s="166"/>
      <c r="AP258" s="166"/>
      <c r="AQ258" s="166"/>
      <c r="AR258" s="166"/>
      <c r="AS258" s="166"/>
      <c r="AT258" s="166"/>
      <c r="AU258" s="343"/>
      <c r="AV258" s="343"/>
      <c r="AW258" s="343"/>
      <c r="AX258" s="343"/>
      <c r="AY258" s="344"/>
      <c r="AZ258" s="345"/>
      <c r="BA258" s="346"/>
      <c r="BB258" s="27"/>
    </row>
    <row r="259" spans="1:54">
      <c r="A259" s="2" t="str">
        <f t="shared" si="29"/>
        <v>Bus - CI Rebates_Pipe Insulation - HW Medium 2.1" to 4"</v>
      </c>
      <c r="B259" s="18">
        <v>256</v>
      </c>
      <c r="C259" s="18" t="s">
        <v>711</v>
      </c>
      <c r="D259" s="18" t="s">
        <v>216</v>
      </c>
      <c r="E259" s="23" t="s">
        <v>210</v>
      </c>
      <c r="F259" s="23">
        <v>75</v>
      </c>
      <c r="G259" s="154">
        <v>0.79</v>
      </c>
      <c r="H259" s="447">
        <v>15</v>
      </c>
      <c r="I259" s="436">
        <v>15</v>
      </c>
      <c r="J259" s="23">
        <v>35</v>
      </c>
      <c r="K259" s="23">
        <f t="shared" si="41"/>
        <v>35</v>
      </c>
      <c r="L259" s="23">
        <f t="shared" si="41"/>
        <v>35</v>
      </c>
      <c r="M259" s="23">
        <f t="shared" si="41"/>
        <v>35</v>
      </c>
      <c r="N259" s="216">
        <f>'Pipe Insulation Detail'!$B$48</f>
        <v>5.2492031493764015</v>
      </c>
      <c r="O259" s="215">
        <f t="shared" si="40"/>
        <v>5.2492031493764015</v>
      </c>
      <c r="P259" s="215">
        <f t="shared" si="40"/>
        <v>5.2492031493764015</v>
      </c>
      <c r="Q259" s="215">
        <f t="shared" si="40"/>
        <v>5.2492031493764015</v>
      </c>
      <c r="R259" s="15" t="s">
        <v>837</v>
      </c>
      <c r="S259" s="15" t="s">
        <v>840</v>
      </c>
      <c r="T259" s="15" t="s">
        <v>201</v>
      </c>
      <c r="U259" s="15" t="s">
        <v>200</v>
      </c>
      <c r="V259" s="413" t="s">
        <v>852</v>
      </c>
      <c r="W259" s="166"/>
      <c r="X259" s="166"/>
      <c r="Y259" s="166"/>
      <c r="Z259" s="166"/>
      <c r="AA259" s="158"/>
      <c r="AB259" s="166"/>
      <c r="AC259" s="158"/>
      <c r="AD259" s="166"/>
      <c r="AE259" s="158"/>
      <c r="AF259" s="166"/>
      <c r="AG259" s="166"/>
      <c r="AH259" s="166"/>
      <c r="AI259" s="166"/>
      <c r="AJ259" s="166"/>
      <c r="AK259" s="166"/>
      <c r="AL259" s="166"/>
      <c r="AM259" s="166"/>
      <c r="AN259" s="166"/>
      <c r="AO259" s="166"/>
      <c r="AP259" s="166"/>
      <c r="AQ259" s="166"/>
      <c r="AR259" s="166"/>
      <c r="AS259" s="166"/>
      <c r="AT259" s="166"/>
      <c r="AU259" s="343"/>
      <c r="AV259" s="343"/>
      <c r="AW259" s="343"/>
      <c r="AX259" s="343"/>
      <c r="AY259" s="344"/>
      <c r="AZ259" s="345"/>
      <c r="BA259" s="346"/>
      <c r="BB259" s="27"/>
    </row>
    <row r="260" spans="1:54">
      <c r="A260" s="2" t="str">
        <f t="shared" si="29"/>
        <v>Bus - CI Rebates_Pipe Insulation - HW Large &gt;4"</v>
      </c>
      <c r="B260" s="18">
        <v>257</v>
      </c>
      <c r="C260" s="18" t="s">
        <v>711</v>
      </c>
      <c r="D260" s="18" t="s">
        <v>215</v>
      </c>
      <c r="E260" s="23" t="s">
        <v>210</v>
      </c>
      <c r="F260" s="23">
        <v>75</v>
      </c>
      <c r="G260" s="154">
        <v>0.79</v>
      </c>
      <c r="H260" s="447">
        <v>15</v>
      </c>
      <c r="I260" s="436">
        <v>15</v>
      </c>
      <c r="J260" s="23">
        <v>12</v>
      </c>
      <c r="K260" s="23">
        <f t="shared" si="41"/>
        <v>12</v>
      </c>
      <c r="L260" s="23">
        <f t="shared" si="41"/>
        <v>12</v>
      </c>
      <c r="M260" s="23">
        <f t="shared" si="41"/>
        <v>12</v>
      </c>
      <c r="N260" s="216">
        <f>'Pipe Insulation Detail'!$B$49</f>
        <v>9.0407613085908682</v>
      </c>
      <c r="O260" s="215">
        <f t="shared" si="40"/>
        <v>9.0407613085908682</v>
      </c>
      <c r="P260" s="215">
        <f t="shared" si="40"/>
        <v>9.0407613085908682</v>
      </c>
      <c r="Q260" s="215">
        <f t="shared" si="40"/>
        <v>9.0407613085908682</v>
      </c>
      <c r="R260" s="15" t="s">
        <v>837</v>
      </c>
      <c r="S260" s="15" t="s">
        <v>840</v>
      </c>
      <c r="T260" s="15" t="s">
        <v>201</v>
      </c>
      <c r="U260" s="15" t="s">
        <v>200</v>
      </c>
      <c r="V260" s="413" t="s">
        <v>852</v>
      </c>
      <c r="W260" s="166"/>
      <c r="X260" s="166"/>
      <c r="Y260" s="166"/>
      <c r="Z260" s="166"/>
      <c r="AA260" s="158"/>
      <c r="AB260" s="166"/>
      <c r="AC260" s="158"/>
      <c r="AD260" s="166"/>
      <c r="AE260" s="158"/>
      <c r="AF260" s="166"/>
      <c r="AG260" s="166"/>
      <c r="AH260" s="166"/>
      <c r="AI260" s="166"/>
      <c r="AJ260" s="166"/>
      <c r="AK260" s="166"/>
      <c r="AL260" s="166"/>
      <c r="AM260" s="166"/>
      <c r="AN260" s="166"/>
      <c r="AO260" s="166"/>
      <c r="AP260" s="166"/>
      <c r="AQ260" s="166"/>
      <c r="AR260" s="166"/>
      <c r="AS260" s="166"/>
      <c r="AT260" s="166"/>
      <c r="AU260" s="343"/>
      <c r="AV260" s="343"/>
      <c r="AW260" s="343"/>
      <c r="AX260" s="343"/>
      <c r="AY260" s="344"/>
      <c r="AZ260" s="345"/>
      <c r="BA260" s="346"/>
      <c r="BB260" s="27"/>
    </row>
    <row r="261" spans="1:54">
      <c r="A261" s="2" t="str">
        <f t="shared" ref="A261:A324" si="42">C261&amp;"_"&amp;D261</f>
        <v>Bus - CI Rebates_Pipe Insulation - Steam - Small 1" to 2"</v>
      </c>
      <c r="B261" s="18">
        <v>258</v>
      </c>
      <c r="C261" s="18" t="s">
        <v>711</v>
      </c>
      <c r="D261" s="18" t="s">
        <v>214</v>
      </c>
      <c r="E261" s="23" t="s">
        <v>210</v>
      </c>
      <c r="F261" s="23">
        <v>75</v>
      </c>
      <c r="G261" s="154">
        <v>0.79</v>
      </c>
      <c r="H261" s="447">
        <v>15</v>
      </c>
      <c r="I261" s="436">
        <v>15</v>
      </c>
      <c r="J261" s="23">
        <v>0</v>
      </c>
      <c r="K261" s="23">
        <f t="shared" si="41"/>
        <v>0</v>
      </c>
      <c r="L261" s="23">
        <f t="shared" si="41"/>
        <v>0</v>
      </c>
      <c r="M261" s="23">
        <f t="shared" si="41"/>
        <v>0</v>
      </c>
      <c r="N261" s="216">
        <f>'Pipe Insulation Detail'!$B$50</f>
        <v>3.1854757047967208</v>
      </c>
      <c r="O261" s="215">
        <f t="shared" si="40"/>
        <v>3.1854757047967208</v>
      </c>
      <c r="P261" s="215">
        <f t="shared" si="40"/>
        <v>3.1854757047967208</v>
      </c>
      <c r="Q261" s="215">
        <f t="shared" si="40"/>
        <v>3.1854757047967208</v>
      </c>
      <c r="R261" s="15" t="s">
        <v>837</v>
      </c>
      <c r="S261" s="15" t="s">
        <v>840</v>
      </c>
      <c r="T261" s="15" t="s">
        <v>201</v>
      </c>
      <c r="U261" s="15" t="s">
        <v>200</v>
      </c>
      <c r="V261" s="413" t="s">
        <v>852</v>
      </c>
      <c r="W261" s="166"/>
      <c r="X261" s="166"/>
      <c r="Y261" s="166"/>
      <c r="Z261" s="166"/>
      <c r="AA261" s="158"/>
      <c r="AB261" s="166"/>
      <c r="AC261" s="158"/>
      <c r="AD261" s="166"/>
      <c r="AE261" s="158"/>
      <c r="AF261" s="166"/>
      <c r="AG261" s="166"/>
      <c r="AH261" s="166"/>
      <c r="AI261" s="166"/>
      <c r="AJ261" s="166"/>
      <c r="AK261" s="166"/>
      <c r="AL261" s="166"/>
      <c r="AM261" s="166"/>
      <c r="AN261" s="166"/>
      <c r="AO261" s="166"/>
      <c r="AP261" s="166"/>
      <c r="AQ261" s="166"/>
      <c r="AR261" s="166"/>
      <c r="AS261" s="166"/>
      <c r="AT261" s="166"/>
      <c r="AU261" s="343"/>
      <c r="AV261" s="343"/>
      <c r="AW261" s="343"/>
      <c r="AX261" s="343"/>
      <c r="AY261" s="344"/>
      <c r="AZ261" s="345"/>
      <c r="BA261" s="346"/>
      <c r="BB261" s="27"/>
    </row>
    <row r="262" spans="1:54">
      <c r="A262" s="2" t="str">
        <f t="shared" si="42"/>
        <v>Bus - CI Rebates_Pipe Insulation - Steam - Med 2.1" to 5"</v>
      </c>
      <c r="B262" s="18">
        <v>259</v>
      </c>
      <c r="C262" s="18" t="s">
        <v>711</v>
      </c>
      <c r="D262" s="18" t="s">
        <v>213</v>
      </c>
      <c r="E262" s="23" t="s">
        <v>210</v>
      </c>
      <c r="F262" s="23">
        <v>75</v>
      </c>
      <c r="G262" s="154">
        <v>0.79</v>
      </c>
      <c r="H262" s="447">
        <v>15</v>
      </c>
      <c r="I262" s="436">
        <v>15</v>
      </c>
      <c r="J262" s="23">
        <v>35</v>
      </c>
      <c r="K262" s="23">
        <f t="shared" si="41"/>
        <v>35</v>
      </c>
      <c r="L262" s="23">
        <f t="shared" si="41"/>
        <v>35</v>
      </c>
      <c r="M262" s="23">
        <f t="shared" si="41"/>
        <v>35</v>
      </c>
      <c r="N262" s="216">
        <f>'Pipe Insulation Detail'!$B$51</f>
        <v>13.148126788517139</v>
      </c>
      <c r="O262" s="215">
        <f t="shared" si="40"/>
        <v>13.148126788517139</v>
      </c>
      <c r="P262" s="215">
        <f t="shared" si="40"/>
        <v>13.148126788517139</v>
      </c>
      <c r="Q262" s="215">
        <f t="shared" si="40"/>
        <v>13.148126788517139</v>
      </c>
      <c r="R262" s="15" t="s">
        <v>837</v>
      </c>
      <c r="S262" s="15" t="s">
        <v>840</v>
      </c>
      <c r="T262" s="15" t="s">
        <v>201</v>
      </c>
      <c r="U262" s="15" t="s">
        <v>200</v>
      </c>
      <c r="V262" s="413" t="s">
        <v>852</v>
      </c>
      <c r="W262" s="166"/>
      <c r="X262" s="166"/>
      <c r="Y262" s="166"/>
      <c r="Z262" s="166"/>
      <c r="AA262" s="158"/>
      <c r="AB262" s="166"/>
      <c r="AC262" s="158"/>
      <c r="AD262" s="166"/>
      <c r="AE262" s="158"/>
      <c r="AF262" s="166"/>
      <c r="AG262" s="166"/>
      <c r="AH262" s="166"/>
      <c r="AI262" s="166"/>
      <c r="AJ262" s="166"/>
      <c r="AK262" s="166"/>
      <c r="AL262" s="166"/>
      <c r="AM262" s="166"/>
      <c r="AN262" s="166"/>
      <c r="AO262" s="166"/>
      <c r="AP262" s="166"/>
      <c r="AQ262" s="166"/>
      <c r="AR262" s="166"/>
      <c r="AS262" s="166"/>
      <c r="AT262" s="166"/>
      <c r="AU262" s="343"/>
      <c r="AV262" s="343"/>
      <c r="AW262" s="343"/>
      <c r="AX262" s="343"/>
      <c r="AY262" s="344"/>
      <c r="AZ262" s="345"/>
      <c r="BA262" s="346"/>
      <c r="BB262" s="27"/>
    </row>
    <row r="263" spans="1:54">
      <c r="A263" s="2" t="str">
        <f t="shared" si="42"/>
        <v>Bus - CI Rebates_Pipe Insulation - Steam - Large 5.1" to 8"</v>
      </c>
      <c r="B263" s="18">
        <v>260</v>
      </c>
      <c r="C263" s="18" t="s">
        <v>711</v>
      </c>
      <c r="D263" s="18" t="s">
        <v>212</v>
      </c>
      <c r="E263" s="23" t="s">
        <v>210</v>
      </c>
      <c r="F263" s="23">
        <v>75</v>
      </c>
      <c r="G263" s="154">
        <v>0.79</v>
      </c>
      <c r="H263" s="447">
        <v>15</v>
      </c>
      <c r="I263" s="436">
        <v>15</v>
      </c>
      <c r="J263" s="23">
        <v>4</v>
      </c>
      <c r="K263" s="23">
        <f t="shared" si="41"/>
        <v>4</v>
      </c>
      <c r="L263" s="23">
        <f t="shared" si="41"/>
        <v>4</v>
      </c>
      <c r="M263" s="23">
        <f t="shared" si="41"/>
        <v>4</v>
      </c>
      <c r="N263" s="216">
        <f>'Pipe Insulation Detail'!$B$52</f>
        <v>24.25563238537794</v>
      </c>
      <c r="O263" s="215">
        <f t="shared" si="40"/>
        <v>24.25563238537794</v>
      </c>
      <c r="P263" s="215">
        <f t="shared" si="40"/>
        <v>24.25563238537794</v>
      </c>
      <c r="Q263" s="215">
        <f t="shared" si="40"/>
        <v>24.25563238537794</v>
      </c>
      <c r="R263" s="15" t="s">
        <v>837</v>
      </c>
      <c r="S263" s="15" t="s">
        <v>840</v>
      </c>
      <c r="T263" s="15" t="s">
        <v>201</v>
      </c>
      <c r="U263" s="15" t="s">
        <v>200</v>
      </c>
      <c r="V263" s="413" t="s">
        <v>852</v>
      </c>
      <c r="W263" s="166"/>
      <c r="X263" s="166"/>
      <c r="Y263" s="166"/>
      <c r="Z263" s="166"/>
      <c r="AA263" s="158"/>
      <c r="AB263" s="166"/>
      <c r="AC263" s="158"/>
      <c r="AD263" s="166"/>
      <c r="AE263" s="158"/>
      <c r="AF263" s="166"/>
      <c r="AG263" s="166"/>
      <c r="AH263" s="166"/>
      <c r="AI263" s="166"/>
      <c r="AJ263" s="166"/>
      <c r="AK263" s="166"/>
      <c r="AL263" s="166"/>
      <c r="AM263" s="166"/>
      <c r="AN263" s="166"/>
      <c r="AO263" s="166"/>
      <c r="AP263" s="166"/>
      <c r="AQ263" s="166"/>
      <c r="AR263" s="166"/>
      <c r="AS263" s="166"/>
      <c r="AT263" s="166"/>
      <c r="AU263" s="343"/>
      <c r="AV263" s="343"/>
      <c r="AW263" s="343"/>
      <c r="AX263" s="343"/>
      <c r="AY263" s="344"/>
      <c r="AZ263" s="345"/>
      <c r="BA263" s="346"/>
      <c r="BB263" s="27"/>
    </row>
    <row r="264" spans="1:54">
      <c r="A264" s="2" t="str">
        <f t="shared" si="42"/>
        <v>Bus - CI Rebates_Pipe Insulation - Steam - X-Large &gt;8"</v>
      </c>
      <c r="B264" s="18">
        <v>261</v>
      </c>
      <c r="C264" s="18" t="s">
        <v>711</v>
      </c>
      <c r="D264" s="18" t="s">
        <v>211</v>
      </c>
      <c r="E264" s="23" t="s">
        <v>210</v>
      </c>
      <c r="F264" s="23">
        <v>75</v>
      </c>
      <c r="G264" s="154">
        <v>0.79</v>
      </c>
      <c r="H264" s="447">
        <v>15</v>
      </c>
      <c r="I264" s="436">
        <v>15</v>
      </c>
      <c r="J264" s="23">
        <v>0</v>
      </c>
      <c r="K264" s="23">
        <f t="shared" si="41"/>
        <v>0</v>
      </c>
      <c r="L264" s="23">
        <f t="shared" si="41"/>
        <v>0</v>
      </c>
      <c r="M264" s="23">
        <f t="shared" si="41"/>
        <v>0</v>
      </c>
      <c r="N264" s="216">
        <f>'Pipe Insulation Detail'!$B$53</f>
        <v>35.984797966765058</v>
      </c>
      <c r="O264" s="215">
        <f t="shared" si="40"/>
        <v>35.984797966765058</v>
      </c>
      <c r="P264" s="215">
        <f t="shared" si="40"/>
        <v>35.984797966765058</v>
      </c>
      <c r="Q264" s="215">
        <f t="shared" si="40"/>
        <v>35.984797966765058</v>
      </c>
      <c r="R264" s="15" t="s">
        <v>837</v>
      </c>
      <c r="S264" s="15" t="s">
        <v>840</v>
      </c>
      <c r="T264" s="15" t="s">
        <v>201</v>
      </c>
      <c r="U264" s="15" t="s">
        <v>200</v>
      </c>
      <c r="V264" s="413" t="s">
        <v>852</v>
      </c>
      <c r="W264" s="166"/>
      <c r="X264" s="166"/>
      <c r="Y264" s="166"/>
      <c r="Z264" s="166"/>
      <c r="AA264" s="158"/>
      <c r="AB264" s="166"/>
      <c r="AC264" s="158"/>
      <c r="AD264" s="166"/>
      <c r="AE264" s="158"/>
      <c r="AF264" s="166"/>
      <c r="AG264" s="166"/>
      <c r="AH264" s="166"/>
      <c r="AI264" s="166"/>
      <c r="AJ264" s="166"/>
      <c r="AK264" s="166"/>
      <c r="AL264" s="166"/>
      <c r="AM264" s="166"/>
      <c r="AN264" s="166"/>
      <c r="AO264" s="166"/>
      <c r="AP264" s="166"/>
      <c r="AQ264" s="166"/>
      <c r="AR264" s="166"/>
      <c r="AS264" s="166"/>
      <c r="AT264" s="166"/>
      <c r="AU264" s="343"/>
      <c r="AV264" s="343"/>
      <c r="AW264" s="343"/>
      <c r="AX264" s="343"/>
      <c r="AY264" s="344"/>
      <c r="AZ264" s="345"/>
      <c r="BA264" s="346"/>
      <c r="BB264" s="27"/>
    </row>
    <row r="265" spans="1:54">
      <c r="A265" s="2" t="str">
        <f t="shared" si="42"/>
        <v>Bus - CI Rebates_Pipe Insulation - Steam Med Fitting</v>
      </c>
      <c r="B265" s="18">
        <v>262</v>
      </c>
      <c r="C265" s="18" t="s">
        <v>711</v>
      </c>
      <c r="D265" s="18" t="s">
        <v>208</v>
      </c>
      <c r="E265" s="23" t="s">
        <v>150</v>
      </c>
      <c r="F265" s="23">
        <v>1</v>
      </c>
      <c r="G265" s="154">
        <v>0.79</v>
      </c>
      <c r="H265" s="447">
        <v>15</v>
      </c>
      <c r="I265" s="436">
        <v>15</v>
      </c>
      <c r="J265" s="23">
        <v>0</v>
      </c>
      <c r="K265" s="23">
        <f t="shared" si="41"/>
        <v>0</v>
      </c>
      <c r="L265" s="23">
        <f t="shared" si="41"/>
        <v>0</v>
      </c>
      <c r="M265" s="23">
        <f t="shared" si="41"/>
        <v>0</v>
      </c>
      <c r="N265" s="216">
        <f>'Pipe Insulation Detail'!$B$55</f>
        <v>12.515179237984789</v>
      </c>
      <c r="O265" s="215">
        <f t="shared" si="40"/>
        <v>12.515179237984789</v>
      </c>
      <c r="P265" s="215">
        <f t="shared" si="40"/>
        <v>12.515179237984789</v>
      </c>
      <c r="Q265" s="215">
        <f t="shared" si="40"/>
        <v>12.515179237984789</v>
      </c>
      <c r="R265" s="15" t="s">
        <v>837</v>
      </c>
      <c r="S265" s="15" t="s">
        <v>840</v>
      </c>
      <c r="T265" s="15" t="s">
        <v>201</v>
      </c>
      <c r="U265" s="15" t="s">
        <v>200</v>
      </c>
      <c r="V265" s="413" t="s">
        <v>852</v>
      </c>
      <c r="W265" s="166"/>
      <c r="X265" s="166"/>
      <c r="Y265" s="166"/>
      <c r="Z265" s="166"/>
      <c r="AA265" s="158"/>
      <c r="AB265" s="166"/>
      <c r="AC265" s="158"/>
      <c r="AD265" s="166"/>
      <c r="AE265" s="158"/>
      <c r="AF265" s="166"/>
      <c r="AG265" s="166"/>
      <c r="AH265" s="166"/>
      <c r="AI265" s="166"/>
      <c r="AJ265" s="166"/>
      <c r="AK265" s="166"/>
      <c r="AL265" s="166"/>
      <c r="AM265" s="166"/>
      <c r="AN265" s="166"/>
      <c r="AO265" s="166"/>
      <c r="AP265" s="166"/>
      <c r="AQ265" s="166"/>
      <c r="AR265" s="166"/>
      <c r="AS265" s="166"/>
      <c r="AT265" s="166"/>
      <c r="AU265" s="343"/>
      <c r="AV265" s="343"/>
      <c r="AW265" s="343"/>
      <c r="AX265" s="343"/>
      <c r="AY265" s="344"/>
      <c r="AZ265" s="345"/>
      <c r="BA265" s="346"/>
      <c r="BB265" s="27"/>
    </row>
    <row r="266" spans="1:54">
      <c r="A266" s="2" t="str">
        <f t="shared" si="42"/>
        <v>Bus - CI Rebates_Pipe Insulation - Steam Large Fitting</v>
      </c>
      <c r="B266" s="18">
        <v>263</v>
      </c>
      <c r="C266" s="18" t="s">
        <v>711</v>
      </c>
      <c r="D266" s="18" t="s">
        <v>207</v>
      </c>
      <c r="E266" s="23" t="s">
        <v>150</v>
      </c>
      <c r="F266" s="23">
        <v>1</v>
      </c>
      <c r="G266" s="154">
        <v>0.79</v>
      </c>
      <c r="H266" s="447">
        <v>15</v>
      </c>
      <c r="I266" s="436">
        <v>15</v>
      </c>
      <c r="J266" s="23">
        <v>35</v>
      </c>
      <c r="K266" s="23">
        <f t="shared" si="41"/>
        <v>35</v>
      </c>
      <c r="L266" s="23">
        <f t="shared" si="41"/>
        <v>35</v>
      </c>
      <c r="M266" s="23">
        <f t="shared" si="41"/>
        <v>35</v>
      </c>
      <c r="N266" s="216">
        <f>'Pipe Insulation Detail'!$B$56</f>
        <v>51.249515380658096</v>
      </c>
      <c r="O266" s="215">
        <f t="shared" ref="O266:Q285" si="43">N266</f>
        <v>51.249515380658096</v>
      </c>
      <c r="P266" s="215">
        <f t="shared" si="43"/>
        <v>51.249515380658096</v>
      </c>
      <c r="Q266" s="215">
        <f t="shared" si="43"/>
        <v>51.249515380658096</v>
      </c>
      <c r="R266" s="15" t="s">
        <v>837</v>
      </c>
      <c r="S266" s="15" t="s">
        <v>840</v>
      </c>
      <c r="T266" s="15" t="s">
        <v>201</v>
      </c>
      <c r="U266" s="15" t="s">
        <v>200</v>
      </c>
      <c r="V266" s="413" t="s">
        <v>852</v>
      </c>
      <c r="W266" s="166"/>
      <c r="X266" s="166"/>
      <c r="Y266" s="166"/>
      <c r="Z266" s="166"/>
      <c r="AA266" s="158"/>
      <c r="AB266" s="166"/>
      <c r="AC266" s="158"/>
      <c r="AD266" s="166"/>
      <c r="AE266" s="158"/>
      <c r="AF266" s="166"/>
      <c r="AG266" s="166"/>
      <c r="AH266" s="166"/>
      <c r="AI266" s="166"/>
      <c r="AJ266" s="166"/>
      <c r="AK266" s="166"/>
      <c r="AL266" s="166"/>
      <c r="AM266" s="166"/>
      <c r="AN266" s="166"/>
      <c r="AO266" s="166"/>
      <c r="AP266" s="166"/>
      <c r="AQ266" s="166"/>
      <c r="AR266" s="166"/>
      <c r="AS266" s="166"/>
      <c r="AT266" s="166"/>
      <c r="AU266" s="343"/>
      <c r="AV266" s="343"/>
      <c r="AW266" s="343"/>
      <c r="AX266" s="343"/>
      <c r="AY266" s="344"/>
      <c r="AZ266" s="345"/>
      <c r="BA266" s="346"/>
      <c r="BB266" s="27"/>
    </row>
    <row r="267" spans="1:54">
      <c r="A267" s="2" t="str">
        <f t="shared" si="42"/>
        <v>Bus - CI Rebates_Pipe Insulation - Steam X-Large Fitting</v>
      </c>
      <c r="B267" s="18">
        <v>264</v>
      </c>
      <c r="C267" s="18" t="s">
        <v>711</v>
      </c>
      <c r="D267" s="18" t="s">
        <v>206</v>
      </c>
      <c r="E267" s="23" t="s">
        <v>150</v>
      </c>
      <c r="F267" s="23">
        <v>1</v>
      </c>
      <c r="G267" s="154">
        <v>0.79</v>
      </c>
      <c r="H267" s="447">
        <v>15</v>
      </c>
      <c r="I267" s="436">
        <v>15</v>
      </c>
      <c r="J267" s="23">
        <v>0</v>
      </c>
      <c r="K267" s="23">
        <f t="shared" si="41"/>
        <v>0</v>
      </c>
      <c r="L267" s="23">
        <f t="shared" si="41"/>
        <v>0</v>
      </c>
      <c r="M267" s="23">
        <f t="shared" si="41"/>
        <v>0</v>
      </c>
      <c r="N267" s="216">
        <f>'Pipe Insulation Detail'!$B$57</f>
        <v>99.138118398437726</v>
      </c>
      <c r="O267" s="215">
        <f t="shared" si="43"/>
        <v>99.138118398437726</v>
      </c>
      <c r="P267" s="215">
        <f t="shared" si="43"/>
        <v>99.138118398437726</v>
      </c>
      <c r="Q267" s="215">
        <f t="shared" si="43"/>
        <v>99.138118398437726</v>
      </c>
      <c r="R267" s="15" t="s">
        <v>837</v>
      </c>
      <c r="S267" s="15" t="s">
        <v>840</v>
      </c>
      <c r="T267" s="15" t="s">
        <v>201</v>
      </c>
      <c r="U267" s="15" t="s">
        <v>200</v>
      </c>
      <c r="V267" s="413" t="s">
        <v>852</v>
      </c>
      <c r="W267" s="166"/>
      <c r="X267" s="166"/>
      <c r="Y267" s="166"/>
      <c r="Z267" s="166"/>
      <c r="AA267" s="158"/>
      <c r="AB267" s="166"/>
      <c r="AC267" s="158"/>
      <c r="AD267" s="166"/>
      <c r="AE267" s="158"/>
      <c r="AF267" s="166"/>
      <c r="AG267" s="166"/>
      <c r="AH267" s="166"/>
      <c r="AI267" s="166"/>
      <c r="AJ267" s="166"/>
      <c r="AK267" s="166"/>
      <c r="AL267" s="166"/>
      <c r="AM267" s="166"/>
      <c r="AN267" s="166"/>
      <c r="AO267" s="166"/>
      <c r="AP267" s="166"/>
      <c r="AQ267" s="166"/>
      <c r="AR267" s="166"/>
      <c r="AS267" s="166"/>
      <c r="AT267" s="166"/>
      <c r="AU267" s="343"/>
      <c r="AV267" s="343"/>
      <c r="AW267" s="343"/>
      <c r="AX267" s="343"/>
      <c r="AY267" s="344"/>
      <c r="AZ267" s="345"/>
      <c r="BA267" s="346"/>
      <c r="BB267" s="27"/>
    </row>
    <row r="268" spans="1:54">
      <c r="A268" s="2" t="str">
        <f t="shared" si="42"/>
        <v>Bus - CI Rebates_Pipe Insulation - Steam Med Valve</v>
      </c>
      <c r="B268" s="18">
        <v>265</v>
      </c>
      <c r="C268" s="18" t="s">
        <v>711</v>
      </c>
      <c r="D268" s="18" t="s">
        <v>204</v>
      </c>
      <c r="E268" s="23" t="s">
        <v>150</v>
      </c>
      <c r="F268" s="23">
        <v>1</v>
      </c>
      <c r="G268" s="154">
        <v>0.79</v>
      </c>
      <c r="H268" s="447">
        <v>15</v>
      </c>
      <c r="I268" s="436">
        <v>15</v>
      </c>
      <c r="J268" s="23">
        <v>0</v>
      </c>
      <c r="K268" s="23">
        <f t="shared" ref="K268:M287" si="44">J268</f>
        <v>0</v>
      </c>
      <c r="L268" s="23">
        <f t="shared" si="44"/>
        <v>0</v>
      </c>
      <c r="M268" s="23">
        <f t="shared" si="44"/>
        <v>0</v>
      </c>
      <c r="N268" s="216">
        <f>'Pipe Insulation Detail'!$B$59</f>
        <v>37.423389683572815</v>
      </c>
      <c r="O268" s="215">
        <f t="shared" si="43"/>
        <v>37.423389683572815</v>
      </c>
      <c r="P268" s="215">
        <f t="shared" si="43"/>
        <v>37.423389683572815</v>
      </c>
      <c r="Q268" s="215">
        <f t="shared" si="43"/>
        <v>37.423389683572815</v>
      </c>
      <c r="R268" s="15" t="s">
        <v>837</v>
      </c>
      <c r="S268" s="15" t="s">
        <v>840</v>
      </c>
      <c r="T268" s="15" t="s">
        <v>201</v>
      </c>
      <c r="U268" s="15" t="s">
        <v>200</v>
      </c>
      <c r="V268" s="413" t="s">
        <v>852</v>
      </c>
      <c r="W268" s="166"/>
      <c r="X268" s="166"/>
      <c r="Y268" s="166"/>
      <c r="Z268" s="166"/>
      <c r="AA268" s="158"/>
      <c r="AB268" s="166"/>
      <c r="AC268" s="158"/>
      <c r="AD268" s="166"/>
      <c r="AE268" s="158"/>
      <c r="AF268" s="166"/>
      <c r="AG268" s="166"/>
      <c r="AH268" s="166"/>
      <c r="AI268" s="166"/>
      <c r="AJ268" s="166"/>
      <c r="AK268" s="166"/>
      <c r="AL268" s="166"/>
      <c r="AM268" s="166"/>
      <c r="AN268" s="166"/>
      <c r="AO268" s="166"/>
      <c r="AP268" s="166"/>
      <c r="AQ268" s="166"/>
      <c r="AR268" s="166"/>
      <c r="AS268" s="166"/>
      <c r="AT268" s="166"/>
      <c r="AU268" s="343"/>
      <c r="AV268" s="343"/>
      <c r="AW268" s="343"/>
      <c r="AX268" s="343"/>
      <c r="AY268" s="344"/>
      <c r="AZ268" s="345"/>
      <c r="BA268" s="346"/>
      <c r="BB268" s="27"/>
    </row>
    <row r="269" spans="1:54">
      <c r="A269" s="2" t="str">
        <f t="shared" si="42"/>
        <v>Bus - CI Rebates_Pipe Insulation - Steam Large Valve</v>
      </c>
      <c r="B269" s="18">
        <v>266</v>
      </c>
      <c r="C269" s="18" t="s">
        <v>711</v>
      </c>
      <c r="D269" s="18" t="s">
        <v>203</v>
      </c>
      <c r="E269" s="23" t="s">
        <v>150</v>
      </c>
      <c r="F269" s="23">
        <v>1</v>
      </c>
      <c r="G269" s="154">
        <v>0.79</v>
      </c>
      <c r="H269" s="447">
        <v>15</v>
      </c>
      <c r="I269" s="436">
        <v>15</v>
      </c>
      <c r="J269" s="23">
        <v>12</v>
      </c>
      <c r="K269" s="23">
        <f t="shared" si="44"/>
        <v>12</v>
      </c>
      <c r="L269" s="23">
        <f t="shared" si="44"/>
        <v>12</v>
      </c>
      <c r="M269" s="23">
        <f t="shared" si="44"/>
        <v>12</v>
      </c>
      <c r="N269" s="216">
        <f>'Pipe Insulation Detail'!$B$60</f>
        <v>107.52607289087437</v>
      </c>
      <c r="O269" s="215">
        <f t="shared" si="43"/>
        <v>107.52607289087437</v>
      </c>
      <c r="P269" s="215">
        <f t="shared" si="43"/>
        <v>107.52607289087437</v>
      </c>
      <c r="Q269" s="215">
        <f t="shared" si="43"/>
        <v>107.52607289087437</v>
      </c>
      <c r="R269" s="15" t="s">
        <v>837</v>
      </c>
      <c r="S269" s="15" t="s">
        <v>840</v>
      </c>
      <c r="T269" s="15" t="s">
        <v>201</v>
      </c>
      <c r="U269" s="15" t="s">
        <v>200</v>
      </c>
      <c r="V269" s="413" t="s">
        <v>852</v>
      </c>
      <c r="W269" s="166"/>
      <c r="X269" s="166"/>
      <c r="Y269" s="166"/>
      <c r="Z269" s="166"/>
      <c r="AA269" s="158"/>
      <c r="AB269" s="166"/>
      <c r="AC269" s="158"/>
      <c r="AD269" s="166"/>
      <c r="AE269" s="158"/>
      <c r="AF269" s="166"/>
      <c r="AG269" s="166"/>
      <c r="AH269" s="166"/>
      <c r="AI269" s="166"/>
      <c r="AJ269" s="166"/>
      <c r="AK269" s="166"/>
      <c r="AL269" s="166"/>
      <c r="AM269" s="166"/>
      <c r="AN269" s="166"/>
      <c r="AO269" s="166"/>
      <c r="AP269" s="166"/>
      <c r="AQ269" s="166"/>
      <c r="AR269" s="166"/>
      <c r="AS269" s="166"/>
      <c r="AT269" s="166"/>
      <c r="AU269" s="343"/>
      <c r="AV269" s="343"/>
      <c r="AW269" s="343"/>
      <c r="AX269" s="343"/>
      <c r="AY269" s="344"/>
      <c r="AZ269" s="345"/>
      <c r="BA269" s="346"/>
      <c r="BB269" s="27"/>
    </row>
    <row r="270" spans="1:54">
      <c r="A270" s="2" t="str">
        <f t="shared" si="42"/>
        <v>Bus - CI Rebates_Pipe Insulation - Steam X-Large Valve</v>
      </c>
      <c r="B270" s="18">
        <v>267</v>
      </c>
      <c r="C270" s="18" t="s">
        <v>711</v>
      </c>
      <c r="D270" s="18" t="s">
        <v>202</v>
      </c>
      <c r="E270" s="23" t="s">
        <v>150</v>
      </c>
      <c r="F270" s="23">
        <v>1</v>
      </c>
      <c r="G270" s="154">
        <v>0.79</v>
      </c>
      <c r="H270" s="447">
        <v>15</v>
      </c>
      <c r="I270" s="436">
        <v>15</v>
      </c>
      <c r="J270" s="23">
        <v>0</v>
      </c>
      <c r="K270" s="23">
        <f t="shared" si="44"/>
        <v>0</v>
      </c>
      <c r="L270" s="23">
        <f t="shared" si="44"/>
        <v>0</v>
      </c>
      <c r="M270" s="23">
        <f t="shared" si="44"/>
        <v>0</v>
      </c>
      <c r="N270" s="216">
        <f>'Pipe Insulation Detail'!$B$61</f>
        <v>175.06254164158375</v>
      </c>
      <c r="O270" s="215">
        <f t="shared" si="43"/>
        <v>175.06254164158375</v>
      </c>
      <c r="P270" s="215">
        <f t="shared" si="43"/>
        <v>175.06254164158375</v>
      </c>
      <c r="Q270" s="215">
        <f t="shared" si="43"/>
        <v>175.06254164158375</v>
      </c>
      <c r="R270" s="15" t="s">
        <v>837</v>
      </c>
      <c r="S270" s="15" t="s">
        <v>840</v>
      </c>
      <c r="T270" s="15" t="s">
        <v>201</v>
      </c>
      <c r="U270" s="15" t="s">
        <v>200</v>
      </c>
      <c r="V270" s="413" t="s">
        <v>852</v>
      </c>
      <c r="W270" s="166"/>
      <c r="X270" s="166"/>
      <c r="Y270" s="166"/>
      <c r="Z270" s="166"/>
      <c r="AA270" s="158"/>
      <c r="AB270" s="166"/>
      <c r="AC270" s="158"/>
      <c r="AD270" s="166"/>
      <c r="AE270" s="158"/>
      <c r="AF270" s="166"/>
      <c r="AG270" s="166"/>
      <c r="AH270" s="166"/>
      <c r="AI270" s="166"/>
      <c r="AJ270" s="166"/>
      <c r="AK270" s="166"/>
      <c r="AL270" s="166"/>
      <c r="AM270" s="166"/>
      <c r="AN270" s="166"/>
      <c r="AO270" s="166"/>
      <c r="AP270" s="166"/>
      <c r="AQ270" s="166"/>
      <c r="AR270" s="166"/>
      <c r="AS270" s="166"/>
      <c r="AT270" s="166"/>
      <c r="AU270" s="343"/>
      <c r="AV270" s="343"/>
      <c r="AW270" s="343"/>
      <c r="AX270" s="343"/>
      <c r="AY270" s="344"/>
      <c r="AZ270" s="345"/>
      <c r="BA270" s="346"/>
      <c r="BB270" s="27"/>
    </row>
    <row r="271" spans="1:54">
      <c r="A271" s="2" t="str">
        <f t="shared" si="42"/>
        <v>Bus - CI Rebates_Pre Rinse Sprayer</v>
      </c>
      <c r="B271" s="18">
        <v>268</v>
      </c>
      <c r="C271" s="18" t="s">
        <v>711</v>
      </c>
      <c r="D271" s="18" t="s">
        <v>710</v>
      </c>
      <c r="E271" s="23" t="s">
        <v>150</v>
      </c>
      <c r="F271" s="23">
        <v>1</v>
      </c>
      <c r="G271" s="154">
        <v>0.79</v>
      </c>
      <c r="H271" s="447">
        <v>5</v>
      </c>
      <c r="I271" s="436">
        <v>5</v>
      </c>
      <c r="J271" s="23">
        <v>0</v>
      </c>
      <c r="K271" s="23">
        <f t="shared" si="44"/>
        <v>0</v>
      </c>
      <c r="L271" s="23">
        <f t="shared" si="44"/>
        <v>0</v>
      </c>
      <c r="M271" s="23">
        <f t="shared" si="44"/>
        <v>0</v>
      </c>
      <c r="N271" s="215">
        <f>(X271-Z271)*60*AB271*AD271*8.33*1*(AF271-AH271)*(1/AJ271)/100000</f>
        <v>102.33405</v>
      </c>
      <c r="O271" s="215">
        <f t="shared" si="43"/>
        <v>102.33405</v>
      </c>
      <c r="P271" s="215">
        <f t="shared" si="43"/>
        <v>102.33405</v>
      </c>
      <c r="Q271" s="215">
        <f t="shared" si="43"/>
        <v>102.33405</v>
      </c>
      <c r="R271" s="15" t="s">
        <v>838</v>
      </c>
      <c r="S271" s="15" t="s">
        <v>840</v>
      </c>
      <c r="T271" s="15" t="s">
        <v>351</v>
      </c>
      <c r="U271" s="15" t="s">
        <v>350</v>
      </c>
      <c r="V271" s="157" t="s">
        <v>344</v>
      </c>
      <c r="W271" s="390" t="s">
        <v>349</v>
      </c>
      <c r="X271" s="461">
        <v>1.23</v>
      </c>
      <c r="Y271" s="390" t="s">
        <v>348</v>
      </c>
      <c r="Z271" s="462">
        <v>0.98</v>
      </c>
      <c r="AA271" s="390" t="s">
        <v>347</v>
      </c>
      <c r="AB271" s="418">
        <v>3</v>
      </c>
      <c r="AC271" s="390" t="s">
        <v>346</v>
      </c>
      <c r="AD271" s="390">
        <v>312</v>
      </c>
      <c r="AE271" s="390" t="s">
        <v>251</v>
      </c>
      <c r="AF271" s="419">
        <f>70+AH271</f>
        <v>124.1</v>
      </c>
      <c r="AG271" s="390" t="s">
        <v>250</v>
      </c>
      <c r="AH271" s="463">
        <v>54.1</v>
      </c>
      <c r="AI271" s="390" t="s">
        <v>345</v>
      </c>
      <c r="AJ271" s="392">
        <v>0.8</v>
      </c>
      <c r="AK271" s="166"/>
      <c r="AL271" s="166"/>
      <c r="AM271" s="166"/>
      <c r="AN271" s="166"/>
      <c r="AO271" s="166"/>
      <c r="AP271" s="166"/>
      <c r="AQ271" s="166"/>
      <c r="AR271" s="166"/>
      <c r="AS271" s="166"/>
      <c r="AT271" s="166"/>
      <c r="AU271" s="343"/>
      <c r="AV271" s="343"/>
      <c r="AW271" s="343"/>
      <c r="AX271" s="343"/>
      <c r="AY271" s="344"/>
      <c r="AZ271" s="345"/>
      <c r="BA271" s="346"/>
      <c r="BB271" s="27"/>
    </row>
    <row r="272" spans="1:54">
      <c r="A272" s="2" t="str">
        <f t="shared" si="42"/>
        <v>Bus - CI Rebates_Steam Boiler ≥82% AFUE, &gt;300MBh TE</v>
      </c>
      <c r="B272" s="18">
        <v>269</v>
      </c>
      <c r="C272" s="18" t="s">
        <v>711</v>
      </c>
      <c r="D272" s="18" t="s">
        <v>723</v>
      </c>
      <c r="E272" s="23" t="s">
        <v>240</v>
      </c>
      <c r="F272" s="23">
        <v>500</v>
      </c>
      <c r="G272" s="154">
        <v>0.79</v>
      </c>
      <c r="H272" s="447">
        <v>20</v>
      </c>
      <c r="I272" s="484">
        <v>25</v>
      </c>
      <c r="J272" s="23">
        <v>5</v>
      </c>
      <c r="K272" s="23">
        <f t="shared" si="44"/>
        <v>5</v>
      </c>
      <c r="L272" s="23">
        <f t="shared" si="44"/>
        <v>5</v>
      </c>
      <c r="M272" s="23">
        <f t="shared" si="44"/>
        <v>5</v>
      </c>
      <c r="N272" s="216">
        <f>X272*Z272*((AB272-AD272)/AD272)/100000/F272</f>
        <v>0.63721518987341585</v>
      </c>
      <c r="O272" s="215">
        <f t="shared" si="43"/>
        <v>0.63721518987341585</v>
      </c>
      <c r="P272" s="215">
        <f t="shared" si="43"/>
        <v>0.63721518987341585</v>
      </c>
      <c r="Q272" s="215">
        <f t="shared" si="43"/>
        <v>0.63721518987341585</v>
      </c>
      <c r="R272" s="15" t="s">
        <v>838</v>
      </c>
      <c r="S272" s="15" t="s">
        <v>840</v>
      </c>
      <c r="T272" s="15" t="s">
        <v>343</v>
      </c>
      <c r="U272" s="15" t="s">
        <v>342</v>
      </c>
      <c r="V272" s="166" t="s">
        <v>340</v>
      </c>
      <c r="W272" s="468" t="s">
        <v>271</v>
      </c>
      <c r="X272" s="467">
        <v>1678</v>
      </c>
      <c r="Y272" s="158" t="s">
        <v>273</v>
      </c>
      <c r="Z272" s="398">
        <v>500000</v>
      </c>
      <c r="AA272" s="158" t="s">
        <v>341</v>
      </c>
      <c r="AB272" s="408">
        <v>0.82</v>
      </c>
      <c r="AC272" s="166" t="s">
        <v>248</v>
      </c>
      <c r="AD272" s="397">
        <v>0.79</v>
      </c>
      <c r="AE272" s="166"/>
      <c r="AF272" s="166"/>
      <c r="AG272" s="166"/>
      <c r="AH272" s="166"/>
      <c r="AI272" s="414"/>
      <c r="AJ272" s="415"/>
      <c r="AK272" s="414"/>
      <c r="AL272" s="397"/>
      <c r="AM272" s="166"/>
      <c r="AN272" s="166"/>
      <c r="AO272" s="166"/>
      <c r="AP272" s="166"/>
      <c r="AQ272" s="166"/>
      <c r="AR272" s="166"/>
      <c r="AS272" s="166"/>
      <c r="AT272" s="166"/>
      <c r="AU272" s="343"/>
      <c r="AV272" s="343"/>
      <c r="AW272" s="343"/>
      <c r="AX272" s="343"/>
      <c r="AY272" s="344"/>
      <c r="AZ272" s="345"/>
      <c r="BA272" s="346"/>
      <c r="BB272" s="27"/>
    </row>
    <row r="273" spans="1:54">
      <c r="A273" s="2" t="str">
        <f t="shared" si="42"/>
        <v>Bus - CI Rebates_Steam Traps - Dry Cleaner/Industrial</v>
      </c>
      <c r="B273" s="18">
        <v>270</v>
      </c>
      <c r="C273" s="18" t="s">
        <v>711</v>
      </c>
      <c r="D273" s="18" t="s">
        <v>269</v>
      </c>
      <c r="E273" s="23" t="s">
        <v>150</v>
      </c>
      <c r="F273" s="23">
        <v>1</v>
      </c>
      <c r="G273" s="154">
        <v>0.79</v>
      </c>
      <c r="H273" s="447">
        <v>6</v>
      </c>
      <c r="I273" s="436">
        <v>6</v>
      </c>
      <c r="J273" s="23">
        <v>75</v>
      </c>
      <c r="K273" s="23">
        <f t="shared" si="44"/>
        <v>75</v>
      </c>
      <c r="L273" s="23">
        <f t="shared" si="44"/>
        <v>75</v>
      </c>
      <c r="M273" s="23">
        <f t="shared" si="44"/>
        <v>75</v>
      </c>
      <c r="N273" s="216">
        <f>X273*(Z273/AB273)*AD273*AF273/100000</f>
        <v>137.91939591078068</v>
      </c>
      <c r="O273" s="215">
        <f t="shared" si="43"/>
        <v>137.91939591078068</v>
      </c>
      <c r="P273" s="215">
        <f t="shared" si="43"/>
        <v>137.91939591078068</v>
      </c>
      <c r="Q273" s="215">
        <f t="shared" si="43"/>
        <v>137.91939591078068</v>
      </c>
      <c r="R273" s="15" t="s">
        <v>838</v>
      </c>
      <c r="S273" s="15" t="s">
        <v>840</v>
      </c>
      <c r="T273" s="15" t="s">
        <v>266</v>
      </c>
      <c r="U273" s="15" t="s">
        <v>265</v>
      </c>
      <c r="V273" s="166" t="s">
        <v>259</v>
      </c>
      <c r="W273" s="166" t="s">
        <v>264</v>
      </c>
      <c r="X273" s="166">
        <v>19.100000000000001</v>
      </c>
      <c r="Y273" s="166" t="s">
        <v>263</v>
      </c>
      <c r="Z273" s="166">
        <v>890</v>
      </c>
      <c r="AA273" s="158" t="s">
        <v>262</v>
      </c>
      <c r="AB273" s="399">
        <v>0.80700000000000005</v>
      </c>
      <c r="AC273" s="158" t="s">
        <v>153</v>
      </c>
      <c r="AD273" s="166">
        <v>2425</v>
      </c>
      <c r="AE273" s="166" t="s">
        <v>260</v>
      </c>
      <c r="AF273" s="397">
        <v>0.27</v>
      </c>
      <c r="AG273" s="166"/>
      <c r="AH273" s="166"/>
      <c r="AI273" s="166"/>
      <c r="AJ273" s="166"/>
      <c r="AK273" s="166"/>
      <c r="AL273" s="166"/>
      <c r="AM273" s="166"/>
      <c r="AN273" s="166"/>
      <c r="AO273" s="166"/>
      <c r="AP273" s="166"/>
      <c r="AQ273" s="166"/>
      <c r="AR273" s="166"/>
      <c r="AS273" s="166"/>
      <c r="AT273" s="166"/>
      <c r="AU273" s="343"/>
      <c r="AV273" s="343"/>
      <c r="AW273" s="343"/>
      <c r="AX273" s="343"/>
      <c r="AY273" s="344"/>
      <c r="AZ273" s="345"/>
      <c r="BA273" s="346"/>
      <c r="BB273" s="27"/>
    </row>
    <row r="274" spans="1:54">
      <c r="A274" s="2" t="str">
        <f t="shared" si="42"/>
        <v>Bus - CI Rebates_Steam Traps - HVAC Repair/Rep - Audit</v>
      </c>
      <c r="B274" s="18">
        <v>271</v>
      </c>
      <c r="C274" s="18" t="s">
        <v>711</v>
      </c>
      <c r="D274" s="18" t="s">
        <v>268</v>
      </c>
      <c r="E274" s="23" t="s">
        <v>150</v>
      </c>
      <c r="F274" s="23">
        <v>1</v>
      </c>
      <c r="G274" s="154">
        <v>0.79</v>
      </c>
      <c r="H274" s="447">
        <v>6</v>
      </c>
      <c r="I274" s="436">
        <v>6</v>
      </c>
      <c r="J274" s="23">
        <v>75</v>
      </c>
      <c r="K274" s="23">
        <f t="shared" si="44"/>
        <v>75</v>
      </c>
      <c r="L274" s="23">
        <f t="shared" si="44"/>
        <v>75</v>
      </c>
      <c r="M274" s="23">
        <f t="shared" si="44"/>
        <v>75</v>
      </c>
      <c r="N274" s="216">
        <f>X274*(Z274/AB274)*AD274*AF274/100000</f>
        <v>88.453924126394057</v>
      </c>
      <c r="O274" s="215">
        <f t="shared" si="43"/>
        <v>88.453924126394057</v>
      </c>
      <c r="P274" s="215">
        <f t="shared" si="43"/>
        <v>88.453924126394057</v>
      </c>
      <c r="Q274" s="215">
        <f t="shared" si="43"/>
        <v>88.453924126394057</v>
      </c>
      <c r="R274" s="15" t="s">
        <v>838</v>
      </c>
      <c r="S274" s="15" t="s">
        <v>840</v>
      </c>
      <c r="T274" s="15" t="s">
        <v>266</v>
      </c>
      <c r="U274" s="15" t="s">
        <v>265</v>
      </c>
      <c r="V274" s="166" t="s">
        <v>259</v>
      </c>
      <c r="W274" s="166" t="s">
        <v>264</v>
      </c>
      <c r="X274" s="166">
        <v>6.9</v>
      </c>
      <c r="Y274" s="166" t="s">
        <v>263</v>
      </c>
      <c r="Z274" s="166">
        <v>951</v>
      </c>
      <c r="AA274" s="158" t="s">
        <v>262</v>
      </c>
      <c r="AB274" s="399">
        <v>0.80700000000000005</v>
      </c>
      <c r="AC274" s="158" t="s">
        <v>261</v>
      </c>
      <c r="AD274" s="166">
        <v>4029</v>
      </c>
      <c r="AE274" s="166" t="s">
        <v>260</v>
      </c>
      <c r="AF274" s="397">
        <v>0.27</v>
      </c>
      <c r="AG274" s="166"/>
      <c r="AH274" s="166"/>
      <c r="AI274" s="166"/>
      <c r="AJ274" s="166"/>
      <c r="AK274" s="166"/>
      <c r="AL274" s="166"/>
      <c r="AM274" s="166"/>
      <c r="AN274" s="166"/>
      <c r="AO274" s="166"/>
      <c r="AP274" s="166"/>
      <c r="AQ274" s="166"/>
      <c r="AR274" s="166"/>
      <c r="AS274" s="166"/>
      <c r="AT274" s="166"/>
      <c r="AU274" s="343"/>
      <c r="AV274" s="343"/>
      <c r="AW274" s="343"/>
      <c r="AX274" s="343"/>
      <c r="AY274" s="344"/>
      <c r="AZ274" s="345"/>
      <c r="BA274" s="346"/>
      <c r="BB274" s="27"/>
    </row>
    <row r="275" spans="1:54">
      <c r="A275" s="2" t="str">
        <f t="shared" si="42"/>
        <v>Bus - CI Rebates_Steam Traps - HVAC Repair/Rep - No Audit</v>
      </c>
      <c r="B275" s="18">
        <v>272</v>
      </c>
      <c r="C275" s="18" t="s">
        <v>711</v>
      </c>
      <c r="D275" s="18" t="s">
        <v>267</v>
      </c>
      <c r="E275" s="23" t="s">
        <v>150</v>
      </c>
      <c r="F275" s="23">
        <v>1</v>
      </c>
      <c r="G275" s="154">
        <v>0.79</v>
      </c>
      <c r="H275" s="447">
        <v>6</v>
      </c>
      <c r="I275" s="436">
        <v>6</v>
      </c>
      <c r="J275" s="23">
        <v>35</v>
      </c>
      <c r="K275" s="23">
        <f t="shared" si="44"/>
        <v>35</v>
      </c>
      <c r="L275" s="23">
        <f t="shared" si="44"/>
        <v>35</v>
      </c>
      <c r="M275" s="23">
        <f t="shared" si="44"/>
        <v>35</v>
      </c>
      <c r="N275" s="216">
        <f>X275*(Z275/AB275)*AD275*AF275/100000</f>
        <v>88.453924126394057</v>
      </c>
      <c r="O275" s="215">
        <f t="shared" si="43"/>
        <v>88.453924126394057</v>
      </c>
      <c r="P275" s="215">
        <f t="shared" si="43"/>
        <v>88.453924126394057</v>
      </c>
      <c r="Q275" s="215">
        <f t="shared" si="43"/>
        <v>88.453924126394057</v>
      </c>
      <c r="R275" s="15" t="s">
        <v>838</v>
      </c>
      <c r="S275" s="15" t="s">
        <v>840</v>
      </c>
      <c r="T275" s="15" t="s">
        <v>266</v>
      </c>
      <c r="U275" s="15" t="s">
        <v>265</v>
      </c>
      <c r="V275" s="166" t="s">
        <v>259</v>
      </c>
      <c r="W275" s="166" t="s">
        <v>264</v>
      </c>
      <c r="X275" s="166">
        <v>6.9</v>
      </c>
      <c r="Y275" s="166" t="s">
        <v>263</v>
      </c>
      <c r="Z275" s="166">
        <v>951</v>
      </c>
      <c r="AA275" s="158" t="s">
        <v>262</v>
      </c>
      <c r="AB275" s="399">
        <v>0.80700000000000005</v>
      </c>
      <c r="AC275" s="158" t="s">
        <v>261</v>
      </c>
      <c r="AD275" s="166">
        <v>4029</v>
      </c>
      <c r="AE275" s="166" t="s">
        <v>260</v>
      </c>
      <c r="AF275" s="397">
        <v>0.27</v>
      </c>
      <c r="AG275" s="166"/>
      <c r="AH275" s="166"/>
      <c r="AI275" s="166"/>
      <c r="AJ275" s="399"/>
      <c r="AK275" s="166"/>
      <c r="AL275" s="166"/>
      <c r="AM275" s="166"/>
      <c r="AN275" s="166"/>
      <c r="AO275" s="166"/>
      <c r="AP275" s="166"/>
      <c r="AQ275" s="166"/>
      <c r="AR275" s="166"/>
      <c r="AS275" s="166"/>
      <c r="AT275" s="166"/>
      <c r="AU275" s="343"/>
      <c r="AV275" s="343"/>
      <c r="AW275" s="343"/>
      <c r="AX275" s="343"/>
      <c r="AY275" s="344"/>
      <c r="AZ275" s="345"/>
      <c r="BA275" s="346"/>
      <c r="BB275" s="27"/>
    </row>
    <row r="276" spans="1:54">
      <c r="A276" s="2" t="str">
        <f t="shared" si="42"/>
        <v>Bus - CI Rebates_Steam Traps - Test</v>
      </c>
      <c r="B276" s="18">
        <v>273</v>
      </c>
      <c r="C276" s="18" t="s">
        <v>711</v>
      </c>
      <c r="D276" s="18" t="s">
        <v>258</v>
      </c>
      <c r="E276" s="23" t="s">
        <v>150</v>
      </c>
      <c r="F276" s="23">
        <v>1</v>
      </c>
      <c r="G276" s="154">
        <v>0.79</v>
      </c>
      <c r="H276" s="447">
        <v>3</v>
      </c>
      <c r="I276" s="436">
        <v>3</v>
      </c>
      <c r="J276" s="23">
        <v>35</v>
      </c>
      <c r="K276" s="23">
        <f t="shared" si="44"/>
        <v>35</v>
      </c>
      <c r="L276" s="23">
        <f t="shared" si="44"/>
        <v>35</v>
      </c>
      <c r="M276" s="23">
        <f t="shared" si="44"/>
        <v>35</v>
      </c>
      <c r="N276" s="216">
        <v>0</v>
      </c>
      <c r="O276" s="215">
        <f t="shared" si="43"/>
        <v>0</v>
      </c>
      <c r="P276" s="215">
        <f t="shared" si="43"/>
        <v>0</v>
      </c>
      <c r="Q276" s="215">
        <f t="shared" si="43"/>
        <v>0</v>
      </c>
      <c r="R276" s="15" t="s">
        <v>140</v>
      </c>
      <c r="S276" s="15" t="s">
        <v>140</v>
      </c>
      <c r="T276" s="15" t="s">
        <v>140</v>
      </c>
      <c r="U276" s="15" t="s">
        <v>140</v>
      </c>
      <c r="V276" s="390" t="s">
        <v>140</v>
      </c>
      <c r="W276" s="166"/>
      <c r="X276" s="166"/>
      <c r="Y276" s="166"/>
      <c r="Z276" s="166"/>
      <c r="AA276" s="158"/>
      <c r="AB276" s="397"/>
      <c r="AC276" s="158"/>
      <c r="AD276" s="166"/>
      <c r="AE276" s="158"/>
      <c r="AF276" s="397"/>
      <c r="AG276" s="166"/>
      <c r="AH276" s="397"/>
      <c r="AI276" s="166"/>
      <c r="AJ276" s="397"/>
      <c r="AK276" s="166"/>
      <c r="AL276" s="166"/>
      <c r="AM276" s="166"/>
      <c r="AN276" s="166"/>
      <c r="AO276" s="166"/>
      <c r="AP276" s="166"/>
      <c r="AQ276" s="166"/>
      <c r="AR276" s="166"/>
      <c r="AS276" s="166"/>
      <c r="AT276" s="166"/>
      <c r="AU276" s="343"/>
      <c r="AV276" s="343"/>
      <c r="AW276" s="343"/>
      <c r="AX276" s="343"/>
      <c r="AY276" s="344"/>
      <c r="AZ276" s="345"/>
      <c r="BA276" s="346"/>
      <c r="BB276" s="27"/>
    </row>
    <row r="277" spans="1:54">
      <c r="A277" s="2" t="str">
        <f t="shared" si="42"/>
        <v>Bus - CI Rebates_Thermostat - Programmable</v>
      </c>
      <c r="B277" s="18">
        <v>274</v>
      </c>
      <c r="C277" s="18" t="s">
        <v>711</v>
      </c>
      <c r="D277" s="18" t="s">
        <v>226</v>
      </c>
      <c r="E277" s="23" t="s">
        <v>150</v>
      </c>
      <c r="F277" s="23">
        <v>1</v>
      </c>
      <c r="G277" s="154">
        <v>0.79</v>
      </c>
      <c r="H277" s="447">
        <v>4</v>
      </c>
      <c r="I277" s="436">
        <v>4</v>
      </c>
      <c r="J277" s="23">
        <v>150</v>
      </c>
      <c r="K277" s="23">
        <f t="shared" si="44"/>
        <v>150</v>
      </c>
      <c r="L277" s="23">
        <f t="shared" si="44"/>
        <v>150</v>
      </c>
      <c r="M277" s="23">
        <f t="shared" si="44"/>
        <v>150</v>
      </c>
      <c r="N277" s="341">
        <f>'Thermostat Detail'!$L$13</f>
        <v>124.68584320000001</v>
      </c>
      <c r="O277" s="215">
        <f t="shared" si="43"/>
        <v>124.68584320000001</v>
      </c>
      <c r="P277" s="215">
        <f t="shared" si="43"/>
        <v>124.68584320000001</v>
      </c>
      <c r="Q277" s="215">
        <f t="shared" si="43"/>
        <v>124.68584320000001</v>
      </c>
      <c r="R277" s="15" t="s">
        <v>839</v>
      </c>
      <c r="S277" s="15" t="s">
        <v>840</v>
      </c>
      <c r="T277" s="15" t="s">
        <v>225</v>
      </c>
      <c r="U277" s="15" t="s">
        <v>224</v>
      </c>
      <c r="V277" s="413" t="s">
        <v>833</v>
      </c>
      <c r="W277" s="166"/>
      <c r="X277" s="166"/>
      <c r="Y277" s="166"/>
      <c r="Z277" s="166"/>
      <c r="AA277" s="158"/>
      <c r="AB277" s="397"/>
      <c r="AC277" s="158"/>
      <c r="AD277" s="166"/>
      <c r="AE277" s="158"/>
      <c r="AF277" s="397"/>
      <c r="AG277" s="166"/>
      <c r="AH277" s="397"/>
      <c r="AI277" s="166"/>
      <c r="AJ277" s="397"/>
      <c r="AK277" s="166"/>
      <c r="AL277" s="166"/>
      <c r="AM277" s="166"/>
      <c r="AN277" s="166"/>
      <c r="AO277" s="166"/>
      <c r="AP277" s="166"/>
      <c r="AQ277" s="166"/>
      <c r="AR277" s="166"/>
      <c r="AS277" s="166"/>
      <c r="AT277" s="166"/>
      <c r="AU277" s="343"/>
      <c r="AV277" s="343"/>
      <c r="AW277" s="343"/>
      <c r="AX277" s="343"/>
      <c r="AY277" s="344"/>
      <c r="AZ277" s="345"/>
      <c r="BA277" s="346"/>
      <c r="BB277" s="27"/>
    </row>
    <row r="278" spans="1:54">
      <c r="A278" s="2" t="str">
        <f t="shared" si="42"/>
        <v>Bus - CI Rebates_Water Heater - Storage 88% TE ≥75MBh</v>
      </c>
      <c r="B278" s="18">
        <v>275</v>
      </c>
      <c r="C278" s="18" t="s">
        <v>711</v>
      </c>
      <c r="D278" s="18" t="s">
        <v>254</v>
      </c>
      <c r="E278" s="23" t="s">
        <v>150</v>
      </c>
      <c r="F278" s="23">
        <v>1</v>
      </c>
      <c r="G278" s="154">
        <v>0.79</v>
      </c>
      <c r="H278" s="447">
        <v>15</v>
      </c>
      <c r="I278" s="436">
        <v>15</v>
      </c>
      <c r="J278" s="23">
        <v>0</v>
      </c>
      <c r="K278" s="23">
        <f t="shared" si="44"/>
        <v>0</v>
      </c>
      <c r="L278" s="23">
        <f t="shared" si="44"/>
        <v>0</v>
      </c>
      <c r="M278" s="23">
        <f t="shared" si="44"/>
        <v>0</v>
      </c>
      <c r="N278" s="216">
        <f>(X278-Z278)*AB278*8.33*(1/AD278-1/AF278)/100000+((AJ278-AL278)*8766/100000)</f>
        <v>1514.573584976577</v>
      </c>
      <c r="O278" s="215">
        <f t="shared" si="43"/>
        <v>1514.573584976577</v>
      </c>
      <c r="P278" s="215">
        <f t="shared" si="43"/>
        <v>1514.573584976577</v>
      </c>
      <c r="Q278" s="215">
        <f t="shared" si="43"/>
        <v>1514.573584976577</v>
      </c>
      <c r="R278" s="15" t="s">
        <v>838</v>
      </c>
      <c r="S278" s="15" t="s">
        <v>840</v>
      </c>
      <c r="T278" s="15" t="s">
        <v>253</v>
      </c>
      <c r="U278" s="15" t="s">
        <v>252</v>
      </c>
      <c r="V278" s="166" t="s">
        <v>243</v>
      </c>
      <c r="W278" s="166" t="s">
        <v>251</v>
      </c>
      <c r="X278" s="166">
        <v>125</v>
      </c>
      <c r="Y278" s="166" t="s">
        <v>250</v>
      </c>
      <c r="Z278" s="166">
        <v>54</v>
      </c>
      <c r="AA278" s="158" t="s">
        <v>249</v>
      </c>
      <c r="AB278" s="398">
        <f>511*AH278</f>
        <v>127750</v>
      </c>
      <c r="AC278" s="395" t="s">
        <v>248</v>
      </c>
      <c r="AD278" s="404">
        <f xml:space="preserve"> 0.6002 - (0.0011 * AH278)</f>
        <v>0.32519999999999993</v>
      </c>
      <c r="AE278" s="394" t="s">
        <v>247</v>
      </c>
      <c r="AF278" s="166">
        <v>0.88</v>
      </c>
      <c r="AG278" s="166" t="s">
        <v>246</v>
      </c>
      <c r="AH278" s="166">
        <v>250</v>
      </c>
      <c r="AI278" s="166" t="s">
        <v>245</v>
      </c>
      <c r="AJ278" s="398">
        <f>200000/800+110*SQRT(150)</f>
        <v>1597.219358530748</v>
      </c>
      <c r="AK278" s="166" t="s">
        <v>244</v>
      </c>
      <c r="AL278" s="166">
        <v>1029</v>
      </c>
      <c r="AM278" s="166"/>
      <c r="AN278" s="166"/>
      <c r="AO278" s="166"/>
      <c r="AP278" s="166"/>
      <c r="AQ278" s="166"/>
      <c r="AR278" s="166"/>
      <c r="AS278" s="166"/>
      <c r="AT278" s="166"/>
      <c r="AU278" s="343"/>
      <c r="AV278" s="343"/>
      <c r="AW278" s="343"/>
      <c r="AX278" s="343"/>
      <c r="AY278" s="344"/>
      <c r="AZ278" s="345"/>
      <c r="BA278" s="346"/>
      <c r="BB278" s="27"/>
    </row>
    <row r="279" spans="1:54">
      <c r="A279" s="2" t="str">
        <f t="shared" si="42"/>
        <v>Bus - CI Rebates_Double Rack Oven</v>
      </c>
      <c r="B279" s="18">
        <v>276</v>
      </c>
      <c r="C279" s="18" t="s">
        <v>711</v>
      </c>
      <c r="D279" s="18" t="s">
        <v>186</v>
      </c>
      <c r="E279" s="23" t="s">
        <v>150</v>
      </c>
      <c r="F279" s="23">
        <v>1</v>
      </c>
      <c r="G279" s="154">
        <v>0.79</v>
      </c>
      <c r="H279" s="447">
        <v>12</v>
      </c>
      <c r="I279" s="436">
        <v>12</v>
      </c>
      <c r="J279" s="23">
        <v>0</v>
      </c>
      <c r="K279" s="23">
        <f t="shared" si="44"/>
        <v>0</v>
      </c>
      <c r="L279" s="23">
        <f t="shared" si="44"/>
        <v>0</v>
      </c>
      <c r="M279" s="23">
        <f t="shared" si="44"/>
        <v>0</v>
      </c>
      <c r="N279" s="216">
        <v>1930</v>
      </c>
      <c r="O279" s="215">
        <f t="shared" si="43"/>
        <v>1930</v>
      </c>
      <c r="P279" s="215">
        <f t="shared" si="43"/>
        <v>1930</v>
      </c>
      <c r="Q279" s="215">
        <f t="shared" si="43"/>
        <v>1930</v>
      </c>
      <c r="R279" s="15" t="s">
        <v>838</v>
      </c>
      <c r="S279" s="15" t="s">
        <v>840</v>
      </c>
      <c r="T279" s="15" t="s">
        <v>185</v>
      </c>
      <c r="U279" s="15" t="s">
        <v>184</v>
      </c>
      <c r="V279" s="166"/>
      <c r="W279" s="166"/>
      <c r="X279" s="166"/>
      <c r="Y279" s="166"/>
      <c r="Z279" s="166"/>
      <c r="AA279" s="158"/>
      <c r="AB279" s="166"/>
      <c r="AC279" s="158"/>
      <c r="AD279" s="166"/>
      <c r="AE279" s="158"/>
      <c r="AF279" s="166"/>
      <c r="AG279" s="166"/>
      <c r="AH279" s="166"/>
      <c r="AI279" s="166"/>
      <c r="AJ279" s="166"/>
      <c r="AK279" s="166"/>
      <c r="AL279" s="166"/>
      <c r="AM279" s="166"/>
      <c r="AN279" s="166"/>
      <c r="AO279" s="166"/>
      <c r="AP279" s="166"/>
      <c r="AQ279" s="166"/>
      <c r="AR279" s="166"/>
      <c r="AS279" s="166"/>
      <c r="AT279" s="166"/>
      <c r="AU279" s="343"/>
      <c r="AV279" s="343"/>
      <c r="AW279" s="343"/>
      <c r="AX279" s="343"/>
      <c r="AY279" s="344"/>
      <c r="AZ279" s="345"/>
      <c r="BA279" s="346"/>
      <c r="BB279" s="27"/>
    </row>
    <row r="280" spans="1:54">
      <c r="A280" s="2" t="str">
        <f t="shared" si="42"/>
        <v>Bus - CI Rebates_Energy Star Convection Oven</v>
      </c>
      <c r="B280" s="18">
        <v>277</v>
      </c>
      <c r="C280" s="18" t="s">
        <v>711</v>
      </c>
      <c r="D280" s="18" t="s">
        <v>196</v>
      </c>
      <c r="E280" s="23" t="s">
        <v>150</v>
      </c>
      <c r="F280" s="23">
        <v>1</v>
      </c>
      <c r="G280" s="154">
        <v>0.79</v>
      </c>
      <c r="H280" s="447">
        <v>12</v>
      </c>
      <c r="I280" s="436">
        <v>12</v>
      </c>
      <c r="J280" s="23">
        <v>5</v>
      </c>
      <c r="K280" s="23">
        <f t="shared" si="44"/>
        <v>5</v>
      </c>
      <c r="L280" s="23">
        <f t="shared" si="44"/>
        <v>5</v>
      </c>
      <c r="M280" s="23">
        <f t="shared" si="44"/>
        <v>5</v>
      </c>
      <c r="N280" s="372">
        <f>(X280+Z280+AB280)*365.35/100000</f>
        <v>352.14445072463781</v>
      </c>
      <c r="O280" s="215">
        <f t="shared" si="43"/>
        <v>352.14445072463781</v>
      </c>
      <c r="P280" s="215">
        <f t="shared" si="43"/>
        <v>352.14445072463781</v>
      </c>
      <c r="Q280" s="215">
        <f t="shared" si="43"/>
        <v>352.14445072463781</v>
      </c>
      <c r="R280" s="15" t="s">
        <v>838</v>
      </c>
      <c r="S280" s="15" t="s">
        <v>840</v>
      </c>
      <c r="T280" s="15" t="s">
        <v>195</v>
      </c>
      <c r="U280" s="15" t="s">
        <v>194</v>
      </c>
      <c r="V280" s="166" t="s">
        <v>187</v>
      </c>
      <c r="W280" s="166" t="s">
        <v>190</v>
      </c>
      <c r="X280" s="398">
        <f>18000*10.3-12000*10.5</f>
        <v>59400</v>
      </c>
      <c r="Y280" s="166" t="s">
        <v>189</v>
      </c>
      <c r="Z280" s="398">
        <f>1*15/60*76000-1*15/60*44000</f>
        <v>8000</v>
      </c>
      <c r="AA280" s="158" t="s">
        <v>188</v>
      </c>
      <c r="AB280" s="398">
        <f>100*250/30%-100*250/46%</f>
        <v>28985.507246376823</v>
      </c>
      <c r="AC280" s="158"/>
      <c r="AD280" s="166"/>
      <c r="AE280" s="158"/>
      <c r="AF280" s="166"/>
      <c r="AG280" s="166"/>
      <c r="AH280" s="166"/>
      <c r="AI280" s="166"/>
      <c r="AJ280" s="166"/>
      <c r="AK280" s="166"/>
      <c r="AL280" s="166"/>
      <c r="AM280" s="166"/>
      <c r="AN280" s="166"/>
      <c r="AO280" s="166"/>
      <c r="AP280" s="166"/>
      <c r="AQ280" s="166"/>
      <c r="AR280" s="166"/>
      <c r="AS280" s="166"/>
      <c r="AT280" s="166"/>
      <c r="AU280" s="343"/>
      <c r="AV280" s="343"/>
      <c r="AW280" s="343"/>
      <c r="AX280" s="343"/>
      <c r="AY280" s="344"/>
      <c r="AZ280" s="345"/>
      <c r="BA280" s="346"/>
      <c r="BB280" s="27"/>
    </row>
    <row r="281" spans="1:54">
      <c r="A281" s="2" t="str">
        <f t="shared" si="42"/>
        <v>Bus - CI Rebates_Energy Star Conveyer Oven</v>
      </c>
      <c r="B281" s="18">
        <v>278</v>
      </c>
      <c r="C281" s="18" t="s">
        <v>711</v>
      </c>
      <c r="D281" s="18" t="s">
        <v>199</v>
      </c>
      <c r="E281" s="23" t="s">
        <v>150</v>
      </c>
      <c r="F281" s="23">
        <v>1</v>
      </c>
      <c r="G281" s="154">
        <v>0.79</v>
      </c>
      <c r="H281" s="447">
        <v>17</v>
      </c>
      <c r="I281" s="436">
        <v>17</v>
      </c>
      <c r="J281" s="23">
        <v>0</v>
      </c>
      <c r="K281" s="23">
        <f t="shared" si="44"/>
        <v>0</v>
      </c>
      <c r="L281" s="23">
        <f t="shared" si="44"/>
        <v>0</v>
      </c>
      <c r="M281" s="23">
        <f t="shared" si="44"/>
        <v>0</v>
      </c>
      <c r="N281" s="372">
        <v>884</v>
      </c>
      <c r="O281" s="215">
        <f t="shared" si="43"/>
        <v>884</v>
      </c>
      <c r="P281" s="215">
        <f t="shared" si="43"/>
        <v>884</v>
      </c>
      <c r="Q281" s="215">
        <f t="shared" si="43"/>
        <v>884</v>
      </c>
      <c r="R281" s="15" t="s">
        <v>838</v>
      </c>
      <c r="S281" s="15" t="s">
        <v>840</v>
      </c>
      <c r="T281" s="15" t="s">
        <v>198</v>
      </c>
      <c r="U281" s="15" t="s">
        <v>197</v>
      </c>
      <c r="V281" s="166" t="s">
        <v>187</v>
      </c>
      <c r="W281" s="166"/>
      <c r="X281" s="398"/>
      <c r="Y281" s="166"/>
      <c r="Z281" s="398"/>
      <c r="AA281" s="158"/>
      <c r="AB281" s="398"/>
      <c r="AC281" s="158"/>
      <c r="AD281" s="166"/>
      <c r="AE281" s="158"/>
      <c r="AF281" s="166"/>
      <c r="AG281" s="166"/>
      <c r="AH281" s="166"/>
      <c r="AI281" s="166"/>
      <c r="AJ281" s="166"/>
      <c r="AK281" s="166"/>
      <c r="AL281" s="166"/>
      <c r="AM281" s="166"/>
      <c r="AN281" s="166"/>
      <c r="AO281" s="166"/>
      <c r="AP281" s="166"/>
      <c r="AQ281" s="166"/>
      <c r="AR281" s="166"/>
      <c r="AS281" s="166"/>
      <c r="AT281" s="166"/>
      <c r="AU281" s="343"/>
      <c r="AV281" s="343"/>
      <c r="AW281" s="343"/>
      <c r="AX281" s="343"/>
      <c r="AY281" s="344"/>
      <c r="AZ281" s="345"/>
      <c r="BA281" s="346"/>
      <c r="BB281" s="27"/>
    </row>
    <row r="282" spans="1:54">
      <c r="A282" s="2" t="str">
        <f t="shared" si="42"/>
        <v>Bus - CI Rebates_Energy Star Fryer</v>
      </c>
      <c r="B282" s="18">
        <v>279</v>
      </c>
      <c r="C282" s="18" t="s">
        <v>711</v>
      </c>
      <c r="D282" s="18" t="s">
        <v>193</v>
      </c>
      <c r="E282" s="23" t="s">
        <v>150</v>
      </c>
      <c r="F282" s="23">
        <v>1</v>
      </c>
      <c r="G282" s="154">
        <v>0.79</v>
      </c>
      <c r="H282" s="447">
        <v>15</v>
      </c>
      <c r="I282" s="443">
        <v>12</v>
      </c>
      <c r="J282" s="23">
        <v>0</v>
      </c>
      <c r="K282" s="23">
        <f t="shared" si="44"/>
        <v>0</v>
      </c>
      <c r="L282" s="23">
        <f t="shared" si="44"/>
        <v>0</v>
      </c>
      <c r="M282" s="23">
        <f t="shared" si="44"/>
        <v>0</v>
      </c>
      <c r="N282" s="372">
        <f>(X282+Z282+AB282)*365.35/100000</f>
        <v>505.37299714285717</v>
      </c>
      <c r="O282" s="215">
        <f t="shared" si="43"/>
        <v>505.37299714285717</v>
      </c>
      <c r="P282" s="215">
        <f t="shared" si="43"/>
        <v>505.37299714285717</v>
      </c>
      <c r="Q282" s="215">
        <f t="shared" si="43"/>
        <v>505.37299714285717</v>
      </c>
      <c r="R282" s="15" t="s">
        <v>838</v>
      </c>
      <c r="S282" s="15" t="s">
        <v>840</v>
      </c>
      <c r="T282" s="15" t="s">
        <v>192</v>
      </c>
      <c r="U282" s="15" t="s">
        <v>191</v>
      </c>
      <c r="V282" s="166" t="s">
        <v>187</v>
      </c>
      <c r="W282" s="166" t="s">
        <v>190</v>
      </c>
      <c r="X282" s="398">
        <f>14000*13.25-9000*13.44</f>
        <v>64540</v>
      </c>
      <c r="Y282" s="166" t="s">
        <v>189</v>
      </c>
      <c r="Z282" s="166">
        <f>1*15/60*64000-1*15/60*62000</f>
        <v>500</v>
      </c>
      <c r="AA282" s="158" t="s">
        <v>188</v>
      </c>
      <c r="AB282" s="398">
        <f>150*570/35%-150*570/50%</f>
        <v>73285.71428571429</v>
      </c>
      <c r="AC282" s="158"/>
      <c r="AD282" s="166"/>
      <c r="AE282" s="158"/>
      <c r="AF282" s="166"/>
      <c r="AG282" s="166"/>
      <c r="AH282" s="166"/>
      <c r="AI282" s="166"/>
      <c r="AJ282" s="166"/>
      <c r="AK282" s="166"/>
      <c r="AL282" s="166"/>
      <c r="AM282" s="166"/>
      <c r="AN282" s="166"/>
      <c r="AO282" s="166"/>
      <c r="AP282" s="166"/>
      <c r="AQ282" s="166"/>
      <c r="AR282" s="166"/>
      <c r="AS282" s="166"/>
      <c r="AT282" s="166"/>
      <c r="AU282" s="343"/>
      <c r="AV282" s="343"/>
      <c r="AW282" s="343"/>
      <c r="AX282" s="343"/>
      <c r="AY282" s="344"/>
      <c r="AZ282" s="345"/>
      <c r="BA282" s="346"/>
      <c r="BB282" s="27"/>
    </row>
    <row r="283" spans="1:54">
      <c r="A283" s="2" t="str">
        <f t="shared" si="42"/>
        <v>Bus - CI Rebates_Energy Star Steamer - 3 Pans</v>
      </c>
      <c r="B283" s="18">
        <v>280</v>
      </c>
      <c r="C283" s="18" t="s">
        <v>711</v>
      </c>
      <c r="D283" s="18" t="s">
        <v>183</v>
      </c>
      <c r="E283" s="23" t="s">
        <v>150</v>
      </c>
      <c r="F283" s="23">
        <v>1</v>
      </c>
      <c r="G283" s="154">
        <v>0.79</v>
      </c>
      <c r="H283" s="447">
        <v>12</v>
      </c>
      <c r="I283" s="436">
        <v>12</v>
      </c>
      <c r="J283" s="23">
        <v>0</v>
      </c>
      <c r="K283" s="23">
        <f t="shared" si="44"/>
        <v>0</v>
      </c>
      <c r="L283" s="23">
        <f t="shared" si="44"/>
        <v>0</v>
      </c>
      <c r="M283" s="23">
        <f t="shared" si="44"/>
        <v>0</v>
      </c>
      <c r="N283" s="372">
        <f>'Food Equipment Detail'!$C$62</f>
        <v>752.01231086676478</v>
      </c>
      <c r="O283" s="215">
        <f t="shared" si="43"/>
        <v>752.01231086676478</v>
      </c>
      <c r="P283" s="215">
        <f t="shared" si="43"/>
        <v>752.01231086676478</v>
      </c>
      <c r="Q283" s="215">
        <f t="shared" si="43"/>
        <v>752.01231086676478</v>
      </c>
      <c r="R283" s="15" t="s">
        <v>835</v>
      </c>
      <c r="S283" s="15" t="s">
        <v>840</v>
      </c>
      <c r="T283" s="15" t="s">
        <v>179</v>
      </c>
      <c r="U283" s="15" t="s">
        <v>178</v>
      </c>
      <c r="V283" s="420"/>
      <c r="W283" s="166" t="s">
        <v>177</v>
      </c>
      <c r="X283" s="166">
        <v>40</v>
      </c>
      <c r="Y283" s="166" t="s">
        <v>176</v>
      </c>
      <c r="Z283" s="166">
        <v>15</v>
      </c>
      <c r="AA283" s="158" t="s">
        <v>153</v>
      </c>
      <c r="AB283" s="166">
        <v>6</v>
      </c>
      <c r="AC283" s="158" t="s">
        <v>175</v>
      </c>
      <c r="AD283" s="166">
        <v>365.25</v>
      </c>
      <c r="AE283" s="158"/>
      <c r="AF283" s="166"/>
      <c r="AG283" s="166"/>
      <c r="AH283" s="166"/>
      <c r="AI283" s="166"/>
      <c r="AJ283" s="166"/>
      <c r="AK283" s="166"/>
      <c r="AL283" s="166"/>
      <c r="AM283" s="166"/>
      <c r="AN283" s="166"/>
      <c r="AO283" s="166"/>
      <c r="AP283" s="166"/>
      <c r="AQ283" s="166"/>
      <c r="AR283" s="166"/>
      <c r="AS283" s="166"/>
      <c r="AT283" s="166"/>
      <c r="AU283" s="343"/>
      <c r="AV283" s="343"/>
      <c r="AW283" s="343"/>
      <c r="AX283" s="343"/>
      <c r="AY283" s="344"/>
      <c r="AZ283" s="345"/>
      <c r="BA283" s="346"/>
      <c r="BB283" s="27"/>
    </row>
    <row r="284" spans="1:54">
      <c r="A284" s="2" t="str">
        <f t="shared" si="42"/>
        <v>Bus - CI Rebates_Energy Star Steamer - 4 Pans</v>
      </c>
      <c r="B284" s="18">
        <v>281</v>
      </c>
      <c r="C284" s="18" t="s">
        <v>711</v>
      </c>
      <c r="D284" s="18" t="s">
        <v>182</v>
      </c>
      <c r="E284" s="23" t="s">
        <v>150</v>
      </c>
      <c r="F284" s="23">
        <v>1</v>
      </c>
      <c r="G284" s="154">
        <v>0.79</v>
      </c>
      <c r="H284" s="447">
        <v>12</v>
      </c>
      <c r="I284" s="436">
        <v>12</v>
      </c>
      <c r="J284" s="23">
        <v>10</v>
      </c>
      <c r="K284" s="23">
        <f t="shared" si="44"/>
        <v>10</v>
      </c>
      <c r="L284" s="23">
        <f t="shared" si="44"/>
        <v>10</v>
      </c>
      <c r="M284" s="23">
        <f t="shared" si="44"/>
        <v>10</v>
      </c>
      <c r="N284" s="372">
        <f>'Food Equipment Detail'!$D$62</f>
        <v>1007.2641787965732</v>
      </c>
      <c r="O284" s="215">
        <f t="shared" si="43"/>
        <v>1007.2641787965732</v>
      </c>
      <c r="P284" s="215">
        <f t="shared" si="43"/>
        <v>1007.2641787965732</v>
      </c>
      <c r="Q284" s="215">
        <f t="shared" si="43"/>
        <v>1007.2641787965732</v>
      </c>
      <c r="R284" s="15" t="s">
        <v>835</v>
      </c>
      <c r="S284" s="15" t="s">
        <v>840</v>
      </c>
      <c r="T284" s="15" t="s">
        <v>179</v>
      </c>
      <c r="U284" s="15" t="s">
        <v>178</v>
      </c>
      <c r="V284" s="420"/>
      <c r="W284" s="166" t="s">
        <v>177</v>
      </c>
      <c r="X284" s="166">
        <v>40</v>
      </c>
      <c r="Y284" s="166" t="s">
        <v>176</v>
      </c>
      <c r="Z284" s="166">
        <v>15</v>
      </c>
      <c r="AA284" s="158" t="s">
        <v>153</v>
      </c>
      <c r="AB284" s="166">
        <v>6</v>
      </c>
      <c r="AC284" s="158" t="s">
        <v>175</v>
      </c>
      <c r="AD284" s="166">
        <v>365.25</v>
      </c>
      <c r="AE284" s="158"/>
      <c r="AF284" s="166"/>
      <c r="AG284" s="166"/>
      <c r="AH284" s="166"/>
      <c r="AI284" s="166"/>
      <c r="AJ284" s="166"/>
      <c r="AK284" s="166"/>
      <c r="AL284" s="166"/>
      <c r="AM284" s="166"/>
      <c r="AN284" s="166"/>
      <c r="AO284" s="166"/>
      <c r="AP284" s="166"/>
      <c r="AQ284" s="166"/>
      <c r="AR284" s="166"/>
      <c r="AS284" s="166"/>
      <c r="AT284" s="166"/>
      <c r="AU284" s="343"/>
      <c r="AV284" s="343"/>
      <c r="AW284" s="343"/>
      <c r="AX284" s="343"/>
      <c r="AY284" s="344"/>
      <c r="AZ284" s="345"/>
      <c r="BA284" s="346"/>
      <c r="BB284" s="27"/>
    </row>
    <row r="285" spans="1:54">
      <c r="A285" s="2" t="str">
        <f t="shared" si="42"/>
        <v>Bus - CI Rebates_Energy Star Steamer - 5 Pans</v>
      </c>
      <c r="B285" s="18">
        <v>282</v>
      </c>
      <c r="C285" s="18" t="s">
        <v>711</v>
      </c>
      <c r="D285" s="18" t="s">
        <v>181</v>
      </c>
      <c r="E285" s="23" t="s">
        <v>150</v>
      </c>
      <c r="F285" s="23">
        <v>1</v>
      </c>
      <c r="G285" s="154">
        <v>0.79</v>
      </c>
      <c r="H285" s="447">
        <v>12</v>
      </c>
      <c r="I285" s="436">
        <v>12</v>
      </c>
      <c r="J285" s="23">
        <v>0</v>
      </c>
      <c r="K285" s="23">
        <f t="shared" si="44"/>
        <v>0</v>
      </c>
      <c r="L285" s="23">
        <f t="shared" si="44"/>
        <v>0</v>
      </c>
      <c r="M285" s="23">
        <f t="shared" si="44"/>
        <v>0</v>
      </c>
      <c r="N285" s="372">
        <f>'Food Equipment Detail'!$E$62</f>
        <v>1248.6709419898457</v>
      </c>
      <c r="O285" s="215">
        <f t="shared" si="43"/>
        <v>1248.6709419898457</v>
      </c>
      <c r="P285" s="215">
        <f t="shared" si="43"/>
        <v>1248.6709419898457</v>
      </c>
      <c r="Q285" s="215">
        <f t="shared" si="43"/>
        <v>1248.6709419898457</v>
      </c>
      <c r="R285" s="15" t="s">
        <v>835</v>
      </c>
      <c r="S285" s="15" t="s">
        <v>840</v>
      </c>
      <c r="T285" s="15" t="s">
        <v>179</v>
      </c>
      <c r="U285" s="15" t="s">
        <v>178</v>
      </c>
      <c r="V285" s="420"/>
      <c r="W285" s="166" t="s">
        <v>177</v>
      </c>
      <c r="X285" s="166">
        <v>40</v>
      </c>
      <c r="Y285" s="166" t="s">
        <v>176</v>
      </c>
      <c r="Z285" s="166">
        <v>15</v>
      </c>
      <c r="AA285" s="158" t="s">
        <v>153</v>
      </c>
      <c r="AB285" s="166">
        <v>6</v>
      </c>
      <c r="AC285" s="158" t="s">
        <v>175</v>
      </c>
      <c r="AD285" s="166">
        <v>365.25</v>
      </c>
      <c r="AE285" s="158"/>
      <c r="AF285" s="166"/>
      <c r="AG285" s="166"/>
      <c r="AH285" s="166"/>
      <c r="AI285" s="166"/>
      <c r="AJ285" s="166"/>
      <c r="AK285" s="166"/>
      <c r="AL285" s="166"/>
      <c r="AM285" s="166"/>
      <c r="AN285" s="166"/>
      <c r="AO285" s="166"/>
      <c r="AP285" s="166"/>
      <c r="AQ285" s="166"/>
      <c r="AR285" s="166"/>
      <c r="AS285" s="166"/>
      <c r="AT285" s="166"/>
      <c r="AU285" s="343"/>
      <c r="AV285" s="343"/>
      <c r="AW285" s="343"/>
      <c r="AX285" s="343"/>
      <c r="AY285" s="344"/>
      <c r="AZ285" s="345"/>
      <c r="BA285" s="346"/>
      <c r="BB285" s="27"/>
    </row>
    <row r="286" spans="1:54">
      <c r="A286" s="2" t="str">
        <f t="shared" si="42"/>
        <v>Bus - CI Rebates_Energy Star Steamer - 6 Pans</v>
      </c>
      <c r="B286" s="18">
        <v>283</v>
      </c>
      <c r="C286" s="18" t="s">
        <v>711</v>
      </c>
      <c r="D286" s="18" t="s">
        <v>180</v>
      </c>
      <c r="E286" s="23" t="s">
        <v>150</v>
      </c>
      <c r="F286" s="23">
        <v>1</v>
      </c>
      <c r="G286" s="154">
        <v>0.79</v>
      </c>
      <c r="H286" s="447">
        <v>12</v>
      </c>
      <c r="I286" s="436">
        <v>12</v>
      </c>
      <c r="J286" s="23">
        <v>0</v>
      </c>
      <c r="K286" s="23">
        <f t="shared" si="44"/>
        <v>0</v>
      </c>
      <c r="L286" s="23">
        <f t="shared" si="44"/>
        <v>0</v>
      </c>
      <c r="M286" s="23">
        <f t="shared" si="44"/>
        <v>0</v>
      </c>
      <c r="N286" s="372">
        <f>'Food Equipment Detail'!$F$62</f>
        <v>1503.8794358667649</v>
      </c>
      <c r="O286" s="215">
        <f t="shared" ref="O286:Q305" si="45">N286</f>
        <v>1503.8794358667649</v>
      </c>
      <c r="P286" s="215">
        <f t="shared" si="45"/>
        <v>1503.8794358667649</v>
      </c>
      <c r="Q286" s="215">
        <f t="shared" si="45"/>
        <v>1503.8794358667649</v>
      </c>
      <c r="R286" s="15" t="s">
        <v>835</v>
      </c>
      <c r="S286" s="15" t="s">
        <v>840</v>
      </c>
      <c r="T286" s="15" t="s">
        <v>179</v>
      </c>
      <c r="U286" s="15" t="s">
        <v>178</v>
      </c>
      <c r="V286" s="420"/>
      <c r="W286" s="166" t="s">
        <v>177</v>
      </c>
      <c r="X286" s="166">
        <v>40</v>
      </c>
      <c r="Y286" s="166" t="s">
        <v>176</v>
      </c>
      <c r="Z286" s="166">
        <v>15</v>
      </c>
      <c r="AA286" s="158" t="s">
        <v>153</v>
      </c>
      <c r="AB286" s="166">
        <v>6</v>
      </c>
      <c r="AC286" s="158" t="s">
        <v>175</v>
      </c>
      <c r="AD286" s="166">
        <v>365.25</v>
      </c>
      <c r="AE286" s="158"/>
      <c r="AF286" s="166"/>
      <c r="AG286" s="166"/>
      <c r="AH286" s="166"/>
      <c r="AI286" s="166"/>
      <c r="AJ286" s="166"/>
      <c r="AK286" s="166"/>
      <c r="AL286" s="166"/>
      <c r="AM286" s="166"/>
      <c r="AN286" s="166"/>
      <c r="AO286" s="166"/>
      <c r="AP286" s="166"/>
      <c r="AQ286" s="166"/>
      <c r="AR286" s="166"/>
      <c r="AS286" s="166"/>
      <c r="AT286" s="166"/>
      <c r="AU286" s="343"/>
      <c r="AV286" s="343"/>
      <c r="AW286" s="343"/>
      <c r="AX286" s="343"/>
      <c r="AY286" s="344"/>
      <c r="AZ286" s="345"/>
      <c r="BA286" s="346"/>
      <c r="BB286" s="27"/>
    </row>
    <row r="287" spans="1:54">
      <c r="A287" s="2" t="str">
        <f t="shared" si="42"/>
        <v>Bus - CI Rebates_Heat Recovery Grease Trap Filter</v>
      </c>
      <c r="B287" s="18">
        <v>284</v>
      </c>
      <c r="C287" s="18" t="s">
        <v>711</v>
      </c>
      <c r="D287" s="18" t="s">
        <v>151</v>
      </c>
      <c r="E287" s="23" t="s">
        <v>150</v>
      </c>
      <c r="F287" s="23">
        <v>1</v>
      </c>
      <c r="G287" s="154">
        <v>0.79</v>
      </c>
      <c r="H287" s="447">
        <v>15</v>
      </c>
      <c r="I287" s="436">
        <v>15</v>
      </c>
      <c r="J287" s="23">
        <v>2</v>
      </c>
      <c r="K287" s="23">
        <f t="shared" si="44"/>
        <v>2</v>
      </c>
      <c r="L287" s="23">
        <f t="shared" si="44"/>
        <v>2</v>
      </c>
      <c r="M287" s="23">
        <f t="shared" si="44"/>
        <v>2</v>
      </c>
      <c r="N287" s="372">
        <f>((X287*Z287*AB287)*8.3*1*(AD287*AF287))/(AH287*100000)</f>
        <v>1757.3025600000001</v>
      </c>
      <c r="O287" s="215">
        <f t="shared" si="45"/>
        <v>1757.3025600000001</v>
      </c>
      <c r="P287" s="215">
        <f t="shared" si="45"/>
        <v>1757.3025600000001</v>
      </c>
      <c r="Q287" s="215">
        <f t="shared" si="45"/>
        <v>1757.3025600000001</v>
      </c>
      <c r="R287" s="15" t="s">
        <v>838</v>
      </c>
      <c r="S287" s="15" t="s">
        <v>840</v>
      </c>
      <c r="T287" s="15" t="s">
        <v>149</v>
      </c>
      <c r="U287" s="15" t="s">
        <v>148</v>
      </c>
      <c r="V287" s="166" t="s">
        <v>141</v>
      </c>
      <c r="W287" s="166" t="s">
        <v>147</v>
      </c>
      <c r="X287" s="166">
        <v>780</v>
      </c>
      <c r="Y287" s="166" t="s">
        <v>146</v>
      </c>
      <c r="Z287" s="166">
        <v>3</v>
      </c>
      <c r="AA287" s="158" t="s">
        <v>145</v>
      </c>
      <c r="AB287" s="166">
        <v>312</v>
      </c>
      <c r="AC287" s="158" t="s">
        <v>144</v>
      </c>
      <c r="AD287" s="166">
        <v>5.8</v>
      </c>
      <c r="AE287" s="158" t="s">
        <v>143</v>
      </c>
      <c r="AF287" s="166">
        <v>4</v>
      </c>
      <c r="AG287" s="166" t="s">
        <v>142</v>
      </c>
      <c r="AH287" s="397">
        <v>0.8</v>
      </c>
      <c r="AI287" s="166"/>
      <c r="AJ287" s="166"/>
      <c r="AK287" s="166"/>
      <c r="AL287" s="166"/>
      <c r="AM287" s="166"/>
      <c r="AN287" s="166"/>
      <c r="AO287" s="166"/>
      <c r="AP287" s="166"/>
      <c r="AQ287" s="166"/>
      <c r="AR287" s="166"/>
      <c r="AS287" s="166"/>
      <c r="AT287" s="166"/>
      <c r="AU287" s="343"/>
      <c r="AV287" s="343"/>
      <c r="AW287" s="343"/>
      <c r="AX287" s="343"/>
      <c r="AY287" s="344"/>
      <c r="AZ287" s="345"/>
      <c r="BA287" s="346"/>
      <c r="BB287" s="27"/>
    </row>
    <row r="288" spans="1:54">
      <c r="A288" s="2" t="str">
        <f t="shared" si="42"/>
        <v>Bus - CI Rebates_Infrared Charbroiler</v>
      </c>
      <c r="B288" s="18">
        <v>285</v>
      </c>
      <c r="C288" s="18" t="s">
        <v>711</v>
      </c>
      <c r="D288" s="18" t="s">
        <v>174</v>
      </c>
      <c r="E288" s="23" t="s">
        <v>150</v>
      </c>
      <c r="F288" s="23">
        <v>1</v>
      </c>
      <c r="G288" s="154">
        <v>0.79</v>
      </c>
      <c r="H288" s="447">
        <v>12</v>
      </c>
      <c r="I288" s="436">
        <v>12</v>
      </c>
      <c r="J288" s="23">
        <v>2</v>
      </c>
      <c r="K288" s="23">
        <f t="shared" ref="K288:M291" si="46">J288</f>
        <v>2</v>
      </c>
      <c r="L288" s="23">
        <f t="shared" si="46"/>
        <v>2</v>
      </c>
      <c r="M288" s="23">
        <f t="shared" si="46"/>
        <v>2</v>
      </c>
      <c r="N288" s="372">
        <f>((X288-Z288)*AB288*AD288/60+((AF288-AH288)*AJ288*AL288))*312/100000</f>
        <v>706.68</v>
      </c>
      <c r="O288" s="215">
        <f t="shared" si="45"/>
        <v>706.68</v>
      </c>
      <c r="P288" s="215">
        <f t="shared" si="45"/>
        <v>706.68</v>
      </c>
      <c r="Q288" s="215">
        <f t="shared" si="45"/>
        <v>706.68</v>
      </c>
      <c r="R288" s="15" t="s">
        <v>838</v>
      </c>
      <c r="S288" s="15" t="s">
        <v>840</v>
      </c>
      <c r="T288" s="15" t="s">
        <v>173</v>
      </c>
      <c r="U288" s="15" t="s">
        <v>172</v>
      </c>
      <c r="V288" s="166" t="s">
        <v>166</v>
      </c>
      <c r="W288" s="166" t="s">
        <v>171</v>
      </c>
      <c r="X288" s="166">
        <v>64000</v>
      </c>
      <c r="Y288" s="166" t="s">
        <v>170</v>
      </c>
      <c r="Z288" s="166">
        <v>54000</v>
      </c>
      <c r="AA288" s="158" t="s">
        <v>169</v>
      </c>
      <c r="AB288" s="166">
        <v>1</v>
      </c>
      <c r="AC288" s="158" t="s">
        <v>168</v>
      </c>
      <c r="AD288" s="166">
        <v>15</v>
      </c>
      <c r="AE288" s="158" t="s">
        <v>167</v>
      </c>
      <c r="AF288" s="166">
        <v>140000</v>
      </c>
      <c r="AG288" s="166" t="s">
        <v>155</v>
      </c>
      <c r="AH288" s="166">
        <v>105000</v>
      </c>
      <c r="AI288" s="166" t="s">
        <v>154</v>
      </c>
      <c r="AJ288" s="403">
        <v>0.8</v>
      </c>
      <c r="AK288" s="166" t="s">
        <v>153</v>
      </c>
      <c r="AL288" s="166">
        <v>8</v>
      </c>
      <c r="AM288" s="166"/>
      <c r="AN288" s="166"/>
      <c r="AO288" s="166"/>
      <c r="AP288" s="166"/>
      <c r="AQ288" s="166"/>
      <c r="AR288" s="166"/>
      <c r="AS288" s="166"/>
      <c r="AT288" s="166"/>
      <c r="AU288" s="343"/>
      <c r="AV288" s="343"/>
      <c r="AW288" s="343"/>
      <c r="AX288" s="343"/>
      <c r="AY288" s="344"/>
      <c r="AZ288" s="345"/>
      <c r="BA288" s="346"/>
      <c r="BB288" s="27"/>
    </row>
    <row r="289" spans="1:54">
      <c r="A289" s="2" t="str">
        <f t="shared" si="42"/>
        <v>Bus - CI Rebates_Infrared Rotisserie Oven</v>
      </c>
      <c r="B289" s="18">
        <v>286</v>
      </c>
      <c r="C289" s="18" t="s">
        <v>711</v>
      </c>
      <c r="D289" s="18" t="s">
        <v>165</v>
      </c>
      <c r="E289" s="23" t="s">
        <v>150</v>
      </c>
      <c r="F289" s="23">
        <v>1</v>
      </c>
      <c r="G289" s="154">
        <v>0.79</v>
      </c>
      <c r="H289" s="447">
        <v>12</v>
      </c>
      <c r="I289" s="436">
        <v>12</v>
      </c>
      <c r="J289" s="23">
        <v>2</v>
      </c>
      <c r="K289" s="23">
        <f t="shared" si="46"/>
        <v>2</v>
      </c>
      <c r="L289" s="23">
        <f t="shared" si="46"/>
        <v>2</v>
      </c>
      <c r="M289" s="23">
        <f t="shared" si="46"/>
        <v>2</v>
      </c>
      <c r="N289" s="372">
        <f>(X289-Z289)*AB289*AD289/100000</f>
        <v>599.04</v>
      </c>
      <c r="O289" s="215">
        <f t="shared" si="45"/>
        <v>599.04</v>
      </c>
      <c r="P289" s="215">
        <f t="shared" si="45"/>
        <v>599.04</v>
      </c>
      <c r="Q289" s="215">
        <f t="shared" si="45"/>
        <v>599.04</v>
      </c>
      <c r="R289" s="15" t="s">
        <v>838</v>
      </c>
      <c r="S289" s="15" t="s">
        <v>840</v>
      </c>
      <c r="T289" s="15" t="s">
        <v>164</v>
      </c>
      <c r="U289" s="15" t="s">
        <v>163</v>
      </c>
      <c r="V289" s="166" t="s">
        <v>152</v>
      </c>
      <c r="W289" s="166" t="s">
        <v>156</v>
      </c>
      <c r="X289" s="166">
        <v>90000</v>
      </c>
      <c r="Y289" s="166" t="s">
        <v>155</v>
      </c>
      <c r="Z289" s="166">
        <v>50000</v>
      </c>
      <c r="AA289" s="158" t="s">
        <v>154</v>
      </c>
      <c r="AB289" s="403">
        <v>0.6</v>
      </c>
      <c r="AC289" s="158" t="s">
        <v>153</v>
      </c>
      <c r="AD289" s="166">
        <v>2496</v>
      </c>
      <c r="AE289" s="158"/>
      <c r="AF289" s="166"/>
      <c r="AG289" s="166"/>
      <c r="AH289" s="166"/>
      <c r="AI289" s="166"/>
      <c r="AJ289" s="166"/>
      <c r="AK289" s="166"/>
      <c r="AL289" s="166"/>
      <c r="AM289" s="166"/>
      <c r="AN289" s="166"/>
      <c r="AO289" s="166"/>
      <c r="AP289" s="166"/>
      <c r="AQ289" s="166"/>
      <c r="AR289" s="166"/>
      <c r="AS289" s="166"/>
      <c r="AT289" s="166"/>
      <c r="AU289" s="343"/>
      <c r="AV289" s="343"/>
      <c r="AW289" s="343"/>
      <c r="AX289" s="343"/>
      <c r="AY289" s="344"/>
      <c r="AZ289" s="345"/>
      <c r="BA289" s="346"/>
      <c r="BB289" s="27"/>
    </row>
    <row r="290" spans="1:54">
      <c r="A290" s="2" t="str">
        <f t="shared" si="42"/>
        <v>Bus - CI Rebates_Infrared Salamander Broiler</v>
      </c>
      <c r="B290" s="18">
        <v>287</v>
      </c>
      <c r="C290" s="18" t="s">
        <v>711</v>
      </c>
      <c r="D290" s="18" t="s">
        <v>162</v>
      </c>
      <c r="E290" s="23" t="s">
        <v>150</v>
      </c>
      <c r="F290" s="23">
        <v>1</v>
      </c>
      <c r="G290" s="154">
        <v>0.79</v>
      </c>
      <c r="H290" s="447">
        <v>12</v>
      </c>
      <c r="I290" s="436">
        <v>12</v>
      </c>
      <c r="J290" s="23">
        <v>0</v>
      </c>
      <c r="K290" s="23">
        <f t="shared" si="46"/>
        <v>0</v>
      </c>
      <c r="L290" s="23">
        <f t="shared" si="46"/>
        <v>0</v>
      </c>
      <c r="M290" s="23">
        <f t="shared" si="46"/>
        <v>0</v>
      </c>
      <c r="N290" s="216">
        <f>(X290-Z290)*AB290*AD290/100000</f>
        <v>240.24</v>
      </c>
      <c r="O290" s="215">
        <f t="shared" si="45"/>
        <v>240.24</v>
      </c>
      <c r="P290" s="215">
        <f t="shared" si="45"/>
        <v>240.24</v>
      </c>
      <c r="Q290" s="215">
        <f t="shared" si="45"/>
        <v>240.24</v>
      </c>
      <c r="R290" s="15" t="s">
        <v>838</v>
      </c>
      <c r="S290" s="15" t="s">
        <v>840</v>
      </c>
      <c r="T290" s="15" t="s">
        <v>161</v>
      </c>
      <c r="U290" s="15" t="s">
        <v>160</v>
      </c>
      <c r="V290" s="166" t="s">
        <v>152</v>
      </c>
      <c r="W290" s="166" t="s">
        <v>156</v>
      </c>
      <c r="X290" s="166">
        <v>38500</v>
      </c>
      <c r="Y290" s="166" t="s">
        <v>155</v>
      </c>
      <c r="Z290" s="166">
        <v>24750</v>
      </c>
      <c r="AA290" s="158" t="s">
        <v>154</v>
      </c>
      <c r="AB290" s="403">
        <v>0.7</v>
      </c>
      <c r="AC290" s="158" t="s">
        <v>153</v>
      </c>
      <c r="AD290" s="166">
        <v>2496</v>
      </c>
      <c r="AE290" s="158"/>
      <c r="AF290" s="166"/>
      <c r="AG290" s="166"/>
      <c r="AH290" s="166"/>
      <c r="AI290" s="166"/>
      <c r="AJ290" s="166"/>
      <c r="AK290" s="166"/>
      <c r="AL290" s="166"/>
      <c r="AM290" s="166"/>
      <c r="AN290" s="166"/>
      <c r="AO290" s="166"/>
      <c r="AP290" s="166"/>
      <c r="AQ290" s="166"/>
      <c r="AR290" s="166"/>
      <c r="AS290" s="166"/>
      <c r="AT290" s="166"/>
      <c r="AU290" s="343"/>
      <c r="AV290" s="343"/>
      <c r="AW290" s="343"/>
      <c r="AX290" s="343"/>
      <c r="AY290" s="344"/>
      <c r="AZ290" s="345"/>
      <c r="BA290" s="346"/>
      <c r="BB290" s="27"/>
    </row>
    <row r="291" spans="1:54">
      <c r="A291" s="2" t="str">
        <f t="shared" si="42"/>
        <v>Bus - CI Rebates_Infrared Upright Broiler</v>
      </c>
      <c r="B291" s="18">
        <v>288</v>
      </c>
      <c r="C291" s="18" t="s">
        <v>711</v>
      </c>
      <c r="D291" s="18" t="s">
        <v>159</v>
      </c>
      <c r="E291" s="23" t="s">
        <v>150</v>
      </c>
      <c r="F291" s="23">
        <v>1</v>
      </c>
      <c r="G291" s="154">
        <v>0.79</v>
      </c>
      <c r="H291" s="447">
        <v>12</v>
      </c>
      <c r="I291" s="436">
        <v>12</v>
      </c>
      <c r="J291" s="23">
        <v>0</v>
      </c>
      <c r="K291" s="23">
        <f t="shared" si="46"/>
        <v>0</v>
      </c>
      <c r="L291" s="23">
        <f t="shared" si="46"/>
        <v>0</v>
      </c>
      <c r="M291" s="23">
        <f t="shared" si="46"/>
        <v>0</v>
      </c>
      <c r="N291" s="216">
        <f>(X291-Z291)*AB291*AD291/100000</f>
        <v>943.48800000000006</v>
      </c>
      <c r="O291" s="215">
        <f t="shared" si="45"/>
        <v>943.48800000000006</v>
      </c>
      <c r="P291" s="215">
        <f t="shared" si="45"/>
        <v>943.48800000000006</v>
      </c>
      <c r="Q291" s="215">
        <f t="shared" si="45"/>
        <v>943.48800000000006</v>
      </c>
      <c r="R291" s="15" t="s">
        <v>838</v>
      </c>
      <c r="S291" s="15" t="s">
        <v>840</v>
      </c>
      <c r="T291" s="15" t="s">
        <v>158</v>
      </c>
      <c r="U291" s="15" t="s">
        <v>157</v>
      </c>
      <c r="V291" s="166" t="s">
        <v>152</v>
      </c>
      <c r="W291" s="166" t="s">
        <v>156</v>
      </c>
      <c r="X291" s="166">
        <v>144000</v>
      </c>
      <c r="Y291" s="166" t="s">
        <v>155</v>
      </c>
      <c r="Z291" s="166">
        <v>90000</v>
      </c>
      <c r="AA291" s="158" t="s">
        <v>154</v>
      </c>
      <c r="AB291" s="403">
        <v>0.7</v>
      </c>
      <c r="AC291" s="158" t="s">
        <v>153</v>
      </c>
      <c r="AD291" s="166">
        <v>2496</v>
      </c>
      <c r="AE291" s="158"/>
      <c r="AF291" s="166"/>
      <c r="AG291" s="166"/>
      <c r="AH291" s="166"/>
      <c r="AI291" s="166"/>
      <c r="AJ291" s="166"/>
      <c r="AK291" s="166"/>
      <c r="AL291" s="166"/>
      <c r="AM291" s="166"/>
      <c r="AN291" s="166"/>
      <c r="AO291" s="166"/>
      <c r="AP291" s="166"/>
      <c r="AQ291" s="166"/>
      <c r="AR291" s="166"/>
      <c r="AS291" s="166"/>
      <c r="AT291" s="166"/>
      <c r="AU291" s="343"/>
      <c r="AV291" s="343"/>
      <c r="AW291" s="343"/>
      <c r="AX291" s="343"/>
      <c r="AY291" s="344"/>
      <c r="AZ291" s="345"/>
      <c r="BA291" s="346"/>
      <c r="BB291" s="27"/>
    </row>
    <row r="292" spans="1:54">
      <c r="A292" s="2" t="str">
        <f t="shared" si="42"/>
        <v>Bus - SB Rebates_SB Custom</v>
      </c>
      <c r="B292" s="18">
        <v>289</v>
      </c>
      <c r="C292" s="18" t="s">
        <v>712</v>
      </c>
      <c r="D292" s="18" t="s">
        <v>674</v>
      </c>
      <c r="E292" s="23" t="s">
        <v>150</v>
      </c>
      <c r="F292" s="23">
        <v>1</v>
      </c>
      <c r="G292" s="154">
        <v>0.92</v>
      </c>
      <c r="H292" s="447">
        <v>15</v>
      </c>
      <c r="I292" s="436">
        <v>15</v>
      </c>
      <c r="J292" s="23">
        <v>12</v>
      </c>
      <c r="K292" s="23">
        <f t="shared" ref="K292:K333" si="47">J292</f>
        <v>12</v>
      </c>
      <c r="L292" s="23">
        <v>10</v>
      </c>
      <c r="M292" s="23">
        <v>12</v>
      </c>
      <c r="N292" s="216">
        <v>2100</v>
      </c>
      <c r="O292" s="215">
        <f t="shared" si="45"/>
        <v>2100</v>
      </c>
      <c r="P292" s="215">
        <f t="shared" si="45"/>
        <v>2100</v>
      </c>
      <c r="Q292" s="215">
        <f t="shared" si="45"/>
        <v>2100</v>
      </c>
      <c r="R292" s="15" t="s">
        <v>140</v>
      </c>
      <c r="S292" s="15" t="s">
        <v>140</v>
      </c>
      <c r="T292" s="15" t="s">
        <v>140</v>
      </c>
      <c r="U292" s="15" t="s">
        <v>140</v>
      </c>
      <c r="V292" s="166"/>
      <c r="W292" s="166"/>
      <c r="X292" s="166"/>
      <c r="Y292" s="166"/>
      <c r="Z292" s="166"/>
      <c r="AA292" s="158"/>
      <c r="AB292" s="403"/>
      <c r="AC292" s="158"/>
      <c r="AD292" s="166"/>
      <c r="AE292" s="158"/>
      <c r="AF292" s="166"/>
      <c r="AG292" s="166"/>
      <c r="AH292" s="166"/>
      <c r="AI292" s="166"/>
      <c r="AJ292" s="166"/>
      <c r="AK292" s="166"/>
      <c r="AL292" s="166"/>
      <c r="AM292" s="166"/>
      <c r="AN292" s="166"/>
      <c r="AO292" s="166"/>
      <c r="AP292" s="166"/>
      <c r="AQ292" s="166"/>
      <c r="AR292" s="166"/>
      <c r="AS292" s="166"/>
      <c r="AT292" s="166"/>
      <c r="AU292" s="343"/>
      <c r="AV292" s="343"/>
      <c r="AW292" s="343"/>
      <c r="AX292" s="343"/>
      <c r="AY292" s="344"/>
      <c r="AZ292" s="345"/>
      <c r="BA292" s="346"/>
      <c r="BB292" s="27"/>
    </row>
    <row r="293" spans="1:54">
      <c r="A293" s="2" t="str">
        <f t="shared" si="42"/>
        <v>Bus - CI Rebates_CI Custom</v>
      </c>
      <c r="B293" s="18">
        <v>290</v>
      </c>
      <c r="C293" s="18" t="s">
        <v>711</v>
      </c>
      <c r="D293" s="18" t="s">
        <v>675</v>
      </c>
      <c r="E293" s="23" t="s">
        <v>150</v>
      </c>
      <c r="F293" s="23">
        <v>1</v>
      </c>
      <c r="G293" s="154">
        <v>0.69</v>
      </c>
      <c r="H293" s="447">
        <v>15</v>
      </c>
      <c r="I293" s="436">
        <v>15</v>
      </c>
      <c r="J293" s="23">
        <v>25</v>
      </c>
      <c r="K293" s="23">
        <f t="shared" si="47"/>
        <v>25</v>
      </c>
      <c r="L293" s="23">
        <v>20</v>
      </c>
      <c r="M293" s="23">
        <v>25</v>
      </c>
      <c r="N293" s="216">
        <v>19100</v>
      </c>
      <c r="O293" s="215">
        <f t="shared" si="45"/>
        <v>19100</v>
      </c>
      <c r="P293" s="215">
        <f t="shared" si="45"/>
        <v>19100</v>
      </c>
      <c r="Q293" s="215">
        <f t="shared" si="45"/>
        <v>19100</v>
      </c>
      <c r="R293" s="15" t="s">
        <v>140</v>
      </c>
      <c r="S293" s="15" t="s">
        <v>140</v>
      </c>
      <c r="T293" s="15" t="s">
        <v>140</v>
      </c>
      <c r="U293" s="15" t="s">
        <v>140</v>
      </c>
      <c r="V293" s="166"/>
      <c r="W293" s="166"/>
      <c r="X293" s="166"/>
      <c r="Y293" s="166"/>
      <c r="Z293" s="166"/>
      <c r="AA293" s="158"/>
      <c r="AB293" s="403"/>
      <c r="AC293" s="158"/>
      <c r="AD293" s="166"/>
      <c r="AE293" s="158"/>
      <c r="AF293" s="166"/>
      <c r="AG293" s="166"/>
      <c r="AH293" s="166"/>
      <c r="AI293" s="166"/>
      <c r="AJ293" s="166"/>
      <c r="AK293" s="166"/>
      <c r="AL293" s="166"/>
      <c r="AM293" s="166"/>
      <c r="AN293" s="166"/>
      <c r="AO293" s="166"/>
      <c r="AP293" s="166"/>
      <c r="AQ293" s="166"/>
      <c r="AR293" s="166"/>
      <c r="AS293" s="166"/>
      <c r="AT293" s="166"/>
      <c r="AU293" s="343"/>
      <c r="AV293" s="343"/>
      <c r="AW293" s="343"/>
      <c r="AX293" s="343"/>
      <c r="AY293" s="344"/>
      <c r="AZ293" s="345"/>
      <c r="BA293" s="346"/>
      <c r="BB293" s="27"/>
    </row>
    <row r="294" spans="1:54">
      <c r="A294" s="2" t="str">
        <f t="shared" si="42"/>
        <v>Bus - CI Rebates_New Construction</v>
      </c>
      <c r="B294" s="18">
        <v>291</v>
      </c>
      <c r="C294" s="18" t="s">
        <v>711</v>
      </c>
      <c r="D294" s="18" t="s">
        <v>676</v>
      </c>
      <c r="E294" s="23" t="s">
        <v>150</v>
      </c>
      <c r="F294" s="23">
        <v>1</v>
      </c>
      <c r="G294" s="154">
        <v>0.77</v>
      </c>
      <c r="H294" s="447">
        <v>15</v>
      </c>
      <c r="I294" s="436">
        <v>15</v>
      </c>
      <c r="J294" s="23">
        <v>12</v>
      </c>
      <c r="K294" s="23">
        <f t="shared" si="47"/>
        <v>12</v>
      </c>
      <c r="L294" s="23">
        <f t="shared" ref="L294:M313" si="48">K294</f>
        <v>12</v>
      </c>
      <c r="M294" s="23">
        <f t="shared" si="48"/>
        <v>12</v>
      </c>
      <c r="N294" s="216">
        <v>2500</v>
      </c>
      <c r="O294" s="215">
        <f t="shared" si="45"/>
        <v>2500</v>
      </c>
      <c r="P294" s="215">
        <f t="shared" si="45"/>
        <v>2500</v>
      </c>
      <c r="Q294" s="215">
        <f t="shared" si="45"/>
        <v>2500</v>
      </c>
      <c r="R294" s="15" t="s">
        <v>140</v>
      </c>
      <c r="S294" s="15" t="s">
        <v>140</v>
      </c>
      <c r="T294" s="15" t="s">
        <v>140</v>
      </c>
      <c r="U294" s="15" t="s">
        <v>140</v>
      </c>
      <c r="V294" s="166"/>
      <c r="W294" s="166"/>
      <c r="X294" s="166"/>
      <c r="Y294" s="166"/>
      <c r="Z294" s="166"/>
      <c r="AA294" s="158"/>
      <c r="AB294" s="403"/>
      <c r="AC294" s="158"/>
      <c r="AD294" s="166"/>
      <c r="AE294" s="158"/>
      <c r="AF294" s="166"/>
      <c r="AG294" s="166"/>
      <c r="AH294" s="166"/>
      <c r="AI294" s="166"/>
      <c r="AJ294" s="166"/>
      <c r="AK294" s="166"/>
      <c r="AL294" s="166"/>
      <c r="AM294" s="166"/>
      <c r="AN294" s="166"/>
      <c r="AO294" s="166"/>
      <c r="AP294" s="166"/>
      <c r="AQ294" s="166"/>
      <c r="AR294" s="166"/>
      <c r="AS294" s="166"/>
      <c r="AT294" s="166"/>
      <c r="AU294" s="343"/>
      <c r="AV294" s="343"/>
      <c r="AW294" s="343"/>
      <c r="AX294" s="343"/>
      <c r="AY294" s="344"/>
      <c r="AZ294" s="345"/>
      <c r="BA294" s="346"/>
      <c r="BB294" s="27"/>
    </row>
    <row r="295" spans="1:54">
      <c r="A295" s="2" t="str">
        <f t="shared" si="42"/>
        <v>Bus - Public Assessments_Aerator - Bathroom</v>
      </c>
      <c r="B295" s="18">
        <v>292</v>
      </c>
      <c r="C295" s="18" t="s">
        <v>725</v>
      </c>
      <c r="D295" s="18" t="s">
        <v>726</v>
      </c>
      <c r="E295" s="23" t="s">
        <v>150</v>
      </c>
      <c r="F295" s="23">
        <v>1</v>
      </c>
      <c r="G295" s="154">
        <v>0.79</v>
      </c>
      <c r="H295" s="447">
        <v>9</v>
      </c>
      <c r="I295" s="443">
        <v>10</v>
      </c>
      <c r="J295" s="23">
        <v>81</v>
      </c>
      <c r="K295" s="23">
        <f t="shared" si="47"/>
        <v>81</v>
      </c>
      <c r="L295" s="23">
        <f t="shared" si="48"/>
        <v>81</v>
      </c>
      <c r="M295" s="23">
        <f t="shared" si="48"/>
        <v>81</v>
      </c>
      <c r="N295" s="215">
        <f>((X295-Z295)/X295)*AB295*AD295*AF295*AH295*AL295*AJ295</f>
        <v>6.1049460431654667</v>
      </c>
      <c r="O295" s="215">
        <f t="shared" si="45"/>
        <v>6.1049460431654667</v>
      </c>
      <c r="P295" s="215">
        <f t="shared" si="45"/>
        <v>6.1049460431654667</v>
      </c>
      <c r="Q295" s="215">
        <f t="shared" si="45"/>
        <v>6.1049460431654667</v>
      </c>
      <c r="R295" s="15" t="s">
        <v>838</v>
      </c>
      <c r="S295" s="15" t="s">
        <v>840</v>
      </c>
      <c r="T295" s="15" t="s">
        <v>367</v>
      </c>
      <c r="U295" s="15" t="s">
        <v>366</v>
      </c>
      <c r="V295" s="390" t="s">
        <v>362</v>
      </c>
      <c r="W295" s="390" t="s">
        <v>359</v>
      </c>
      <c r="X295" s="390">
        <v>1.39</v>
      </c>
      <c r="Y295" s="390" t="s">
        <v>358</v>
      </c>
      <c r="Z295" s="390">
        <v>0.94</v>
      </c>
      <c r="AA295" s="390" t="s">
        <v>357</v>
      </c>
      <c r="AB295" s="390">
        <v>1</v>
      </c>
      <c r="AC295" s="390" t="s">
        <v>368</v>
      </c>
      <c r="AD295" s="392">
        <v>1</v>
      </c>
      <c r="AE295" s="390" t="s">
        <v>364</v>
      </c>
      <c r="AF295" s="390">
        <v>20</v>
      </c>
      <c r="AG295" s="390" t="s">
        <v>363</v>
      </c>
      <c r="AH295" s="390">
        <v>250</v>
      </c>
      <c r="AI295" s="390" t="s">
        <v>355</v>
      </c>
      <c r="AJ295" s="393">
        <v>3.9699999999999996E-3</v>
      </c>
      <c r="AK295" s="390" t="s">
        <v>354</v>
      </c>
      <c r="AL295" s="392">
        <v>0.95</v>
      </c>
      <c r="AM295" s="390"/>
      <c r="AN295" s="390"/>
      <c r="AO295" s="166"/>
      <c r="AP295" s="166"/>
      <c r="AQ295" s="166"/>
      <c r="AR295" s="166"/>
      <c r="AS295" s="166"/>
      <c r="AT295" s="166"/>
      <c r="AU295" s="343"/>
      <c r="AV295" s="343"/>
      <c r="AW295" s="343"/>
      <c r="AX295" s="343"/>
      <c r="AY295" s="344"/>
      <c r="AZ295" s="345"/>
      <c r="BA295" s="346"/>
      <c r="BB295" s="27"/>
    </row>
    <row r="296" spans="1:54">
      <c r="A296" s="2" t="str">
        <f t="shared" si="42"/>
        <v>Bus - Public Assessments_Aerator - Kitchen</v>
      </c>
      <c r="B296" s="18">
        <v>293</v>
      </c>
      <c r="C296" s="18" t="s">
        <v>725</v>
      </c>
      <c r="D296" s="18" t="s">
        <v>727</v>
      </c>
      <c r="E296" s="23" t="s">
        <v>150</v>
      </c>
      <c r="F296" s="23">
        <v>1</v>
      </c>
      <c r="G296" s="154">
        <v>0.79</v>
      </c>
      <c r="H296" s="447">
        <v>9</v>
      </c>
      <c r="I296" s="443">
        <v>10</v>
      </c>
      <c r="J296" s="23">
        <v>81</v>
      </c>
      <c r="K296" s="23">
        <f t="shared" si="47"/>
        <v>81</v>
      </c>
      <c r="L296" s="23">
        <f t="shared" si="48"/>
        <v>81</v>
      </c>
      <c r="M296" s="23">
        <f t="shared" si="48"/>
        <v>81</v>
      </c>
      <c r="N296" s="215">
        <f>((X296-Z296)/X296)*AB296*AD296*AF296*AH296*AL296*AJ296</f>
        <v>7.4428057553956819</v>
      </c>
      <c r="O296" s="215">
        <f t="shared" si="45"/>
        <v>7.4428057553956819</v>
      </c>
      <c r="P296" s="215">
        <f t="shared" si="45"/>
        <v>7.4428057553956819</v>
      </c>
      <c r="Q296" s="215">
        <f t="shared" si="45"/>
        <v>7.4428057553956819</v>
      </c>
      <c r="R296" s="15" t="s">
        <v>838</v>
      </c>
      <c r="S296" s="15" t="s">
        <v>840</v>
      </c>
      <c r="T296" s="15" t="s">
        <v>367</v>
      </c>
      <c r="U296" s="15" t="s">
        <v>366</v>
      </c>
      <c r="V296" s="390" t="s">
        <v>362</v>
      </c>
      <c r="W296" s="390" t="s">
        <v>359</v>
      </c>
      <c r="X296" s="390">
        <v>1.39</v>
      </c>
      <c r="Y296" s="390" t="s">
        <v>358</v>
      </c>
      <c r="Z296" s="390">
        <v>0.94</v>
      </c>
      <c r="AA296" s="390" t="s">
        <v>357</v>
      </c>
      <c r="AB296" s="390">
        <v>1</v>
      </c>
      <c r="AC296" s="390" t="s">
        <v>365</v>
      </c>
      <c r="AD296" s="392">
        <v>1</v>
      </c>
      <c r="AE296" s="390" t="s">
        <v>364</v>
      </c>
      <c r="AF296" s="390">
        <v>20</v>
      </c>
      <c r="AG296" s="390" t="s">
        <v>363</v>
      </c>
      <c r="AH296" s="390">
        <v>250</v>
      </c>
      <c r="AI296" s="390" t="s">
        <v>355</v>
      </c>
      <c r="AJ296" s="393">
        <v>4.8399999999999997E-3</v>
      </c>
      <c r="AK296" s="390" t="s">
        <v>354</v>
      </c>
      <c r="AL296" s="392">
        <v>0.95</v>
      </c>
      <c r="AM296" s="390"/>
      <c r="AN296" s="390"/>
      <c r="AO296" s="166"/>
      <c r="AP296" s="166"/>
      <c r="AQ296" s="166"/>
      <c r="AR296" s="166"/>
      <c r="AS296" s="166"/>
      <c r="AT296" s="166"/>
      <c r="AU296" s="343"/>
      <c r="AV296" s="343"/>
      <c r="AW296" s="343"/>
      <c r="AX296" s="343"/>
      <c r="AY296" s="344"/>
      <c r="AZ296" s="345"/>
      <c r="BA296" s="346"/>
      <c r="BB296" s="27"/>
    </row>
    <row r="297" spans="1:54">
      <c r="A297" s="2" t="str">
        <f t="shared" si="42"/>
        <v>Bus - Public Assessments_Showerhead</v>
      </c>
      <c r="B297" s="18">
        <v>294</v>
      </c>
      <c r="C297" s="18" t="s">
        <v>725</v>
      </c>
      <c r="D297" s="18" t="s">
        <v>731</v>
      </c>
      <c r="E297" s="23" t="s">
        <v>150</v>
      </c>
      <c r="F297" s="23">
        <v>1</v>
      </c>
      <c r="G297" s="154">
        <v>0.79</v>
      </c>
      <c r="H297" s="447">
        <v>10</v>
      </c>
      <c r="I297" s="436">
        <v>10</v>
      </c>
      <c r="J297" s="23">
        <v>36</v>
      </c>
      <c r="K297" s="23">
        <f t="shared" si="47"/>
        <v>36</v>
      </c>
      <c r="L297" s="23">
        <f t="shared" si="48"/>
        <v>36</v>
      </c>
      <c r="M297" s="23">
        <f t="shared" si="48"/>
        <v>36</v>
      </c>
      <c r="N297" s="215">
        <f>100%*((X297*AB297-Z297*AB297)*AD297*365.25)*AF297*AH297</f>
        <v>19.917921113999995</v>
      </c>
      <c r="O297" s="215">
        <f t="shared" si="45"/>
        <v>19.917921113999995</v>
      </c>
      <c r="P297" s="215">
        <f t="shared" si="45"/>
        <v>19.917921113999995</v>
      </c>
      <c r="Q297" s="215">
        <f t="shared" si="45"/>
        <v>19.917921113999995</v>
      </c>
      <c r="R297" s="15" t="s">
        <v>838</v>
      </c>
      <c r="S297" s="15" t="s">
        <v>840</v>
      </c>
      <c r="T297" s="15" t="s">
        <v>361</v>
      </c>
      <c r="U297" s="15" t="s">
        <v>360</v>
      </c>
      <c r="V297" s="390" t="s">
        <v>353</v>
      </c>
      <c r="W297" s="390" t="s">
        <v>359</v>
      </c>
      <c r="X297" s="390">
        <v>2.67</v>
      </c>
      <c r="Y297" s="390" t="s">
        <v>358</v>
      </c>
      <c r="Z297" s="390">
        <v>1.5</v>
      </c>
      <c r="AA297" s="390" t="s">
        <v>357</v>
      </c>
      <c r="AB297" s="390">
        <v>8.1999999999999993</v>
      </c>
      <c r="AC297" s="390" t="s">
        <v>356</v>
      </c>
      <c r="AD297" s="390">
        <v>1</v>
      </c>
      <c r="AE297" s="390" t="s">
        <v>355</v>
      </c>
      <c r="AF297" s="465">
        <v>5.7999999999999996E-3</v>
      </c>
      <c r="AG297" s="390" t="s">
        <v>354</v>
      </c>
      <c r="AH297" s="392">
        <v>0.98</v>
      </c>
      <c r="AI297" s="390"/>
      <c r="AJ297" s="390"/>
      <c r="AK297" s="390"/>
      <c r="AL297" s="390"/>
      <c r="AM297" s="390"/>
      <c r="AN297" s="390"/>
      <c r="AO297" s="166"/>
      <c r="AP297" s="166"/>
      <c r="AQ297" s="166"/>
      <c r="AR297" s="166"/>
      <c r="AS297" s="166"/>
      <c r="AT297" s="166"/>
      <c r="AU297" s="343"/>
      <c r="AV297" s="343"/>
      <c r="AW297" s="343"/>
      <c r="AX297" s="343"/>
      <c r="AY297" s="344"/>
      <c r="AZ297" s="345"/>
      <c r="BA297" s="346"/>
      <c r="BB297" s="27"/>
    </row>
    <row r="298" spans="1:54">
      <c r="A298" s="2" t="str">
        <f t="shared" si="42"/>
        <v>Bus - Public Assessments_Pipe Insulation - DHW</v>
      </c>
      <c r="B298" s="18">
        <v>295</v>
      </c>
      <c r="C298" s="18" t="s">
        <v>725</v>
      </c>
      <c r="D298" s="18" t="s">
        <v>681</v>
      </c>
      <c r="E298" s="23" t="s">
        <v>150</v>
      </c>
      <c r="F298" s="23">
        <v>1</v>
      </c>
      <c r="G298" s="154">
        <v>0.79</v>
      </c>
      <c r="H298" s="447">
        <v>15</v>
      </c>
      <c r="I298" s="436">
        <v>15</v>
      </c>
      <c r="J298" s="23">
        <v>765</v>
      </c>
      <c r="K298" s="23">
        <f t="shared" si="47"/>
        <v>765</v>
      </c>
      <c r="L298" s="23">
        <f t="shared" si="48"/>
        <v>765</v>
      </c>
      <c r="M298" s="23">
        <f t="shared" si="48"/>
        <v>765</v>
      </c>
      <c r="N298" s="216">
        <f>'Pipe Insulation Detail'!$B$48</f>
        <v>5.2492031493764015</v>
      </c>
      <c r="O298" s="215">
        <f t="shared" si="45"/>
        <v>5.2492031493764015</v>
      </c>
      <c r="P298" s="215">
        <f t="shared" si="45"/>
        <v>5.2492031493764015</v>
      </c>
      <c r="Q298" s="215">
        <f t="shared" si="45"/>
        <v>5.2492031493764015</v>
      </c>
      <c r="R298" s="15" t="s">
        <v>837</v>
      </c>
      <c r="S298" s="15" t="s">
        <v>840</v>
      </c>
      <c r="T298" s="15" t="s">
        <v>201</v>
      </c>
      <c r="U298" s="15" t="s">
        <v>200</v>
      </c>
      <c r="V298" s="413" t="s">
        <v>852</v>
      </c>
      <c r="W298" s="166"/>
      <c r="X298" s="166"/>
      <c r="Y298" s="166"/>
      <c r="Z298" s="166"/>
      <c r="AA298" s="158"/>
      <c r="AB298" s="166"/>
      <c r="AC298" s="158"/>
      <c r="AD298" s="166"/>
      <c r="AE298" s="158"/>
      <c r="AF298" s="166"/>
      <c r="AG298" s="166"/>
      <c r="AH298" s="166"/>
      <c r="AI298" s="166"/>
      <c r="AJ298" s="166"/>
      <c r="AK298" s="166"/>
      <c r="AL298" s="166"/>
      <c r="AM298" s="166"/>
      <c r="AN298" s="166"/>
      <c r="AO298" s="166"/>
      <c r="AP298" s="166"/>
      <c r="AQ298" s="166"/>
      <c r="AR298" s="166"/>
      <c r="AS298" s="166"/>
      <c r="AT298" s="166"/>
      <c r="AU298" s="343"/>
      <c r="AV298" s="343"/>
      <c r="AW298" s="343"/>
      <c r="AX298" s="343"/>
      <c r="AY298" s="344"/>
      <c r="AZ298" s="345"/>
      <c r="BA298" s="346"/>
      <c r="BB298" s="27"/>
    </row>
    <row r="299" spans="1:54">
      <c r="A299" s="2" t="str">
        <f t="shared" si="42"/>
        <v>Bus - Public Assessments_Pre Rinse Sprayer</v>
      </c>
      <c r="B299" s="18">
        <v>296</v>
      </c>
      <c r="C299" s="18" t="s">
        <v>725</v>
      </c>
      <c r="D299" s="18" t="s">
        <v>710</v>
      </c>
      <c r="E299" s="23" t="s">
        <v>150</v>
      </c>
      <c r="F299" s="23">
        <v>1</v>
      </c>
      <c r="G299" s="154">
        <v>0.79</v>
      </c>
      <c r="H299" s="447">
        <v>5</v>
      </c>
      <c r="I299" s="436">
        <v>5</v>
      </c>
      <c r="J299" s="23">
        <v>17</v>
      </c>
      <c r="K299" s="23">
        <f t="shared" si="47"/>
        <v>17</v>
      </c>
      <c r="L299" s="23">
        <f t="shared" si="48"/>
        <v>17</v>
      </c>
      <c r="M299" s="23">
        <f t="shared" si="48"/>
        <v>17</v>
      </c>
      <c r="N299" s="215">
        <f>(X299-Z299)*60*AB299*AD299*8.33*1*(AF299-AH299)*(1/AJ299)/100000</f>
        <v>237.414996</v>
      </c>
      <c r="O299" s="215">
        <f t="shared" si="45"/>
        <v>237.414996</v>
      </c>
      <c r="P299" s="215">
        <f t="shared" si="45"/>
        <v>237.414996</v>
      </c>
      <c r="Q299" s="215">
        <f t="shared" si="45"/>
        <v>237.414996</v>
      </c>
      <c r="R299" s="15" t="s">
        <v>838</v>
      </c>
      <c r="S299" s="15" t="s">
        <v>840</v>
      </c>
      <c r="T299" s="15" t="s">
        <v>351</v>
      </c>
      <c r="U299" s="15" t="s">
        <v>350</v>
      </c>
      <c r="V299" s="157" t="s">
        <v>344</v>
      </c>
      <c r="W299" s="390" t="s">
        <v>349</v>
      </c>
      <c r="X299" s="461">
        <v>2.14</v>
      </c>
      <c r="Y299" s="390" t="s">
        <v>348</v>
      </c>
      <c r="Z299" s="462">
        <v>0.98</v>
      </c>
      <c r="AA299" s="390" t="s">
        <v>347</v>
      </c>
      <c r="AB299" s="418">
        <v>1.5</v>
      </c>
      <c r="AC299" s="390" t="s">
        <v>346</v>
      </c>
      <c r="AD299" s="390">
        <v>312</v>
      </c>
      <c r="AE299" s="390" t="s">
        <v>251</v>
      </c>
      <c r="AF299" s="419">
        <f>70+AH299</f>
        <v>124.1</v>
      </c>
      <c r="AG299" s="390" t="s">
        <v>250</v>
      </c>
      <c r="AH299" s="463">
        <v>54.1</v>
      </c>
      <c r="AI299" s="390" t="s">
        <v>345</v>
      </c>
      <c r="AJ299" s="392">
        <v>0.8</v>
      </c>
      <c r="AK299" s="166"/>
      <c r="AL299" s="166"/>
      <c r="AM299" s="166"/>
      <c r="AN299" s="166"/>
      <c r="AO299" s="166"/>
      <c r="AP299" s="166"/>
      <c r="AQ299" s="166"/>
      <c r="AR299" s="166"/>
      <c r="AS299" s="166"/>
      <c r="AT299" s="166"/>
      <c r="AU299" s="343"/>
      <c r="AV299" s="343"/>
      <c r="AW299" s="343"/>
      <c r="AX299" s="343"/>
      <c r="AY299" s="344"/>
      <c r="AZ299" s="345"/>
      <c r="BA299" s="346"/>
      <c r="BB299" s="27"/>
    </row>
    <row r="300" spans="1:54">
      <c r="A300" s="2" t="str">
        <f t="shared" si="42"/>
        <v>Bus - Public Assessments_Gas Optimization</v>
      </c>
      <c r="B300" s="18">
        <v>297</v>
      </c>
      <c r="C300" s="18" t="s">
        <v>725</v>
      </c>
      <c r="D300" s="18" t="s">
        <v>670</v>
      </c>
      <c r="E300" s="23" t="s">
        <v>150</v>
      </c>
      <c r="F300" s="23">
        <v>1</v>
      </c>
      <c r="G300" s="154">
        <v>1.02</v>
      </c>
      <c r="H300" s="447">
        <v>15</v>
      </c>
      <c r="I300" s="436">
        <v>15</v>
      </c>
      <c r="J300" s="23">
        <v>1</v>
      </c>
      <c r="K300" s="23">
        <f t="shared" si="47"/>
        <v>1</v>
      </c>
      <c r="L300" s="23">
        <f t="shared" si="48"/>
        <v>1</v>
      </c>
      <c r="M300" s="23">
        <f t="shared" si="48"/>
        <v>1</v>
      </c>
      <c r="N300" s="217">
        <v>17650</v>
      </c>
      <c r="O300" s="215">
        <f t="shared" si="45"/>
        <v>17650</v>
      </c>
      <c r="P300" s="215">
        <f t="shared" si="45"/>
        <v>17650</v>
      </c>
      <c r="Q300" s="215">
        <f t="shared" si="45"/>
        <v>17650</v>
      </c>
      <c r="R300" s="15" t="s">
        <v>140</v>
      </c>
      <c r="S300" s="15" t="s">
        <v>140</v>
      </c>
      <c r="T300" s="15" t="s">
        <v>140</v>
      </c>
      <c r="U300" s="15" t="s">
        <v>140</v>
      </c>
      <c r="V300" s="390"/>
      <c r="W300" s="169"/>
      <c r="X300" s="169"/>
      <c r="Y300" s="390"/>
      <c r="Z300" s="390"/>
      <c r="AA300" s="170"/>
      <c r="AB300" s="390"/>
      <c r="AC300" s="157"/>
      <c r="AD300" s="390"/>
      <c r="AE300" s="157"/>
      <c r="AF300" s="390"/>
      <c r="AG300" s="390"/>
      <c r="AH300" s="390"/>
      <c r="AI300" s="390"/>
      <c r="AJ300" s="390"/>
      <c r="AK300" s="390"/>
      <c r="AL300" s="390"/>
      <c r="AM300" s="390"/>
      <c r="AN300" s="390"/>
      <c r="AO300" s="390"/>
      <c r="AP300" s="390"/>
      <c r="AQ300" s="390"/>
      <c r="AR300" s="390"/>
      <c r="AS300" s="390"/>
      <c r="AT300" s="390"/>
      <c r="AU300" s="343"/>
      <c r="AV300" s="343"/>
      <c r="AW300" s="343"/>
      <c r="AX300" s="343"/>
      <c r="AY300" s="344"/>
      <c r="AZ300" s="345"/>
      <c r="BA300" s="346"/>
      <c r="BB300" s="27"/>
    </row>
    <row r="301" spans="1:54">
      <c r="A301" s="2" t="str">
        <f t="shared" si="42"/>
        <v>Bus - Public Assessments_Retrocommissioning</v>
      </c>
      <c r="B301" s="18">
        <v>298</v>
      </c>
      <c r="C301" s="18" t="s">
        <v>725</v>
      </c>
      <c r="D301" s="18" t="s">
        <v>671</v>
      </c>
      <c r="E301" s="23" t="s">
        <v>150</v>
      </c>
      <c r="F301" s="23">
        <v>1</v>
      </c>
      <c r="G301" s="154">
        <v>1.02</v>
      </c>
      <c r="H301" s="447">
        <v>15</v>
      </c>
      <c r="I301" s="436">
        <v>15</v>
      </c>
      <c r="J301" s="23">
        <v>3</v>
      </c>
      <c r="K301" s="23">
        <f t="shared" si="47"/>
        <v>3</v>
      </c>
      <c r="L301" s="23">
        <f t="shared" si="48"/>
        <v>3</v>
      </c>
      <c r="M301" s="23">
        <f t="shared" si="48"/>
        <v>3</v>
      </c>
      <c r="N301" s="217">
        <v>9850</v>
      </c>
      <c r="O301" s="215">
        <f t="shared" si="45"/>
        <v>9850</v>
      </c>
      <c r="P301" s="215">
        <f t="shared" si="45"/>
        <v>9850</v>
      </c>
      <c r="Q301" s="215">
        <f t="shared" si="45"/>
        <v>9850</v>
      </c>
      <c r="R301" s="15" t="s">
        <v>140</v>
      </c>
      <c r="S301" s="15" t="s">
        <v>140</v>
      </c>
      <c r="T301" s="15" t="s">
        <v>140</v>
      </c>
      <c r="U301" s="15" t="s">
        <v>140</v>
      </c>
      <c r="V301" s="390"/>
      <c r="W301" s="169"/>
      <c r="X301" s="169"/>
      <c r="Y301" s="390"/>
      <c r="Z301" s="390"/>
      <c r="AA301" s="170"/>
      <c r="AB301" s="390"/>
      <c r="AC301" s="157"/>
      <c r="AD301" s="390"/>
      <c r="AE301" s="157"/>
      <c r="AF301" s="390"/>
      <c r="AG301" s="390"/>
      <c r="AH301" s="390"/>
      <c r="AI301" s="390"/>
      <c r="AJ301" s="390"/>
      <c r="AK301" s="390"/>
      <c r="AL301" s="390"/>
      <c r="AM301" s="390"/>
      <c r="AN301" s="390"/>
      <c r="AO301" s="390"/>
      <c r="AP301" s="390"/>
      <c r="AQ301" s="390"/>
      <c r="AR301" s="390"/>
      <c r="AS301" s="390"/>
      <c r="AT301" s="390"/>
      <c r="AU301" s="343"/>
      <c r="AV301" s="343"/>
      <c r="AW301" s="343"/>
      <c r="AX301" s="343"/>
      <c r="AY301" s="344"/>
      <c r="AZ301" s="347"/>
      <c r="BA301" s="346"/>
      <c r="BB301" s="27"/>
    </row>
    <row r="302" spans="1:54">
      <c r="A302" s="2" t="str">
        <f t="shared" si="42"/>
        <v>Bus - Public Rebates_Boiler ≥88% AFUE, &lt;300MBh</v>
      </c>
      <c r="B302" s="18">
        <v>299</v>
      </c>
      <c r="C302" s="18" t="s">
        <v>728</v>
      </c>
      <c r="D302" s="18" t="s">
        <v>718</v>
      </c>
      <c r="E302" s="23" t="s">
        <v>240</v>
      </c>
      <c r="F302" s="23">
        <v>200</v>
      </c>
      <c r="G302" s="154">
        <v>0.79</v>
      </c>
      <c r="H302" s="447">
        <v>20</v>
      </c>
      <c r="I302" s="484">
        <v>25</v>
      </c>
      <c r="J302" s="23">
        <v>2</v>
      </c>
      <c r="K302" s="23">
        <f t="shared" si="47"/>
        <v>2</v>
      </c>
      <c r="L302" s="23">
        <f t="shared" si="48"/>
        <v>2</v>
      </c>
      <c r="M302" s="23">
        <f t="shared" si="48"/>
        <v>2</v>
      </c>
      <c r="N302" s="216">
        <f>X302*Z302*((AB302-AD302)/AD302)/100000/F302</f>
        <v>1.2278048780487816</v>
      </c>
      <c r="O302" s="215">
        <f t="shared" si="45"/>
        <v>1.2278048780487816</v>
      </c>
      <c r="P302" s="215">
        <f t="shared" si="45"/>
        <v>1.2278048780487816</v>
      </c>
      <c r="Q302" s="215">
        <f t="shared" si="45"/>
        <v>1.2278048780487816</v>
      </c>
      <c r="R302" s="15" t="s">
        <v>838</v>
      </c>
      <c r="S302" s="15" t="s">
        <v>840</v>
      </c>
      <c r="T302" s="15" t="s">
        <v>343</v>
      </c>
      <c r="U302" s="15" t="s">
        <v>342</v>
      </c>
      <c r="V302" s="166" t="s">
        <v>340</v>
      </c>
      <c r="W302" s="468" t="s">
        <v>271</v>
      </c>
      <c r="X302" s="467">
        <v>1678</v>
      </c>
      <c r="Y302" s="158" t="s">
        <v>273</v>
      </c>
      <c r="Z302" s="398">
        <v>200000</v>
      </c>
      <c r="AA302" s="158" t="s">
        <v>341</v>
      </c>
      <c r="AB302" s="397">
        <v>0.88</v>
      </c>
      <c r="AC302" s="166" t="s">
        <v>248</v>
      </c>
      <c r="AD302" s="397">
        <v>0.82</v>
      </c>
      <c r="AE302" s="166"/>
      <c r="AF302" s="166"/>
      <c r="AG302" s="166"/>
      <c r="AH302" s="166"/>
      <c r="AI302" s="166"/>
      <c r="AJ302" s="166"/>
      <c r="AK302" s="166"/>
      <c r="AL302" s="166"/>
      <c r="AM302" s="166"/>
      <c r="AN302" s="166"/>
      <c r="AO302" s="166"/>
      <c r="AP302" s="166"/>
      <c r="AQ302" s="166"/>
      <c r="AR302" s="166"/>
      <c r="AS302" s="166"/>
      <c r="AT302" s="166"/>
      <c r="AU302" s="343"/>
      <c r="AV302" s="343"/>
      <c r="AW302" s="343"/>
      <c r="AX302" s="343"/>
      <c r="AY302" s="344"/>
      <c r="AZ302" s="347"/>
      <c r="BA302" s="346"/>
      <c r="BB302" s="27"/>
    </row>
    <row r="303" spans="1:54">
      <c r="A303" s="2" t="str">
        <f t="shared" si="42"/>
        <v>Bus - Public Rebates_Boiler ≥88% AFUE, ≥300MBh TE</v>
      </c>
      <c r="B303" s="18">
        <v>300</v>
      </c>
      <c r="C303" s="18" t="s">
        <v>728</v>
      </c>
      <c r="D303" s="18" t="s">
        <v>719</v>
      </c>
      <c r="E303" s="23" t="s">
        <v>240</v>
      </c>
      <c r="F303" s="23">
        <v>400</v>
      </c>
      <c r="G303" s="154">
        <v>0.79</v>
      </c>
      <c r="H303" s="447">
        <v>20</v>
      </c>
      <c r="I303" s="484">
        <v>25</v>
      </c>
      <c r="J303" s="23">
        <v>3</v>
      </c>
      <c r="K303" s="23">
        <f t="shared" si="47"/>
        <v>3</v>
      </c>
      <c r="L303" s="23">
        <f t="shared" si="48"/>
        <v>3</v>
      </c>
      <c r="M303" s="23">
        <f t="shared" si="48"/>
        <v>3</v>
      </c>
      <c r="N303" s="216">
        <f>X303*Z303*((AB303-AD303)/AD303)/100000/F303</f>
        <v>1.6779999999999993</v>
      </c>
      <c r="O303" s="215">
        <f t="shared" si="45"/>
        <v>1.6779999999999993</v>
      </c>
      <c r="P303" s="215">
        <f t="shared" si="45"/>
        <v>1.6779999999999993</v>
      </c>
      <c r="Q303" s="215">
        <f t="shared" si="45"/>
        <v>1.6779999999999993</v>
      </c>
      <c r="R303" s="15" t="s">
        <v>838</v>
      </c>
      <c r="S303" s="15" t="s">
        <v>840</v>
      </c>
      <c r="T303" s="15" t="s">
        <v>343</v>
      </c>
      <c r="U303" s="15" t="s">
        <v>342</v>
      </c>
      <c r="V303" s="166" t="s">
        <v>340</v>
      </c>
      <c r="W303" s="468" t="s">
        <v>271</v>
      </c>
      <c r="X303" s="467">
        <v>1678</v>
      </c>
      <c r="Y303" s="158" t="s">
        <v>273</v>
      </c>
      <c r="Z303" s="398">
        <v>400000</v>
      </c>
      <c r="AA303" s="158" t="s">
        <v>341</v>
      </c>
      <c r="AB303" s="397">
        <v>0.88</v>
      </c>
      <c r="AC303" s="166" t="s">
        <v>248</v>
      </c>
      <c r="AD303" s="397">
        <v>0.8</v>
      </c>
      <c r="AE303" s="166"/>
      <c r="AF303" s="166"/>
      <c r="AG303" s="166"/>
      <c r="AH303" s="166"/>
      <c r="AI303" s="166"/>
      <c r="AJ303" s="166"/>
      <c r="AK303" s="166"/>
      <c r="AL303" s="166"/>
      <c r="AM303" s="166"/>
      <c r="AN303" s="166"/>
      <c r="AO303" s="166"/>
      <c r="AP303" s="166"/>
      <c r="AQ303" s="166"/>
      <c r="AR303" s="166"/>
      <c r="AS303" s="166"/>
      <c r="AT303" s="166"/>
      <c r="AU303" s="343"/>
      <c r="AV303" s="343"/>
      <c r="AW303" s="343"/>
      <c r="AX303" s="343"/>
      <c r="AY303" s="344"/>
      <c r="AZ303" s="345"/>
      <c r="BA303" s="346"/>
      <c r="BB303" s="27"/>
    </row>
    <row r="304" spans="1:54">
      <c r="A304" s="2" t="str">
        <f t="shared" si="42"/>
        <v>Bus - Public Rebates_Boiler Reset Controls</v>
      </c>
      <c r="B304" s="18">
        <v>301</v>
      </c>
      <c r="C304" s="18" t="s">
        <v>728</v>
      </c>
      <c r="D304" s="18" t="s">
        <v>1061</v>
      </c>
      <c r="E304" s="23" t="s">
        <v>150</v>
      </c>
      <c r="F304" s="23">
        <v>200</v>
      </c>
      <c r="G304" s="154">
        <v>0.79</v>
      </c>
      <c r="H304" s="447">
        <v>20</v>
      </c>
      <c r="I304" s="436">
        <v>20</v>
      </c>
      <c r="J304" s="23">
        <v>30</v>
      </c>
      <c r="K304" s="23">
        <f t="shared" si="47"/>
        <v>30</v>
      </c>
      <c r="L304" s="23">
        <f t="shared" si="48"/>
        <v>30</v>
      </c>
      <c r="M304" s="23">
        <f t="shared" si="48"/>
        <v>30</v>
      </c>
      <c r="N304" s="216">
        <f>X304*Z304/100</f>
        <v>1.3424</v>
      </c>
      <c r="O304" s="215">
        <f t="shared" si="45"/>
        <v>1.3424</v>
      </c>
      <c r="P304" s="215">
        <f t="shared" si="45"/>
        <v>1.3424</v>
      </c>
      <c r="Q304" s="215">
        <f t="shared" si="45"/>
        <v>1.3424</v>
      </c>
      <c r="R304" s="15" t="s">
        <v>838</v>
      </c>
      <c r="S304" s="15" t="s">
        <v>840</v>
      </c>
      <c r="T304" s="15" t="s">
        <v>339</v>
      </c>
      <c r="U304" s="15" t="s">
        <v>338</v>
      </c>
      <c r="V304" s="166" t="s">
        <v>336</v>
      </c>
      <c r="W304" s="468" t="s">
        <v>271</v>
      </c>
      <c r="X304" s="467">
        <v>1678</v>
      </c>
      <c r="Y304" s="158" t="s">
        <v>337</v>
      </c>
      <c r="Z304" s="399">
        <v>0.08</v>
      </c>
      <c r="AA304" s="158"/>
      <c r="AB304" s="158"/>
      <c r="AC304" s="158"/>
      <c r="AD304" s="158"/>
      <c r="AE304" s="158"/>
      <c r="AF304" s="166"/>
      <c r="AG304" s="166"/>
      <c r="AH304" s="166"/>
      <c r="AI304" s="166"/>
      <c r="AJ304" s="166"/>
      <c r="AK304" s="166"/>
      <c r="AL304" s="166"/>
      <c r="AM304" s="166"/>
      <c r="AN304" s="166"/>
      <c r="AO304" s="166"/>
      <c r="AP304" s="166"/>
      <c r="AQ304" s="166"/>
      <c r="AR304" s="166"/>
      <c r="AS304" s="166"/>
      <c r="AT304" s="166"/>
      <c r="AU304" s="343"/>
      <c r="AV304" s="343"/>
      <c r="AW304" s="343"/>
      <c r="AX304" s="343"/>
      <c r="AY304" s="344"/>
      <c r="AZ304" s="345"/>
      <c r="BA304" s="346"/>
      <c r="BB304" s="27"/>
    </row>
    <row r="305" spans="1:54">
      <c r="A305" s="2" t="str">
        <f t="shared" si="42"/>
        <v>Bus - Public Rebates_Boiler Tune Up - Process</v>
      </c>
      <c r="B305" s="18">
        <v>302</v>
      </c>
      <c r="C305" s="18" t="s">
        <v>728</v>
      </c>
      <c r="D305" s="18" t="s">
        <v>335</v>
      </c>
      <c r="E305" s="23" t="s">
        <v>240</v>
      </c>
      <c r="F305" s="23">
        <v>2500</v>
      </c>
      <c r="G305" s="154">
        <v>0.79</v>
      </c>
      <c r="H305" s="447">
        <v>3</v>
      </c>
      <c r="I305" s="436">
        <v>3</v>
      </c>
      <c r="J305" s="23">
        <v>14</v>
      </c>
      <c r="K305" s="23">
        <f t="shared" si="47"/>
        <v>14</v>
      </c>
      <c r="L305" s="23">
        <f t="shared" si="48"/>
        <v>14</v>
      </c>
      <c r="M305" s="23">
        <f t="shared" si="48"/>
        <v>14</v>
      </c>
      <c r="N305" s="216">
        <f>(X305*8766*Z305)/100*(1-AB305/AD305)</f>
        <v>0.83823507428978783</v>
      </c>
      <c r="O305" s="215">
        <f t="shared" si="45"/>
        <v>0.83823507428978783</v>
      </c>
      <c r="P305" s="215">
        <f t="shared" si="45"/>
        <v>0.83823507428978783</v>
      </c>
      <c r="Q305" s="215">
        <f t="shared" si="45"/>
        <v>0.83823507428978783</v>
      </c>
      <c r="R305" s="15" t="s">
        <v>838</v>
      </c>
      <c r="S305" s="15" t="s">
        <v>840</v>
      </c>
      <c r="T305" s="15" t="s">
        <v>334</v>
      </c>
      <c r="U305" s="15" t="s">
        <v>333</v>
      </c>
      <c r="V305" s="166" t="s">
        <v>328</v>
      </c>
      <c r="W305" s="166" t="s">
        <v>332</v>
      </c>
      <c r="X305" s="398">
        <v>1</v>
      </c>
      <c r="Y305" s="166" t="s">
        <v>331</v>
      </c>
      <c r="Z305" s="405">
        <v>0.41899999999999998</v>
      </c>
      <c r="AA305" s="158" t="s">
        <v>330</v>
      </c>
      <c r="AB305" s="406">
        <v>0.82210000000000005</v>
      </c>
      <c r="AC305" s="158" t="s">
        <v>329</v>
      </c>
      <c r="AD305" s="406">
        <v>0.84130000000000005</v>
      </c>
      <c r="AE305" s="158"/>
      <c r="AF305" s="166"/>
      <c r="AG305" s="166"/>
      <c r="AH305" s="166"/>
      <c r="AI305" s="166"/>
      <c r="AJ305" s="166"/>
      <c r="AK305" s="166"/>
      <c r="AL305" s="166"/>
      <c r="AM305" s="166"/>
      <c r="AN305" s="166"/>
      <c r="AO305" s="166"/>
      <c r="AP305" s="166"/>
      <c r="AQ305" s="166"/>
      <c r="AR305" s="166"/>
      <c r="AS305" s="166"/>
      <c r="AT305" s="166"/>
      <c r="AU305" s="343"/>
      <c r="AV305" s="343"/>
      <c r="AW305" s="343"/>
      <c r="AX305" s="343"/>
      <c r="AY305" s="344"/>
      <c r="AZ305" s="345"/>
      <c r="BA305" s="346"/>
      <c r="BB305" s="27"/>
    </row>
    <row r="306" spans="1:54">
      <c r="A306" s="2" t="str">
        <f t="shared" si="42"/>
        <v>Bus - Public Rebates_Boiler Tune Up - Space Heating</v>
      </c>
      <c r="B306" s="18">
        <v>303</v>
      </c>
      <c r="C306" s="18" t="s">
        <v>728</v>
      </c>
      <c r="D306" s="18" t="s">
        <v>724</v>
      </c>
      <c r="E306" s="23" t="s">
        <v>240</v>
      </c>
      <c r="F306" s="23">
        <v>2500</v>
      </c>
      <c r="G306" s="154">
        <v>0.79</v>
      </c>
      <c r="H306" s="447">
        <v>3</v>
      </c>
      <c r="I306" s="436">
        <v>3</v>
      </c>
      <c r="J306" s="23">
        <v>0</v>
      </c>
      <c r="K306" s="23">
        <f t="shared" si="47"/>
        <v>0</v>
      </c>
      <c r="L306" s="23">
        <f t="shared" si="48"/>
        <v>0</v>
      </c>
      <c r="M306" s="23">
        <f t="shared" si="48"/>
        <v>0</v>
      </c>
      <c r="N306" s="216">
        <f>AD306*(X306*((AB306/Z306)-1))/100000</f>
        <v>0.3918939301788088</v>
      </c>
      <c r="O306" s="215">
        <f t="shared" ref="O306:Q325" si="49">N306</f>
        <v>0.3918939301788088</v>
      </c>
      <c r="P306" s="215">
        <f t="shared" si="49"/>
        <v>0.3918939301788088</v>
      </c>
      <c r="Q306" s="215">
        <f t="shared" si="49"/>
        <v>0.3918939301788088</v>
      </c>
      <c r="R306" s="15" t="s">
        <v>838</v>
      </c>
      <c r="S306" s="15" t="s">
        <v>840</v>
      </c>
      <c r="T306" s="15" t="s">
        <v>327</v>
      </c>
      <c r="U306" s="15" t="s">
        <v>326</v>
      </c>
      <c r="V306" s="166" t="s">
        <v>322</v>
      </c>
      <c r="W306" s="468" t="s">
        <v>271</v>
      </c>
      <c r="X306" s="467">
        <v>1678</v>
      </c>
      <c r="Y306" s="158" t="s">
        <v>325</v>
      </c>
      <c r="Z306" s="406">
        <v>0.82210000000000005</v>
      </c>
      <c r="AA306" s="158" t="s">
        <v>324</v>
      </c>
      <c r="AB306" s="406">
        <v>0.84130000000000005</v>
      </c>
      <c r="AC306" s="166" t="s">
        <v>323</v>
      </c>
      <c r="AD306" s="407">
        <v>1000</v>
      </c>
      <c r="AE306" s="166"/>
      <c r="AF306" s="166"/>
      <c r="AG306" s="166"/>
      <c r="AH306" s="166"/>
      <c r="AI306" s="166"/>
      <c r="AJ306" s="166"/>
      <c r="AK306" s="166"/>
      <c r="AL306" s="166"/>
      <c r="AM306" s="166"/>
      <c r="AN306" s="166"/>
      <c r="AO306" s="166"/>
      <c r="AP306" s="166"/>
      <c r="AQ306" s="166"/>
      <c r="AR306" s="166"/>
      <c r="AS306" s="166"/>
      <c r="AT306" s="166"/>
      <c r="AU306" s="343"/>
      <c r="AV306" s="343"/>
      <c r="AW306" s="343"/>
      <c r="AX306" s="343"/>
      <c r="AY306" s="344"/>
      <c r="AZ306" s="345"/>
      <c r="BA306" s="346"/>
      <c r="BB306" s="27"/>
    </row>
    <row r="307" spans="1:54">
      <c r="A307" s="2" t="str">
        <f t="shared" si="42"/>
        <v>Bus - Public Rebates_Condensing Unit Heater</v>
      </c>
      <c r="B307" s="18">
        <v>304</v>
      </c>
      <c r="C307" s="18" t="s">
        <v>728</v>
      </c>
      <c r="D307" s="18" t="s">
        <v>321</v>
      </c>
      <c r="E307" s="23" t="s">
        <v>240</v>
      </c>
      <c r="F307" s="23">
        <v>150</v>
      </c>
      <c r="G307" s="154">
        <v>0.79</v>
      </c>
      <c r="H307" s="447">
        <v>12</v>
      </c>
      <c r="I307" s="436">
        <v>12</v>
      </c>
      <c r="J307" s="23">
        <v>0</v>
      </c>
      <c r="K307" s="23">
        <f t="shared" si="47"/>
        <v>0</v>
      </c>
      <c r="L307" s="23">
        <f t="shared" si="48"/>
        <v>0</v>
      </c>
      <c r="M307" s="23">
        <f t="shared" si="48"/>
        <v>0</v>
      </c>
      <c r="N307" s="216">
        <f>266/F307</f>
        <v>1.7733333333333334</v>
      </c>
      <c r="O307" s="215">
        <f t="shared" si="49"/>
        <v>1.7733333333333334</v>
      </c>
      <c r="P307" s="215">
        <f t="shared" si="49"/>
        <v>1.7733333333333334</v>
      </c>
      <c r="Q307" s="215">
        <f t="shared" si="49"/>
        <v>1.7733333333333334</v>
      </c>
      <c r="R307" s="15" t="s">
        <v>838</v>
      </c>
      <c r="S307" s="15" t="s">
        <v>840</v>
      </c>
      <c r="T307" s="15" t="s">
        <v>320</v>
      </c>
      <c r="U307" s="15" t="s">
        <v>319</v>
      </c>
      <c r="V307" s="166" t="s">
        <v>318</v>
      </c>
      <c r="W307" s="166"/>
      <c r="X307" s="166"/>
      <c r="Y307" s="166"/>
      <c r="Z307" s="166"/>
      <c r="AA307" s="158"/>
      <c r="AB307" s="166"/>
      <c r="AC307" s="158"/>
      <c r="AD307" s="166"/>
      <c r="AE307" s="158"/>
      <c r="AF307" s="166"/>
      <c r="AG307" s="166"/>
      <c r="AH307" s="166"/>
      <c r="AI307" s="166"/>
      <c r="AJ307" s="166"/>
      <c r="AK307" s="166"/>
      <c r="AL307" s="166"/>
      <c r="AM307" s="166"/>
      <c r="AN307" s="166"/>
      <c r="AO307" s="166"/>
      <c r="AP307" s="166"/>
      <c r="AQ307" s="166"/>
      <c r="AR307" s="166"/>
      <c r="AS307" s="166"/>
      <c r="AT307" s="166"/>
      <c r="AU307" s="343"/>
      <c r="AV307" s="343"/>
      <c r="AW307" s="343"/>
      <c r="AX307" s="343"/>
      <c r="AY307" s="344"/>
      <c r="AZ307" s="345"/>
      <c r="BA307" s="346"/>
      <c r="BB307" s="27"/>
    </row>
    <row r="308" spans="1:54">
      <c r="A308" s="2" t="str">
        <f t="shared" si="42"/>
        <v>Bus - Public Rebates_DCV - Kitchen</v>
      </c>
      <c r="B308" s="18">
        <v>305</v>
      </c>
      <c r="C308" s="18" t="s">
        <v>728</v>
      </c>
      <c r="D308" s="18" t="s">
        <v>312</v>
      </c>
      <c r="E308" s="23" t="s">
        <v>150</v>
      </c>
      <c r="F308" s="23">
        <v>1</v>
      </c>
      <c r="G308" s="154">
        <v>0.79</v>
      </c>
      <c r="H308" s="447">
        <v>15</v>
      </c>
      <c r="I308" s="436">
        <v>15</v>
      </c>
      <c r="J308" s="23">
        <v>14</v>
      </c>
      <c r="K308" s="23">
        <f t="shared" si="47"/>
        <v>14</v>
      </c>
      <c r="L308" s="23">
        <f t="shared" si="48"/>
        <v>14</v>
      </c>
      <c r="M308" s="23">
        <f t="shared" si="48"/>
        <v>14</v>
      </c>
      <c r="N308" s="216">
        <f>X308*Z308*AB308/(AD308*100000)</f>
        <v>5998.5</v>
      </c>
      <c r="O308" s="215">
        <f t="shared" si="49"/>
        <v>5998.5</v>
      </c>
      <c r="P308" s="215">
        <f t="shared" si="49"/>
        <v>5998.5</v>
      </c>
      <c r="Q308" s="215">
        <f t="shared" si="49"/>
        <v>5998.5</v>
      </c>
      <c r="R308" s="15" t="s">
        <v>838</v>
      </c>
      <c r="S308" s="15" t="s">
        <v>840</v>
      </c>
      <c r="T308" s="15" t="s">
        <v>311</v>
      </c>
      <c r="U308" s="15" t="s">
        <v>310</v>
      </c>
      <c r="V308" s="166" t="s">
        <v>306</v>
      </c>
      <c r="W308" s="166" t="s">
        <v>305</v>
      </c>
      <c r="X308" s="166">
        <v>430</v>
      </c>
      <c r="Y308" s="166" t="s">
        <v>309</v>
      </c>
      <c r="Z308" s="166">
        <v>7.75</v>
      </c>
      <c r="AA308" s="158" t="s">
        <v>308</v>
      </c>
      <c r="AB308" s="411">
        <v>144000</v>
      </c>
      <c r="AC308" s="158" t="s">
        <v>307</v>
      </c>
      <c r="AD308" s="397">
        <v>0.8</v>
      </c>
      <c r="AE308" s="158"/>
      <c r="AF308" s="166"/>
      <c r="AG308" s="166"/>
      <c r="AH308" s="166"/>
      <c r="AI308" s="166"/>
      <c r="AJ308" s="166"/>
      <c r="AK308" s="166"/>
      <c r="AL308" s="166"/>
      <c r="AM308" s="166"/>
      <c r="AN308" s="166"/>
      <c r="AO308" s="166"/>
      <c r="AP308" s="166"/>
      <c r="AQ308" s="166"/>
      <c r="AR308" s="166"/>
      <c r="AS308" s="166"/>
      <c r="AT308" s="166"/>
      <c r="AU308" s="343"/>
      <c r="AV308" s="343"/>
      <c r="AW308" s="343"/>
      <c r="AX308" s="343"/>
      <c r="AY308" s="344"/>
      <c r="AZ308" s="345"/>
      <c r="BA308" s="346"/>
      <c r="BB308" s="27"/>
    </row>
    <row r="309" spans="1:54">
      <c r="A309" s="2" t="str">
        <f t="shared" si="42"/>
        <v>Bus - Public Rebates_Direct Fired Heaters</v>
      </c>
      <c r="B309" s="18">
        <v>306</v>
      </c>
      <c r="C309" s="18" t="s">
        <v>728</v>
      </c>
      <c r="D309" s="18" t="s">
        <v>317</v>
      </c>
      <c r="E309" s="23" t="s">
        <v>240</v>
      </c>
      <c r="F309" s="23">
        <v>150</v>
      </c>
      <c r="G309" s="154">
        <v>0.79</v>
      </c>
      <c r="H309" s="447">
        <v>20</v>
      </c>
      <c r="I309" s="436">
        <v>20</v>
      </c>
      <c r="J309" s="23">
        <v>0</v>
      </c>
      <c r="K309" s="23">
        <f t="shared" si="47"/>
        <v>0</v>
      </c>
      <c r="L309" s="23">
        <f t="shared" si="48"/>
        <v>0</v>
      </c>
      <c r="M309" s="23">
        <f t="shared" si="48"/>
        <v>0</v>
      </c>
      <c r="N309" s="216">
        <f>AF309*X309*(Z309/AB309-1)/100000</f>
        <v>2.5169999999999986</v>
      </c>
      <c r="O309" s="215">
        <f t="shared" si="49"/>
        <v>2.5169999999999986</v>
      </c>
      <c r="P309" s="215">
        <f t="shared" si="49"/>
        <v>2.5169999999999986</v>
      </c>
      <c r="Q309" s="215">
        <f t="shared" si="49"/>
        <v>2.5169999999999986</v>
      </c>
      <c r="R309" s="15" t="s">
        <v>140</v>
      </c>
      <c r="S309" s="15" t="s">
        <v>140</v>
      </c>
      <c r="T309" s="15" t="s">
        <v>140</v>
      </c>
      <c r="U309" s="15" t="s">
        <v>140</v>
      </c>
      <c r="V309" s="166" t="s">
        <v>313</v>
      </c>
      <c r="W309" s="166" t="s">
        <v>273</v>
      </c>
      <c r="X309" s="166">
        <v>1000</v>
      </c>
      <c r="Y309" s="166" t="s">
        <v>316</v>
      </c>
      <c r="Z309" s="397">
        <v>0.92</v>
      </c>
      <c r="AA309" s="158" t="s">
        <v>315</v>
      </c>
      <c r="AB309" s="397">
        <v>0.8</v>
      </c>
      <c r="AC309" s="466" t="s">
        <v>302</v>
      </c>
      <c r="AD309" s="468">
        <f>(1540+1782)/2</f>
        <v>1661</v>
      </c>
      <c r="AE309" s="466" t="s">
        <v>314</v>
      </c>
      <c r="AF309" s="468">
        <v>1678</v>
      </c>
      <c r="AG309" s="166"/>
      <c r="AH309" s="166"/>
      <c r="AI309" s="166"/>
      <c r="AJ309" s="166"/>
      <c r="AK309" s="166"/>
      <c r="AL309" s="166"/>
      <c r="AM309" s="166"/>
      <c r="AN309" s="166"/>
      <c r="AO309" s="166"/>
      <c r="AP309" s="166"/>
      <c r="AQ309" s="166"/>
      <c r="AR309" s="166"/>
      <c r="AS309" s="166"/>
      <c r="AT309" s="166"/>
      <c r="AU309" s="343"/>
      <c r="AV309" s="343"/>
      <c r="AW309" s="343"/>
      <c r="AX309" s="343"/>
      <c r="AY309" s="344"/>
      <c r="AZ309" s="345"/>
      <c r="BA309" s="346"/>
      <c r="BB309" s="27"/>
    </row>
    <row r="310" spans="1:54">
      <c r="A310" s="2" t="str">
        <f t="shared" si="42"/>
        <v>Bus - Public Rebates_High Speed Washer - Hotel/Motel/Hospital</v>
      </c>
      <c r="B310" s="18">
        <v>307</v>
      </c>
      <c r="C310" s="18" t="s">
        <v>728</v>
      </c>
      <c r="D310" s="18" t="s">
        <v>238</v>
      </c>
      <c r="E310" s="23" t="s">
        <v>237</v>
      </c>
      <c r="F310" s="23">
        <v>250</v>
      </c>
      <c r="G310" s="154">
        <v>0.79</v>
      </c>
      <c r="H310" s="447">
        <v>7</v>
      </c>
      <c r="I310" s="436">
        <v>7</v>
      </c>
      <c r="J310" s="23">
        <v>0</v>
      </c>
      <c r="K310" s="23">
        <f t="shared" si="47"/>
        <v>0</v>
      </c>
      <c r="L310" s="23">
        <f t="shared" si="48"/>
        <v>0</v>
      </c>
      <c r="M310" s="23">
        <f t="shared" si="48"/>
        <v>0</v>
      </c>
      <c r="N310" s="216">
        <f>X310*Z310*AB310*AD310*AF310/AH310/100000*AJ310*AL310/F310</f>
        <v>11.243232000000003</v>
      </c>
      <c r="O310" s="215">
        <f t="shared" si="49"/>
        <v>11.243232000000003</v>
      </c>
      <c r="P310" s="215">
        <f t="shared" si="49"/>
        <v>11.243232000000003</v>
      </c>
      <c r="Q310" s="215">
        <f t="shared" si="49"/>
        <v>11.243232000000003</v>
      </c>
      <c r="R310" s="15" t="s">
        <v>838</v>
      </c>
      <c r="S310" s="15" t="s">
        <v>840</v>
      </c>
      <c r="T310" s="15" t="s">
        <v>236</v>
      </c>
      <c r="U310" s="15" t="s">
        <v>235</v>
      </c>
      <c r="V310" s="410"/>
      <c r="W310" s="166" t="s">
        <v>234</v>
      </c>
      <c r="X310" s="166">
        <v>10.4</v>
      </c>
      <c r="Y310" s="166" t="s">
        <v>233</v>
      </c>
      <c r="Z310" s="166">
        <v>360</v>
      </c>
      <c r="AA310" s="158" t="s">
        <v>232</v>
      </c>
      <c r="AB310" s="398">
        <v>250</v>
      </c>
      <c r="AC310" s="158" t="s">
        <v>231</v>
      </c>
      <c r="AD310" s="403">
        <v>0.25</v>
      </c>
      <c r="AE310" s="158" t="s">
        <v>230</v>
      </c>
      <c r="AF310" s="398">
        <v>1200</v>
      </c>
      <c r="AG310" s="397" t="s">
        <v>229</v>
      </c>
      <c r="AH310" s="397">
        <v>0.6</v>
      </c>
      <c r="AI310" s="166" t="s">
        <v>228</v>
      </c>
      <c r="AJ310" s="397">
        <v>0.91</v>
      </c>
      <c r="AK310" s="166" t="s">
        <v>227</v>
      </c>
      <c r="AL310" s="403">
        <v>0.66</v>
      </c>
      <c r="AM310" s="166"/>
      <c r="AN310" s="166"/>
      <c r="AO310" s="166"/>
      <c r="AP310" s="166"/>
      <c r="AQ310" s="166"/>
      <c r="AR310" s="166"/>
      <c r="AS310" s="166"/>
      <c r="AT310" s="166"/>
      <c r="AU310" s="343"/>
      <c r="AV310" s="343"/>
      <c r="AW310" s="343"/>
      <c r="AX310" s="343"/>
      <c r="AY310" s="344"/>
      <c r="AZ310" s="345"/>
      <c r="BA310" s="346"/>
      <c r="BB310" s="27"/>
    </row>
    <row r="311" spans="1:54">
      <c r="A311" s="2" t="str">
        <f t="shared" si="42"/>
        <v>Bus - Public Rebates_Infrared Heater</v>
      </c>
      <c r="B311" s="18">
        <v>308</v>
      </c>
      <c r="C311" s="18" t="s">
        <v>728</v>
      </c>
      <c r="D311" s="18" t="s">
        <v>295</v>
      </c>
      <c r="E311" s="23" t="s">
        <v>240</v>
      </c>
      <c r="F311" s="23">
        <v>150</v>
      </c>
      <c r="G311" s="154">
        <v>0.79</v>
      </c>
      <c r="H311" s="447">
        <v>12</v>
      </c>
      <c r="I311" s="436">
        <v>12</v>
      </c>
      <c r="J311" s="23">
        <v>0</v>
      </c>
      <c r="K311" s="23">
        <f t="shared" si="47"/>
        <v>0</v>
      </c>
      <c r="L311" s="23">
        <f t="shared" si="48"/>
        <v>0</v>
      </c>
      <c r="M311" s="23">
        <f t="shared" si="48"/>
        <v>0</v>
      </c>
      <c r="N311" s="216">
        <f>451/F311</f>
        <v>3.0066666666666668</v>
      </c>
      <c r="O311" s="215">
        <f t="shared" si="49"/>
        <v>3.0066666666666668</v>
      </c>
      <c r="P311" s="215">
        <f t="shared" si="49"/>
        <v>3.0066666666666668</v>
      </c>
      <c r="Q311" s="215">
        <f t="shared" si="49"/>
        <v>3.0066666666666668</v>
      </c>
      <c r="R311" s="15" t="s">
        <v>838</v>
      </c>
      <c r="S311" s="15" t="s">
        <v>840</v>
      </c>
      <c r="T311" s="15" t="s">
        <v>294</v>
      </c>
      <c r="U311" s="15" t="s">
        <v>293</v>
      </c>
      <c r="V311" s="166" t="s">
        <v>291</v>
      </c>
      <c r="W311" s="166" t="s">
        <v>292</v>
      </c>
      <c r="X311" s="411">
        <v>150</v>
      </c>
      <c r="Y311" s="166"/>
      <c r="Z311" s="166"/>
      <c r="AA311" s="158"/>
      <c r="AB311" s="166"/>
      <c r="AC311" s="158"/>
      <c r="AD311" s="166"/>
      <c r="AE311" s="158"/>
      <c r="AF311" s="166"/>
      <c r="AG311" s="166"/>
      <c r="AH311" s="166"/>
      <c r="AI311" s="166"/>
      <c r="AJ311" s="166"/>
      <c r="AK311" s="166"/>
      <c r="AL311" s="166"/>
      <c r="AM311" s="166"/>
      <c r="AN311" s="166"/>
      <c r="AO311" s="166"/>
      <c r="AP311" s="166"/>
      <c r="AQ311" s="166"/>
      <c r="AR311" s="166"/>
      <c r="AS311" s="166"/>
      <c r="AT311" s="166"/>
      <c r="AU311" s="343"/>
      <c r="AV311" s="343"/>
      <c r="AW311" s="343"/>
      <c r="AX311" s="343"/>
      <c r="AY311" s="344"/>
      <c r="AZ311" s="345"/>
      <c r="BA311" s="346"/>
      <c r="BB311" s="27"/>
    </row>
    <row r="312" spans="1:54">
      <c r="A312" s="2" t="str">
        <f t="shared" si="42"/>
        <v>Bus - Public Rebates_Modulating Commercial Gas Clothes Dryer</v>
      </c>
      <c r="B312" s="18">
        <v>309</v>
      </c>
      <c r="C312" s="18" t="s">
        <v>728</v>
      </c>
      <c r="D312" s="18" t="s">
        <v>290</v>
      </c>
      <c r="E312" s="23" t="s">
        <v>150</v>
      </c>
      <c r="F312" s="23">
        <v>1</v>
      </c>
      <c r="G312" s="154">
        <v>0.79</v>
      </c>
      <c r="H312" s="447">
        <v>14</v>
      </c>
      <c r="I312" s="436">
        <v>14</v>
      </c>
      <c r="J312" s="23">
        <v>0</v>
      </c>
      <c r="K312" s="23">
        <f t="shared" si="47"/>
        <v>0</v>
      </c>
      <c r="L312" s="23">
        <f t="shared" si="48"/>
        <v>0</v>
      </c>
      <c r="M312" s="23">
        <f t="shared" si="48"/>
        <v>0</v>
      </c>
      <c r="N312" s="216">
        <f>1483*0.18</f>
        <v>266.94</v>
      </c>
      <c r="O312" s="215">
        <f t="shared" si="49"/>
        <v>266.94</v>
      </c>
      <c r="P312" s="215">
        <f t="shared" si="49"/>
        <v>266.94</v>
      </c>
      <c r="Q312" s="215">
        <f t="shared" si="49"/>
        <v>266.94</v>
      </c>
      <c r="R312" s="15" t="s">
        <v>838</v>
      </c>
      <c r="S312" s="15" t="s">
        <v>840</v>
      </c>
      <c r="T312" s="15" t="s">
        <v>289</v>
      </c>
      <c r="U312" s="15" t="s">
        <v>288</v>
      </c>
      <c r="V312" s="166" t="s">
        <v>187</v>
      </c>
      <c r="W312" s="166"/>
      <c r="X312" s="166"/>
      <c r="Y312" s="166"/>
      <c r="Z312" s="166"/>
      <c r="AA312" s="158"/>
      <c r="AB312" s="166"/>
      <c r="AC312" s="158"/>
      <c r="AD312" s="166"/>
      <c r="AE312" s="158"/>
      <c r="AF312" s="166"/>
      <c r="AG312" s="166"/>
      <c r="AH312" s="166"/>
      <c r="AI312" s="166"/>
      <c r="AJ312" s="166"/>
      <c r="AK312" s="166"/>
      <c r="AL312" s="166"/>
      <c r="AM312" s="166"/>
      <c r="AN312" s="166"/>
      <c r="AO312" s="166"/>
      <c r="AP312" s="166"/>
      <c r="AQ312" s="166"/>
      <c r="AR312" s="166"/>
      <c r="AS312" s="166"/>
      <c r="AT312" s="166"/>
      <c r="AU312" s="343"/>
      <c r="AV312" s="343"/>
      <c r="AW312" s="343"/>
      <c r="AX312" s="343"/>
      <c r="AY312" s="344"/>
      <c r="AZ312" s="345"/>
      <c r="BA312" s="346"/>
      <c r="BB312" s="27"/>
    </row>
    <row r="313" spans="1:54">
      <c r="A313" s="2" t="str">
        <f t="shared" si="42"/>
        <v>Bus - Public Rebates_Ozone Laundry</v>
      </c>
      <c r="B313" s="18">
        <v>310</v>
      </c>
      <c r="C313" s="18" t="s">
        <v>728</v>
      </c>
      <c r="D313" s="18" t="s">
        <v>287</v>
      </c>
      <c r="E313" s="23" t="s">
        <v>237</v>
      </c>
      <c r="F313" s="23">
        <v>250</v>
      </c>
      <c r="G313" s="154">
        <v>0.79</v>
      </c>
      <c r="H313" s="447">
        <v>10</v>
      </c>
      <c r="I313" s="436">
        <v>10</v>
      </c>
      <c r="J313" s="23">
        <v>0</v>
      </c>
      <c r="K313" s="23">
        <f t="shared" si="47"/>
        <v>0</v>
      </c>
      <c r="L313" s="23">
        <f t="shared" si="48"/>
        <v>0</v>
      </c>
      <c r="M313" s="23">
        <f t="shared" si="48"/>
        <v>0</v>
      </c>
      <c r="N313" s="216">
        <f>X313*Z313*AB313*AD313/AF313</f>
        <v>30.722664192350027</v>
      </c>
      <c r="O313" s="215">
        <f t="shared" si="49"/>
        <v>30.722664192350027</v>
      </c>
      <c r="P313" s="215">
        <f t="shared" si="49"/>
        <v>30.722664192350027</v>
      </c>
      <c r="Q313" s="215">
        <f t="shared" si="49"/>
        <v>30.722664192350027</v>
      </c>
      <c r="R313" s="15" t="s">
        <v>838</v>
      </c>
      <c r="S313" s="15" t="s">
        <v>840</v>
      </c>
      <c r="T313" s="15" t="s">
        <v>286</v>
      </c>
      <c r="U313" s="15" t="s">
        <v>285</v>
      </c>
      <c r="V313" s="166" t="s">
        <v>278</v>
      </c>
      <c r="W313" s="166" t="s">
        <v>284</v>
      </c>
      <c r="X313" s="412">
        <v>8.8500000000000002E-3</v>
      </c>
      <c r="Y313" s="166" t="s">
        <v>283</v>
      </c>
      <c r="Z313" s="398">
        <v>916150</v>
      </c>
      <c r="AA313" s="158" t="s">
        <v>282</v>
      </c>
      <c r="AB313" s="166">
        <v>1.19</v>
      </c>
      <c r="AC313" s="158" t="s">
        <v>281</v>
      </c>
      <c r="AD313" s="397">
        <v>0.81</v>
      </c>
      <c r="AE313" s="158" t="s">
        <v>237</v>
      </c>
      <c r="AF313" s="166">
        <v>254.38</v>
      </c>
      <c r="AG313" s="166" t="s">
        <v>280</v>
      </c>
      <c r="AH313" s="403">
        <v>0.25</v>
      </c>
      <c r="AI313" s="166" t="s">
        <v>279</v>
      </c>
      <c r="AJ313" s="166">
        <v>2.0299999999999998</v>
      </c>
      <c r="AK313" s="166"/>
      <c r="AL313" s="166"/>
      <c r="AM313" s="166"/>
      <c r="AN313" s="166"/>
      <c r="AO313" s="166"/>
      <c r="AP313" s="166"/>
      <c r="AQ313" s="166"/>
      <c r="AR313" s="166"/>
      <c r="AS313" s="166"/>
      <c r="AT313" s="166"/>
      <c r="AU313" s="343"/>
      <c r="AV313" s="343"/>
      <c r="AW313" s="343"/>
      <c r="AX313" s="343"/>
      <c r="AY313" s="344"/>
      <c r="AZ313" s="345"/>
      <c r="BA313" s="346"/>
      <c r="BB313" s="27"/>
    </row>
    <row r="314" spans="1:54">
      <c r="A314" s="2" t="str">
        <f t="shared" si="42"/>
        <v>Bus - Public Rebates_Pipe Insulation - HW Small 1" to 2"</v>
      </c>
      <c r="B314" s="18">
        <v>311</v>
      </c>
      <c r="C314" s="18" t="s">
        <v>728</v>
      </c>
      <c r="D314" s="18" t="s">
        <v>217</v>
      </c>
      <c r="E314" s="23" t="s">
        <v>210</v>
      </c>
      <c r="F314" s="23">
        <v>75</v>
      </c>
      <c r="G314" s="154">
        <v>0.79</v>
      </c>
      <c r="H314" s="447">
        <v>15</v>
      </c>
      <c r="I314" s="436">
        <v>15</v>
      </c>
      <c r="J314" s="23">
        <v>31</v>
      </c>
      <c r="K314" s="23">
        <f t="shared" si="47"/>
        <v>31</v>
      </c>
      <c r="L314" s="23">
        <f t="shared" ref="L314:M333" si="50">K314</f>
        <v>31</v>
      </c>
      <c r="M314" s="23">
        <f t="shared" si="50"/>
        <v>31</v>
      </c>
      <c r="N314" s="372">
        <f>'Pipe Insulation Detail'!$B$47</f>
        <v>2.6588140926267867</v>
      </c>
      <c r="O314" s="215">
        <f t="shared" si="49"/>
        <v>2.6588140926267867</v>
      </c>
      <c r="P314" s="215">
        <f t="shared" si="49"/>
        <v>2.6588140926267867</v>
      </c>
      <c r="Q314" s="215">
        <f t="shared" si="49"/>
        <v>2.6588140926267867</v>
      </c>
      <c r="R314" s="15" t="s">
        <v>837</v>
      </c>
      <c r="S314" s="15" t="s">
        <v>840</v>
      </c>
      <c r="T314" s="15" t="s">
        <v>201</v>
      </c>
      <c r="U314" s="15" t="s">
        <v>200</v>
      </c>
      <c r="V314" s="413" t="s">
        <v>852</v>
      </c>
      <c r="W314" s="166"/>
      <c r="X314" s="166"/>
      <c r="Y314" s="166"/>
      <c r="Z314" s="166"/>
      <c r="AA314" s="158"/>
      <c r="AB314" s="166"/>
      <c r="AC314" s="158"/>
      <c r="AD314" s="166"/>
      <c r="AE314" s="158"/>
      <c r="AF314" s="166"/>
      <c r="AG314" s="166"/>
      <c r="AH314" s="166"/>
      <c r="AI314" s="166"/>
      <c r="AJ314" s="166"/>
      <c r="AK314" s="166"/>
      <c r="AL314" s="166"/>
      <c r="AM314" s="166"/>
      <c r="AN314" s="166"/>
      <c r="AO314" s="166"/>
      <c r="AP314" s="166"/>
      <c r="AQ314" s="166"/>
      <c r="AR314" s="166"/>
      <c r="AS314" s="166"/>
      <c r="AT314" s="166"/>
      <c r="AU314" s="343"/>
      <c r="AV314" s="343"/>
      <c r="AW314" s="343"/>
      <c r="AX314" s="343"/>
      <c r="AY314" s="344"/>
      <c r="AZ314" s="345"/>
      <c r="BA314" s="346"/>
      <c r="BB314" s="27"/>
    </row>
    <row r="315" spans="1:54">
      <c r="A315" s="2" t="str">
        <f t="shared" si="42"/>
        <v>Bus - Public Rebates_Pipe Insulation - HW Medium 2.1" to 4"</v>
      </c>
      <c r="B315" s="18">
        <v>312</v>
      </c>
      <c r="C315" s="18" t="s">
        <v>728</v>
      </c>
      <c r="D315" s="18" t="s">
        <v>216</v>
      </c>
      <c r="E315" s="23" t="s">
        <v>210</v>
      </c>
      <c r="F315" s="23">
        <v>75</v>
      </c>
      <c r="G315" s="154">
        <v>0.79</v>
      </c>
      <c r="H315" s="447">
        <v>15</v>
      </c>
      <c r="I315" s="436">
        <v>15</v>
      </c>
      <c r="J315" s="23">
        <v>30</v>
      </c>
      <c r="K315" s="23">
        <f t="shared" si="47"/>
        <v>30</v>
      </c>
      <c r="L315" s="23">
        <f t="shared" si="50"/>
        <v>30</v>
      </c>
      <c r="M315" s="23">
        <f t="shared" si="50"/>
        <v>30</v>
      </c>
      <c r="N315" s="216">
        <f>'Pipe Insulation Detail'!$B$48</f>
        <v>5.2492031493764015</v>
      </c>
      <c r="O315" s="215">
        <f t="shared" si="49"/>
        <v>5.2492031493764015</v>
      </c>
      <c r="P315" s="215">
        <f t="shared" si="49"/>
        <v>5.2492031493764015</v>
      </c>
      <c r="Q315" s="215">
        <f t="shared" si="49"/>
        <v>5.2492031493764015</v>
      </c>
      <c r="R315" s="15" t="s">
        <v>837</v>
      </c>
      <c r="S315" s="15" t="s">
        <v>840</v>
      </c>
      <c r="T315" s="15" t="s">
        <v>201</v>
      </c>
      <c r="U315" s="15" t="s">
        <v>200</v>
      </c>
      <c r="V315" s="413" t="s">
        <v>852</v>
      </c>
      <c r="W315" s="166"/>
      <c r="X315" s="166"/>
      <c r="Y315" s="166"/>
      <c r="Z315" s="166"/>
      <c r="AA315" s="158"/>
      <c r="AB315" s="166"/>
      <c r="AC315" s="158"/>
      <c r="AD315" s="166"/>
      <c r="AE315" s="158"/>
      <c r="AF315" s="166"/>
      <c r="AG315" s="166"/>
      <c r="AH315" s="166"/>
      <c r="AI315" s="166"/>
      <c r="AJ315" s="166"/>
      <c r="AK315" s="166"/>
      <c r="AL315" s="166"/>
      <c r="AM315" s="166"/>
      <c r="AN315" s="166"/>
      <c r="AO315" s="166"/>
      <c r="AP315" s="166"/>
      <c r="AQ315" s="166"/>
      <c r="AR315" s="166"/>
      <c r="AS315" s="166"/>
      <c r="AT315" s="166"/>
      <c r="AU315" s="343"/>
      <c r="AV315" s="343"/>
      <c r="AW315" s="343"/>
      <c r="AX315" s="343"/>
      <c r="AY315" s="344"/>
      <c r="AZ315" s="345"/>
      <c r="BA315" s="346"/>
      <c r="BB315" s="27"/>
    </row>
    <row r="316" spans="1:54">
      <c r="A316" s="2" t="str">
        <f t="shared" si="42"/>
        <v>Bus - Public Rebates_Pipe Insulation - HW Large &gt;4"</v>
      </c>
      <c r="B316" s="18">
        <v>313</v>
      </c>
      <c r="C316" s="18" t="s">
        <v>728</v>
      </c>
      <c r="D316" s="18" t="s">
        <v>215</v>
      </c>
      <c r="E316" s="23" t="s">
        <v>210</v>
      </c>
      <c r="F316" s="23">
        <v>75</v>
      </c>
      <c r="G316" s="154">
        <v>0.79</v>
      </c>
      <c r="H316" s="447">
        <v>15</v>
      </c>
      <c r="I316" s="436">
        <v>15</v>
      </c>
      <c r="J316" s="23">
        <v>25</v>
      </c>
      <c r="K316" s="23">
        <f t="shared" si="47"/>
        <v>25</v>
      </c>
      <c r="L316" s="23">
        <f t="shared" si="50"/>
        <v>25</v>
      </c>
      <c r="M316" s="23">
        <f t="shared" si="50"/>
        <v>25</v>
      </c>
      <c r="N316" s="216">
        <f>'Pipe Insulation Detail'!$B$49</f>
        <v>9.0407613085908682</v>
      </c>
      <c r="O316" s="215">
        <f t="shared" si="49"/>
        <v>9.0407613085908682</v>
      </c>
      <c r="P316" s="215">
        <f t="shared" si="49"/>
        <v>9.0407613085908682</v>
      </c>
      <c r="Q316" s="215">
        <f t="shared" si="49"/>
        <v>9.0407613085908682</v>
      </c>
      <c r="R316" s="15" t="s">
        <v>837</v>
      </c>
      <c r="S316" s="15" t="s">
        <v>840</v>
      </c>
      <c r="T316" s="15" t="s">
        <v>201</v>
      </c>
      <c r="U316" s="15" t="s">
        <v>200</v>
      </c>
      <c r="V316" s="413" t="s">
        <v>852</v>
      </c>
      <c r="W316" s="166"/>
      <c r="X316" s="166"/>
      <c r="Y316" s="166"/>
      <c r="Z316" s="166"/>
      <c r="AA316" s="158"/>
      <c r="AB316" s="166"/>
      <c r="AC316" s="158"/>
      <c r="AD316" s="166"/>
      <c r="AE316" s="158"/>
      <c r="AF316" s="166"/>
      <c r="AG316" s="166"/>
      <c r="AH316" s="166"/>
      <c r="AI316" s="166"/>
      <c r="AJ316" s="166"/>
      <c r="AK316" s="166"/>
      <c r="AL316" s="166"/>
      <c r="AM316" s="166"/>
      <c r="AN316" s="166"/>
      <c r="AO316" s="166"/>
      <c r="AP316" s="166"/>
      <c r="AQ316" s="166"/>
      <c r="AR316" s="166"/>
      <c r="AS316" s="166"/>
      <c r="AT316" s="166"/>
      <c r="AU316" s="343"/>
      <c r="AV316" s="343"/>
      <c r="AW316" s="343"/>
      <c r="AX316" s="343"/>
      <c r="AY316" s="344"/>
      <c r="AZ316" s="345"/>
      <c r="BA316" s="346"/>
      <c r="BB316" s="27"/>
    </row>
    <row r="317" spans="1:54">
      <c r="A317" s="2" t="str">
        <f t="shared" si="42"/>
        <v>Bus - Public Rebates_Pipe Insulation - Steam - Small 1" to 2"</v>
      </c>
      <c r="B317" s="18">
        <v>314</v>
      </c>
      <c r="C317" s="18" t="s">
        <v>728</v>
      </c>
      <c r="D317" s="18" t="s">
        <v>214</v>
      </c>
      <c r="E317" s="23" t="s">
        <v>210</v>
      </c>
      <c r="F317" s="23">
        <v>75</v>
      </c>
      <c r="G317" s="154">
        <v>0.79</v>
      </c>
      <c r="H317" s="447">
        <v>15</v>
      </c>
      <c r="I317" s="436">
        <v>15</v>
      </c>
      <c r="J317" s="23">
        <v>0</v>
      </c>
      <c r="K317" s="23">
        <f t="shared" si="47"/>
        <v>0</v>
      </c>
      <c r="L317" s="23">
        <f t="shared" si="50"/>
        <v>0</v>
      </c>
      <c r="M317" s="23">
        <f t="shared" si="50"/>
        <v>0</v>
      </c>
      <c r="N317" s="216">
        <f>'Pipe Insulation Detail'!$B$50</f>
        <v>3.1854757047967208</v>
      </c>
      <c r="O317" s="215">
        <f t="shared" si="49"/>
        <v>3.1854757047967208</v>
      </c>
      <c r="P317" s="215">
        <f t="shared" si="49"/>
        <v>3.1854757047967208</v>
      </c>
      <c r="Q317" s="215">
        <f t="shared" si="49"/>
        <v>3.1854757047967208</v>
      </c>
      <c r="R317" s="15" t="s">
        <v>837</v>
      </c>
      <c r="S317" s="15" t="s">
        <v>840</v>
      </c>
      <c r="T317" s="15" t="s">
        <v>201</v>
      </c>
      <c r="U317" s="15" t="s">
        <v>200</v>
      </c>
      <c r="V317" s="413" t="s">
        <v>852</v>
      </c>
      <c r="W317" s="166"/>
      <c r="X317" s="166"/>
      <c r="Y317" s="166"/>
      <c r="Z317" s="166"/>
      <c r="AA317" s="158"/>
      <c r="AB317" s="166"/>
      <c r="AC317" s="158"/>
      <c r="AD317" s="166"/>
      <c r="AE317" s="158"/>
      <c r="AF317" s="166"/>
      <c r="AG317" s="166"/>
      <c r="AH317" s="166"/>
      <c r="AI317" s="166"/>
      <c r="AJ317" s="166"/>
      <c r="AK317" s="166"/>
      <c r="AL317" s="166"/>
      <c r="AM317" s="166"/>
      <c r="AN317" s="166"/>
      <c r="AO317" s="166"/>
      <c r="AP317" s="166"/>
      <c r="AQ317" s="166"/>
      <c r="AR317" s="166"/>
      <c r="AS317" s="166"/>
      <c r="AT317" s="166"/>
      <c r="AU317" s="343"/>
      <c r="AV317" s="343"/>
      <c r="AW317" s="343"/>
      <c r="AX317" s="343"/>
      <c r="AY317" s="344"/>
      <c r="AZ317" s="345"/>
      <c r="BA317" s="346"/>
      <c r="BB317" s="27"/>
    </row>
    <row r="318" spans="1:54">
      <c r="A318" s="2" t="str">
        <f t="shared" si="42"/>
        <v>Bus - Public Rebates_Pipe Insulation - Steam - Med 2.1" to 5"</v>
      </c>
      <c r="B318" s="18">
        <v>315</v>
      </c>
      <c r="C318" s="18" t="s">
        <v>728</v>
      </c>
      <c r="D318" s="18" t="s">
        <v>213</v>
      </c>
      <c r="E318" s="23" t="s">
        <v>210</v>
      </c>
      <c r="F318" s="23">
        <v>75</v>
      </c>
      <c r="G318" s="154">
        <v>0.79</v>
      </c>
      <c r="H318" s="447">
        <v>15</v>
      </c>
      <c r="I318" s="436">
        <v>15</v>
      </c>
      <c r="J318" s="23">
        <v>30</v>
      </c>
      <c r="K318" s="23">
        <f t="shared" si="47"/>
        <v>30</v>
      </c>
      <c r="L318" s="23">
        <f t="shared" si="50"/>
        <v>30</v>
      </c>
      <c r="M318" s="23">
        <f t="shared" si="50"/>
        <v>30</v>
      </c>
      <c r="N318" s="216">
        <f>'Pipe Insulation Detail'!$B$51</f>
        <v>13.148126788517139</v>
      </c>
      <c r="O318" s="215">
        <f t="shared" si="49"/>
        <v>13.148126788517139</v>
      </c>
      <c r="P318" s="215">
        <f t="shared" si="49"/>
        <v>13.148126788517139</v>
      </c>
      <c r="Q318" s="215">
        <f t="shared" si="49"/>
        <v>13.148126788517139</v>
      </c>
      <c r="R318" s="15" t="s">
        <v>837</v>
      </c>
      <c r="S318" s="15" t="s">
        <v>840</v>
      </c>
      <c r="T318" s="15" t="s">
        <v>201</v>
      </c>
      <c r="U318" s="15" t="s">
        <v>200</v>
      </c>
      <c r="V318" s="413" t="s">
        <v>852</v>
      </c>
      <c r="W318" s="166"/>
      <c r="X318" s="166"/>
      <c r="Y318" s="166"/>
      <c r="Z318" s="166"/>
      <c r="AA318" s="158"/>
      <c r="AB318" s="166"/>
      <c r="AC318" s="158"/>
      <c r="AD318" s="166"/>
      <c r="AE318" s="158"/>
      <c r="AF318" s="166"/>
      <c r="AG318" s="166"/>
      <c r="AH318" s="166"/>
      <c r="AI318" s="166"/>
      <c r="AJ318" s="166"/>
      <c r="AK318" s="166"/>
      <c r="AL318" s="166"/>
      <c r="AM318" s="166"/>
      <c r="AN318" s="166"/>
      <c r="AO318" s="166"/>
      <c r="AP318" s="166"/>
      <c r="AQ318" s="166"/>
      <c r="AR318" s="166"/>
      <c r="AS318" s="166"/>
      <c r="AT318" s="166"/>
      <c r="AU318" s="343"/>
      <c r="AV318" s="343"/>
      <c r="AW318" s="343"/>
      <c r="AX318" s="343"/>
      <c r="AY318" s="344"/>
      <c r="AZ318" s="345"/>
      <c r="BA318" s="346"/>
      <c r="BB318" s="27"/>
    </row>
    <row r="319" spans="1:54">
      <c r="A319" s="2" t="str">
        <f t="shared" si="42"/>
        <v>Bus - Public Rebates_Pipe Insulation - Steam - Large 5.1" to 8"</v>
      </c>
      <c r="B319" s="18">
        <v>316</v>
      </c>
      <c r="C319" s="18" t="s">
        <v>728</v>
      </c>
      <c r="D319" s="18" t="s">
        <v>212</v>
      </c>
      <c r="E319" s="23" t="s">
        <v>210</v>
      </c>
      <c r="F319" s="23">
        <v>75</v>
      </c>
      <c r="G319" s="154">
        <v>0.79</v>
      </c>
      <c r="H319" s="447">
        <v>15</v>
      </c>
      <c r="I319" s="436">
        <v>15</v>
      </c>
      <c r="J319" s="23">
        <v>0</v>
      </c>
      <c r="K319" s="23">
        <f t="shared" si="47"/>
        <v>0</v>
      </c>
      <c r="L319" s="23">
        <f t="shared" si="50"/>
        <v>0</v>
      </c>
      <c r="M319" s="23">
        <f t="shared" si="50"/>
        <v>0</v>
      </c>
      <c r="N319" s="216">
        <f>'Pipe Insulation Detail'!$B$52</f>
        <v>24.25563238537794</v>
      </c>
      <c r="O319" s="215">
        <f t="shared" si="49"/>
        <v>24.25563238537794</v>
      </c>
      <c r="P319" s="215">
        <f t="shared" si="49"/>
        <v>24.25563238537794</v>
      </c>
      <c r="Q319" s="215">
        <f t="shared" si="49"/>
        <v>24.25563238537794</v>
      </c>
      <c r="R319" s="15" t="s">
        <v>837</v>
      </c>
      <c r="S319" s="15" t="s">
        <v>840</v>
      </c>
      <c r="T319" s="15" t="s">
        <v>201</v>
      </c>
      <c r="U319" s="15" t="s">
        <v>200</v>
      </c>
      <c r="V319" s="413" t="s">
        <v>852</v>
      </c>
      <c r="W319" s="166"/>
      <c r="X319" s="166"/>
      <c r="Y319" s="166"/>
      <c r="Z319" s="166"/>
      <c r="AA319" s="158"/>
      <c r="AB319" s="166"/>
      <c r="AC319" s="158"/>
      <c r="AD319" s="166"/>
      <c r="AE319" s="158"/>
      <c r="AF319" s="166"/>
      <c r="AG319" s="166"/>
      <c r="AH319" s="166"/>
      <c r="AI319" s="166"/>
      <c r="AJ319" s="166"/>
      <c r="AK319" s="166"/>
      <c r="AL319" s="166"/>
      <c r="AM319" s="166"/>
      <c r="AN319" s="166"/>
      <c r="AO319" s="166"/>
      <c r="AP319" s="166"/>
      <c r="AQ319" s="166"/>
      <c r="AR319" s="166"/>
      <c r="AS319" s="166"/>
      <c r="AT319" s="166"/>
      <c r="AU319" s="343"/>
      <c r="AV319" s="343"/>
      <c r="AW319" s="343"/>
      <c r="AX319" s="343"/>
      <c r="AY319" s="344"/>
      <c r="AZ319" s="345"/>
      <c r="BA319" s="346"/>
      <c r="BB319" s="27"/>
    </row>
    <row r="320" spans="1:54">
      <c r="A320" s="2" t="str">
        <f t="shared" si="42"/>
        <v>Bus - Public Rebates_Pipe Insulation - Steam - X-Large &gt;8"</v>
      </c>
      <c r="B320" s="18">
        <v>317</v>
      </c>
      <c r="C320" s="18" t="s">
        <v>728</v>
      </c>
      <c r="D320" s="18" t="s">
        <v>211</v>
      </c>
      <c r="E320" s="23" t="s">
        <v>210</v>
      </c>
      <c r="F320" s="23">
        <v>75</v>
      </c>
      <c r="G320" s="154">
        <v>0.79</v>
      </c>
      <c r="H320" s="447">
        <v>15</v>
      </c>
      <c r="I320" s="436">
        <v>15</v>
      </c>
      <c r="J320" s="23">
        <v>0</v>
      </c>
      <c r="K320" s="23">
        <f t="shared" si="47"/>
        <v>0</v>
      </c>
      <c r="L320" s="23">
        <f t="shared" si="50"/>
        <v>0</v>
      </c>
      <c r="M320" s="23">
        <f t="shared" si="50"/>
        <v>0</v>
      </c>
      <c r="N320" s="216">
        <f>'Pipe Insulation Detail'!$B$53</f>
        <v>35.984797966765058</v>
      </c>
      <c r="O320" s="215">
        <f t="shared" si="49"/>
        <v>35.984797966765058</v>
      </c>
      <c r="P320" s="215">
        <f t="shared" si="49"/>
        <v>35.984797966765058</v>
      </c>
      <c r="Q320" s="215">
        <f t="shared" si="49"/>
        <v>35.984797966765058</v>
      </c>
      <c r="R320" s="15" t="s">
        <v>837</v>
      </c>
      <c r="S320" s="15" t="s">
        <v>840</v>
      </c>
      <c r="T320" s="15" t="s">
        <v>201</v>
      </c>
      <c r="U320" s="15" t="s">
        <v>200</v>
      </c>
      <c r="V320" s="413" t="s">
        <v>852</v>
      </c>
      <c r="W320" s="166"/>
      <c r="X320" s="166"/>
      <c r="Y320" s="166"/>
      <c r="Z320" s="166"/>
      <c r="AA320" s="158"/>
      <c r="AB320" s="166"/>
      <c r="AC320" s="158"/>
      <c r="AD320" s="166"/>
      <c r="AE320" s="158"/>
      <c r="AF320" s="166"/>
      <c r="AG320" s="166"/>
      <c r="AH320" s="166"/>
      <c r="AI320" s="166"/>
      <c r="AJ320" s="166"/>
      <c r="AK320" s="166"/>
      <c r="AL320" s="166"/>
      <c r="AM320" s="166"/>
      <c r="AN320" s="166"/>
      <c r="AO320" s="166"/>
      <c r="AP320" s="166"/>
      <c r="AQ320" s="166"/>
      <c r="AR320" s="166"/>
      <c r="AS320" s="166"/>
      <c r="AT320" s="166"/>
      <c r="AU320" s="343"/>
      <c r="AV320" s="343"/>
      <c r="AW320" s="343"/>
      <c r="AX320" s="343"/>
      <c r="AY320" s="344"/>
      <c r="AZ320" s="345"/>
      <c r="BA320" s="346"/>
      <c r="BB320" s="27"/>
    </row>
    <row r="321" spans="1:54">
      <c r="A321" s="2" t="str">
        <f t="shared" si="42"/>
        <v>Bus - Public Rebates_Pipe Insulation - Steam Med Fitting</v>
      </c>
      <c r="B321" s="18">
        <v>318</v>
      </c>
      <c r="C321" s="18" t="s">
        <v>728</v>
      </c>
      <c r="D321" s="18" t="s">
        <v>208</v>
      </c>
      <c r="E321" s="23" t="s">
        <v>150</v>
      </c>
      <c r="F321" s="23">
        <v>1</v>
      </c>
      <c r="G321" s="154">
        <v>0.79</v>
      </c>
      <c r="H321" s="447">
        <v>15</v>
      </c>
      <c r="I321" s="436">
        <v>15</v>
      </c>
      <c r="J321" s="23">
        <v>0</v>
      </c>
      <c r="K321" s="23">
        <f t="shared" si="47"/>
        <v>0</v>
      </c>
      <c r="L321" s="23">
        <f t="shared" si="50"/>
        <v>0</v>
      </c>
      <c r="M321" s="23">
        <f t="shared" si="50"/>
        <v>0</v>
      </c>
      <c r="N321" s="216">
        <f>'Pipe Insulation Detail'!$B$55</f>
        <v>12.515179237984789</v>
      </c>
      <c r="O321" s="215">
        <f t="shared" si="49"/>
        <v>12.515179237984789</v>
      </c>
      <c r="P321" s="215">
        <f t="shared" si="49"/>
        <v>12.515179237984789</v>
      </c>
      <c r="Q321" s="215">
        <f t="shared" si="49"/>
        <v>12.515179237984789</v>
      </c>
      <c r="R321" s="15" t="s">
        <v>837</v>
      </c>
      <c r="S321" s="15" t="s">
        <v>840</v>
      </c>
      <c r="T321" s="15" t="s">
        <v>201</v>
      </c>
      <c r="U321" s="15" t="s">
        <v>200</v>
      </c>
      <c r="V321" s="413" t="s">
        <v>852</v>
      </c>
      <c r="W321" s="166"/>
      <c r="X321" s="166"/>
      <c r="Y321" s="166"/>
      <c r="Z321" s="166"/>
      <c r="AA321" s="158"/>
      <c r="AB321" s="166"/>
      <c r="AC321" s="158"/>
      <c r="AD321" s="166"/>
      <c r="AE321" s="158"/>
      <c r="AF321" s="166"/>
      <c r="AG321" s="166"/>
      <c r="AH321" s="166"/>
      <c r="AI321" s="166"/>
      <c r="AJ321" s="166"/>
      <c r="AK321" s="166"/>
      <c r="AL321" s="166"/>
      <c r="AM321" s="166"/>
      <c r="AN321" s="166"/>
      <c r="AO321" s="166"/>
      <c r="AP321" s="166"/>
      <c r="AQ321" s="166"/>
      <c r="AR321" s="166"/>
      <c r="AS321" s="166"/>
      <c r="AT321" s="166"/>
      <c r="AU321" s="343"/>
      <c r="AV321" s="343"/>
      <c r="AW321" s="343"/>
      <c r="AX321" s="343"/>
      <c r="AY321" s="344"/>
      <c r="AZ321" s="345"/>
      <c r="BA321" s="346"/>
      <c r="BB321" s="27"/>
    </row>
    <row r="322" spans="1:54">
      <c r="A322" s="2" t="str">
        <f t="shared" si="42"/>
        <v>Bus - Public Rebates_Pipe Insulation - Steam Large Fitting</v>
      </c>
      <c r="B322" s="18">
        <v>319</v>
      </c>
      <c r="C322" s="18" t="s">
        <v>728</v>
      </c>
      <c r="D322" s="18" t="s">
        <v>207</v>
      </c>
      <c r="E322" s="23" t="s">
        <v>150</v>
      </c>
      <c r="F322" s="23">
        <v>1</v>
      </c>
      <c r="G322" s="154">
        <v>0.79</v>
      </c>
      <c r="H322" s="447">
        <v>15</v>
      </c>
      <c r="I322" s="436">
        <v>15</v>
      </c>
      <c r="J322" s="23">
        <v>30</v>
      </c>
      <c r="K322" s="23">
        <f t="shared" si="47"/>
        <v>30</v>
      </c>
      <c r="L322" s="23">
        <f t="shared" si="50"/>
        <v>30</v>
      </c>
      <c r="M322" s="23">
        <f t="shared" si="50"/>
        <v>30</v>
      </c>
      <c r="N322" s="216">
        <f>'Pipe Insulation Detail'!$B$56</f>
        <v>51.249515380658096</v>
      </c>
      <c r="O322" s="215">
        <f t="shared" si="49"/>
        <v>51.249515380658096</v>
      </c>
      <c r="P322" s="215">
        <f t="shared" si="49"/>
        <v>51.249515380658096</v>
      </c>
      <c r="Q322" s="215">
        <f t="shared" si="49"/>
        <v>51.249515380658096</v>
      </c>
      <c r="R322" s="15" t="s">
        <v>837</v>
      </c>
      <c r="S322" s="15" t="s">
        <v>840</v>
      </c>
      <c r="T322" s="15" t="s">
        <v>201</v>
      </c>
      <c r="U322" s="15" t="s">
        <v>200</v>
      </c>
      <c r="V322" s="413" t="s">
        <v>852</v>
      </c>
      <c r="W322" s="166"/>
      <c r="X322" s="166"/>
      <c r="Y322" s="166"/>
      <c r="Z322" s="166"/>
      <c r="AA322" s="158"/>
      <c r="AB322" s="166"/>
      <c r="AC322" s="158"/>
      <c r="AD322" s="166"/>
      <c r="AE322" s="158"/>
      <c r="AF322" s="166"/>
      <c r="AG322" s="166"/>
      <c r="AH322" s="166"/>
      <c r="AI322" s="166"/>
      <c r="AJ322" s="166"/>
      <c r="AK322" s="166"/>
      <c r="AL322" s="166"/>
      <c r="AM322" s="166"/>
      <c r="AN322" s="166"/>
      <c r="AO322" s="166"/>
      <c r="AP322" s="166"/>
      <c r="AQ322" s="166"/>
      <c r="AR322" s="166"/>
      <c r="AS322" s="166"/>
      <c r="AT322" s="166"/>
      <c r="AU322" s="343"/>
      <c r="AV322" s="343"/>
      <c r="AW322" s="343"/>
      <c r="AX322" s="343"/>
      <c r="AY322" s="344"/>
      <c r="AZ322" s="345"/>
      <c r="BA322" s="346"/>
      <c r="BB322" s="27"/>
    </row>
    <row r="323" spans="1:54">
      <c r="A323" s="2" t="str">
        <f t="shared" si="42"/>
        <v>Bus - Public Rebates_Pipe Insulation - Steam X-Large Fitting</v>
      </c>
      <c r="B323" s="18">
        <v>320</v>
      </c>
      <c r="C323" s="18" t="s">
        <v>728</v>
      </c>
      <c r="D323" s="18" t="s">
        <v>206</v>
      </c>
      <c r="E323" s="23" t="s">
        <v>150</v>
      </c>
      <c r="F323" s="23">
        <v>1</v>
      </c>
      <c r="G323" s="154">
        <v>0.79</v>
      </c>
      <c r="H323" s="447">
        <v>15</v>
      </c>
      <c r="I323" s="436">
        <v>15</v>
      </c>
      <c r="J323" s="23">
        <v>0</v>
      </c>
      <c r="K323" s="23">
        <f t="shared" si="47"/>
        <v>0</v>
      </c>
      <c r="L323" s="23">
        <f t="shared" si="50"/>
        <v>0</v>
      </c>
      <c r="M323" s="23">
        <f t="shared" si="50"/>
        <v>0</v>
      </c>
      <c r="N323" s="216">
        <f>'Pipe Insulation Detail'!$B$57</f>
        <v>99.138118398437726</v>
      </c>
      <c r="O323" s="215">
        <f t="shared" si="49"/>
        <v>99.138118398437726</v>
      </c>
      <c r="P323" s="215">
        <f t="shared" si="49"/>
        <v>99.138118398437726</v>
      </c>
      <c r="Q323" s="215">
        <f t="shared" si="49"/>
        <v>99.138118398437726</v>
      </c>
      <c r="R323" s="15" t="s">
        <v>837</v>
      </c>
      <c r="S323" s="15" t="s">
        <v>840</v>
      </c>
      <c r="T323" s="15" t="s">
        <v>201</v>
      </c>
      <c r="U323" s="15" t="s">
        <v>200</v>
      </c>
      <c r="V323" s="413" t="s">
        <v>852</v>
      </c>
      <c r="W323" s="166"/>
      <c r="X323" s="166"/>
      <c r="Y323" s="166"/>
      <c r="Z323" s="166"/>
      <c r="AA323" s="158"/>
      <c r="AB323" s="166"/>
      <c r="AC323" s="158"/>
      <c r="AD323" s="166"/>
      <c r="AE323" s="158"/>
      <c r="AF323" s="166"/>
      <c r="AG323" s="166"/>
      <c r="AH323" s="166"/>
      <c r="AI323" s="166"/>
      <c r="AJ323" s="166"/>
      <c r="AK323" s="166"/>
      <c r="AL323" s="166"/>
      <c r="AM323" s="166"/>
      <c r="AN323" s="166"/>
      <c r="AO323" s="166"/>
      <c r="AP323" s="166"/>
      <c r="AQ323" s="166"/>
      <c r="AR323" s="166"/>
      <c r="AS323" s="166"/>
      <c r="AT323" s="166"/>
      <c r="AU323" s="343"/>
      <c r="AV323" s="343"/>
      <c r="AW323" s="343"/>
      <c r="AX323" s="343"/>
      <c r="AY323" s="344"/>
      <c r="AZ323" s="345"/>
      <c r="BA323" s="346"/>
      <c r="BB323" s="27"/>
    </row>
    <row r="324" spans="1:54">
      <c r="A324" s="2" t="str">
        <f t="shared" si="42"/>
        <v>Bus - Public Rebates_Pipe Insulation - Steam Med Valve</v>
      </c>
      <c r="B324" s="18">
        <v>321</v>
      </c>
      <c r="C324" s="18" t="s">
        <v>728</v>
      </c>
      <c r="D324" s="18" t="s">
        <v>204</v>
      </c>
      <c r="E324" s="23" t="s">
        <v>150</v>
      </c>
      <c r="F324" s="23">
        <v>1</v>
      </c>
      <c r="G324" s="154">
        <v>0.79</v>
      </c>
      <c r="H324" s="447">
        <v>15</v>
      </c>
      <c r="I324" s="436">
        <v>15</v>
      </c>
      <c r="J324" s="23">
        <v>0</v>
      </c>
      <c r="K324" s="23">
        <f t="shared" si="47"/>
        <v>0</v>
      </c>
      <c r="L324" s="23">
        <f t="shared" si="50"/>
        <v>0</v>
      </c>
      <c r="M324" s="23">
        <f t="shared" si="50"/>
        <v>0</v>
      </c>
      <c r="N324" s="216">
        <f>'Pipe Insulation Detail'!$B$59</f>
        <v>37.423389683572815</v>
      </c>
      <c r="O324" s="215">
        <f t="shared" si="49"/>
        <v>37.423389683572815</v>
      </c>
      <c r="P324" s="215">
        <f t="shared" si="49"/>
        <v>37.423389683572815</v>
      </c>
      <c r="Q324" s="215">
        <f t="shared" si="49"/>
        <v>37.423389683572815</v>
      </c>
      <c r="R324" s="15" t="s">
        <v>837</v>
      </c>
      <c r="S324" s="15" t="s">
        <v>840</v>
      </c>
      <c r="T324" s="15" t="s">
        <v>201</v>
      </c>
      <c r="U324" s="15" t="s">
        <v>200</v>
      </c>
      <c r="V324" s="413" t="s">
        <v>852</v>
      </c>
      <c r="W324" s="166"/>
      <c r="X324" s="166"/>
      <c r="Y324" s="166"/>
      <c r="Z324" s="166"/>
      <c r="AA324" s="158"/>
      <c r="AB324" s="166"/>
      <c r="AC324" s="158"/>
      <c r="AD324" s="166"/>
      <c r="AE324" s="158"/>
      <c r="AF324" s="166"/>
      <c r="AG324" s="166"/>
      <c r="AH324" s="166"/>
      <c r="AI324" s="166"/>
      <c r="AJ324" s="166"/>
      <c r="AK324" s="166"/>
      <c r="AL324" s="166"/>
      <c r="AM324" s="166"/>
      <c r="AN324" s="166"/>
      <c r="AO324" s="166"/>
      <c r="AP324" s="166"/>
      <c r="AQ324" s="166"/>
      <c r="AR324" s="166"/>
      <c r="AS324" s="166"/>
      <c r="AT324" s="166"/>
      <c r="AU324" s="343"/>
      <c r="AV324" s="343"/>
      <c r="AW324" s="343"/>
      <c r="AX324" s="343"/>
      <c r="AY324" s="344"/>
      <c r="AZ324" s="345"/>
      <c r="BA324" s="346"/>
      <c r="BB324" s="27"/>
    </row>
    <row r="325" spans="1:54">
      <c r="A325" s="2" t="str">
        <f t="shared" ref="A325:A388" si="51">C325&amp;"_"&amp;D325</f>
        <v>Bus - Public Rebates_Pipe Insulation - Steam Large Valve</v>
      </c>
      <c r="B325" s="18">
        <v>322</v>
      </c>
      <c r="C325" s="18" t="s">
        <v>728</v>
      </c>
      <c r="D325" s="18" t="s">
        <v>203</v>
      </c>
      <c r="E325" s="23" t="s">
        <v>150</v>
      </c>
      <c r="F325" s="23">
        <v>1</v>
      </c>
      <c r="G325" s="154">
        <v>0.79</v>
      </c>
      <c r="H325" s="447">
        <v>15</v>
      </c>
      <c r="I325" s="436">
        <v>15</v>
      </c>
      <c r="J325" s="23">
        <v>0</v>
      </c>
      <c r="K325" s="23">
        <f t="shared" si="47"/>
        <v>0</v>
      </c>
      <c r="L325" s="23">
        <f t="shared" si="50"/>
        <v>0</v>
      </c>
      <c r="M325" s="23">
        <f t="shared" si="50"/>
        <v>0</v>
      </c>
      <c r="N325" s="216">
        <f>'Pipe Insulation Detail'!$B$60</f>
        <v>107.52607289087437</v>
      </c>
      <c r="O325" s="215">
        <f t="shared" si="49"/>
        <v>107.52607289087437</v>
      </c>
      <c r="P325" s="215">
        <f t="shared" si="49"/>
        <v>107.52607289087437</v>
      </c>
      <c r="Q325" s="215">
        <f t="shared" si="49"/>
        <v>107.52607289087437</v>
      </c>
      <c r="R325" s="15" t="s">
        <v>837</v>
      </c>
      <c r="S325" s="15" t="s">
        <v>840</v>
      </c>
      <c r="T325" s="15" t="s">
        <v>201</v>
      </c>
      <c r="U325" s="15" t="s">
        <v>200</v>
      </c>
      <c r="V325" s="413" t="s">
        <v>852</v>
      </c>
      <c r="W325" s="166"/>
      <c r="X325" s="166"/>
      <c r="Y325" s="166"/>
      <c r="Z325" s="166"/>
      <c r="AA325" s="158"/>
      <c r="AB325" s="166"/>
      <c r="AC325" s="158"/>
      <c r="AD325" s="166"/>
      <c r="AE325" s="158"/>
      <c r="AF325" s="166"/>
      <c r="AG325" s="166"/>
      <c r="AH325" s="166"/>
      <c r="AI325" s="166"/>
      <c r="AJ325" s="166"/>
      <c r="AK325" s="166"/>
      <c r="AL325" s="166"/>
      <c r="AM325" s="166"/>
      <c r="AN325" s="166"/>
      <c r="AO325" s="166"/>
      <c r="AP325" s="166"/>
      <c r="AQ325" s="166"/>
      <c r="AR325" s="166"/>
      <c r="AS325" s="166"/>
      <c r="AT325" s="166"/>
      <c r="AU325" s="343"/>
      <c r="AV325" s="343"/>
      <c r="AW325" s="343"/>
      <c r="AX325" s="343"/>
      <c r="AY325" s="344"/>
      <c r="AZ325" s="345"/>
      <c r="BA325" s="346"/>
      <c r="BB325" s="27"/>
    </row>
    <row r="326" spans="1:54">
      <c r="A326" s="2" t="str">
        <f t="shared" si="51"/>
        <v>Bus - Public Rebates_Pipe Insulation - Steam X-Large Valve</v>
      </c>
      <c r="B326" s="18">
        <v>323</v>
      </c>
      <c r="C326" s="18" t="s">
        <v>728</v>
      </c>
      <c r="D326" s="18" t="s">
        <v>202</v>
      </c>
      <c r="E326" s="23" t="s">
        <v>150</v>
      </c>
      <c r="F326" s="23">
        <v>1</v>
      </c>
      <c r="G326" s="154">
        <v>0.79</v>
      </c>
      <c r="H326" s="447">
        <v>15</v>
      </c>
      <c r="I326" s="436">
        <v>15</v>
      </c>
      <c r="J326" s="23">
        <v>0</v>
      </c>
      <c r="K326" s="23">
        <f t="shared" si="47"/>
        <v>0</v>
      </c>
      <c r="L326" s="23">
        <f t="shared" si="50"/>
        <v>0</v>
      </c>
      <c r="M326" s="23">
        <f t="shared" si="50"/>
        <v>0</v>
      </c>
      <c r="N326" s="216">
        <f>'Pipe Insulation Detail'!$B$61</f>
        <v>175.06254164158375</v>
      </c>
      <c r="O326" s="215">
        <f t="shared" ref="O326:Q345" si="52">N326</f>
        <v>175.06254164158375</v>
      </c>
      <c r="P326" s="215">
        <f t="shared" si="52"/>
        <v>175.06254164158375</v>
      </c>
      <c r="Q326" s="215">
        <f t="shared" si="52"/>
        <v>175.06254164158375</v>
      </c>
      <c r="R326" s="15" t="s">
        <v>837</v>
      </c>
      <c r="S326" s="15" t="s">
        <v>840</v>
      </c>
      <c r="T326" s="15" t="s">
        <v>201</v>
      </c>
      <c r="U326" s="15" t="s">
        <v>200</v>
      </c>
      <c r="V326" s="413" t="s">
        <v>852</v>
      </c>
      <c r="W326" s="166"/>
      <c r="X326" s="166"/>
      <c r="Y326" s="166"/>
      <c r="Z326" s="166"/>
      <c r="AA326" s="158"/>
      <c r="AB326" s="166"/>
      <c r="AC326" s="158"/>
      <c r="AD326" s="166"/>
      <c r="AE326" s="158"/>
      <c r="AF326" s="166"/>
      <c r="AG326" s="166"/>
      <c r="AH326" s="166"/>
      <c r="AI326" s="166"/>
      <c r="AJ326" s="166"/>
      <c r="AK326" s="166"/>
      <c r="AL326" s="166"/>
      <c r="AM326" s="166"/>
      <c r="AN326" s="166"/>
      <c r="AO326" s="166"/>
      <c r="AP326" s="166"/>
      <c r="AQ326" s="166"/>
      <c r="AR326" s="166"/>
      <c r="AS326" s="166"/>
      <c r="AT326" s="166"/>
      <c r="AU326" s="343"/>
      <c r="AV326" s="343"/>
      <c r="AW326" s="343"/>
      <c r="AX326" s="343"/>
      <c r="AY326" s="344"/>
      <c r="AZ326" s="345"/>
      <c r="BA326" s="346"/>
      <c r="BB326" s="27"/>
    </row>
    <row r="327" spans="1:54">
      <c r="A327" s="2" t="str">
        <f t="shared" si="51"/>
        <v>Bus - Public Rebates_Pre Rinse Sprayer</v>
      </c>
      <c r="B327" s="18">
        <v>324</v>
      </c>
      <c r="C327" s="18" t="s">
        <v>728</v>
      </c>
      <c r="D327" s="18" t="s">
        <v>710</v>
      </c>
      <c r="E327" s="23" t="s">
        <v>150</v>
      </c>
      <c r="F327" s="23">
        <v>1</v>
      </c>
      <c r="G327" s="154">
        <v>0.79</v>
      </c>
      <c r="H327" s="447">
        <v>5</v>
      </c>
      <c r="I327" s="436">
        <v>5</v>
      </c>
      <c r="J327" s="23">
        <v>0</v>
      </c>
      <c r="K327" s="23">
        <f t="shared" si="47"/>
        <v>0</v>
      </c>
      <c r="L327" s="23">
        <f t="shared" si="50"/>
        <v>0</v>
      </c>
      <c r="M327" s="23">
        <f t="shared" si="50"/>
        <v>0</v>
      </c>
      <c r="N327" s="215">
        <f>(X327-Z327)*60*AB327*AD327*8.33*1*(AF327-AH327)*(1/AJ327)/100000</f>
        <v>102.33405</v>
      </c>
      <c r="O327" s="215">
        <f t="shared" si="52"/>
        <v>102.33405</v>
      </c>
      <c r="P327" s="215">
        <f t="shared" si="52"/>
        <v>102.33405</v>
      </c>
      <c r="Q327" s="215">
        <f t="shared" si="52"/>
        <v>102.33405</v>
      </c>
      <c r="R327" s="15" t="s">
        <v>838</v>
      </c>
      <c r="S327" s="15" t="s">
        <v>840</v>
      </c>
      <c r="T327" s="15" t="s">
        <v>351</v>
      </c>
      <c r="U327" s="15" t="s">
        <v>350</v>
      </c>
      <c r="V327" s="157" t="s">
        <v>344</v>
      </c>
      <c r="W327" s="390" t="s">
        <v>349</v>
      </c>
      <c r="X327" s="461">
        <v>1.23</v>
      </c>
      <c r="Y327" s="390" t="s">
        <v>348</v>
      </c>
      <c r="Z327" s="462">
        <v>0.98</v>
      </c>
      <c r="AA327" s="390" t="s">
        <v>347</v>
      </c>
      <c r="AB327" s="418">
        <v>3</v>
      </c>
      <c r="AC327" s="390" t="s">
        <v>346</v>
      </c>
      <c r="AD327" s="390">
        <v>312</v>
      </c>
      <c r="AE327" s="390" t="s">
        <v>251</v>
      </c>
      <c r="AF327" s="419">
        <f>70+AH327</f>
        <v>124.1</v>
      </c>
      <c r="AG327" s="390" t="s">
        <v>250</v>
      </c>
      <c r="AH327" s="463">
        <v>54.1</v>
      </c>
      <c r="AI327" s="390" t="s">
        <v>345</v>
      </c>
      <c r="AJ327" s="392">
        <v>0.8</v>
      </c>
      <c r="AK327" s="166"/>
      <c r="AL327" s="166"/>
      <c r="AM327" s="166"/>
      <c r="AN327" s="166"/>
      <c r="AO327" s="166"/>
      <c r="AP327" s="166"/>
      <c r="AQ327" s="166"/>
      <c r="AR327" s="166"/>
      <c r="AS327" s="166"/>
      <c r="AT327" s="166"/>
      <c r="AU327" s="343"/>
      <c r="AV327" s="343"/>
      <c r="AW327" s="343"/>
      <c r="AX327" s="343"/>
      <c r="AY327" s="344"/>
      <c r="AZ327" s="345"/>
      <c r="BA327" s="346"/>
      <c r="BB327" s="27"/>
    </row>
    <row r="328" spans="1:54">
      <c r="A328" s="2" t="str">
        <f t="shared" si="51"/>
        <v>Bus - Public Rebates_Steam Boiler ≥82% AFUE, &gt;300MBh TE</v>
      </c>
      <c r="B328" s="18">
        <v>325</v>
      </c>
      <c r="C328" s="18" t="s">
        <v>728</v>
      </c>
      <c r="D328" s="18" t="s">
        <v>723</v>
      </c>
      <c r="E328" s="23" t="s">
        <v>240</v>
      </c>
      <c r="F328" s="23">
        <v>500</v>
      </c>
      <c r="G328" s="154">
        <v>0.79</v>
      </c>
      <c r="H328" s="447">
        <v>20</v>
      </c>
      <c r="I328" s="484">
        <v>25</v>
      </c>
      <c r="J328" s="23">
        <v>14</v>
      </c>
      <c r="K328" s="23">
        <f t="shared" si="47"/>
        <v>14</v>
      </c>
      <c r="L328" s="23">
        <f t="shared" si="50"/>
        <v>14</v>
      </c>
      <c r="M328" s="23">
        <f t="shared" si="50"/>
        <v>14</v>
      </c>
      <c r="N328" s="216">
        <f>X328*Z328*((AB328-AD328)/AD328)/100000/F328</f>
        <v>0.63721518987341585</v>
      </c>
      <c r="O328" s="215">
        <f t="shared" si="52"/>
        <v>0.63721518987341585</v>
      </c>
      <c r="P328" s="215">
        <f t="shared" si="52"/>
        <v>0.63721518987341585</v>
      </c>
      <c r="Q328" s="215">
        <f t="shared" si="52"/>
        <v>0.63721518987341585</v>
      </c>
      <c r="R328" s="15" t="s">
        <v>838</v>
      </c>
      <c r="S328" s="15" t="s">
        <v>840</v>
      </c>
      <c r="T328" s="15" t="s">
        <v>343</v>
      </c>
      <c r="U328" s="15" t="s">
        <v>342</v>
      </c>
      <c r="V328" s="166" t="s">
        <v>340</v>
      </c>
      <c r="W328" s="468" t="s">
        <v>271</v>
      </c>
      <c r="X328" s="467">
        <v>1678</v>
      </c>
      <c r="Y328" s="158" t="s">
        <v>273</v>
      </c>
      <c r="Z328" s="398">
        <v>500000</v>
      </c>
      <c r="AA328" s="158" t="s">
        <v>341</v>
      </c>
      <c r="AB328" s="408">
        <v>0.82</v>
      </c>
      <c r="AC328" s="166" t="s">
        <v>248</v>
      </c>
      <c r="AD328" s="397">
        <v>0.79</v>
      </c>
      <c r="AE328" s="166"/>
      <c r="AF328" s="166"/>
      <c r="AG328" s="166"/>
      <c r="AH328" s="166"/>
      <c r="AI328" s="414"/>
      <c r="AJ328" s="415"/>
      <c r="AK328" s="414"/>
      <c r="AL328" s="397"/>
      <c r="AM328" s="166"/>
      <c r="AN328" s="166"/>
      <c r="AO328" s="166"/>
      <c r="AP328" s="166"/>
      <c r="AQ328" s="166"/>
      <c r="AR328" s="166"/>
      <c r="AS328" s="166"/>
      <c r="AT328" s="166"/>
      <c r="AU328" s="343"/>
      <c r="AV328" s="343"/>
      <c r="AW328" s="343"/>
      <c r="AX328" s="343"/>
      <c r="AY328" s="344"/>
      <c r="AZ328" s="345"/>
      <c r="BA328" s="346"/>
      <c r="BB328" s="27"/>
    </row>
    <row r="329" spans="1:54">
      <c r="A329" s="2" t="str">
        <f t="shared" si="51"/>
        <v>Bus - Public Rebates_Steam Traps - Dry Cleaner/Industrial</v>
      </c>
      <c r="B329" s="18">
        <v>326</v>
      </c>
      <c r="C329" s="18" t="s">
        <v>728</v>
      </c>
      <c r="D329" s="18" t="s">
        <v>269</v>
      </c>
      <c r="E329" s="23" t="s">
        <v>150</v>
      </c>
      <c r="F329" s="23">
        <v>1</v>
      </c>
      <c r="G329" s="154">
        <v>0.79</v>
      </c>
      <c r="H329" s="447">
        <v>6</v>
      </c>
      <c r="I329" s="436">
        <v>6</v>
      </c>
      <c r="J329" s="23">
        <v>61</v>
      </c>
      <c r="K329" s="23">
        <f t="shared" si="47"/>
        <v>61</v>
      </c>
      <c r="L329" s="23">
        <f t="shared" si="50"/>
        <v>61</v>
      </c>
      <c r="M329" s="23">
        <f t="shared" si="50"/>
        <v>61</v>
      </c>
      <c r="N329" s="216">
        <f>X329*(Z329/AB329)*AD329*AF329/100000</f>
        <v>137.91939591078068</v>
      </c>
      <c r="O329" s="215">
        <f t="shared" si="52"/>
        <v>137.91939591078068</v>
      </c>
      <c r="P329" s="215">
        <f t="shared" si="52"/>
        <v>137.91939591078068</v>
      </c>
      <c r="Q329" s="215">
        <f t="shared" si="52"/>
        <v>137.91939591078068</v>
      </c>
      <c r="R329" s="15" t="s">
        <v>838</v>
      </c>
      <c r="S329" s="15" t="s">
        <v>840</v>
      </c>
      <c r="T329" s="15" t="s">
        <v>266</v>
      </c>
      <c r="U329" s="15" t="s">
        <v>265</v>
      </c>
      <c r="V329" s="166" t="s">
        <v>259</v>
      </c>
      <c r="W329" s="166" t="s">
        <v>264</v>
      </c>
      <c r="X329" s="166">
        <v>19.100000000000001</v>
      </c>
      <c r="Y329" s="166" t="s">
        <v>263</v>
      </c>
      <c r="Z329" s="166">
        <v>890</v>
      </c>
      <c r="AA329" s="158" t="s">
        <v>262</v>
      </c>
      <c r="AB329" s="399">
        <v>0.80700000000000005</v>
      </c>
      <c r="AC329" s="158" t="s">
        <v>153</v>
      </c>
      <c r="AD329" s="166">
        <v>2425</v>
      </c>
      <c r="AE329" s="166" t="s">
        <v>260</v>
      </c>
      <c r="AF329" s="397">
        <v>0.27</v>
      </c>
      <c r="AG329" s="166"/>
      <c r="AH329" s="166"/>
      <c r="AI329" s="166"/>
      <c r="AJ329" s="166"/>
      <c r="AK329" s="166"/>
      <c r="AL329" s="166"/>
      <c r="AM329" s="166"/>
      <c r="AN329" s="166"/>
      <c r="AO329" s="166"/>
      <c r="AP329" s="166"/>
      <c r="AQ329" s="166"/>
      <c r="AR329" s="166"/>
      <c r="AS329" s="166"/>
      <c r="AT329" s="166"/>
      <c r="AU329" s="343"/>
      <c r="AV329" s="343"/>
      <c r="AW329" s="343"/>
      <c r="AX329" s="343"/>
      <c r="AY329" s="344"/>
      <c r="AZ329" s="345"/>
      <c r="BA329" s="346"/>
      <c r="BB329" s="27"/>
    </row>
    <row r="330" spans="1:54">
      <c r="A330" s="2" t="str">
        <f t="shared" si="51"/>
        <v>Bus - Public Rebates_Steam Traps - HVAC Repair/Rep - Audit</v>
      </c>
      <c r="B330" s="18">
        <v>327</v>
      </c>
      <c r="C330" s="18" t="s">
        <v>728</v>
      </c>
      <c r="D330" s="18" t="s">
        <v>268</v>
      </c>
      <c r="E330" s="23" t="s">
        <v>150</v>
      </c>
      <c r="F330" s="23">
        <v>1</v>
      </c>
      <c r="G330" s="154">
        <v>0.79</v>
      </c>
      <c r="H330" s="447">
        <v>6</v>
      </c>
      <c r="I330" s="436">
        <v>6</v>
      </c>
      <c r="J330" s="23">
        <v>61</v>
      </c>
      <c r="K330" s="23">
        <f t="shared" si="47"/>
        <v>61</v>
      </c>
      <c r="L330" s="23">
        <f t="shared" si="50"/>
        <v>61</v>
      </c>
      <c r="M330" s="23">
        <f t="shared" si="50"/>
        <v>61</v>
      </c>
      <c r="N330" s="216">
        <f>X330*(Z330/AB330)*AD330*AF330/100000</f>
        <v>88.453924126394057</v>
      </c>
      <c r="O330" s="215">
        <f t="shared" si="52"/>
        <v>88.453924126394057</v>
      </c>
      <c r="P330" s="215">
        <f t="shared" si="52"/>
        <v>88.453924126394057</v>
      </c>
      <c r="Q330" s="215">
        <f t="shared" si="52"/>
        <v>88.453924126394057</v>
      </c>
      <c r="R330" s="15" t="s">
        <v>838</v>
      </c>
      <c r="S330" s="15" t="s">
        <v>840</v>
      </c>
      <c r="T330" s="15" t="s">
        <v>266</v>
      </c>
      <c r="U330" s="15" t="s">
        <v>265</v>
      </c>
      <c r="V330" s="166" t="s">
        <v>259</v>
      </c>
      <c r="W330" s="166" t="s">
        <v>264</v>
      </c>
      <c r="X330" s="166">
        <v>6.9</v>
      </c>
      <c r="Y330" s="166" t="s">
        <v>263</v>
      </c>
      <c r="Z330" s="166">
        <v>951</v>
      </c>
      <c r="AA330" s="158" t="s">
        <v>262</v>
      </c>
      <c r="AB330" s="399">
        <v>0.80700000000000005</v>
      </c>
      <c r="AC330" s="158" t="s">
        <v>261</v>
      </c>
      <c r="AD330" s="166">
        <v>4029</v>
      </c>
      <c r="AE330" s="166" t="s">
        <v>260</v>
      </c>
      <c r="AF330" s="397">
        <v>0.27</v>
      </c>
      <c r="AG330" s="166"/>
      <c r="AH330" s="166"/>
      <c r="AI330" s="166"/>
      <c r="AJ330" s="166"/>
      <c r="AK330" s="166"/>
      <c r="AL330" s="166"/>
      <c r="AM330" s="166"/>
      <c r="AN330" s="166"/>
      <c r="AO330" s="166"/>
      <c r="AP330" s="166"/>
      <c r="AQ330" s="166"/>
      <c r="AR330" s="166"/>
      <c r="AS330" s="166"/>
      <c r="AT330" s="166"/>
      <c r="AU330" s="343"/>
      <c r="AV330" s="343"/>
      <c r="AW330" s="343"/>
      <c r="AX330" s="343"/>
      <c r="AY330" s="344"/>
      <c r="AZ330" s="345"/>
      <c r="BA330" s="346"/>
      <c r="BB330" s="27"/>
    </row>
    <row r="331" spans="1:54">
      <c r="A331" s="2" t="str">
        <f t="shared" si="51"/>
        <v>Bus - Public Rebates_Steam Traps - HVAC Repair/Rep - No Audit</v>
      </c>
      <c r="B331" s="18">
        <v>328</v>
      </c>
      <c r="C331" s="18" t="s">
        <v>728</v>
      </c>
      <c r="D331" s="18" t="s">
        <v>267</v>
      </c>
      <c r="E331" s="23" t="s">
        <v>150</v>
      </c>
      <c r="F331" s="23">
        <v>1</v>
      </c>
      <c r="G331" s="154">
        <v>0.79</v>
      </c>
      <c r="H331" s="447">
        <v>6</v>
      </c>
      <c r="I331" s="436">
        <v>6</v>
      </c>
      <c r="J331" s="23">
        <v>19</v>
      </c>
      <c r="K331" s="23">
        <f t="shared" si="47"/>
        <v>19</v>
      </c>
      <c r="L331" s="23">
        <f t="shared" si="50"/>
        <v>19</v>
      </c>
      <c r="M331" s="23">
        <f t="shared" si="50"/>
        <v>19</v>
      </c>
      <c r="N331" s="216">
        <f>X331*(Z331/AB331)*AD331*AF331/100000</f>
        <v>88.453924126394057</v>
      </c>
      <c r="O331" s="215">
        <f t="shared" si="52"/>
        <v>88.453924126394057</v>
      </c>
      <c r="P331" s="215">
        <f t="shared" si="52"/>
        <v>88.453924126394057</v>
      </c>
      <c r="Q331" s="215">
        <f t="shared" si="52"/>
        <v>88.453924126394057</v>
      </c>
      <c r="R331" s="15" t="s">
        <v>838</v>
      </c>
      <c r="S331" s="15" t="s">
        <v>840</v>
      </c>
      <c r="T331" s="15" t="s">
        <v>266</v>
      </c>
      <c r="U331" s="15" t="s">
        <v>265</v>
      </c>
      <c r="V331" s="166" t="s">
        <v>259</v>
      </c>
      <c r="W331" s="166" t="s">
        <v>264</v>
      </c>
      <c r="X331" s="166">
        <v>6.9</v>
      </c>
      <c r="Y331" s="166" t="s">
        <v>263</v>
      </c>
      <c r="Z331" s="166">
        <v>951</v>
      </c>
      <c r="AA331" s="158" t="s">
        <v>262</v>
      </c>
      <c r="AB331" s="399">
        <v>0.80700000000000005</v>
      </c>
      <c r="AC331" s="158" t="s">
        <v>261</v>
      </c>
      <c r="AD331" s="166">
        <v>4029</v>
      </c>
      <c r="AE331" s="166" t="s">
        <v>260</v>
      </c>
      <c r="AF331" s="397">
        <v>0.27</v>
      </c>
      <c r="AG331" s="166"/>
      <c r="AH331" s="166"/>
      <c r="AI331" s="166"/>
      <c r="AJ331" s="399"/>
      <c r="AK331" s="166"/>
      <c r="AL331" s="166"/>
      <c r="AM331" s="166"/>
      <c r="AN331" s="166"/>
      <c r="AO331" s="166"/>
      <c r="AP331" s="166"/>
      <c r="AQ331" s="166"/>
      <c r="AR331" s="166"/>
      <c r="AS331" s="166"/>
      <c r="AT331" s="166"/>
      <c r="AU331" s="343"/>
      <c r="AV331" s="343"/>
      <c r="AW331" s="343"/>
      <c r="AX331" s="343"/>
      <c r="AY331" s="344"/>
      <c r="AZ331" s="345"/>
      <c r="BA331" s="346"/>
      <c r="BB331" s="27"/>
    </row>
    <row r="332" spans="1:54">
      <c r="A332" s="2" t="str">
        <f t="shared" si="51"/>
        <v>Bus - Public Rebates_Steam Traps - Test</v>
      </c>
      <c r="B332" s="18">
        <v>329</v>
      </c>
      <c r="C332" s="18" t="s">
        <v>728</v>
      </c>
      <c r="D332" s="18" t="s">
        <v>258</v>
      </c>
      <c r="E332" s="23" t="s">
        <v>150</v>
      </c>
      <c r="F332" s="23">
        <v>1</v>
      </c>
      <c r="G332" s="154">
        <v>0.79</v>
      </c>
      <c r="H332" s="447">
        <v>3</v>
      </c>
      <c r="I332" s="436">
        <v>3</v>
      </c>
      <c r="J332" s="23">
        <v>19</v>
      </c>
      <c r="K332" s="23">
        <f t="shared" si="47"/>
        <v>19</v>
      </c>
      <c r="L332" s="23">
        <f t="shared" si="50"/>
        <v>19</v>
      </c>
      <c r="M332" s="23">
        <f t="shared" si="50"/>
        <v>19</v>
      </c>
      <c r="N332" s="216">
        <v>0</v>
      </c>
      <c r="O332" s="215">
        <f t="shared" si="52"/>
        <v>0</v>
      </c>
      <c r="P332" s="215">
        <f t="shared" si="52"/>
        <v>0</v>
      </c>
      <c r="Q332" s="215">
        <f t="shared" si="52"/>
        <v>0</v>
      </c>
      <c r="R332" s="15" t="s">
        <v>140</v>
      </c>
      <c r="S332" s="15" t="s">
        <v>140</v>
      </c>
      <c r="T332" s="15" t="s">
        <v>140</v>
      </c>
      <c r="U332" s="15" t="s">
        <v>140</v>
      </c>
      <c r="V332" s="390" t="s">
        <v>140</v>
      </c>
      <c r="W332" s="166"/>
      <c r="X332" s="166"/>
      <c r="Y332" s="166"/>
      <c r="Z332" s="166"/>
      <c r="AA332" s="158"/>
      <c r="AB332" s="397"/>
      <c r="AC332" s="158"/>
      <c r="AD332" s="166"/>
      <c r="AE332" s="158"/>
      <c r="AF332" s="397"/>
      <c r="AG332" s="166"/>
      <c r="AH332" s="397"/>
      <c r="AI332" s="166"/>
      <c r="AJ332" s="397"/>
      <c r="AK332" s="166"/>
      <c r="AL332" s="166"/>
      <c r="AM332" s="166"/>
      <c r="AN332" s="166"/>
      <c r="AO332" s="166"/>
      <c r="AP332" s="166"/>
      <c r="AQ332" s="166"/>
      <c r="AR332" s="166"/>
      <c r="AS332" s="166"/>
      <c r="AT332" s="166"/>
      <c r="AU332" s="343"/>
      <c r="AV332" s="343"/>
      <c r="AW332" s="343"/>
      <c r="AX332" s="343"/>
      <c r="AY332" s="344"/>
      <c r="AZ332" s="345"/>
      <c r="BA332" s="346"/>
      <c r="BB332" s="27"/>
    </row>
    <row r="333" spans="1:54">
      <c r="A333" s="2" t="str">
        <f t="shared" si="51"/>
        <v>Bus - Public Rebates_Thermostat - Programmable</v>
      </c>
      <c r="B333" s="18">
        <v>330</v>
      </c>
      <c r="C333" s="18" t="s">
        <v>728</v>
      </c>
      <c r="D333" s="18" t="s">
        <v>226</v>
      </c>
      <c r="E333" s="23" t="s">
        <v>150</v>
      </c>
      <c r="F333" s="23">
        <v>1</v>
      </c>
      <c r="G333" s="154">
        <v>0.79</v>
      </c>
      <c r="H333" s="447">
        <v>4</v>
      </c>
      <c r="I333" s="436">
        <v>4</v>
      </c>
      <c r="J333" s="23">
        <v>300</v>
      </c>
      <c r="K333" s="23">
        <f t="shared" si="47"/>
        <v>300</v>
      </c>
      <c r="L333" s="23">
        <f t="shared" si="50"/>
        <v>300</v>
      </c>
      <c r="M333" s="23">
        <f t="shared" si="50"/>
        <v>300</v>
      </c>
      <c r="N333" s="341">
        <f>'Thermostat Detail'!$L$13</f>
        <v>124.68584320000001</v>
      </c>
      <c r="O333" s="215">
        <f t="shared" si="52"/>
        <v>124.68584320000001</v>
      </c>
      <c r="P333" s="215">
        <f t="shared" si="52"/>
        <v>124.68584320000001</v>
      </c>
      <c r="Q333" s="215">
        <f t="shared" si="52"/>
        <v>124.68584320000001</v>
      </c>
      <c r="R333" s="15" t="s">
        <v>839</v>
      </c>
      <c r="S333" s="15" t="s">
        <v>840</v>
      </c>
      <c r="T333" s="15" t="s">
        <v>225</v>
      </c>
      <c r="U333" s="15" t="s">
        <v>224</v>
      </c>
      <c r="V333" s="413" t="s">
        <v>833</v>
      </c>
      <c r="W333" s="166"/>
      <c r="X333" s="166"/>
      <c r="Y333" s="166"/>
      <c r="Z333" s="166"/>
      <c r="AA333" s="158"/>
      <c r="AB333" s="397"/>
      <c r="AC333" s="158"/>
      <c r="AD333" s="166"/>
      <c r="AE333" s="158"/>
      <c r="AF333" s="397"/>
      <c r="AG333" s="166"/>
      <c r="AH333" s="397"/>
      <c r="AI333" s="166"/>
      <c r="AJ333" s="397"/>
      <c r="AK333" s="166"/>
      <c r="AL333" s="166"/>
      <c r="AM333" s="166"/>
      <c r="AN333" s="166"/>
      <c r="AO333" s="166"/>
      <c r="AP333" s="166"/>
      <c r="AQ333" s="166"/>
      <c r="AR333" s="166"/>
      <c r="AS333" s="166"/>
      <c r="AT333" s="166"/>
      <c r="AU333" s="343"/>
      <c r="AV333" s="343"/>
      <c r="AW333" s="343"/>
      <c r="AX333" s="343"/>
      <c r="AY333" s="344"/>
      <c r="AZ333" s="345"/>
      <c r="BA333" s="346"/>
      <c r="BB333" s="27"/>
    </row>
    <row r="334" spans="1:54">
      <c r="A334" s="2" t="str">
        <f t="shared" si="51"/>
        <v>Bus - Public Rebates_Water Heater - Storage 88% TE ≥75MBh</v>
      </c>
      <c r="B334" s="18">
        <v>331</v>
      </c>
      <c r="C334" s="18" t="s">
        <v>728</v>
      </c>
      <c r="D334" s="18" t="s">
        <v>254</v>
      </c>
      <c r="E334" s="23" t="s">
        <v>150</v>
      </c>
      <c r="F334" s="23">
        <v>1</v>
      </c>
      <c r="G334" s="154">
        <v>0.79</v>
      </c>
      <c r="H334" s="447">
        <v>15</v>
      </c>
      <c r="I334" s="436">
        <v>15</v>
      </c>
      <c r="J334" s="23">
        <v>0</v>
      </c>
      <c r="K334" s="23">
        <v>0</v>
      </c>
      <c r="L334" s="23">
        <v>0</v>
      </c>
      <c r="M334" s="23">
        <v>0</v>
      </c>
      <c r="N334" s="216">
        <f>(X334-Z334)*AB334*8.33*(1/AD334-1/AF334)/100000+((AJ334-AL334)*8766/100000)</f>
        <v>1514.573584976577</v>
      </c>
      <c r="O334" s="215">
        <f t="shared" si="52"/>
        <v>1514.573584976577</v>
      </c>
      <c r="P334" s="215">
        <f t="shared" si="52"/>
        <v>1514.573584976577</v>
      </c>
      <c r="Q334" s="215">
        <f t="shared" si="52"/>
        <v>1514.573584976577</v>
      </c>
      <c r="R334" s="15" t="s">
        <v>838</v>
      </c>
      <c r="S334" s="15" t="s">
        <v>840</v>
      </c>
      <c r="T334" s="15" t="s">
        <v>253</v>
      </c>
      <c r="U334" s="15" t="s">
        <v>252</v>
      </c>
      <c r="V334" s="166" t="s">
        <v>243</v>
      </c>
      <c r="W334" s="166" t="s">
        <v>251</v>
      </c>
      <c r="X334" s="166">
        <v>125</v>
      </c>
      <c r="Y334" s="166" t="s">
        <v>250</v>
      </c>
      <c r="Z334" s="166">
        <v>54</v>
      </c>
      <c r="AA334" s="158" t="s">
        <v>249</v>
      </c>
      <c r="AB334" s="398">
        <f>511*AH334</f>
        <v>127750</v>
      </c>
      <c r="AC334" s="395" t="s">
        <v>248</v>
      </c>
      <c r="AD334" s="404">
        <f xml:space="preserve"> 0.6002 - (0.0011 * AH334)</f>
        <v>0.32519999999999993</v>
      </c>
      <c r="AE334" s="394" t="s">
        <v>247</v>
      </c>
      <c r="AF334" s="166">
        <v>0.88</v>
      </c>
      <c r="AG334" s="166" t="s">
        <v>246</v>
      </c>
      <c r="AH334" s="166">
        <v>250</v>
      </c>
      <c r="AI334" s="166" t="s">
        <v>245</v>
      </c>
      <c r="AJ334" s="398">
        <f>200000/800+110*SQRT(150)</f>
        <v>1597.219358530748</v>
      </c>
      <c r="AK334" s="166" t="s">
        <v>244</v>
      </c>
      <c r="AL334" s="166">
        <v>1029</v>
      </c>
      <c r="AM334" s="166"/>
      <c r="AN334" s="166"/>
      <c r="AO334" s="166"/>
      <c r="AP334" s="166"/>
      <c r="AQ334" s="166"/>
      <c r="AR334" s="166"/>
      <c r="AS334" s="166"/>
      <c r="AT334" s="166"/>
      <c r="AU334" s="343"/>
      <c r="AV334" s="343"/>
      <c r="AW334" s="343"/>
      <c r="AX334" s="343"/>
      <c r="AY334" s="344"/>
      <c r="AZ334" s="345"/>
      <c r="BA334" s="346"/>
      <c r="BB334" s="27"/>
    </row>
    <row r="335" spans="1:54">
      <c r="A335" s="2" t="str">
        <f t="shared" si="51"/>
        <v>Bus - Public Rebates_Double Rack Oven</v>
      </c>
      <c r="B335" s="18">
        <v>332</v>
      </c>
      <c r="C335" s="18" t="s">
        <v>728</v>
      </c>
      <c r="D335" s="18" t="s">
        <v>186</v>
      </c>
      <c r="E335" s="23" t="s">
        <v>150</v>
      </c>
      <c r="F335" s="23">
        <v>1</v>
      </c>
      <c r="G335" s="154">
        <v>0.79</v>
      </c>
      <c r="H335" s="447">
        <v>12</v>
      </c>
      <c r="I335" s="436">
        <v>12</v>
      </c>
      <c r="J335" s="23">
        <v>0</v>
      </c>
      <c r="K335" s="23">
        <v>0</v>
      </c>
      <c r="L335" s="23">
        <v>0</v>
      </c>
      <c r="M335" s="23">
        <v>0</v>
      </c>
      <c r="N335" s="216">
        <v>1930</v>
      </c>
      <c r="O335" s="215">
        <f t="shared" si="52"/>
        <v>1930</v>
      </c>
      <c r="P335" s="215">
        <f t="shared" si="52"/>
        <v>1930</v>
      </c>
      <c r="Q335" s="215">
        <f t="shared" si="52"/>
        <v>1930</v>
      </c>
      <c r="R335" s="15" t="s">
        <v>838</v>
      </c>
      <c r="S335" s="15" t="s">
        <v>840</v>
      </c>
      <c r="T335" s="15" t="s">
        <v>185</v>
      </c>
      <c r="U335" s="15" t="s">
        <v>184</v>
      </c>
      <c r="V335" s="166"/>
      <c r="W335" s="166"/>
      <c r="X335" s="166"/>
      <c r="Y335" s="166"/>
      <c r="Z335" s="166"/>
      <c r="AA335" s="158"/>
      <c r="AB335" s="166"/>
      <c r="AC335" s="158"/>
      <c r="AD335" s="166"/>
      <c r="AE335" s="158"/>
      <c r="AF335" s="166"/>
      <c r="AG335" s="166"/>
      <c r="AH335" s="166"/>
      <c r="AI335" s="166"/>
      <c r="AJ335" s="166"/>
      <c r="AK335" s="166"/>
      <c r="AL335" s="166"/>
      <c r="AM335" s="166"/>
      <c r="AN335" s="166"/>
      <c r="AO335" s="166"/>
      <c r="AP335" s="166"/>
      <c r="AQ335" s="166"/>
      <c r="AR335" s="166"/>
      <c r="AS335" s="166"/>
      <c r="AT335" s="166"/>
      <c r="AU335" s="343"/>
      <c r="AV335" s="343"/>
      <c r="AW335" s="343"/>
      <c r="AX335" s="343"/>
      <c r="AY335" s="344"/>
      <c r="AZ335" s="345"/>
      <c r="BA335" s="346"/>
      <c r="BB335" s="27"/>
    </row>
    <row r="336" spans="1:54">
      <c r="A336" s="2" t="str">
        <f t="shared" si="51"/>
        <v>Bus - Public Rebates_Energy Star Convection Oven</v>
      </c>
      <c r="B336" s="18">
        <v>333</v>
      </c>
      <c r="C336" s="18" t="s">
        <v>728</v>
      </c>
      <c r="D336" s="18" t="s">
        <v>196</v>
      </c>
      <c r="E336" s="23" t="s">
        <v>150</v>
      </c>
      <c r="F336" s="23">
        <v>1</v>
      </c>
      <c r="G336" s="154">
        <v>0.79</v>
      </c>
      <c r="H336" s="447">
        <v>12</v>
      </c>
      <c r="I336" s="436">
        <v>12</v>
      </c>
      <c r="J336" s="23">
        <v>0</v>
      </c>
      <c r="K336" s="23">
        <v>0</v>
      </c>
      <c r="L336" s="23">
        <v>0</v>
      </c>
      <c r="M336" s="23">
        <v>0</v>
      </c>
      <c r="N336" s="216">
        <f>(X336+Z336+AB336)*365.35/100000</f>
        <v>352.14445072463781</v>
      </c>
      <c r="O336" s="215">
        <f t="shared" si="52"/>
        <v>352.14445072463781</v>
      </c>
      <c r="P336" s="215">
        <f t="shared" si="52"/>
        <v>352.14445072463781</v>
      </c>
      <c r="Q336" s="215">
        <f t="shared" si="52"/>
        <v>352.14445072463781</v>
      </c>
      <c r="R336" s="15" t="s">
        <v>838</v>
      </c>
      <c r="S336" s="15" t="s">
        <v>840</v>
      </c>
      <c r="T336" s="15" t="s">
        <v>195</v>
      </c>
      <c r="U336" s="15" t="s">
        <v>194</v>
      </c>
      <c r="V336" s="166" t="s">
        <v>187</v>
      </c>
      <c r="W336" s="166" t="s">
        <v>190</v>
      </c>
      <c r="X336" s="398">
        <f>18000*10.3-12000*10.5</f>
        <v>59400</v>
      </c>
      <c r="Y336" s="166" t="s">
        <v>189</v>
      </c>
      <c r="Z336" s="398">
        <f>1*15/60*76000-1*15/60*44000</f>
        <v>8000</v>
      </c>
      <c r="AA336" s="158" t="s">
        <v>188</v>
      </c>
      <c r="AB336" s="398">
        <f>100*250/30%-100*250/46%</f>
        <v>28985.507246376823</v>
      </c>
      <c r="AC336" s="158"/>
      <c r="AD336" s="166"/>
      <c r="AE336" s="158"/>
      <c r="AF336" s="166"/>
      <c r="AG336" s="166"/>
      <c r="AH336" s="166"/>
      <c r="AI336" s="166"/>
      <c r="AJ336" s="166"/>
      <c r="AK336" s="166"/>
      <c r="AL336" s="166"/>
      <c r="AM336" s="166"/>
      <c r="AN336" s="166"/>
      <c r="AO336" s="166"/>
      <c r="AP336" s="166"/>
      <c r="AQ336" s="166"/>
      <c r="AR336" s="166"/>
      <c r="AS336" s="166"/>
      <c r="AT336" s="166"/>
      <c r="AU336" s="343"/>
      <c r="AV336" s="343"/>
      <c r="AW336" s="343"/>
      <c r="AX336" s="343"/>
      <c r="AY336" s="344"/>
      <c r="AZ336" s="345"/>
      <c r="BA336" s="346"/>
      <c r="BB336" s="27"/>
    </row>
    <row r="337" spans="1:54">
      <c r="A337" s="2" t="str">
        <f t="shared" si="51"/>
        <v>Bus - Public Rebates_Energy Star Conveyer Oven</v>
      </c>
      <c r="B337" s="18">
        <v>334</v>
      </c>
      <c r="C337" s="18" t="s">
        <v>728</v>
      </c>
      <c r="D337" s="18" t="s">
        <v>199</v>
      </c>
      <c r="E337" s="23" t="s">
        <v>150</v>
      </c>
      <c r="F337" s="23">
        <v>1</v>
      </c>
      <c r="G337" s="154">
        <v>0.79</v>
      </c>
      <c r="H337" s="447">
        <v>17</v>
      </c>
      <c r="I337" s="436">
        <v>17</v>
      </c>
      <c r="J337" s="23">
        <v>0</v>
      </c>
      <c r="K337" s="23">
        <v>0</v>
      </c>
      <c r="L337" s="23">
        <v>0</v>
      </c>
      <c r="M337" s="23">
        <v>0</v>
      </c>
      <c r="N337" s="216">
        <v>884</v>
      </c>
      <c r="O337" s="215">
        <f t="shared" si="52"/>
        <v>884</v>
      </c>
      <c r="P337" s="215">
        <f t="shared" si="52"/>
        <v>884</v>
      </c>
      <c r="Q337" s="215">
        <f t="shared" si="52"/>
        <v>884</v>
      </c>
      <c r="R337" s="15" t="s">
        <v>838</v>
      </c>
      <c r="S337" s="15" t="s">
        <v>840</v>
      </c>
      <c r="T337" s="15" t="s">
        <v>198</v>
      </c>
      <c r="U337" s="15" t="s">
        <v>197</v>
      </c>
      <c r="V337" s="166" t="s">
        <v>187</v>
      </c>
      <c r="W337" s="166"/>
      <c r="X337" s="398"/>
      <c r="Y337" s="166"/>
      <c r="Z337" s="398"/>
      <c r="AA337" s="158"/>
      <c r="AB337" s="398"/>
      <c r="AC337" s="158"/>
      <c r="AD337" s="166"/>
      <c r="AE337" s="158"/>
      <c r="AF337" s="166"/>
      <c r="AG337" s="166"/>
      <c r="AH337" s="166"/>
      <c r="AI337" s="166"/>
      <c r="AJ337" s="166"/>
      <c r="AK337" s="166"/>
      <c r="AL337" s="166"/>
      <c r="AM337" s="166"/>
      <c r="AN337" s="166"/>
      <c r="AO337" s="166"/>
      <c r="AP337" s="166"/>
      <c r="AQ337" s="166"/>
      <c r="AR337" s="166"/>
      <c r="AS337" s="166"/>
      <c r="AT337" s="166"/>
      <c r="AU337" s="343"/>
      <c r="AV337" s="343"/>
      <c r="AW337" s="343"/>
      <c r="AX337" s="343"/>
      <c r="AY337" s="344"/>
      <c r="AZ337" s="345"/>
      <c r="BA337" s="346"/>
      <c r="BB337" s="27"/>
    </row>
    <row r="338" spans="1:54">
      <c r="A338" s="2" t="str">
        <f t="shared" si="51"/>
        <v>Bus - Public Rebates_Energy Star Fryer</v>
      </c>
      <c r="B338" s="18">
        <v>335</v>
      </c>
      <c r="C338" s="18" t="s">
        <v>728</v>
      </c>
      <c r="D338" s="18" t="s">
        <v>193</v>
      </c>
      <c r="E338" s="23" t="s">
        <v>150</v>
      </c>
      <c r="F338" s="23">
        <v>1</v>
      </c>
      <c r="G338" s="154">
        <v>0.79</v>
      </c>
      <c r="H338" s="447">
        <v>15</v>
      </c>
      <c r="I338" s="443">
        <v>12</v>
      </c>
      <c r="J338" s="23">
        <v>0</v>
      </c>
      <c r="K338" s="23">
        <v>0</v>
      </c>
      <c r="L338" s="23">
        <v>0</v>
      </c>
      <c r="M338" s="23">
        <v>0</v>
      </c>
      <c r="N338" s="216">
        <f>(X338+Z338+AB338)*365.35/100000</f>
        <v>505.37299714285717</v>
      </c>
      <c r="O338" s="215">
        <f t="shared" si="52"/>
        <v>505.37299714285717</v>
      </c>
      <c r="P338" s="215">
        <f t="shared" si="52"/>
        <v>505.37299714285717</v>
      </c>
      <c r="Q338" s="215">
        <f t="shared" si="52"/>
        <v>505.37299714285717</v>
      </c>
      <c r="R338" s="15" t="s">
        <v>838</v>
      </c>
      <c r="S338" s="15" t="s">
        <v>840</v>
      </c>
      <c r="T338" s="15" t="s">
        <v>192</v>
      </c>
      <c r="U338" s="15" t="s">
        <v>191</v>
      </c>
      <c r="V338" s="166" t="s">
        <v>187</v>
      </c>
      <c r="W338" s="166" t="s">
        <v>190</v>
      </c>
      <c r="X338" s="398">
        <f>14000*13.25-9000*13.44</f>
        <v>64540</v>
      </c>
      <c r="Y338" s="166" t="s">
        <v>189</v>
      </c>
      <c r="Z338" s="166">
        <f>1*15/60*64000-1*15/60*62000</f>
        <v>500</v>
      </c>
      <c r="AA338" s="158" t="s">
        <v>188</v>
      </c>
      <c r="AB338" s="398">
        <f>150*570/35%-150*570/50%</f>
        <v>73285.71428571429</v>
      </c>
      <c r="AC338" s="158"/>
      <c r="AD338" s="166"/>
      <c r="AE338" s="158"/>
      <c r="AF338" s="166"/>
      <c r="AG338" s="166"/>
      <c r="AH338" s="166"/>
      <c r="AI338" s="166"/>
      <c r="AJ338" s="166"/>
      <c r="AK338" s="166"/>
      <c r="AL338" s="166"/>
      <c r="AM338" s="166"/>
      <c r="AN338" s="166"/>
      <c r="AO338" s="166"/>
      <c r="AP338" s="166"/>
      <c r="AQ338" s="166"/>
      <c r="AR338" s="166"/>
      <c r="AS338" s="166"/>
      <c r="AT338" s="166"/>
      <c r="AU338" s="343"/>
      <c r="AV338" s="343"/>
      <c r="AW338" s="343"/>
      <c r="AX338" s="343"/>
      <c r="AY338" s="344"/>
      <c r="AZ338" s="345"/>
      <c r="BA338" s="346"/>
      <c r="BB338" s="27"/>
    </row>
    <row r="339" spans="1:54">
      <c r="A339" s="2" t="str">
        <f t="shared" si="51"/>
        <v>Bus - Public Rebates_Energy Star Steamer - 3 Pans</v>
      </c>
      <c r="B339" s="18">
        <v>336</v>
      </c>
      <c r="C339" s="18" t="s">
        <v>728</v>
      </c>
      <c r="D339" s="18" t="s">
        <v>183</v>
      </c>
      <c r="E339" s="23" t="s">
        <v>150</v>
      </c>
      <c r="F339" s="23">
        <v>1</v>
      </c>
      <c r="G339" s="154">
        <v>0.79</v>
      </c>
      <c r="H339" s="447">
        <v>12</v>
      </c>
      <c r="I339" s="436">
        <v>12</v>
      </c>
      <c r="J339" s="23">
        <v>0</v>
      </c>
      <c r="K339" s="23">
        <v>0</v>
      </c>
      <c r="L339" s="23">
        <v>0</v>
      </c>
      <c r="M339" s="23">
        <v>0</v>
      </c>
      <c r="N339" s="216">
        <f>'Food Equipment Detail'!$C$62</f>
        <v>752.01231086676478</v>
      </c>
      <c r="O339" s="215">
        <f t="shared" si="52"/>
        <v>752.01231086676478</v>
      </c>
      <c r="P339" s="215">
        <f t="shared" si="52"/>
        <v>752.01231086676478</v>
      </c>
      <c r="Q339" s="215">
        <f t="shared" si="52"/>
        <v>752.01231086676478</v>
      </c>
      <c r="R339" s="15" t="s">
        <v>835</v>
      </c>
      <c r="S339" s="15" t="s">
        <v>840</v>
      </c>
      <c r="T339" s="15" t="s">
        <v>179</v>
      </c>
      <c r="U339" s="15" t="s">
        <v>178</v>
      </c>
      <c r="V339" s="420"/>
      <c r="W339" s="166" t="s">
        <v>177</v>
      </c>
      <c r="X339" s="166">
        <v>40</v>
      </c>
      <c r="Y339" s="166" t="s">
        <v>176</v>
      </c>
      <c r="Z339" s="166">
        <v>15</v>
      </c>
      <c r="AA339" s="158" t="s">
        <v>153</v>
      </c>
      <c r="AB339" s="166">
        <v>6</v>
      </c>
      <c r="AC339" s="158" t="s">
        <v>175</v>
      </c>
      <c r="AD339" s="166">
        <v>365.25</v>
      </c>
      <c r="AE339" s="158"/>
      <c r="AF339" s="166"/>
      <c r="AG339" s="166"/>
      <c r="AH339" s="166"/>
      <c r="AI339" s="166"/>
      <c r="AJ339" s="166"/>
      <c r="AK339" s="166"/>
      <c r="AL339" s="166"/>
      <c r="AM339" s="166"/>
      <c r="AN339" s="166"/>
      <c r="AO339" s="166"/>
      <c r="AP339" s="166"/>
      <c r="AQ339" s="166"/>
      <c r="AR339" s="166"/>
      <c r="AS339" s="166"/>
      <c r="AT339" s="166"/>
      <c r="AU339" s="343"/>
      <c r="AV339" s="343"/>
      <c r="AW339" s="343"/>
      <c r="AX339" s="343"/>
      <c r="AY339" s="344"/>
      <c r="AZ339" s="345"/>
      <c r="BA339" s="346"/>
      <c r="BB339" s="27"/>
    </row>
    <row r="340" spans="1:54">
      <c r="A340" s="2" t="str">
        <f t="shared" si="51"/>
        <v>Bus - Public Rebates_Energy Star Steamer - 4 Pans</v>
      </c>
      <c r="B340" s="18">
        <v>337</v>
      </c>
      <c r="C340" s="18" t="s">
        <v>728</v>
      </c>
      <c r="D340" s="18" t="s">
        <v>182</v>
      </c>
      <c r="E340" s="23" t="s">
        <v>150</v>
      </c>
      <c r="F340" s="23">
        <v>1</v>
      </c>
      <c r="G340" s="154">
        <v>0.79</v>
      </c>
      <c r="H340" s="447">
        <v>12</v>
      </c>
      <c r="I340" s="436">
        <v>12</v>
      </c>
      <c r="J340" s="23">
        <v>0</v>
      </c>
      <c r="K340" s="23">
        <v>0</v>
      </c>
      <c r="L340" s="23">
        <v>0</v>
      </c>
      <c r="M340" s="23">
        <v>0</v>
      </c>
      <c r="N340" s="216">
        <f>'Food Equipment Detail'!$D$62</f>
        <v>1007.2641787965732</v>
      </c>
      <c r="O340" s="215">
        <f t="shared" si="52"/>
        <v>1007.2641787965732</v>
      </c>
      <c r="P340" s="215">
        <f t="shared" si="52"/>
        <v>1007.2641787965732</v>
      </c>
      <c r="Q340" s="215">
        <f t="shared" si="52"/>
        <v>1007.2641787965732</v>
      </c>
      <c r="R340" s="15" t="s">
        <v>835</v>
      </c>
      <c r="S340" s="15" t="s">
        <v>840</v>
      </c>
      <c r="T340" s="15" t="s">
        <v>179</v>
      </c>
      <c r="U340" s="15" t="s">
        <v>178</v>
      </c>
      <c r="V340" s="420"/>
      <c r="W340" s="166" t="s">
        <v>177</v>
      </c>
      <c r="X340" s="166">
        <v>40</v>
      </c>
      <c r="Y340" s="166" t="s">
        <v>176</v>
      </c>
      <c r="Z340" s="166">
        <v>15</v>
      </c>
      <c r="AA340" s="158" t="s">
        <v>153</v>
      </c>
      <c r="AB340" s="166">
        <v>6</v>
      </c>
      <c r="AC340" s="158" t="s">
        <v>175</v>
      </c>
      <c r="AD340" s="166">
        <v>365.25</v>
      </c>
      <c r="AE340" s="158"/>
      <c r="AF340" s="166"/>
      <c r="AG340" s="166"/>
      <c r="AH340" s="166"/>
      <c r="AI340" s="166"/>
      <c r="AJ340" s="166"/>
      <c r="AK340" s="166"/>
      <c r="AL340" s="166"/>
      <c r="AM340" s="166"/>
      <c r="AN340" s="166"/>
      <c r="AO340" s="166"/>
      <c r="AP340" s="166"/>
      <c r="AQ340" s="166"/>
      <c r="AR340" s="166"/>
      <c r="AS340" s="166"/>
      <c r="AT340" s="166"/>
      <c r="AU340" s="343"/>
      <c r="AV340" s="343"/>
      <c r="AW340" s="343"/>
      <c r="AX340" s="343"/>
      <c r="AY340" s="344"/>
      <c r="AZ340" s="345"/>
      <c r="BA340" s="346"/>
      <c r="BB340" s="27"/>
    </row>
    <row r="341" spans="1:54">
      <c r="A341" s="2" t="str">
        <f t="shared" si="51"/>
        <v>Bus - Public Rebates_Energy Star Steamer - 5 Pans</v>
      </c>
      <c r="B341" s="18">
        <v>338</v>
      </c>
      <c r="C341" s="18" t="s">
        <v>728</v>
      </c>
      <c r="D341" s="18" t="s">
        <v>181</v>
      </c>
      <c r="E341" s="23" t="s">
        <v>150</v>
      </c>
      <c r="F341" s="23">
        <v>1</v>
      </c>
      <c r="G341" s="154">
        <v>0.79</v>
      </c>
      <c r="H341" s="447">
        <v>12</v>
      </c>
      <c r="I341" s="436">
        <v>12</v>
      </c>
      <c r="J341" s="23">
        <v>0</v>
      </c>
      <c r="K341" s="23">
        <v>0</v>
      </c>
      <c r="L341" s="23">
        <v>0</v>
      </c>
      <c r="M341" s="23">
        <v>0</v>
      </c>
      <c r="N341" s="216">
        <f>'Food Equipment Detail'!$E$62</f>
        <v>1248.6709419898457</v>
      </c>
      <c r="O341" s="215">
        <f t="shared" si="52"/>
        <v>1248.6709419898457</v>
      </c>
      <c r="P341" s="215">
        <f t="shared" si="52"/>
        <v>1248.6709419898457</v>
      </c>
      <c r="Q341" s="215">
        <f t="shared" si="52"/>
        <v>1248.6709419898457</v>
      </c>
      <c r="R341" s="15" t="s">
        <v>835</v>
      </c>
      <c r="S341" s="15" t="s">
        <v>840</v>
      </c>
      <c r="T341" s="15" t="s">
        <v>179</v>
      </c>
      <c r="U341" s="15" t="s">
        <v>178</v>
      </c>
      <c r="V341" s="420"/>
      <c r="W341" s="166" t="s">
        <v>177</v>
      </c>
      <c r="X341" s="166">
        <v>40</v>
      </c>
      <c r="Y341" s="166" t="s">
        <v>176</v>
      </c>
      <c r="Z341" s="166">
        <v>15</v>
      </c>
      <c r="AA341" s="158" t="s">
        <v>153</v>
      </c>
      <c r="AB341" s="166">
        <v>6</v>
      </c>
      <c r="AC341" s="158" t="s">
        <v>175</v>
      </c>
      <c r="AD341" s="166">
        <v>365.25</v>
      </c>
      <c r="AE341" s="158"/>
      <c r="AF341" s="166"/>
      <c r="AG341" s="166"/>
      <c r="AH341" s="166"/>
      <c r="AI341" s="166"/>
      <c r="AJ341" s="166"/>
      <c r="AK341" s="166"/>
      <c r="AL341" s="166"/>
      <c r="AM341" s="166"/>
      <c r="AN341" s="166"/>
      <c r="AO341" s="166"/>
      <c r="AP341" s="166"/>
      <c r="AQ341" s="166"/>
      <c r="AR341" s="166"/>
      <c r="AS341" s="166"/>
      <c r="AT341" s="166"/>
      <c r="AU341" s="343"/>
      <c r="AV341" s="343"/>
      <c r="AW341" s="343"/>
      <c r="AX341" s="343"/>
      <c r="AY341" s="344"/>
      <c r="AZ341" s="345"/>
      <c r="BA341" s="346"/>
      <c r="BB341" s="27"/>
    </row>
    <row r="342" spans="1:54">
      <c r="A342" s="2" t="str">
        <f t="shared" si="51"/>
        <v>Bus - Public Rebates_Energy Star Steamer - 6 Pans</v>
      </c>
      <c r="B342" s="18">
        <v>339</v>
      </c>
      <c r="C342" s="18" t="s">
        <v>728</v>
      </c>
      <c r="D342" s="18" t="s">
        <v>180</v>
      </c>
      <c r="E342" s="23" t="s">
        <v>150</v>
      </c>
      <c r="F342" s="23">
        <v>1</v>
      </c>
      <c r="G342" s="154">
        <v>0.79</v>
      </c>
      <c r="H342" s="447">
        <v>12</v>
      </c>
      <c r="I342" s="436">
        <v>12</v>
      </c>
      <c r="J342" s="23">
        <v>0</v>
      </c>
      <c r="K342" s="23">
        <v>0</v>
      </c>
      <c r="L342" s="23">
        <v>0</v>
      </c>
      <c r="M342" s="23">
        <v>0</v>
      </c>
      <c r="N342" s="216">
        <f>'Food Equipment Detail'!$F$62</f>
        <v>1503.8794358667649</v>
      </c>
      <c r="O342" s="215">
        <f t="shared" si="52"/>
        <v>1503.8794358667649</v>
      </c>
      <c r="P342" s="215">
        <f t="shared" si="52"/>
        <v>1503.8794358667649</v>
      </c>
      <c r="Q342" s="215">
        <f t="shared" si="52"/>
        <v>1503.8794358667649</v>
      </c>
      <c r="R342" s="15" t="s">
        <v>835</v>
      </c>
      <c r="S342" s="15" t="s">
        <v>840</v>
      </c>
      <c r="T342" s="15" t="s">
        <v>179</v>
      </c>
      <c r="U342" s="15" t="s">
        <v>178</v>
      </c>
      <c r="V342" s="420"/>
      <c r="W342" s="166" t="s">
        <v>177</v>
      </c>
      <c r="X342" s="166">
        <v>40</v>
      </c>
      <c r="Y342" s="166" t="s">
        <v>176</v>
      </c>
      <c r="Z342" s="166">
        <v>15</v>
      </c>
      <c r="AA342" s="158" t="s">
        <v>153</v>
      </c>
      <c r="AB342" s="166">
        <v>6</v>
      </c>
      <c r="AC342" s="158" t="s">
        <v>175</v>
      </c>
      <c r="AD342" s="166">
        <v>365.25</v>
      </c>
      <c r="AE342" s="158"/>
      <c r="AF342" s="166"/>
      <c r="AG342" s="166"/>
      <c r="AH342" s="166"/>
      <c r="AI342" s="166"/>
      <c r="AJ342" s="166"/>
      <c r="AK342" s="166"/>
      <c r="AL342" s="166"/>
      <c r="AM342" s="166"/>
      <c r="AN342" s="166"/>
      <c r="AO342" s="166"/>
      <c r="AP342" s="166"/>
      <c r="AQ342" s="166"/>
      <c r="AR342" s="166"/>
      <c r="AS342" s="166"/>
      <c r="AT342" s="166"/>
      <c r="AU342" s="343"/>
      <c r="AV342" s="343"/>
      <c r="AW342" s="343"/>
      <c r="AX342" s="343"/>
      <c r="AY342" s="344"/>
      <c r="AZ342" s="345"/>
      <c r="BA342" s="346"/>
      <c r="BB342" s="27"/>
    </row>
    <row r="343" spans="1:54">
      <c r="A343" s="2" t="str">
        <f t="shared" si="51"/>
        <v>Bus - Public Rebates_Heat Recovery Grease Trap Filter</v>
      </c>
      <c r="B343" s="18">
        <v>340</v>
      </c>
      <c r="C343" s="18" t="s">
        <v>728</v>
      </c>
      <c r="D343" s="18" t="s">
        <v>151</v>
      </c>
      <c r="E343" s="23" t="s">
        <v>150</v>
      </c>
      <c r="F343" s="23">
        <v>1</v>
      </c>
      <c r="G343" s="154">
        <v>0.79</v>
      </c>
      <c r="H343" s="447">
        <v>15</v>
      </c>
      <c r="I343" s="436">
        <v>15</v>
      </c>
      <c r="J343" s="23">
        <v>0</v>
      </c>
      <c r="K343" s="23">
        <v>0</v>
      </c>
      <c r="L343" s="23">
        <v>0</v>
      </c>
      <c r="M343" s="23">
        <v>0</v>
      </c>
      <c r="N343" s="216">
        <f>((X343*Z343*AB343)*8.3*1*(AD343*AF343))/(AH343*100000)</f>
        <v>1757.3025600000001</v>
      </c>
      <c r="O343" s="215">
        <f t="shared" si="52"/>
        <v>1757.3025600000001</v>
      </c>
      <c r="P343" s="215">
        <f t="shared" si="52"/>
        <v>1757.3025600000001</v>
      </c>
      <c r="Q343" s="215">
        <f t="shared" si="52"/>
        <v>1757.3025600000001</v>
      </c>
      <c r="R343" s="15" t="s">
        <v>838</v>
      </c>
      <c r="S343" s="15" t="s">
        <v>840</v>
      </c>
      <c r="T343" s="15" t="s">
        <v>149</v>
      </c>
      <c r="U343" s="15" t="s">
        <v>148</v>
      </c>
      <c r="V343" s="166" t="s">
        <v>141</v>
      </c>
      <c r="W343" s="166" t="s">
        <v>147</v>
      </c>
      <c r="X343" s="166">
        <v>780</v>
      </c>
      <c r="Y343" s="166" t="s">
        <v>146</v>
      </c>
      <c r="Z343" s="166">
        <v>3</v>
      </c>
      <c r="AA343" s="158" t="s">
        <v>145</v>
      </c>
      <c r="AB343" s="166">
        <v>312</v>
      </c>
      <c r="AC343" s="158" t="s">
        <v>144</v>
      </c>
      <c r="AD343" s="166">
        <v>5.8</v>
      </c>
      <c r="AE343" s="158" t="s">
        <v>143</v>
      </c>
      <c r="AF343" s="166">
        <v>4</v>
      </c>
      <c r="AG343" s="166" t="s">
        <v>142</v>
      </c>
      <c r="AH343" s="397">
        <v>0.8</v>
      </c>
      <c r="AI343" s="166"/>
      <c r="AJ343" s="166"/>
      <c r="AK343" s="166"/>
      <c r="AL343" s="166"/>
      <c r="AM343" s="166"/>
      <c r="AN343" s="166"/>
      <c r="AO343" s="166"/>
      <c r="AP343" s="166"/>
      <c r="AQ343" s="166"/>
      <c r="AR343" s="166"/>
      <c r="AS343" s="166"/>
      <c r="AT343" s="166"/>
      <c r="AU343" s="343"/>
      <c r="AV343" s="343"/>
      <c r="AW343" s="343"/>
      <c r="AX343" s="343"/>
      <c r="AY343" s="344"/>
      <c r="AZ343" s="345"/>
      <c r="BA343" s="346"/>
      <c r="BB343" s="27"/>
    </row>
    <row r="344" spans="1:54">
      <c r="A344" s="2" t="str">
        <f t="shared" si="51"/>
        <v>Bus - Public Rebates_Infrared Charbroiler</v>
      </c>
      <c r="B344" s="18">
        <v>341</v>
      </c>
      <c r="C344" s="18" t="s">
        <v>728</v>
      </c>
      <c r="D344" s="18" t="s">
        <v>174</v>
      </c>
      <c r="E344" s="23" t="s">
        <v>150</v>
      </c>
      <c r="F344" s="23">
        <v>1</v>
      </c>
      <c r="G344" s="154">
        <v>0.79</v>
      </c>
      <c r="H344" s="447">
        <v>12</v>
      </c>
      <c r="I344" s="436">
        <v>12</v>
      </c>
      <c r="J344" s="23">
        <v>0</v>
      </c>
      <c r="K344" s="23">
        <v>0</v>
      </c>
      <c r="L344" s="23">
        <v>0</v>
      </c>
      <c r="M344" s="23">
        <v>0</v>
      </c>
      <c r="N344" s="216">
        <f>((X344-Z344)*AB344*AD344/60+((AF344-AH344)*AJ344*AL344))*312/100000</f>
        <v>706.68</v>
      </c>
      <c r="O344" s="215">
        <f t="shared" si="52"/>
        <v>706.68</v>
      </c>
      <c r="P344" s="215">
        <f t="shared" si="52"/>
        <v>706.68</v>
      </c>
      <c r="Q344" s="215">
        <f t="shared" si="52"/>
        <v>706.68</v>
      </c>
      <c r="R344" s="15" t="s">
        <v>838</v>
      </c>
      <c r="S344" s="15" t="s">
        <v>840</v>
      </c>
      <c r="T344" s="15" t="s">
        <v>173</v>
      </c>
      <c r="U344" s="15" t="s">
        <v>172</v>
      </c>
      <c r="V344" s="166" t="s">
        <v>166</v>
      </c>
      <c r="W344" s="166" t="s">
        <v>171</v>
      </c>
      <c r="X344" s="166">
        <v>64000</v>
      </c>
      <c r="Y344" s="166" t="s">
        <v>170</v>
      </c>
      <c r="Z344" s="166">
        <v>54000</v>
      </c>
      <c r="AA344" s="158" t="s">
        <v>169</v>
      </c>
      <c r="AB344" s="166">
        <v>1</v>
      </c>
      <c r="AC344" s="158" t="s">
        <v>168</v>
      </c>
      <c r="AD344" s="166">
        <v>15</v>
      </c>
      <c r="AE344" s="158" t="s">
        <v>167</v>
      </c>
      <c r="AF344" s="166">
        <v>140000</v>
      </c>
      <c r="AG344" s="166" t="s">
        <v>155</v>
      </c>
      <c r="AH344" s="166">
        <v>105000</v>
      </c>
      <c r="AI344" s="166" t="s">
        <v>154</v>
      </c>
      <c r="AJ344" s="403">
        <v>0.8</v>
      </c>
      <c r="AK344" s="166" t="s">
        <v>153</v>
      </c>
      <c r="AL344" s="166">
        <v>8</v>
      </c>
      <c r="AM344" s="166"/>
      <c r="AN344" s="166"/>
      <c r="AO344" s="166"/>
      <c r="AP344" s="166"/>
      <c r="AQ344" s="166"/>
      <c r="AR344" s="166"/>
      <c r="AS344" s="166"/>
      <c r="AT344" s="166"/>
      <c r="AU344" s="343"/>
      <c r="AV344" s="343"/>
      <c r="AW344" s="343"/>
      <c r="AX344" s="343"/>
      <c r="AY344" s="344"/>
      <c r="AZ344" s="345"/>
      <c r="BA344" s="346"/>
      <c r="BB344" s="27"/>
    </row>
    <row r="345" spans="1:54">
      <c r="A345" s="2" t="str">
        <f t="shared" si="51"/>
        <v>Bus - Public Rebates_Infrared Rotisserie Oven</v>
      </c>
      <c r="B345" s="18">
        <v>342</v>
      </c>
      <c r="C345" s="18" t="s">
        <v>728</v>
      </c>
      <c r="D345" s="18" t="s">
        <v>165</v>
      </c>
      <c r="E345" s="23" t="s">
        <v>150</v>
      </c>
      <c r="F345" s="23">
        <v>1</v>
      </c>
      <c r="G345" s="154">
        <v>0.79</v>
      </c>
      <c r="H345" s="447">
        <v>12</v>
      </c>
      <c r="I345" s="436">
        <v>12</v>
      </c>
      <c r="J345" s="23">
        <v>0</v>
      </c>
      <c r="K345" s="23">
        <v>0</v>
      </c>
      <c r="L345" s="23">
        <v>0</v>
      </c>
      <c r="M345" s="23">
        <v>0</v>
      </c>
      <c r="N345" s="216">
        <f>(X345-Z345)*AB345*AD345/100000</f>
        <v>599.04</v>
      </c>
      <c r="O345" s="215">
        <f t="shared" si="52"/>
        <v>599.04</v>
      </c>
      <c r="P345" s="215">
        <f t="shared" si="52"/>
        <v>599.04</v>
      </c>
      <c r="Q345" s="215">
        <f t="shared" si="52"/>
        <v>599.04</v>
      </c>
      <c r="R345" s="15" t="s">
        <v>838</v>
      </c>
      <c r="S345" s="15" t="s">
        <v>840</v>
      </c>
      <c r="T345" s="15" t="s">
        <v>164</v>
      </c>
      <c r="U345" s="15" t="s">
        <v>163</v>
      </c>
      <c r="V345" s="166" t="s">
        <v>152</v>
      </c>
      <c r="W345" s="166" t="s">
        <v>156</v>
      </c>
      <c r="X345" s="166">
        <v>90000</v>
      </c>
      <c r="Y345" s="166" t="s">
        <v>155</v>
      </c>
      <c r="Z345" s="166">
        <v>50000</v>
      </c>
      <c r="AA345" s="158" t="s">
        <v>154</v>
      </c>
      <c r="AB345" s="403">
        <v>0.6</v>
      </c>
      <c r="AC345" s="158" t="s">
        <v>153</v>
      </c>
      <c r="AD345" s="166">
        <v>2496</v>
      </c>
      <c r="AE345" s="158"/>
      <c r="AF345" s="166"/>
      <c r="AG345" s="166"/>
      <c r="AH345" s="166"/>
      <c r="AI345" s="166"/>
      <c r="AJ345" s="166"/>
      <c r="AK345" s="166"/>
      <c r="AL345" s="166"/>
      <c r="AM345" s="166"/>
      <c r="AN345" s="166"/>
      <c r="AO345" s="166"/>
      <c r="AP345" s="166"/>
      <c r="AQ345" s="166"/>
      <c r="AR345" s="166"/>
      <c r="AS345" s="166"/>
      <c r="AT345" s="166"/>
      <c r="AU345" s="343"/>
      <c r="AV345" s="343"/>
      <c r="AW345" s="343"/>
      <c r="AX345" s="343"/>
      <c r="AY345" s="344"/>
      <c r="AZ345" s="345"/>
      <c r="BA345" s="346"/>
      <c r="BB345" s="27"/>
    </row>
    <row r="346" spans="1:54">
      <c r="A346" s="2" t="str">
        <f t="shared" si="51"/>
        <v>Bus - Public Rebates_Infrared Salamander Broiler</v>
      </c>
      <c r="B346" s="18">
        <v>343</v>
      </c>
      <c r="C346" s="18" t="s">
        <v>728</v>
      </c>
      <c r="D346" s="18" t="s">
        <v>162</v>
      </c>
      <c r="E346" s="23" t="s">
        <v>150</v>
      </c>
      <c r="F346" s="23">
        <v>1</v>
      </c>
      <c r="G346" s="154">
        <v>0.79</v>
      </c>
      <c r="H346" s="447">
        <v>12</v>
      </c>
      <c r="I346" s="436">
        <v>12</v>
      </c>
      <c r="J346" s="23">
        <v>0</v>
      </c>
      <c r="K346" s="23">
        <v>0</v>
      </c>
      <c r="L346" s="23">
        <v>0</v>
      </c>
      <c r="M346" s="23">
        <v>0</v>
      </c>
      <c r="N346" s="216">
        <f>(X346-Z346)*AB346*AD346/100000</f>
        <v>240.24</v>
      </c>
      <c r="O346" s="215">
        <f t="shared" ref="O346:Q349" si="53">N346</f>
        <v>240.24</v>
      </c>
      <c r="P346" s="215">
        <f t="shared" si="53"/>
        <v>240.24</v>
      </c>
      <c r="Q346" s="215">
        <f t="shared" si="53"/>
        <v>240.24</v>
      </c>
      <c r="R346" s="15" t="s">
        <v>838</v>
      </c>
      <c r="S346" s="15" t="s">
        <v>840</v>
      </c>
      <c r="T346" s="15" t="s">
        <v>161</v>
      </c>
      <c r="U346" s="15" t="s">
        <v>160</v>
      </c>
      <c r="V346" s="166" t="s">
        <v>152</v>
      </c>
      <c r="W346" s="166" t="s">
        <v>156</v>
      </c>
      <c r="X346" s="166">
        <v>38500</v>
      </c>
      <c r="Y346" s="166" t="s">
        <v>155</v>
      </c>
      <c r="Z346" s="166">
        <v>24750</v>
      </c>
      <c r="AA346" s="158" t="s">
        <v>154</v>
      </c>
      <c r="AB346" s="403">
        <v>0.7</v>
      </c>
      <c r="AC346" s="158" t="s">
        <v>153</v>
      </c>
      <c r="AD346" s="166">
        <v>2496</v>
      </c>
      <c r="AE346" s="158"/>
      <c r="AF346" s="166"/>
      <c r="AG346" s="166"/>
      <c r="AH346" s="166"/>
      <c r="AI346" s="166"/>
      <c r="AJ346" s="166"/>
      <c r="AK346" s="166"/>
      <c r="AL346" s="166"/>
      <c r="AM346" s="166"/>
      <c r="AN346" s="166"/>
      <c r="AO346" s="166"/>
      <c r="AP346" s="166"/>
      <c r="AQ346" s="166"/>
      <c r="AR346" s="166"/>
      <c r="AS346" s="166"/>
      <c r="AT346" s="166"/>
      <c r="AU346" s="343"/>
      <c r="AV346" s="343"/>
      <c r="AW346" s="343"/>
      <c r="AX346" s="343"/>
      <c r="AY346" s="344"/>
      <c r="AZ346" s="345"/>
      <c r="BA346" s="346"/>
      <c r="BB346" s="27"/>
    </row>
    <row r="347" spans="1:54">
      <c r="A347" s="2" t="str">
        <f t="shared" si="51"/>
        <v>Bus - Public Rebates_Infrared Upright Broiler</v>
      </c>
      <c r="B347" s="18">
        <v>344</v>
      </c>
      <c r="C347" s="18" t="s">
        <v>728</v>
      </c>
      <c r="D347" s="18" t="s">
        <v>159</v>
      </c>
      <c r="E347" s="23" t="s">
        <v>150</v>
      </c>
      <c r="F347" s="23">
        <v>1</v>
      </c>
      <c r="G347" s="154">
        <v>0.79</v>
      </c>
      <c r="H347" s="447">
        <v>12</v>
      </c>
      <c r="I347" s="436">
        <v>12</v>
      </c>
      <c r="J347" s="23">
        <v>0</v>
      </c>
      <c r="K347" s="23">
        <v>0</v>
      </c>
      <c r="L347" s="23">
        <v>0</v>
      </c>
      <c r="M347" s="23">
        <v>0</v>
      </c>
      <c r="N347" s="216">
        <f>(X347-Z347)*AB347*AD347/100000</f>
        <v>943.48800000000006</v>
      </c>
      <c r="O347" s="215">
        <f t="shared" si="53"/>
        <v>943.48800000000006</v>
      </c>
      <c r="P347" s="215">
        <f t="shared" si="53"/>
        <v>943.48800000000006</v>
      </c>
      <c r="Q347" s="215">
        <f t="shared" si="53"/>
        <v>943.48800000000006</v>
      </c>
      <c r="R347" s="15" t="s">
        <v>838</v>
      </c>
      <c r="S347" s="15" t="s">
        <v>840</v>
      </c>
      <c r="T347" s="15" t="s">
        <v>158</v>
      </c>
      <c r="U347" s="15" t="s">
        <v>157</v>
      </c>
      <c r="V347" s="166" t="s">
        <v>152</v>
      </c>
      <c r="W347" s="166" t="s">
        <v>156</v>
      </c>
      <c r="X347" s="166">
        <v>144000</v>
      </c>
      <c r="Y347" s="166" t="s">
        <v>155</v>
      </c>
      <c r="Z347" s="166">
        <v>90000</v>
      </c>
      <c r="AA347" s="158" t="s">
        <v>154</v>
      </c>
      <c r="AB347" s="403">
        <v>0.7</v>
      </c>
      <c r="AC347" s="158" t="s">
        <v>153</v>
      </c>
      <c r="AD347" s="166">
        <v>2496</v>
      </c>
      <c r="AE347" s="158"/>
      <c r="AF347" s="166"/>
      <c r="AG347" s="166"/>
      <c r="AH347" s="166"/>
      <c r="AI347" s="166"/>
      <c r="AJ347" s="166"/>
      <c r="AK347" s="166"/>
      <c r="AL347" s="166"/>
      <c r="AM347" s="166"/>
      <c r="AN347" s="166"/>
      <c r="AO347" s="166"/>
      <c r="AP347" s="166"/>
      <c r="AQ347" s="166"/>
      <c r="AR347" s="166"/>
      <c r="AS347" s="166"/>
      <c r="AT347" s="166"/>
      <c r="AU347" s="343"/>
      <c r="AV347" s="343"/>
      <c r="AW347" s="343"/>
      <c r="AX347" s="343"/>
      <c r="AY347" s="344"/>
      <c r="AZ347" s="345"/>
      <c r="BA347" s="346"/>
      <c r="BB347" s="27"/>
    </row>
    <row r="348" spans="1:54">
      <c r="A348" s="2" t="str">
        <f t="shared" si="51"/>
        <v>Bus - Public Rebates_CI Custom</v>
      </c>
      <c r="B348" s="18">
        <v>345</v>
      </c>
      <c r="C348" s="18" t="s">
        <v>728</v>
      </c>
      <c r="D348" s="18" t="s">
        <v>675</v>
      </c>
      <c r="E348" s="23" t="s">
        <v>150</v>
      </c>
      <c r="F348" s="23">
        <v>1</v>
      </c>
      <c r="G348" s="154">
        <v>0.69</v>
      </c>
      <c r="H348" s="447">
        <v>15</v>
      </c>
      <c r="I348" s="436">
        <v>15</v>
      </c>
      <c r="J348" s="23">
        <v>7</v>
      </c>
      <c r="K348" s="23">
        <f t="shared" ref="K348:M349" si="54">J348</f>
        <v>7</v>
      </c>
      <c r="L348" s="23">
        <f t="shared" si="54"/>
        <v>7</v>
      </c>
      <c r="M348" s="23">
        <f t="shared" si="54"/>
        <v>7</v>
      </c>
      <c r="N348" s="217">
        <v>2100</v>
      </c>
      <c r="O348" s="215">
        <f t="shared" si="53"/>
        <v>2100</v>
      </c>
      <c r="P348" s="215">
        <f t="shared" si="53"/>
        <v>2100</v>
      </c>
      <c r="Q348" s="215">
        <f t="shared" si="53"/>
        <v>2100</v>
      </c>
      <c r="R348" s="18" t="s">
        <v>140</v>
      </c>
      <c r="S348" s="18" t="s">
        <v>140</v>
      </c>
      <c r="T348" s="18" t="s">
        <v>140</v>
      </c>
      <c r="U348" s="18" t="s">
        <v>140</v>
      </c>
      <c r="V348" s="390"/>
      <c r="W348" s="169"/>
      <c r="X348" s="169"/>
      <c r="Y348" s="390"/>
      <c r="Z348" s="390"/>
      <c r="AA348" s="170"/>
      <c r="AB348" s="390"/>
      <c r="AC348" s="157"/>
      <c r="AD348" s="390"/>
      <c r="AE348" s="157"/>
      <c r="AF348" s="390"/>
      <c r="AG348" s="390"/>
      <c r="AH348" s="390"/>
      <c r="AI348" s="390"/>
      <c r="AJ348" s="390"/>
      <c r="AK348" s="390"/>
      <c r="AL348" s="390"/>
      <c r="AM348" s="390"/>
      <c r="AN348" s="390"/>
      <c r="AO348" s="390"/>
      <c r="AP348" s="390"/>
      <c r="AQ348" s="390"/>
      <c r="AR348" s="390"/>
      <c r="AS348" s="390"/>
      <c r="AT348" s="390"/>
      <c r="AU348" s="343"/>
      <c r="AV348" s="343"/>
      <c r="AW348" s="343"/>
      <c r="AX348" s="343"/>
      <c r="AY348" s="344"/>
      <c r="AZ348" s="345"/>
      <c r="BA348" s="346"/>
      <c r="BB348" s="27"/>
    </row>
    <row r="349" spans="1:54">
      <c r="A349" s="2" t="str">
        <f t="shared" si="51"/>
        <v>Bus - Public Rebates_New Construction</v>
      </c>
      <c r="B349" s="18">
        <v>346</v>
      </c>
      <c r="C349" s="18" t="s">
        <v>728</v>
      </c>
      <c r="D349" s="18" t="s">
        <v>676</v>
      </c>
      <c r="E349" s="23" t="s">
        <v>150</v>
      </c>
      <c r="F349" s="23">
        <v>1</v>
      </c>
      <c r="G349" s="154">
        <v>0.77</v>
      </c>
      <c r="H349" s="447">
        <v>15</v>
      </c>
      <c r="I349" s="436">
        <v>15</v>
      </c>
      <c r="J349" s="23">
        <v>1</v>
      </c>
      <c r="K349" s="23">
        <f t="shared" si="54"/>
        <v>1</v>
      </c>
      <c r="L349" s="23">
        <f t="shared" si="54"/>
        <v>1</v>
      </c>
      <c r="M349" s="23">
        <f t="shared" si="54"/>
        <v>1</v>
      </c>
      <c r="N349" s="217">
        <v>2500</v>
      </c>
      <c r="O349" s="215">
        <f t="shared" si="53"/>
        <v>2500</v>
      </c>
      <c r="P349" s="215">
        <f t="shared" si="53"/>
        <v>2500</v>
      </c>
      <c r="Q349" s="215">
        <f t="shared" si="53"/>
        <v>2500</v>
      </c>
      <c r="R349" s="18" t="s">
        <v>140</v>
      </c>
      <c r="S349" s="18" t="s">
        <v>140</v>
      </c>
      <c r="T349" s="18" t="s">
        <v>140</v>
      </c>
      <c r="U349" s="18" t="s">
        <v>140</v>
      </c>
      <c r="V349" s="390"/>
      <c r="W349" s="169"/>
      <c r="X349" s="169"/>
      <c r="Y349" s="390"/>
      <c r="Z349" s="390"/>
      <c r="AA349" s="170"/>
      <c r="AB349" s="390"/>
      <c r="AC349" s="157"/>
      <c r="AD349" s="390"/>
      <c r="AE349" s="157"/>
      <c r="AF349" s="390"/>
      <c r="AG349" s="390"/>
      <c r="AH349" s="390"/>
      <c r="AI349" s="390"/>
      <c r="AJ349" s="390"/>
      <c r="AK349" s="390"/>
      <c r="AL349" s="390"/>
      <c r="AM349" s="390"/>
      <c r="AN349" s="390"/>
      <c r="AO349" s="390"/>
      <c r="AP349" s="390"/>
      <c r="AQ349" s="390"/>
      <c r="AR349" s="390"/>
      <c r="AS349" s="390"/>
      <c r="AT349" s="390"/>
      <c r="AU349" s="343"/>
      <c r="AV349" s="343"/>
      <c r="AW349" s="343"/>
      <c r="AX349" s="343"/>
      <c r="AY349" s="344"/>
      <c r="AZ349" s="345"/>
      <c r="BA349" s="346"/>
      <c r="BB349" s="27"/>
    </row>
    <row r="350" spans="1:54">
      <c r="A350" s="2" t="str">
        <f t="shared" si="51"/>
        <v>Low Income - Outreach &amp; Education_Behavior 2018 1st Year</v>
      </c>
      <c r="B350" s="18">
        <v>347</v>
      </c>
      <c r="C350" s="23" t="s">
        <v>713</v>
      </c>
      <c r="D350" s="23" t="s">
        <v>780</v>
      </c>
      <c r="E350" s="23" t="s">
        <v>150</v>
      </c>
      <c r="F350" s="23">
        <v>1</v>
      </c>
      <c r="G350" s="154">
        <v>1</v>
      </c>
      <c r="H350" s="447">
        <v>1</v>
      </c>
      <c r="I350" s="436">
        <v>1</v>
      </c>
      <c r="J350" s="23"/>
      <c r="K350" s="23"/>
      <c r="L350" s="23"/>
      <c r="M350" s="23"/>
      <c r="N350" s="217"/>
      <c r="O350" s="215"/>
      <c r="P350" s="215"/>
      <c r="Q350" s="215"/>
      <c r="R350" s="15" t="s">
        <v>834</v>
      </c>
      <c r="S350" s="15" t="s">
        <v>840</v>
      </c>
      <c r="T350" s="18" t="s">
        <v>758</v>
      </c>
      <c r="U350" s="18" t="s">
        <v>759</v>
      </c>
      <c r="V350" s="390"/>
      <c r="W350" s="169"/>
      <c r="X350" s="169"/>
      <c r="Y350" s="390"/>
      <c r="Z350" s="390"/>
      <c r="AA350" s="170"/>
      <c r="AB350" s="390"/>
      <c r="AC350" s="157"/>
      <c r="AD350" s="390"/>
      <c r="AE350" s="157"/>
      <c r="AF350" s="390"/>
      <c r="AG350" s="390"/>
      <c r="AH350" s="390"/>
      <c r="AI350" s="390"/>
      <c r="AJ350" s="390"/>
      <c r="AK350" s="390"/>
      <c r="AL350" s="390"/>
      <c r="AM350" s="390"/>
      <c r="AN350" s="390"/>
      <c r="AO350" s="390"/>
      <c r="AP350" s="390"/>
      <c r="AQ350" s="390"/>
      <c r="AR350" s="390"/>
      <c r="AS350" s="390"/>
      <c r="AT350" s="390"/>
      <c r="AU350" s="343"/>
      <c r="AV350" s="343"/>
      <c r="AW350" s="343"/>
      <c r="AX350" s="343"/>
      <c r="AY350" s="344"/>
      <c r="AZ350" s="345"/>
      <c r="BA350" s="346"/>
      <c r="BB350" s="27"/>
    </row>
    <row r="351" spans="1:54">
      <c r="A351" s="2" t="str">
        <f t="shared" si="51"/>
        <v>Low Income - Outreach &amp; Education_Behavior 2019 1st Year</v>
      </c>
      <c r="B351" s="18">
        <v>348</v>
      </c>
      <c r="C351" s="23" t="s">
        <v>713</v>
      </c>
      <c r="D351" s="23" t="s">
        <v>781</v>
      </c>
      <c r="E351" s="23" t="s">
        <v>150</v>
      </c>
      <c r="F351" s="23">
        <v>1</v>
      </c>
      <c r="G351" s="154">
        <v>1</v>
      </c>
      <c r="H351" s="447">
        <v>1</v>
      </c>
      <c r="I351" s="436">
        <v>1</v>
      </c>
      <c r="J351" s="23"/>
      <c r="K351" s="23"/>
      <c r="L351" s="23"/>
      <c r="M351" s="23"/>
      <c r="N351" s="217"/>
      <c r="O351" s="215"/>
      <c r="P351" s="215"/>
      <c r="Q351" s="215"/>
      <c r="R351" s="15" t="s">
        <v>834</v>
      </c>
      <c r="S351" s="15" t="s">
        <v>840</v>
      </c>
      <c r="T351" s="18" t="s">
        <v>758</v>
      </c>
      <c r="U351" s="18" t="s">
        <v>759</v>
      </c>
      <c r="V351" s="390"/>
      <c r="W351" s="169"/>
      <c r="X351" s="169"/>
      <c r="Y351" s="390"/>
      <c r="Z351" s="390"/>
      <c r="AA351" s="170"/>
      <c r="AB351" s="390"/>
      <c r="AC351" s="157"/>
      <c r="AD351" s="390"/>
      <c r="AE351" s="157"/>
      <c r="AF351" s="390"/>
      <c r="AG351" s="390"/>
      <c r="AH351" s="390"/>
      <c r="AI351" s="390"/>
      <c r="AJ351" s="390"/>
      <c r="AK351" s="390"/>
      <c r="AL351" s="390"/>
      <c r="AM351" s="390"/>
      <c r="AN351" s="390"/>
      <c r="AO351" s="390"/>
      <c r="AP351" s="390"/>
      <c r="AQ351" s="390"/>
      <c r="AR351" s="390"/>
      <c r="AS351" s="390"/>
      <c r="AT351" s="390"/>
      <c r="AU351" s="343"/>
      <c r="AV351" s="343"/>
      <c r="AW351" s="343"/>
      <c r="AX351" s="343"/>
      <c r="AY351" s="344"/>
      <c r="AZ351" s="345"/>
      <c r="BA351" s="346"/>
      <c r="BB351" s="27"/>
    </row>
    <row r="352" spans="1:54">
      <c r="A352" s="2" t="str">
        <f t="shared" si="51"/>
        <v>Low Income - Outreach &amp; Education_Behavior 2020 1st Year</v>
      </c>
      <c r="B352" s="18">
        <v>349</v>
      </c>
      <c r="C352" s="23" t="s">
        <v>713</v>
      </c>
      <c r="D352" s="23" t="s">
        <v>782</v>
      </c>
      <c r="E352" s="23" t="s">
        <v>150</v>
      </c>
      <c r="F352" s="23">
        <v>1</v>
      </c>
      <c r="G352" s="154">
        <v>1</v>
      </c>
      <c r="H352" s="447">
        <v>1</v>
      </c>
      <c r="I352" s="436">
        <v>1</v>
      </c>
      <c r="J352" s="23"/>
      <c r="K352" s="23"/>
      <c r="L352" s="23"/>
      <c r="M352" s="23"/>
      <c r="N352" s="217"/>
      <c r="O352" s="215"/>
      <c r="P352" s="215"/>
      <c r="Q352" s="215"/>
      <c r="R352" s="15" t="s">
        <v>834</v>
      </c>
      <c r="S352" s="15" t="s">
        <v>840</v>
      </c>
      <c r="T352" s="18" t="s">
        <v>758</v>
      </c>
      <c r="U352" s="18" t="s">
        <v>759</v>
      </c>
      <c r="V352" s="390"/>
      <c r="W352" s="169"/>
      <c r="X352" s="169"/>
      <c r="Y352" s="390"/>
      <c r="Z352" s="390"/>
      <c r="AA352" s="170"/>
      <c r="AB352" s="390"/>
      <c r="AC352" s="157"/>
      <c r="AD352" s="390"/>
      <c r="AE352" s="157"/>
      <c r="AF352" s="390"/>
      <c r="AG352" s="390"/>
      <c r="AH352" s="390"/>
      <c r="AI352" s="390"/>
      <c r="AJ352" s="390"/>
      <c r="AK352" s="390"/>
      <c r="AL352" s="390"/>
      <c r="AM352" s="390"/>
      <c r="AN352" s="390"/>
      <c r="AO352" s="390"/>
      <c r="AP352" s="390"/>
      <c r="AQ352" s="390"/>
      <c r="AR352" s="390"/>
      <c r="AS352" s="390"/>
      <c r="AT352" s="390"/>
      <c r="AU352" s="343"/>
      <c r="AV352" s="343"/>
      <c r="AW352" s="343"/>
      <c r="AX352" s="343"/>
      <c r="AY352" s="344"/>
      <c r="AZ352" s="345"/>
      <c r="BA352" s="346"/>
      <c r="BB352" s="27"/>
    </row>
    <row r="353" spans="1:54">
      <c r="A353" s="2" t="str">
        <f t="shared" si="51"/>
        <v>Low Income - Outreach &amp; Education_Behavior 2021 1st Year</v>
      </c>
      <c r="B353" s="18">
        <v>350</v>
      </c>
      <c r="C353" s="23" t="s">
        <v>713</v>
      </c>
      <c r="D353" s="23" t="s">
        <v>783</v>
      </c>
      <c r="E353" s="23" t="s">
        <v>150</v>
      </c>
      <c r="F353" s="23">
        <v>1</v>
      </c>
      <c r="G353" s="154">
        <v>1</v>
      </c>
      <c r="H353" s="447">
        <v>1</v>
      </c>
      <c r="I353" s="436">
        <v>1</v>
      </c>
      <c r="J353" s="23"/>
      <c r="K353" s="23"/>
      <c r="L353" s="23"/>
      <c r="M353" s="23"/>
      <c r="N353" s="217"/>
      <c r="O353" s="215"/>
      <c r="P353" s="215"/>
      <c r="Q353" s="215"/>
      <c r="R353" s="15" t="s">
        <v>834</v>
      </c>
      <c r="S353" s="15" t="s">
        <v>840</v>
      </c>
      <c r="T353" s="18" t="s">
        <v>758</v>
      </c>
      <c r="U353" s="18" t="s">
        <v>759</v>
      </c>
      <c r="V353" s="390"/>
      <c r="W353" s="169"/>
      <c r="X353" s="169"/>
      <c r="Y353" s="390"/>
      <c r="Z353" s="390"/>
      <c r="AA353" s="170"/>
      <c r="AB353" s="390"/>
      <c r="AC353" s="157"/>
      <c r="AD353" s="390"/>
      <c r="AE353" s="157"/>
      <c r="AF353" s="390"/>
      <c r="AG353" s="390"/>
      <c r="AH353" s="390"/>
      <c r="AI353" s="390"/>
      <c r="AJ353" s="390"/>
      <c r="AK353" s="390"/>
      <c r="AL353" s="390"/>
      <c r="AM353" s="390"/>
      <c r="AN353" s="390"/>
      <c r="AO353" s="390"/>
      <c r="AP353" s="390"/>
      <c r="AQ353" s="390"/>
      <c r="AR353" s="390"/>
      <c r="AS353" s="390"/>
      <c r="AT353" s="390"/>
      <c r="AU353" s="343"/>
      <c r="AV353" s="343"/>
      <c r="AW353" s="343"/>
      <c r="AX353" s="343"/>
      <c r="AY353" s="344"/>
      <c r="AZ353" s="345"/>
      <c r="BA353" s="346"/>
      <c r="BB353" s="27"/>
    </row>
    <row r="354" spans="1:54">
      <c r="A354" s="2" t="str">
        <f t="shared" si="51"/>
        <v>Low Income - Outreach &amp; Education_Behavior 2018 Y1 Persistence</v>
      </c>
      <c r="B354" s="18">
        <v>351</v>
      </c>
      <c r="C354" s="23" t="s">
        <v>713</v>
      </c>
      <c r="D354" s="23" t="s">
        <v>764</v>
      </c>
      <c r="E354" s="23" t="s">
        <v>150</v>
      </c>
      <c r="F354" s="23">
        <v>1</v>
      </c>
      <c r="G354" s="154">
        <v>1</v>
      </c>
      <c r="H354" s="447">
        <v>0</v>
      </c>
      <c r="I354" s="436">
        <v>0</v>
      </c>
      <c r="J354" s="23"/>
      <c r="K354" s="23"/>
      <c r="L354" s="23"/>
      <c r="M354" s="23"/>
      <c r="N354" s="217"/>
      <c r="O354" s="215"/>
      <c r="P354" s="215"/>
      <c r="Q354" s="215"/>
      <c r="R354" s="15" t="s">
        <v>834</v>
      </c>
      <c r="S354" s="15" t="s">
        <v>840</v>
      </c>
      <c r="T354" s="18" t="s">
        <v>758</v>
      </c>
      <c r="U354" s="18" t="s">
        <v>759</v>
      </c>
      <c r="V354" s="390"/>
      <c r="W354" s="169"/>
      <c r="X354" s="169"/>
      <c r="Y354" s="390"/>
      <c r="Z354" s="390"/>
      <c r="AA354" s="170"/>
      <c r="AB354" s="390"/>
      <c r="AC354" s="157"/>
      <c r="AD354" s="390"/>
      <c r="AE354" s="157"/>
      <c r="AF354" s="390"/>
      <c r="AG354" s="390"/>
      <c r="AH354" s="390"/>
      <c r="AI354" s="390"/>
      <c r="AJ354" s="390"/>
      <c r="AK354" s="390"/>
      <c r="AL354" s="390"/>
      <c r="AM354" s="390"/>
      <c r="AN354" s="390"/>
      <c r="AO354" s="390"/>
      <c r="AP354" s="390"/>
      <c r="AQ354" s="390"/>
      <c r="AR354" s="390"/>
      <c r="AS354" s="390"/>
      <c r="AT354" s="390"/>
      <c r="AU354" s="343"/>
      <c r="AV354" s="343"/>
      <c r="AW354" s="343"/>
      <c r="AX354" s="343"/>
      <c r="AY354" s="344"/>
      <c r="AZ354" s="345"/>
      <c r="BA354" s="346"/>
      <c r="BB354" s="27"/>
    </row>
    <row r="355" spans="1:54">
      <c r="A355" s="2" t="str">
        <f t="shared" si="51"/>
        <v>Low Income - Outreach &amp; Education_Behavior 2018 Y2 Persistence</v>
      </c>
      <c r="B355" s="18">
        <v>352</v>
      </c>
      <c r="C355" s="23" t="s">
        <v>713</v>
      </c>
      <c r="D355" s="23" t="s">
        <v>765</v>
      </c>
      <c r="E355" s="23" t="s">
        <v>150</v>
      </c>
      <c r="F355" s="23">
        <v>1</v>
      </c>
      <c r="G355" s="154">
        <v>1</v>
      </c>
      <c r="H355" s="447">
        <v>0</v>
      </c>
      <c r="I355" s="436">
        <v>0</v>
      </c>
      <c r="J355" s="23"/>
      <c r="K355" s="23"/>
      <c r="L355" s="23"/>
      <c r="M355" s="23"/>
      <c r="N355" s="217"/>
      <c r="O355" s="215"/>
      <c r="P355" s="215"/>
      <c r="Q355" s="215"/>
      <c r="R355" s="15" t="s">
        <v>834</v>
      </c>
      <c r="S355" s="15" t="s">
        <v>840</v>
      </c>
      <c r="T355" s="18" t="s">
        <v>758</v>
      </c>
      <c r="U355" s="18" t="s">
        <v>759</v>
      </c>
      <c r="V355" s="390"/>
      <c r="W355" s="169"/>
      <c r="X355" s="169"/>
      <c r="Y355" s="390"/>
      <c r="Z355" s="390"/>
      <c r="AA355" s="170"/>
      <c r="AB355" s="390"/>
      <c r="AC355" s="157"/>
      <c r="AD355" s="390"/>
      <c r="AE355" s="157"/>
      <c r="AF355" s="390"/>
      <c r="AG355" s="390"/>
      <c r="AH355" s="390"/>
      <c r="AI355" s="390"/>
      <c r="AJ355" s="390"/>
      <c r="AK355" s="390"/>
      <c r="AL355" s="390"/>
      <c r="AM355" s="390"/>
      <c r="AN355" s="390"/>
      <c r="AO355" s="390"/>
      <c r="AP355" s="390"/>
      <c r="AQ355" s="390"/>
      <c r="AR355" s="390"/>
      <c r="AS355" s="390"/>
      <c r="AT355" s="390"/>
      <c r="AU355" s="343"/>
      <c r="AV355" s="343"/>
      <c r="AW355" s="343"/>
      <c r="AX355" s="343"/>
      <c r="AY355" s="344"/>
      <c r="AZ355" s="345"/>
      <c r="BA355" s="346"/>
      <c r="BB355" s="27"/>
    </row>
    <row r="356" spans="1:54">
      <c r="A356" s="2" t="str">
        <f t="shared" si="51"/>
        <v>Low Income - Outreach &amp; Education_Behavior 2018 Y3 Persistence</v>
      </c>
      <c r="B356" s="18">
        <v>353</v>
      </c>
      <c r="C356" s="23" t="s">
        <v>713</v>
      </c>
      <c r="D356" s="23" t="s">
        <v>766</v>
      </c>
      <c r="E356" s="23" t="s">
        <v>150</v>
      </c>
      <c r="F356" s="23">
        <v>1</v>
      </c>
      <c r="G356" s="154">
        <v>1</v>
      </c>
      <c r="H356" s="447">
        <v>0</v>
      </c>
      <c r="I356" s="436">
        <v>0</v>
      </c>
      <c r="J356" s="23"/>
      <c r="K356" s="23"/>
      <c r="L356" s="23"/>
      <c r="M356" s="23"/>
      <c r="N356" s="217"/>
      <c r="O356" s="215"/>
      <c r="P356" s="215"/>
      <c r="Q356" s="215"/>
      <c r="R356" s="15" t="s">
        <v>834</v>
      </c>
      <c r="S356" s="15" t="s">
        <v>840</v>
      </c>
      <c r="T356" s="18" t="s">
        <v>758</v>
      </c>
      <c r="U356" s="18" t="s">
        <v>759</v>
      </c>
      <c r="V356" s="390"/>
      <c r="W356" s="169"/>
      <c r="X356" s="169"/>
      <c r="Y356" s="390"/>
      <c r="Z356" s="390"/>
      <c r="AA356" s="170"/>
      <c r="AB356" s="390"/>
      <c r="AC356" s="157"/>
      <c r="AD356" s="390"/>
      <c r="AE356" s="157"/>
      <c r="AF356" s="390"/>
      <c r="AG356" s="390"/>
      <c r="AH356" s="390"/>
      <c r="AI356" s="390"/>
      <c r="AJ356" s="390"/>
      <c r="AK356" s="390"/>
      <c r="AL356" s="390"/>
      <c r="AM356" s="390"/>
      <c r="AN356" s="390"/>
      <c r="AO356" s="390"/>
      <c r="AP356" s="390"/>
      <c r="AQ356" s="390"/>
      <c r="AR356" s="390"/>
      <c r="AS356" s="390"/>
      <c r="AT356" s="390"/>
      <c r="AU356" s="343"/>
      <c r="AV356" s="343"/>
      <c r="AW356" s="343"/>
      <c r="AX356" s="343"/>
      <c r="AY356" s="344"/>
      <c r="AZ356" s="345"/>
      <c r="BA356" s="346"/>
      <c r="BB356" s="27"/>
    </row>
    <row r="357" spans="1:54">
      <c r="A357" s="2" t="str">
        <f t="shared" si="51"/>
        <v>Low Income - Outreach &amp; Education_Behavior 2018 Y4 Persistence</v>
      </c>
      <c r="B357" s="18">
        <v>354</v>
      </c>
      <c r="C357" s="23" t="s">
        <v>713</v>
      </c>
      <c r="D357" s="23" t="s">
        <v>767</v>
      </c>
      <c r="E357" s="23" t="s">
        <v>150</v>
      </c>
      <c r="F357" s="23">
        <v>1</v>
      </c>
      <c r="G357" s="154">
        <v>1</v>
      </c>
      <c r="H357" s="447">
        <v>0</v>
      </c>
      <c r="I357" s="436">
        <v>0</v>
      </c>
      <c r="J357" s="23"/>
      <c r="K357" s="23"/>
      <c r="L357" s="23"/>
      <c r="M357" s="23"/>
      <c r="N357" s="217"/>
      <c r="O357" s="215"/>
      <c r="P357" s="215"/>
      <c r="Q357" s="215"/>
      <c r="R357" s="15" t="s">
        <v>834</v>
      </c>
      <c r="S357" s="15" t="s">
        <v>840</v>
      </c>
      <c r="T357" s="18" t="s">
        <v>758</v>
      </c>
      <c r="U357" s="18" t="s">
        <v>759</v>
      </c>
      <c r="V357" s="390"/>
      <c r="W357" s="169"/>
      <c r="X357" s="169"/>
      <c r="Y357" s="390"/>
      <c r="Z357" s="390"/>
      <c r="AA357" s="170"/>
      <c r="AB357" s="390"/>
      <c r="AC357" s="157"/>
      <c r="AD357" s="390"/>
      <c r="AE357" s="157"/>
      <c r="AF357" s="390"/>
      <c r="AG357" s="390"/>
      <c r="AH357" s="390"/>
      <c r="AI357" s="390"/>
      <c r="AJ357" s="390"/>
      <c r="AK357" s="390"/>
      <c r="AL357" s="390"/>
      <c r="AM357" s="390"/>
      <c r="AN357" s="390"/>
      <c r="AO357" s="390"/>
      <c r="AP357" s="390"/>
      <c r="AQ357" s="390"/>
      <c r="AR357" s="390"/>
      <c r="AS357" s="390"/>
      <c r="AT357" s="390"/>
      <c r="AU357" s="343"/>
      <c r="AV357" s="343"/>
      <c r="AW357" s="343"/>
      <c r="AX357" s="343"/>
      <c r="AY357" s="344"/>
      <c r="AZ357" s="345"/>
      <c r="BA357" s="346"/>
      <c r="BB357" s="27"/>
    </row>
    <row r="358" spans="1:54">
      <c r="A358" s="2" t="str">
        <f t="shared" si="51"/>
        <v>Low Income - Outreach &amp; Education_Behavior 2019 Y1 Persistence</v>
      </c>
      <c r="B358" s="18">
        <v>355</v>
      </c>
      <c r="C358" s="23" t="s">
        <v>713</v>
      </c>
      <c r="D358" s="23" t="s">
        <v>768</v>
      </c>
      <c r="E358" s="23" t="s">
        <v>150</v>
      </c>
      <c r="F358" s="23">
        <v>1</v>
      </c>
      <c r="G358" s="154">
        <v>1</v>
      </c>
      <c r="H358" s="447">
        <v>0</v>
      </c>
      <c r="I358" s="436">
        <v>0</v>
      </c>
      <c r="J358" s="23"/>
      <c r="K358" s="23"/>
      <c r="L358" s="23"/>
      <c r="M358" s="23"/>
      <c r="N358" s="217"/>
      <c r="O358" s="215"/>
      <c r="P358" s="215"/>
      <c r="Q358" s="215"/>
      <c r="R358" s="15" t="s">
        <v>834</v>
      </c>
      <c r="S358" s="15" t="s">
        <v>840</v>
      </c>
      <c r="T358" s="18" t="s">
        <v>758</v>
      </c>
      <c r="U358" s="18" t="s">
        <v>759</v>
      </c>
      <c r="V358" s="390"/>
      <c r="W358" s="169"/>
      <c r="X358" s="169"/>
      <c r="Y358" s="390"/>
      <c r="Z358" s="390"/>
      <c r="AA358" s="170"/>
      <c r="AB358" s="390"/>
      <c r="AC358" s="157"/>
      <c r="AD358" s="390"/>
      <c r="AE358" s="157"/>
      <c r="AF358" s="390"/>
      <c r="AG358" s="390"/>
      <c r="AH358" s="390"/>
      <c r="AI358" s="390"/>
      <c r="AJ358" s="390"/>
      <c r="AK358" s="390"/>
      <c r="AL358" s="390"/>
      <c r="AM358" s="390"/>
      <c r="AN358" s="390"/>
      <c r="AO358" s="390"/>
      <c r="AP358" s="390"/>
      <c r="AQ358" s="390"/>
      <c r="AR358" s="390"/>
      <c r="AS358" s="390"/>
      <c r="AT358" s="390"/>
      <c r="AU358" s="343"/>
      <c r="AV358" s="343"/>
      <c r="AW358" s="343"/>
      <c r="AX358" s="343"/>
      <c r="AY358" s="344"/>
      <c r="AZ358" s="345"/>
      <c r="BA358" s="346"/>
      <c r="BB358" s="27"/>
    </row>
    <row r="359" spans="1:54">
      <c r="A359" s="2" t="str">
        <f t="shared" si="51"/>
        <v>Low Income - Outreach &amp; Education_Behavior 2019 Y2 Persistence</v>
      </c>
      <c r="B359" s="18">
        <v>356</v>
      </c>
      <c r="C359" s="23" t="s">
        <v>713</v>
      </c>
      <c r="D359" s="23" t="s">
        <v>769</v>
      </c>
      <c r="E359" s="23" t="s">
        <v>150</v>
      </c>
      <c r="F359" s="23">
        <v>1</v>
      </c>
      <c r="G359" s="154">
        <v>1</v>
      </c>
      <c r="H359" s="447">
        <v>0</v>
      </c>
      <c r="I359" s="436">
        <v>0</v>
      </c>
      <c r="J359" s="23"/>
      <c r="K359" s="23"/>
      <c r="L359" s="23"/>
      <c r="M359" s="23"/>
      <c r="N359" s="217"/>
      <c r="O359" s="215"/>
      <c r="P359" s="215"/>
      <c r="Q359" s="215"/>
      <c r="R359" s="15" t="s">
        <v>834</v>
      </c>
      <c r="S359" s="15" t="s">
        <v>840</v>
      </c>
      <c r="T359" s="18" t="s">
        <v>758</v>
      </c>
      <c r="U359" s="18" t="s">
        <v>759</v>
      </c>
      <c r="V359" s="390"/>
      <c r="W359" s="169"/>
      <c r="X359" s="169"/>
      <c r="Y359" s="390"/>
      <c r="Z359" s="390"/>
      <c r="AA359" s="170"/>
      <c r="AB359" s="390"/>
      <c r="AC359" s="157"/>
      <c r="AD359" s="390"/>
      <c r="AE359" s="157"/>
      <c r="AF359" s="390"/>
      <c r="AG359" s="390"/>
      <c r="AH359" s="390"/>
      <c r="AI359" s="390"/>
      <c r="AJ359" s="390"/>
      <c r="AK359" s="390"/>
      <c r="AL359" s="390"/>
      <c r="AM359" s="390"/>
      <c r="AN359" s="390"/>
      <c r="AO359" s="390"/>
      <c r="AP359" s="390"/>
      <c r="AQ359" s="390"/>
      <c r="AR359" s="390"/>
      <c r="AS359" s="390"/>
      <c r="AT359" s="390"/>
      <c r="AU359" s="343"/>
      <c r="AV359" s="343"/>
      <c r="AW359" s="343"/>
      <c r="AX359" s="343"/>
      <c r="AY359" s="344"/>
      <c r="AZ359" s="345"/>
      <c r="BA359" s="346"/>
      <c r="BB359" s="27"/>
    </row>
    <row r="360" spans="1:54">
      <c r="A360" s="2" t="str">
        <f t="shared" si="51"/>
        <v>Low Income - Outreach &amp; Education_Behavior 2019 Y3 Persistence</v>
      </c>
      <c r="B360" s="18">
        <v>357</v>
      </c>
      <c r="C360" s="23" t="s">
        <v>713</v>
      </c>
      <c r="D360" s="23" t="s">
        <v>770</v>
      </c>
      <c r="E360" s="23" t="s">
        <v>150</v>
      </c>
      <c r="F360" s="23">
        <v>1</v>
      </c>
      <c r="G360" s="154">
        <v>1</v>
      </c>
      <c r="H360" s="447">
        <v>0</v>
      </c>
      <c r="I360" s="436">
        <v>0</v>
      </c>
      <c r="J360" s="23"/>
      <c r="K360" s="23"/>
      <c r="L360" s="23"/>
      <c r="M360" s="23"/>
      <c r="N360" s="217"/>
      <c r="O360" s="215"/>
      <c r="P360" s="215"/>
      <c r="Q360" s="215"/>
      <c r="R360" s="15" t="s">
        <v>834</v>
      </c>
      <c r="S360" s="15" t="s">
        <v>840</v>
      </c>
      <c r="T360" s="18" t="s">
        <v>758</v>
      </c>
      <c r="U360" s="18" t="s">
        <v>759</v>
      </c>
      <c r="V360" s="390"/>
      <c r="W360" s="169"/>
      <c r="X360" s="169"/>
      <c r="Y360" s="390"/>
      <c r="Z360" s="390"/>
      <c r="AA360" s="170"/>
      <c r="AB360" s="390"/>
      <c r="AC360" s="157"/>
      <c r="AD360" s="390"/>
      <c r="AE360" s="157"/>
      <c r="AF360" s="390"/>
      <c r="AG360" s="390"/>
      <c r="AH360" s="390"/>
      <c r="AI360" s="390"/>
      <c r="AJ360" s="390"/>
      <c r="AK360" s="390"/>
      <c r="AL360" s="390"/>
      <c r="AM360" s="390"/>
      <c r="AN360" s="390"/>
      <c r="AO360" s="390"/>
      <c r="AP360" s="390"/>
      <c r="AQ360" s="390"/>
      <c r="AR360" s="390"/>
      <c r="AS360" s="390"/>
      <c r="AT360" s="390"/>
      <c r="AU360" s="343"/>
      <c r="AV360" s="343"/>
      <c r="AW360" s="343"/>
      <c r="AX360" s="343"/>
      <c r="AY360" s="344"/>
      <c r="AZ360" s="345"/>
      <c r="BA360" s="346"/>
      <c r="BB360" s="27"/>
    </row>
    <row r="361" spans="1:54">
      <c r="A361" s="2" t="str">
        <f t="shared" si="51"/>
        <v>Low Income - Outreach &amp; Education_Behavior 2019 Y4 Persistence</v>
      </c>
      <c r="B361" s="18">
        <v>358</v>
      </c>
      <c r="C361" s="23" t="s">
        <v>713</v>
      </c>
      <c r="D361" s="23" t="s">
        <v>771</v>
      </c>
      <c r="E361" s="23" t="s">
        <v>150</v>
      </c>
      <c r="F361" s="23">
        <v>1</v>
      </c>
      <c r="G361" s="154">
        <v>1</v>
      </c>
      <c r="H361" s="447">
        <v>0</v>
      </c>
      <c r="I361" s="436">
        <v>0</v>
      </c>
      <c r="J361" s="23"/>
      <c r="K361" s="23"/>
      <c r="L361" s="23"/>
      <c r="M361" s="23"/>
      <c r="N361" s="217"/>
      <c r="O361" s="215"/>
      <c r="P361" s="215"/>
      <c r="Q361" s="215"/>
      <c r="R361" s="15" t="s">
        <v>834</v>
      </c>
      <c r="S361" s="15" t="s">
        <v>840</v>
      </c>
      <c r="T361" s="18" t="s">
        <v>758</v>
      </c>
      <c r="U361" s="18" t="s">
        <v>759</v>
      </c>
      <c r="V361" s="390"/>
      <c r="W361" s="169"/>
      <c r="X361" s="169"/>
      <c r="Y361" s="390"/>
      <c r="Z361" s="390"/>
      <c r="AA361" s="170"/>
      <c r="AB361" s="390"/>
      <c r="AC361" s="157"/>
      <c r="AD361" s="390"/>
      <c r="AE361" s="157"/>
      <c r="AF361" s="390"/>
      <c r="AG361" s="390"/>
      <c r="AH361" s="390"/>
      <c r="AI361" s="390"/>
      <c r="AJ361" s="390"/>
      <c r="AK361" s="390"/>
      <c r="AL361" s="390"/>
      <c r="AM361" s="390"/>
      <c r="AN361" s="390"/>
      <c r="AO361" s="390"/>
      <c r="AP361" s="390"/>
      <c r="AQ361" s="390"/>
      <c r="AR361" s="390"/>
      <c r="AS361" s="390"/>
      <c r="AT361" s="390"/>
      <c r="AU361" s="343"/>
      <c r="AV361" s="343"/>
      <c r="AW361" s="343"/>
      <c r="AX361" s="343"/>
      <c r="AY361" s="344"/>
      <c r="AZ361" s="345"/>
      <c r="BA361" s="346"/>
      <c r="BB361" s="27"/>
    </row>
    <row r="362" spans="1:54">
      <c r="A362" s="2" t="str">
        <f t="shared" si="51"/>
        <v>Low Income - Outreach &amp; Education_Behavior 2020 Y1 Persistence</v>
      </c>
      <c r="B362" s="18">
        <v>359</v>
      </c>
      <c r="C362" s="23" t="s">
        <v>713</v>
      </c>
      <c r="D362" s="23" t="s">
        <v>772</v>
      </c>
      <c r="E362" s="23" t="s">
        <v>150</v>
      </c>
      <c r="F362" s="23">
        <v>1</v>
      </c>
      <c r="G362" s="154">
        <v>1</v>
      </c>
      <c r="H362" s="447">
        <v>0</v>
      </c>
      <c r="I362" s="436">
        <v>0</v>
      </c>
      <c r="J362" s="23"/>
      <c r="K362" s="23"/>
      <c r="L362" s="23"/>
      <c r="M362" s="23"/>
      <c r="N362" s="217"/>
      <c r="O362" s="215"/>
      <c r="P362" s="215"/>
      <c r="Q362" s="215"/>
      <c r="R362" s="15" t="s">
        <v>834</v>
      </c>
      <c r="S362" s="15" t="s">
        <v>840</v>
      </c>
      <c r="T362" s="18" t="s">
        <v>758</v>
      </c>
      <c r="U362" s="18" t="s">
        <v>759</v>
      </c>
      <c r="V362" s="390"/>
      <c r="W362" s="169"/>
      <c r="X362" s="169"/>
      <c r="Y362" s="390"/>
      <c r="Z362" s="390"/>
      <c r="AA362" s="170"/>
      <c r="AB362" s="390"/>
      <c r="AC362" s="157"/>
      <c r="AD362" s="390"/>
      <c r="AE362" s="157"/>
      <c r="AF362" s="390"/>
      <c r="AG362" s="390"/>
      <c r="AH362" s="390"/>
      <c r="AI362" s="390"/>
      <c r="AJ362" s="390"/>
      <c r="AK362" s="390"/>
      <c r="AL362" s="390"/>
      <c r="AM362" s="390"/>
      <c r="AN362" s="390"/>
      <c r="AO362" s="390"/>
      <c r="AP362" s="390"/>
      <c r="AQ362" s="390"/>
      <c r="AR362" s="390"/>
      <c r="AS362" s="390"/>
      <c r="AT362" s="390"/>
      <c r="AU362" s="343"/>
      <c r="AV362" s="343"/>
      <c r="AW362" s="343"/>
      <c r="AX362" s="343"/>
      <c r="AY362" s="344"/>
      <c r="AZ362" s="345"/>
      <c r="BA362" s="346"/>
      <c r="BB362" s="27"/>
    </row>
    <row r="363" spans="1:54">
      <c r="A363" s="2" t="str">
        <f t="shared" si="51"/>
        <v>Low Income - Outreach &amp; Education_Behavior 2020 Y2 Persistence</v>
      </c>
      <c r="B363" s="18">
        <v>360</v>
      </c>
      <c r="C363" s="23" t="s">
        <v>713</v>
      </c>
      <c r="D363" s="23" t="s">
        <v>773</v>
      </c>
      <c r="E363" s="23" t="s">
        <v>150</v>
      </c>
      <c r="F363" s="23">
        <v>1</v>
      </c>
      <c r="G363" s="154">
        <v>1</v>
      </c>
      <c r="H363" s="447">
        <v>0</v>
      </c>
      <c r="I363" s="436">
        <v>0</v>
      </c>
      <c r="J363" s="23"/>
      <c r="K363" s="23"/>
      <c r="L363" s="23"/>
      <c r="M363" s="23"/>
      <c r="N363" s="217"/>
      <c r="O363" s="215"/>
      <c r="P363" s="215"/>
      <c r="Q363" s="215"/>
      <c r="R363" s="15" t="s">
        <v>834</v>
      </c>
      <c r="S363" s="15" t="s">
        <v>840</v>
      </c>
      <c r="T363" s="18" t="s">
        <v>758</v>
      </c>
      <c r="U363" s="18" t="s">
        <v>759</v>
      </c>
      <c r="V363" s="390"/>
      <c r="W363" s="169"/>
      <c r="X363" s="169"/>
      <c r="Y363" s="390"/>
      <c r="Z363" s="390"/>
      <c r="AA363" s="170"/>
      <c r="AB363" s="390"/>
      <c r="AC363" s="157"/>
      <c r="AD363" s="390"/>
      <c r="AE363" s="157"/>
      <c r="AF363" s="390"/>
      <c r="AG363" s="390"/>
      <c r="AH363" s="390"/>
      <c r="AI363" s="390"/>
      <c r="AJ363" s="390"/>
      <c r="AK363" s="390"/>
      <c r="AL363" s="390"/>
      <c r="AM363" s="390"/>
      <c r="AN363" s="390"/>
      <c r="AO363" s="390"/>
      <c r="AP363" s="390"/>
      <c r="AQ363" s="390"/>
      <c r="AR363" s="390"/>
      <c r="AS363" s="390"/>
      <c r="AT363" s="390"/>
      <c r="AU363" s="343"/>
      <c r="AV363" s="343"/>
      <c r="AW363" s="343"/>
      <c r="AX363" s="343"/>
      <c r="AY363" s="344"/>
      <c r="AZ363" s="345"/>
      <c r="BA363" s="346"/>
      <c r="BB363" s="27"/>
    </row>
    <row r="364" spans="1:54">
      <c r="A364" s="2" t="str">
        <f t="shared" si="51"/>
        <v>Low Income - Outreach &amp; Education_Behavior 2020 Y3 Persistence</v>
      </c>
      <c r="B364" s="18">
        <v>361</v>
      </c>
      <c r="C364" s="23" t="s">
        <v>713</v>
      </c>
      <c r="D364" s="23" t="s">
        <v>774</v>
      </c>
      <c r="E364" s="23" t="s">
        <v>150</v>
      </c>
      <c r="F364" s="23">
        <v>1</v>
      </c>
      <c r="G364" s="154">
        <v>1</v>
      </c>
      <c r="H364" s="447">
        <v>0</v>
      </c>
      <c r="I364" s="436">
        <v>0</v>
      </c>
      <c r="J364" s="23"/>
      <c r="K364" s="23"/>
      <c r="L364" s="23"/>
      <c r="M364" s="23"/>
      <c r="N364" s="217"/>
      <c r="O364" s="215"/>
      <c r="P364" s="215"/>
      <c r="Q364" s="215"/>
      <c r="R364" s="15" t="s">
        <v>834</v>
      </c>
      <c r="S364" s="15" t="s">
        <v>840</v>
      </c>
      <c r="T364" s="18" t="s">
        <v>758</v>
      </c>
      <c r="U364" s="18" t="s">
        <v>759</v>
      </c>
      <c r="V364" s="390"/>
      <c r="W364" s="169"/>
      <c r="X364" s="169"/>
      <c r="Y364" s="390"/>
      <c r="Z364" s="390"/>
      <c r="AA364" s="170"/>
      <c r="AB364" s="390"/>
      <c r="AC364" s="157"/>
      <c r="AD364" s="390"/>
      <c r="AE364" s="157"/>
      <c r="AF364" s="390"/>
      <c r="AG364" s="390"/>
      <c r="AH364" s="390"/>
      <c r="AI364" s="390"/>
      <c r="AJ364" s="390"/>
      <c r="AK364" s="390"/>
      <c r="AL364" s="390"/>
      <c r="AM364" s="390"/>
      <c r="AN364" s="390"/>
      <c r="AO364" s="390"/>
      <c r="AP364" s="390"/>
      <c r="AQ364" s="390"/>
      <c r="AR364" s="390"/>
      <c r="AS364" s="390"/>
      <c r="AT364" s="390"/>
      <c r="AU364" s="343"/>
      <c r="AV364" s="343"/>
      <c r="AW364" s="343"/>
      <c r="AX364" s="343"/>
      <c r="AY364" s="344"/>
      <c r="AZ364" s="345"/>
      <c r="BA364" s="346"/>
      <c r="BB364" s="27"/>
    </row>
    <row r="365" spans="1:54">
      <c r="A365" s="2" t="str">
        <f t="shared" si="51"/>
        <v>Low Income - Outreach &amp; Education_Behavior 2020 Y4 Persistence</v>
      </c>
      <c r="B365" s="18">
        <v>362</v>
      </c>
      <c r="C365" s="23" t="s">
        <v>713</v>
      </c>
      <c r="D365" s="23" t="s">
        <v>775</v>
      </c>
      <c r="E365" s="23" t="s">
        <v>150</v>
      </c>
      <c r="F365" s="23">
        <v>1</v>
      </c>
      <c r="G365" s="154">
        <v>1</v>
      </c>
      <c r="H365" s="447">
        <v>0</v>
      </c>
      <c r="I365" s="436">
        <v>0</v>
      </c>
      <c r="J365" s="23"/>
      <c r="K365" s="23"/>
      <c r="L365" s="23"/>
      <c r="M365" s="23"/>
      <c r="N365" s="217"/>
      <c r="O365" s="215"/>
      <c r="P365" s="215"/>
      <c r="Q365" s="215"/>
      <c r="R365" s="15" t="s">
        <v>834</v>
      </c>
      <c r="S365" s="15" t="s">
        <v>840</v>
      </c>
      <c r="T365" s="18" t="s">
        <v>758</v>
      </c>
      <c r="U365" s="18" t="s">
        <v>759</v>
      </c>
      <c r="V365" s="390"/>
      <c r="W365" s="169"/>
      <c r="X365" s="169"/>
      <c r="Y365" s="390"/>
      <c r="Z365" s="390"/>
      <c r="AA365" s="170"/>
      <c r="AB365" s="390"/>
      <c r="AC365" s="157"/>
      <c r="AD365" s="390"/>
      <c r="AE365" s="157"/>
      <c r="AF365" s="390"/>
      <c r="AG365" s="390"/>
      <c r="AH365" s="390"/>
      <c r="AI365" s="390"/>
      <c r="AJ365" s="390"/>
      <c r="AK365" s="390"/>
      <c r="AL365" s="390"/>
      <c r="AM365" s="390"/>
      <c r="AN365" s="390"/>
      <c r="AO365" s="390"/>
      <c r="AP365" s="390"/>
      <c r="AQ365" s="390"/>
      <c r="AR365" s="390"/>
      <c r="AS365" s="390"/>
      <c r="AT365" s="390"/>
      <c r="AU365" s="343"/>
      <c r="AV365" s="343"/>
      <c r="AW365" s="343"/>
      <c r="AX365" s="343"/>
      <c r="AY365" s="344"/>
      <c r="AZ365" s="345"/>
      <c r="BA365" s="346"/>
      <c r="BB365" s="27"/>
    </row>
    <row r="366" spans="1:54">
      <c r="A366" s="2" t="str">
        <f t="shared" si="51"/>
        <v>Low Income - Outreach &amp; Education_Behavior 2021 Y1 Persistence</v>
      </c>
      <c r="B366" s="18">
        <v>363</v>
      </c>
      <c r="C366" s="23" t="s">
        <v>713</v>
      </c>
      <c r="D366" s="23" t="s">
        <v>776</v>
      </c>
      <c r="E366" s="23" t="s">
        <v>150</v>
      </c>
      <c r="F366" s="23">
        <v>1</v>
      </c>
      <c r="G366" s="154">
        <v>1</v>
      </c>
      <c r="H366" s="447">
        <v>0</v>
      </c>
      <c r="I366" s="436">
        <v>0</v>
      </c>
      <c r="J366" s="23"/>
      <c r="K366" s="23"/>
      <c r="L366" s="23"/>
      <c r="M366" s="23"/>
      <c r="N366" s="217"/>
      <c r="O366" s="215"/>
      <c r="P366" s="215"/>
      <c r="Q366" s="215"/>
      <c r="R366" s="15" t="s">
        <v>834</v>
      </c>
      <c r="S366" s="15" t="s">
        <v>840</v>
      </c>
      <c r="T366" s="18" t="s">
        <v>758</v>
      </c>
      <c r="U366" s="18" t="s">
        <v>759</v>
      </c>
      <c r="V366" s="390"/>
      <c r="W366" s="169"/>
      <c r="X366" s="169"/>
      <c r="Y366" s="390"/>
      <c r="Z366" s="390"/>
      <c r="AA366" s="170"/>
      <c r="AB366" s="390"/>
      <c r="AC366" s="157"/>
      <c r="AD366" s="390"/>
      <c r="AE366" s="157"/>
      <c r="AF366" s="390"/>
      <c r="AG366" s="390"/>
      <c r="AH366" s="390"/>
      <c r="AI366" s="390"/>
      <c r="AJ366" s="390"/>
      <c r="AK366" s="390"/>
      <c r="AL366" s="390"/>
      <c r="AM366" s="390"/>
      <c r="AN366" s="390"/>
      <c r="AO366" s="390"/>
      <c r="AP366" s="390"/>
      <c r="AQ366" s="390"/>
      <c r="AR366" s="390"/>
      <c r="AS366" s="390"/>
      <c r="AT366" s="390"/>
      <c r="AU366" s="343"/>
      <c r="AV366" s="343"/>
      <c r="AW366" s="343"/>
      <c r="AX366" s="343"/>
      <c r="AY366" s="344"/>
      <c r="AZ366" s="345"/>
      <c r="BA366" s="346"/>
      <c r="BB366" s="27"/>
    </row>
    <row r="367" spans="1:54">
      <c r="A367" s="2" t="str">
        <f t="shared" si="51"/>
        <v>Low Income - Outreach &amp; Education_Behavior 2021 Y2 Persistence</v>
      </c>
      <c r="B367" s="18">
        <v>364</v>
      </c>
      <c r="C367" s="23" t="s">
        <v>713</v>
      </c>
      <c r="D367" s="23" t="s">
        <v>777</v>
      </c>
      <c r="E367" s="23" t="s">
        <v>150</v>
      </c>
      <c r="F367" s="23">
        <v>1</v>
      </c>
      <c r="G367" s="154">
        <v>1</v>
      </c>
      <c r="H367" s="447">
        <v>0</v>
      </c>
      <c r="I367" s="436">
        <v>0</v>
      </c>
      <c r="J367" s="23"/>
      <c r="K367" s="23"/>
      <c r="L367" s="23"/>
      <c r="M367" s="23"/>
      <c r="N367" s="217"/>
      <c r="O367" s="215"/>
      <c r="P367" s="215"/>
      <c r="Q367" s="215"/>
      <c r="R367" s="15" t="s">
        <v>834</v>
      </c>
      <c r="S367" s="15" t="s">
        <v>840</v>
      </c>
      <c r="T367" s="18" t="s">
        <v>758</v>
      </c>
      <c r="U367" s="18" t="s">
        <v>759</v>
      </c>
      <c r="V367" s="390"/>
      <c r="W367" s="169"/>
      <c r="X367" s="169"/>
      <c r="Y367" s="390"/>
      <c r="Z367" s="390"/>
      <c r="AA367" s="170"/>
      <c r="AB367" s="390"/>
      <c r="AC367" s="157"/>
      <c r="AD367" s="390"/>
      <c r="AE367" s="157"/>
      <c r="AF367" s="390"/>
      <c r="AG367" s="390"/>
      <c r="AH367" s="390"/>
      <c r="AI367" s="390"/>
      <c r="AJ367" s="390"/>
      <c r="AK367" s="390"/>
      <c r="AL367" s="390"/>
      <c r="AM367" s="390"/>
      <c r="AN367" s="390"/>
      <c r="AO367" s="390"/>
      <c r="AP367" s="390"/>
      <c r="AQ367" s="390"/>
      <c r="AR367" s="390"/>
      <c r="AS367" s="390"/>
      <c r="AT367" s="390"/>
      <c r="AU367" s="343"/>
      <c r="AV367" s="343"/>
      <c r="AW367" s="343"/>
      <c r="AX367" s="343"/>
      <c r="AY367" s="344"/>
      <c r="AZ367" s="345"/>
      <c r="BA367" s="346"/>
      <c r="BB367" s="27"/>
    </row>
    <row r="368" spans="1:54">
      <c r="A368" s="2" t="str">
        <f t="shared" si="51"/>
        <v>Low Income - Outreach &amp; Education_Behavior 2021 Y3 Persistence</v>
      </c>
      <c r="B368" s="18">
        <v>365</v>
      </c>
      <c r="C368" s="23" t="s">
        <v>713</v>
      </c>
      <c r="D368" s="23" t="s">
        <v>778</v>
      </c>
      <c r="E368" s="23" t="s">
        <v>150</v>
      </c>
      <c r="F368" s="23">
        <v>1</v>
      </c>
      <c r="G368" s="154">
        <v>1</v>
      </c>
      <c r="H368" s="447">
        <v>0</v>
      </c>
      <c r="I368" s="436">
        <v>0</v>
      </c>
      <c r="J368" s="23"/>
      <c r="K368" s="23"/>
      <c r="L368" s="23"/>
      <c r="M368" s="23"/>
      <c r="N368" s="217"/>
      <c r="O368" s="215"/>
      <c r="P368" s="215"/>
      <c r="Q368" s="215"/>
      <c r="R368" s="15" t="s">
        <v>834</v>
      </c>
      <c r="S368" s="15" t="s">
        <v>840</v>
      </c>
      <c r="T368" s="18" t="s">
        <v>758</v>
      </c>
      <c r="U368" s="18" t="s">
        <v>759</v>
      </c>
      <c r="V368" s="390"/>
      <c r="W368" s="169"/>
      <c r="X368" s="169"/>
      <c r="Y368" s="390"/>
      <c r="Z368" s="390"/>
      <c r="AA368" s="170"/>
      <c r="AB368" s="390"/>
      <c r="AC368" s="157"/>
      <c r="AD368" s="390"/>
      <c r="AE368" s="157"/>
      <c r="AF368" s="390"/>
      <c r="AG368" s="390"/>
      <c r="AH368" s="390"/>
      <c r="AI368" s="390"/>
      <c r="AJ368" s="390"/>
      <c r="AK368" s="390"/>
      <c r="AL368" s="390"/>
      <c r="AM368" s="390"/>
      <c r="AN368" s="390"/>
      <c r="AO368" s="390"/>
      <c r="AP368" s="390"/>
      <c r="AQ368" s="390"/>
      <c r="AR368" s="390"/>
      <c r="AS368" s="390"/>
      <c r="AT368" s="390"/>
      <c r="AU368" s="343"/>
      <c r="AV368" s="343"/>
      <c r="AW368" s="343"/>
      <c r="AX368" s="343"/>
      <c r="AY368" s="344"/>
      <c r="AZ368" s="345"/>
      <c r="BA368" s="346"/>
      <c r="BB368" s="27"/>
    </row>
    <row r="369" spans="1:54">
      <c r="A369" s="2" t="str">
        <f t="shared" si="51"/>
        <v>Low Income - Outreach &amp; Education_Behavior 2021 Y4 Persistence</v>
      </c>
      <c r="B369" s="18">
        <v>366</v>
      </c>
      <c r="C369" s="23" t="s">
        <v>713</v>
      </c>
      <c r="D369" s="23" t="s">
        <v>779</v>
      </c>
      <c r="E369" s="23" t="s">
        <v>150</v>
      </c>
      <c r="F369" s="23">
        <v>1</v>
      </c>
      <c r="G369" s="154">
        <v>1</v>
      </c>
      <c r="H369" s="447">
        <v>0</v>
      </c>
      <c r="I369" s="436">
        <v>0</v>
      </c>
      <c r="J369" s="23"/>
      <c r="K369" s="23"/>
      <c r="L369" s="23"/>
      <c r="M369" s="23"/>
      <c r="N369" s="217"/>
      <c r="O369" s="215"/>
      <c r="P369" s="215"/>
      <c r="Q369" s="215"/>
      <c r="R369" s="15" t="s">
        <v>834</v>
      </c>
      <c r="S369" s="15" t="s">
        <v>840</v>
      </c>
      <c r="T369" s="18" t="s">
        <v>758</v>
      </c>
      <c r="U369" s="18" t="s">
        <v>759</v>
      </c>
      <c r="V369" s="390"/>
      <c r="W369" s="169"/>
      <c r="X369" s="169"/>
      <c r="Y369" s="390"/>
      <c r="Z369" s="390"/>
      <c r="AA369" s="170"/>
      <c r="AB369" s="390"/>
      <c r="AC369" s="157"/>
      <c r="AD369" s="390"/>
      <c r="AE369" s="157"/>
      <c r="AF369" s="390"/>
      <c r="AG369" s="390"/>
      <c r="AH369" s="390"/>
      <c r="AI369" s="390"/>
      <c r="AJ369" s="390"/>
      <c r="AK369" s="390"/>
      <c r="AL369" s="390"/>
      <c r="AM369" s="390"/>
      <c r="AN369" s="390"/>
      <c r="AO369" s="390"/>
      <c r="AP369" s="390"/>
      <c r="AQ369" s="390"/>
      <c r="AR369" s="390"/>
      <c r="AS369" s="390"/>
      <c r="AT369" s="390"/>
      <c r="AU369" s="343"/>
      <c r="AV369" s="343"/>
      <c r="AW369" s="343"/>
      <c r="AX369" s="343"/>
      <c r="AY369" s="344"/>
      <c r="AZ369" s="345"/>
      <c r="BA369" s="346"/>
      <c r="BB369" s="27"/>
    </row>
    <row r="370" spans="1:54">
      <c r="A370" s="2" t="str">
        <f t="shared" si="51"/>
        <v>Low Income - Outreach &amp; Education_Energy Education</v>
      </c>
      <c r="B370" s="18">
        <v>367</v>
      </c>
      <c r="C370" s="23" t="s">
        <v>713</v>
      </c>
      <c r="D370" s="23" t="s">
        <v>668</v>
      </c>
      <c r="E370" s="23" t="s">
        <v>150</v>
      </c>
      <c r="F370" s="23">
        <v>1</v>
      </c>
      <c r="G370" s="154">
        <v>1</v>
      </c>
      <c r="H370" s="447">
        <v>4</v>
      </c>
      <c r="I370" s="436">
        <v>4</v>
      </c>
      <c r="J370" s="23"/>
      <c r="K370" s="23"/>
      <c r="L370" s="23"/>
      <c r="M370" s="23"/>
      <c r="N370" s="217"/>
      <c r="O370" s="215"/>
      <c r="P370" s="215"/>
      <c r="Q370" s="215"/>
      <c r="R370" s="18" t="s">
        <v>140</v>
      </c>
      <c r="S370" s="18" t="s">
        <v>140</v>
      </c>
      <c r="T370" s="18" t="s">
        <v>140</v>
      </c>
      <c r="U370" s="18" t="s">
        <v>140</v>
      </c>
      <c r="V370" s="390"/>
      <c r="W370" s="169"/>
      <c r="X370" s="169"/>
      <c r="Y370" s="390"/>
      <c r="Z370" s="390"/>
      <c r="AA370" s="170"/>
      <c r="AB370" s="390"/>
      <c r="AC370" s="157"/>
      <c r="AD370" s="390"/>
      <c r="AE370" s="157"/>
      <c r="AF370" s="390"/>
      <c r="AG370" s="390"/>
      <c r="AH370" s="390"/>
      <c r="AI370" s="390"/>
      <c r="AJ370" s="390"/>
      <c r="AK370" s="390"/>
      <c r="AL370" s="390"/>
      <c r="AM370" s="390"/>
      <c r="AN370" s="390"/>
      <c r="AO370" s="390"/>
      <c r="AP370" s="390"/>
      <c r="AQ370" s="390"/>
      <c r="AR370" s="390"/>
      <c r="AS370" s="390"/>
      <c r="AT370" s="390"/>
      <c r="AU370" s="343"/>
      <c r="AV370" s="343"/>
      <c r="AW370" s="343"/>
      <c r="AX370" s="343"/>
      <c r="AY370" s="344"/>
      <c r="AZ370" s="345"/>
      <c r="BA370" s="346"/>
      <c r="BB370" s="27"/>
    </row>
    <row r="371" spans="1:54">
      <c r="A371" s="2" t="str">
        <f t="shared" si="51"/>
        <v>Low Income - SF Retrofit_Bathroom Aerator</v>
      </c>
      <c r="B371" s="18">
        <v>368</v>
      </c>
      <c r="C371" s="23" t="s">
        <v>714</v>
      </c>
      <c r="D371" s="18" t="s">
        <v>733</v>
      </c>
      <c r="E371" s="23" t="s">
        <v>150</v>
      </c>
      <c r="F371" s="23">
        <v>1</v>
      </c>
      <c r="G371" s="154">
        <v>1</v>
      </c>
      <c r="H371" s="447">
        <v>9</v>
      </c>
      <c r="I371" s="443">
        <v>10</v>
      </c>
      <c r="J371" s="23">
        <v>84</v>
      </c>
      <c r="K371" s="23">
        <v>84</v>
      </c>
      <c r="L371" s="23">
        <v>84</v>
      </c>
      <c r="M371" s="23">
        <v>84</v>
      </c>
      <c r="N371" s="215">
        <f>100%*(((X371*AB371)-(Z371*AB371))*AL371*365.25*AD371/AF371)*AH371*AJ371</f>
        <v>0.90849584455671673</v>
      </c>
      <c r="O371" s="215">
        <f t="shared" ref="O371:Q390" si="55">N371</f>
        <v>0.90849584455671673</v>
      </c>
      <c r="P371" s="215">
        <f t="shared" si="55"/>
        <v>0.90849584455671673</v>
      </c>
      <c r="Q371" s="215">
        <f t="shared" si="55"/>
        <v>0.90849584455671673</v>
      </c>
      <c r="R371" s="15" t="s">
        <v>838</v>
      </c>
      <c r="S371" s="15" t="s">
        <v>840</v>
      </c>
      <c r="T371" s="15" t="s">
        <v>470</v>
      </c>
      <c r="U371" s="15" t="s">
        <v>469</v>
      </c>
      <c r="V371" s="390" t="s">
        <v>467</v>
      </c>
      <c r="W371" s="391" t="s">
        <v>359</v>
      </c>
      <c r="X371" s="391">
        <v>1.53</v>
      </c>
      <c r="Y371" s="390" t="s">
        <v>358</v>
      </c>
      <c r="Z371" s="390">
        <v>0.94</v>
      </c>
      <c r="AA371" s="157" t="s">
        <v>357</v>
      </c>
      <c r="AB371" s="390">
        <v>1.6</v>
      </c>
      <c r="AC371" s="157" t="s">
        <v>468</v>
      </c>
      <c r="AD371" s="392">
        <v>0.9</v>
      </c>
      <c r="AE371" s="157" t="s">
        <v>364</v>
      </c>
      <c r="AF371" s="390">
        <v>2.83</v>
      </c>
      <c r="AG371" s="390" t="s">
        <v>355</v>
      </c>
      <c r="AH371" s="393">
        <f>8.33*1*(86-54.1)/(AN371*100000)</f>
        <v>3.4067564102564099E-3</v>
      </c>
      <c r="AI371" s="390" t="s">
        <v>354</v>
      </c>
      <c r="AJ371" s="390">
        <v>0.95</v>
      </c>
      <c r="AK371" s="390" t="s">
        <v>462</v>
      </c>
      <c r="AL371" s="390">
        <v>2.56</v>
      </c>
      <c r="AM371" s="390" t="s">
        <v>461</v>
      </c>
      <c r="AN371" s="392">
        <v>0.78</v>
      </c>
      <c r="AO371" s="166"/>
      <c r="AP371" s="166"/>
      <c r="AQ371" s="166"/>
      <c r="AR371" s="166"/>
      <c r="AS371" s="166"/>
      <c r="AT371" s="166"/>
      <c r="AU371" s="343"/>
      <c r="AV371" s="343"/>
      <c r="AW371" s="343"/>
      <c r="AX371" s="343"/>
      <c r="AY371" s="344"/>
      <c r="AZ371" s="345"/>
      <c r="BA371" s="346"/>
      <c r="BB371" s="27"/>
    </row>
    <row r="372" spans="1:54">
      <c r="A372" s="2" t="str">
        <f t="shared" si="51"/>
        <v>Low Income - SF Retrofit_Kitchen Aerator</v>
      </c>
      <c r="B372" s="18">
        <v>369</v>
      </c>
      <c r="C372" s="23" t="s">
        <v>714</v>
      </c>
      <c r="D372" s="18" t="s">
        <v>732</v>
      </c>
      <c r="E372" s="23" t="s">
        <v>150</v>
      </c>
      <c r="F372" s="23">
        <v>1</v>
      </c>
      <c r="G372" s="154">
        <v>1</v>
      </c>
      <c r="H372" s="447">
        <v>9</v>
      </c>
      <c r="I372" s="443">
        <v>10</v>
      </c>
      <c r="J372" s="23">
        <v>42</v>
      </c>
      <c r="K372" s="23">
        <v>42</v>
      </c>
      <c r="L372" s="23">
        <v>42</v>
      </c>
      <c r="M372" s="23">
        <v>42</v>
      </c>
      <c r="N372" s="215">
        <f>100%*(((X372*AB372)-(Z372*AB372))*AL372*365.25*AD372/AF372)*AH372*AJ372</f>
        <v>8.5936302377584592</v>
      </c>
      <c r="O372" s="215">
        <f t="shared" si="55"/>
        <v>8.5936302377584592</v>
      </c>
      <c r="P372" s="215">
        <f t="shared" si="55"/>
        <v>8.5936302377584592</v>
      </c>
      <c r="Q372" s="215">
        <f t="shared" si="55"/>
        <v>8.5936302377584592</v>
      </c>
      <c r="R372" s="15" t="s">
        <v>838</v>
      </c>
      <c r="S372" s="15" t="s">
        <v>840</v>
      </c>
      <c r="T372" s="15" t="s">
        <v>470</v>
      </c>
      <c r="U372" s="15" t="s">
        <v>469</v>
      </c>
      <c r="V372" s="390" t="s">
        <v>467</v>
      </c>
      <c r="W372" s="391" t="s">
        <v>359</v>
      </c>
      <c r="X372" s="391">
        <v>1.63</v>
      </c>
      <c r="Y372" s="390" t="s">
        <v>358</v>
      </c>
      <c r="Z372" s="390">
        <v>0.94</v>
      </c>
      <c r="AA372" s="157" t="s">
        <v>357</v>
      </c>
      <c r="AB372" s="390">
        <v>4.5</v>
      </c>
      <c r="AC372" s="157" t="s">
        <v>468</v>
      </c>
      <c r="AD372" s="392">
        <v>0.75</v>
      </c>
      <c r="AE372" s="157" t="s">
        <v>364</v>
      </c>
      <c r="AF372" s="390">
        <v>1</v>
      </c>
      <c r="AG372" s="390" t="s">
        <v>355</v>
      </c>
      <c r="AH372" s="393">
        <f>8.33*1*(93-54.1)/(AN372*100000)</f>
        <v>4.1543205128205122E-3</v>
      </c>
      <c r="AI372" s="390" t="s">
        <v>354</v>
      </c>
      <c r="AJ372" s="390">
        <v>0.95</v>
      </c>
      <c r="AK372" s="390" t="s">
        <v>462</v>
      </c>
      <c r="AL372" s="390">
        <v>2.56</v>
      </c>
      <c r="AM372" s="390" t="s">
        <v>461</v>
      </c>
      <c r="AN372" s="392">
        <v>0.78</v>
      </c>
      <c r="AO372" s="166"/>
      <c r="AP372" s="166"/>
      <c r="AQ372" s="166"/>
      <c r="AR372" s="166"/>
      <c r="AS372" s="166"/>
      <c r="AT372" s="166"/>
      <c r="AU372" s="343"/>
      <c r="AV372" s="348"/>
      <c r="AW372" s="343"/>
      <c r="AX372" s="343"/>
      <c r="AY372" s="344"/>
      <c r="AZ372" s="346"/>
      <c r="BA372" s="346"/>
      <c r="BB372" s="27"/>
    </row>
    <row r="373" spans="1:54">
      <c r="A373" s="2" t="str">
        <f t="shared" si="51"/>
        <v>Low Income - SF Retrofit_Showerhead</v>
      </c>
      <c r="B373" s="18">
        <v>370</v>
      </c>
      <c r="C373" s="23" t="s">
        <v>714</v>
      </c>
      <c r="D373" s="18" t="s">
        <v>731</v>
      </c>
      <c r="E373" s="23" t="s">
        <v>150</v>
      </c>
      <c r="F373" s="23">
        <v>1</v>
      </c>
      <c r="G373" s="154">
        <v>1</v>
      </c>
      <c r="H373" s="447">
        <v>10</v>
      </c>
      <c r="I373" s="436">
        <v>10</v>
      </c>
      <c r="J373" s="23">
        <v>50</v>
      </c>
      <c r="K373" s="23">
        <v>50</v>
      </c>
      <c r="L373" s="23">
        <v>50</v>
      </c>
      <c r="M373" s="23">
        <v>50</v>
      </c>
      <c r="N373" s="215">
        <f>100%*((X373*AB373-Z373*AB373)*AL373*AF373*365.25/AH373)*AD373*AJ373</f>
        <v>8.7892072937103034</v>
      </c>
      <c r="O373" s="215">
        <f t="shared" si="55"/>
        <v>8.7892072937103034</v>
      </c>
      <c r="P373" s="215">
        <f t="shared" si="55"/>
        <v>8.7892072937103034</v>
      </c>
      <c r="Q373" s="215">
        <f t="shared" si="55"/>
        <v>8.7892072937103034</v>
      </c>
      <c r="R373" s="15" t="s">
        <v>838</v>
      </c>
      <c r="S373" s="15" t="s">
        <v>840</v>
      </c>
      <c r="T373" s="15" t="s">
        <v>466</v>
      </c>
      <c r="U373" s="15" t="s">
        <v>465</v>
      </c>
      <c r="V373" s="390" t="s">
        <v>460</v>
      </c>
      <c r="W373" s="391" t="s">
        <v>359</v>
      </c>
      <c r="X373" s="391">
        <v>2.2400000000000002</v>
      </c>
      <c r="Y373" s="390" t="s">
        <v>358</v>
      </c>
      <c r="Z373" s="390">
        <v>1.5</v>
      </c>
      <c r="AA373" s="157" t="s">
        <v>357</v>
      </c>
      <c r="AB373" s="390">
        <v>7.8</v>
      </c>
      <c r="AC373" s="157" t="s">
        <v>355</v>
      </c>
      <c r="AD373" s="393">
        <f>8.33*1*(101-54.1)/(AN373*100000)</f>
        <v>5.0086794871794871E-3</v>
      </c>
      <c r="AE373" s="157" t="s">
        <v>464</v>
      </c>
      <c r="AF373" s="390">
        <v>0.6</v>
      </c>
      <c r="AG373" s="390" t="s">
        <v>463</v>
      </c>
      <c r="AH373" s="390">
        <v>1.79</v>
      </c>
      <c r="AI373" s="461" t="s">
        <v>354</v>
      </c>
      <c r="AJ373" s="461">
        <v>0.97</v>
      </c>
      <c r="AK373" s="390" t="s">
        <v>462</v>
      </c>
      <c r="AL373" s="390">
        <v>2.56</v>
      </c>
      <c r="AM373" s="390" t="s">
        <v>461</v>
      </c>
      <c r="AN373" s="392">
        <v>0.78</v>
      </c>
      <c r="AO373" s="166"/>
      <c r="AP373" s="166"/>
      <c r="AQ373" s="166"/>
      <c r="AR373" s="166"/>
      <c r="AS373" s="166"/>
      <c r="AT373" s="166"/>
      <c r="AU373" s="343"/>
      <c r="AV373" s="348"/>
      <c r="AW373" s="343"/>
      <c r="AX373" s="343"/>
      <c r="AY373" s="344"/>
      <c r="AZ373" s="349"/>
      <c r="BA373" s="346"/>
      <c r="BB373" s="27"/>
    </row>
    <row r="374" spans="1:54">
      <c r="A374" s="2" t="str">
        <f t="shared" si="51"/>
        <v>Low Income - SF Retrofit_Pipe Insulation (DHW)</v>
      </c>
      <c r="B374" s="18">
        <v>371</v>
      </c>
      <c r="C374" s="23" t="s">
        <v>714</v>
      </c>
      <c r="D374" s="18" t="s">
        <v>1052</v>
      </c>
      <c r="E374" s="23" t="s">
        <v>210</v>
      </c>
      <c r="F374" s="23">
        <v>3</v>
      </c>
      <c r="G374" s="154">
        <v>1</v>
      </c>
      <c r="H374" s="447">
        <v>15</v>
      </c>
      <c r="I374" s="436">
        <v>15</v>
      </c>
      <c r="J374" s="23">
        <v>62</v>
      </c>
      <c r="K374" s="23">
        <v>62</v>
      </c>
      <c r="L374" s="23">
        <v>62</v>
      </c>
      <c r="M374" s="23">
        <v>62</v>
      </c>
      <c r="N374" s="389">
        <f xml:space="preserve"> ((X374 / Z374 - AB374 / AD374) * AF374 * AH374 * 8766) / AJ374 / 100000</f>
        <v>0.77039653846153844</v>
      </c>
      <c r="O374" s="215">
        <f t="shared" si="55"/>
        <v>0.77039653846153844</v>
      </c>
      <c r="P374" s="215">
        <f t="shared" si="55"/>
        <v>0.77039653846153844</v>
      </c>
      <c r="Q374" s="215">
        <f t="shared" si="55"/>
        <v>0.77039653846153844</v>
      </c>
      <c r="R374" s="15" t="s">
        <v>838</v>
      </c>
      <c r="S374" s="15" t="s">
        <v>840</v>
      </c>
      <c r="T374" s="15" t="s">
        <v>459</v>
      </c>
      <c r="U374" s="15" t="s">
        <v>458</v>
      </c>
      <c r="V374" s="394" t="s">
        <v>841</v>
      </c>
      <c r="W374" s="158" t="s">
        <v>451</v>
      </c>
      <c r="X374" s="166">
        <v>0.19600000000000001</v>
      </c>
      <c r="Y374" s="166" t="s">
        <v>454</v>
      </c>
      <c r="Z374" s="166">
        <v>1</v>
      </c>
      <c r="AA374" s="395" t="s">
        <v>842</v>
      </c>
      <c r="AB374" s="394">
        <v>0.32700000000000001</v>
      </c>
      <c r="AC374" s="166" t="s">
        <v>453</v>
      </c>
      <c r="AD374" s="166">
        <f>(1+3)</f>
        <v>4</v>
      </c>
      <c r="AE374" s="158" t="s">
        <v>260</v>
      </c>
      <c r="AF374" s="166">
        <v>1</v>
      </c>
      <c r="AG374" s="158" t="s">
        <v>304</v>
      </c>
      <c r="AH374" s="166">
        <v>60</v>
      </c>
      <c r="AI374" s="166" t="s">
        <v>457</v>
      </c>
      <c r="AJ374" s="166">
        <v>0.78</v>
      </c>
      <c r="AK374" s="166"/>
      <c r="AL374" s="166"/>
      <c r="AM374" s="166"/>
      <c r="AN374" s="166"/>
      <c r="AO374" s="166"/>
      <c r="AP374" s="166"/>
      <c r="AQ374" s="166"/>
      <c r="AR374" s="166"/>
      <c r="AS374" s="166"/>
      <c r="AT374" s="166"/>
      <c r="AU374" s="343"/>
      <c r="AV374" s="348"/>
      <c r="AW374" s="343"/>
      <c r="AX374" s="343"/>
      <c r="AY374" s="344"/>
      <c r="AZ374" s="345"/>
      <c r="BA374" s="346"/>
      <c r="BB374" s="27"/>
    </row>
    <row r="375" spans="1:54">
      <c r="A375" s="2" t="str">
        <f t="shared" si="51"/>
        <v>Low Income - SF Retrofit_Pipe Insulation (Boiler)</v>
      </c>
      <c r="B375" s="18">
        <v>372</v>
      </c>
      <c r="C375" s="23" t="s">
        <v>714</v>
      </c>
      <c r="D375" s="18" t="s">
        <v>701</v>
      </c>
      <c r="E375" s="23" t="s">
        <v>210</v>
      </c>
      <c r="F375" s="23">
        <v>3</v>
      </c>
      <c r="G375" s="154">
        <v>1</v>
      </c>
      <c r="H375" s="447">
        <v>15</v>
      </c>
      <c r="I375" s="436">
        <v>15</v>
      </c>
      <c r="J375" s="23">
        <v>30</v>
      </c>
      <c r="K375" s="23">
        <v>30</v>
      </c>
      <c r="L375" s="23">
        <v>30</v>
      </c>
      <c r="M375" s="23">
        <v>30</v>
      </c>
      <c r="N375" s="216">
        <f>((1/X375*AD375-1/Z375*AF375)*AB375*AH375*AJ375/AL375/100000)</f>
        <v>0.41554055468341189</v>
      </c>
      <c r="O375" s="215">
        <f t="shared" si="55"/>
        <v>0.41554055468341189</v>
      </c>
      <c r="P375" s="215">
        <f t="shared" si="55"/>
        <v>0.41554055468341189</v>
      </c>
      <c r="Q375" s="215">
        <f t="shared" si="55"/>
        <v>0.41554055468341189</v>
      </c>
      <c r="R375" s="15" t="s">
        <v>838</v>
      </c>
      <c r="S375" s="15" t="s">
        <v>840</v>
      </c>
      <c r="T375" s="15" t="s">
        <v>456</v>
      </c>
      <c r="U375" s="15" t="s">
        <v>455</v>
      </c>
      <c r="V375" s="166" t="s">
        <v>448</v>
      </c>
      <c r="W375" s="166" t="s">
        <v>454</v>
      </c>
      <c r="X375" s="166">
        <v>0.5</v>
      </c>
      <c r="Y375" s="166" t="s">
        <v>453</v>
      </c>
      <c r="Z375" s="166">
        <f>3+0.5</f>
        <v>3.5</v>
      </c>
      <c r="AA375" s="158" t="s">
        <v>452</v>
      </c>
      <c r="AB375" s="166">
        <v>1840</v>
      </c>
      <c r="AC375" s="158" t="s">
        <v>451</v>
      </c>
      <c r="AD375" s="166">
        <f>(0.131+0.196)/2</f>
        <v>0.16350000000000001</v>
      </c>
      <c r="AE375" s="158" t="s">
        <v>450</v>
      </c>
      <c r="AF375" s="396">
        <f>(((0.5+1)+(0.75+1))/2)*3.14/12</f>
        <v>0.42520833333333335</v>
      </c>
      <c r="AG375" s="166" t="s">
        <v>260</v>
      </c>
      <c r="AH375" s="166">
        <v>1</v>
      </c>
      <c r="AI375" s="166" t="s">
        <v>304</v>
      </c>
      <c r="AJ375" s="166">
        <f>(110+70)/2</f>
        <v>90</v>
      </c>
      <c r="AK375" s="166" t="s">
        <v>449</v>
      </c>
      <c r="AL375" s="166">
        <v>0.81899999999999995</v>
      </c>
      <c r="AM375" s="166"/>
      <c r="AN375" s="166"/>
      <c r="AO375" s="166"/>
      <c r="AP375" s="166"/>
      <c r="AQ375" s="166"/>
      <c r="AR375" s="166"/>
      <c r="AS375" s="166"/>
      <c r="AT375" s="166"/>
      <c r="AU375" s="343"/>
      <c r="AV375" s="348"/>
      <c r="AW375" s="343"/>
      <c r="AX375" s="343"/>
      <c r="AY375" s="344"/>
      <c r="AZ375" s="345"/>
      <c r="BA375" s="346"/>
      <c r="BB375" s="27"/>
    </row>
    <row r="376" spans="1:54">
      <c r="A376" s="2" t="str">
        <f t="shared" si="51"/>
        <v>Low Income - SF Retrofit_Programmable Thermostat - Furnace</v>
      </c>
      <c r="B376" s="18">
        <v>373</v>
      </c>
      <c r="C376" s="23" t="s">
        <v>714</v>
      </c>
      <c r="D376" s="18" t="s">
        <v>702</v>
      </c>
      <c r="E376" s="23" t="s">
        <v>150</v>
      </c>
      <c r="F376" s="23">
        <v>1</v>
      </c>
      <c r="G376" s="154">
        <v>1</v>
      </c>
      <c r="H376" s="447">
        <v>5</v>
      </c>
      <c r="I376" s="443">
        <v>8</v>
      </c>
      <c r="J376" s="23">
        <v>11</v>
      </c>
      <c r="K376" s="23">
        <v>11</v>
      </c>
      <c r="L376" s="23">
        <v>11</v>
      </c>
      <c r="M376" s="23">
        <v>11</v>
      </c>
      <c r="N376" s="354">
        <f t="shared" ref="N376:N381" si="56">X376*Z376*AB376*AD376</f>
        <v>62.31</v>
      </c>
      <c r="O376" s="215">
        <f t="shared" si="55"/>
        <v>62.31</v>
      </c>
      <c r="P376" s="215">
        <f t="shared" si="55"/>
        <v>62.31</v>
      </c>
      <c r="Q376" s="215">
        <f t="shared" si="55"/>
        <v>62.31</v>
      </c>
      <c r="R376" s="15" t="s">
        <v>838</v>
      </c>
      <c r="S376" s="15" t="s">
        <v>840</v>
      </c>
      <c r="T376" s="15" t="s">
        <v>447</v>
      </c>
      <c r="U376" s="15" t="s">
        <v>446</v>
      </c>
      <c r="V376" s="390" t="s">
        <v>441</v>
      </c>
      <c r="W376" s="159" t="s">
        <v>445</v>
      </c>
      <c r="X376" s="160">
        <v>1005</v>
      </c>
      <c r="Y376" s="161" t="s">
        <v>444</v>
      </c>
      <c r="Z376" s="162">
        <v>6.2E-2</v>
      </c>
      <c r="AA376" s="157" t="s">
        <v>392</v>
      </c>
      <c r="AB376" s="163">
        <v>1</v>
      </c>
      <c r="AC376" s="157" t="s">
        <v>443</v>
      </c>
      <c r="AD376" s="163">
        <v>1</v>
      </c>
      <c r="AE376" s="157" t="s">
        <v>442</v>
      </c>
      <c r="AF376" s="164">
        <v>3.1399999999999997E-2</v>
      </c>
      <c r="AG376" s="166"/>
      <c r="AH376" s="166"/>
      <c r="AI376" s="166"/>
      <c r="AJ376" s="166"/>
      <c r="AK376" s="166"/>
      <c r="AL376" s="166"/>
      <c r="AM376" s="166"/>
      <c r="AN376" s="166"/>
      <c r="AO376" s="166"/>
      <c r="AP376" s="166"/>
      <c r="AQ376" s="166"/>
      <c r="AR376" s="166"/>
      <c r="AS376" s="166"/>
      <c r="AT376" s="166"/>
      <c r="AU376" s="343"/>
      <c r="AV376" s="348"/>
      <c r="AW376" s="343"/>
      <c r="AX376" s="343"/>
      <c r="AY376" s="344"/>
      <c r="AZ376" s="345"/>
      <c r="BA376" s="346"/>
      <c r="BB376" s="27"/>
    </row>
    <row r="377" spans="1:54">
      <c r="A377" s="2" t="str">
        <f t="shared" si="51"/>
        <v>Low Income - SF Retrofit_Programmable Thermostat - Boiler</v>
      </c>
      <c r="B377" s="18">
        <v>374</v>
      </c>
      <c r="C377" s="23" t="s">
        <v>714</v>
      </c>
      <c r="D377" s="18" t="s">
        <v>1053</v>
      </c>
      <c r="E377" s="23" t="s">
        <v>150</v>
      </c>
      <c r="F377" s="23">
        <v>1</v>
      </c>
      <c r="G377" s="154">
        <v>1</v>
      </c>
      <c r="H377" s="447">
        <v>5</v>
      </c>
      <c r="I377" s="443">
        <v>8</v>
      </c>
      <c r="J377" s="23">
        <v>1</v>
      </c>
      <c r="K377" s="23">
        <v>1</v>
      </c>
      <c r="L377" s="23">
        <v>1</v>
      </c>
      <c r="M377" s="23">
        <v>1</v>
      </c>
      <c r="N377" s="354">
        <f t="shared" si="56"/>
        <v>75.516000000000005</v>
      </c>
      <c r="O377" s="215">
        <f t="shared" si="55"/>
        <v>75.516000000000005</v>
      </c>
      <c r="P377" s="215">
        <f t="shared" si="55"/>
        <v>75.516000000000005</v>
      </c>
      <c r="Q377" s="215">
        <f t="shared" si="55"/>
        <v>75.516000000000005</v>
      </c>
      <c r="R377" s="15" t="s">
        <v>838</v>
      </c>
      <c r="S377" s="15" t="s">
        <v>840</v>
      </c>
      <c r="T377" s="15" t="s">
        <v>447</v>
      </c>
      <c r="U377" s="15" t="s">
        <v>446</v>
      </c>
      <c r="V377" s="390" t="s">
        <v>441</v>
      </c>
      <c r="W377" s="159" t="s">
        <v>445</v>
      </c>
      <c r="X377" s="160">
        <v>1218</v>
      </c>
      <c r="Y377" s="161" t="s">
        <v>444</v>
      </c>
      <c r="Z377" s="162">
        <v>6.2E-2</v>
      </c>
      <c r="AA377" s="157" t="s">
        <v>392</v>
      </c>
      <c r="AB377" s="163">
        <v>1</v>
      </c>
      <c r="AC377" s="157" t="s">
        <v>443</v>
      </c>
      <c r="AD377" s="163">
        <v>1</v>
      </c>
      <c r="AE377" s="157" t="s">
        <v>442</v>
      </c>
      <c r="AF377" s="164">
        <v>3.1399999999999997E-2</v>
      </c>
      <c r="AG377" s="166"/>
      <c r="AH377" s="166"/>
      <c r="AI377" s="166"/>
      <c r="AJ377" s="166"/>
      <c r="AK377" s="166"/>
      <c r="AL377" s="166"/>
      <c r="AM377" s="166"/>
      <c r="AN377" s="166"/>
      <c r="AO377" s="166"/>
      <c r="AP377" s="166"/>
      <c r="AQ377" s="166"/>
      <c r="AR377" s="166"/>
      <c r="AS377" s="166"/>
      <c r="AT377" s="166"/>
      <c r="AU377" s="343"/>
      <c r="AV377" s="348"/>
      <c r="AW377" s="343"/>
      <c r="AX377" s="343"/>
      <c r="AY377" s="344"/>
      <c r="AZ377" s="345"/>
      <c r="BA377" s="346"/>
      <c r="BB377" s="27"/>
    </row>
    <row r="378" spans="1:54">
      <c r="A378" s="2" t="str">
        <f t="shared" si="51"/>
        <v>Low Income - SF Retrofit_Advanced Thermostat - Furnace (Replace Manual)</v>
      </c>
      <c r="B378" s="18">
        <v>375</v>
      </c>
      <c r="C378" s="23" t="s">
        <v>714</v>
      </c>
      <c r="D378" s="18" t="s">
        <v>699</v>
      </c>
      <c r="E378" s="23" t="s">
        <v>150</v>
      </c>
      <c r="F378" s="23">
        <v>1</v>
      </c>
      <c r="G378" s="154">
        <v>1</v>
      </c>
      <c r="H378" s="447">
        <v>10</v>
      </c>
      <c r="I378" s="443">
        <v>11</v>
      </c>
      <c r="J378" s="23">
        <v>2</v>
      </c>
      <c r="K378" s="23">
        <v>2</v>
      </c>
      <c r="L378" s="23">
        <v>2</v>
      </c>
      <c r="M378" s="23">
        <v>2</v>
      </c>
      <c r="N378" s="217">
        <f t="shared" si="56"/>
        <v>88.44</v>
      </c>
      <c r="O378" s="215">
        <f t="shared" si="55"/>
        <v>88.44</v>
      </c>
      <c r="P378" s="215">
        <f t="shared" si="55"/>
        <v>88.44</v>
      </c>
      <c r="Q378" s="215">
        <f t="shared" si="55"/>
        <v>88.44</v>
      </c>
      <c r="R378" s="15" t="s">
        <v>838</v>
      </c>
      <c r="S378" s="15" t="s">
        <v>840</v>
      </c>
      <c r="T378" s="15" t="s">
        <v>49</v>
      </c>
      <c r="U378" s="15" t="s">
        <v>60</v>
      </c>
      <c r="V378" s="390" t="s">
        <v>441</v>
      </c>
      <c r="W378" s="159" t="s">
        <v>445</v>
      </c>
      <c r="X378" s="160">
        <v>1005</v>
      </c>
      <c r="Y378" s="161" t="s">
        <v>444</v>
      </c>
      <c r="Z378" s="162">
        <v>8.7999999999999995E-2</v>
      </c>
      <c r="AA378" s="157" t="s">
        <v>392</v>
      </c>
      <c r="AB378" s="163">
        <v>1</v>
      </c>
      <c r="AC378" s="157" t="s">
        <v>443</v>
      </c>
      <c r="AD378" s="163">
        <v>1</v>
      </c>
      <c r="AE378" s="157" t="s">
        <v>442</v>
      </c>
      <c r="AF378" s="164">
        <v>3.1399999999999997E-2</v>
      </c>
      <c r="AG378" s="166"/>
      <c r="AH378" s="166"/>
      <c r="AI378" s="166"/>
      <c r="AJ378" s="166"/>
      <c r="AK378" s="166"/>
      <c r="AL378" s="166"/>
      <c r="AM378" s="166"/>
      <c r="AN378" s="166"/>
      <c r="AO378" s="166"/>
      <c r="AP378" s="166"/>
      <c r="AQ378" s="166"/>
      <c r="AR378" s="166"/>
      <c r="AS378" s="166"/>
      <c r="AT378" s="166"/>
      <c r="AU378" s="343"/>
      <c r="AV378" s="348"/>
      <c r="AW378" s="343"/>
      <c r="AX378" s="343"/>
      <c r="AY378" s="344"/>
      <c r="AZ378" s="345"/>
      <c r="BA378" s="346"/>
      <c r="BB378" s="27"/>
    </row>
    <row r="379" spans="1:54">
      <c r="A379" s="2" t="str">
        <f t="shared" si="51"/>
        <v>Low Income - SF Retrofit_Advanced Thermostat - Boiler (Replace Manual)</v>
      </c>
      <c r="B379" s="18">
        <v>376</v>
      </c>
      <c r="C379" s="23" t="s">
        <v>714</v>
      </c>
      <c r="D379" s="18" t="s">
        <v>1054</v>
      </c>
      <c r="E379" s="23" t="s">
        <v>150</v>
      </c>
      <c r="F379" s="23">
        <v>1</v>
      </c>
      <c r="G379" s="154">
        <v>1</v>
      </c>
      <c r="H379" s="447">
        <v>10</v>
      </c>
      <c r="I379" s="443">
        <v>11</v>
      </c>
      <c r="J379" s="23">
        <v>0</v>
      </c>
      <c r="K379" s="23">
        <v>0</v>
      </c>
      <c r="L379" s="23">
        <v>0</v>
      </c>
      <c r="M379" s="23">
        <v>0</v>
      </c>
      <c r="N379" s="217">
        <f t="shared" si="56"/>
        <v>107.184</v>
      </c>
      <c r="O379" s="215">
        <f t="shared" si="55"/>
        <v>107.184</v>
      </c>
      <c r="P379" s="215">
        <f t="shared" si="55"/>
        <v>107.184</v>
      </c>
      <c r="Q379" s="215">
        <f t="shared" si="55"/>
        <v>107.184</v>
      </c>
      <c r="R379" s="15" t="s">
        <v>838</v>
      </c>
      <c r="S379" s="15" t="s">
        <v>840</v>
      </c>
      <c r="T379" s="15" t="s">
        <v>49</v>
      </c>
      <c r="U379" s="15" t="s">
        <v>60</v>
      </c>
      <c r="V379" s="390" t="s">
        <v>441</v>
      </c>
      <c r="W379" s="159" t="s">
        <v>445</v>
      </c>
      <c r="X379" s="160">
        <v>1218</v>
      </c>
      <c r="Y379" s="161" t="s">
        <v>444</v>
      </c>
      <c r="Z379" s="162">
        <v>8.7999999999999995E-2</v>
      </c>
      <c r="AA379" s="157" t="s">
        <v>392</v>
      </c>
      <c r="AB379" s="163">
        <v>1</v>
      </c>
      <c r="AC379" s="157" t="s">
        <v>443</v>
      </c>
      <c r="AD379" s="163">
        <v>1</v>
      </c>
      <c r="AE379" s="157" t="s">
        <v>442</v>
      </c>
      <c r="AF379" s="164">
        <v>3.1399999999999997E-2</v>
      </c>
      <c r="AG379" s="166"/>
      <c r="AH379" s="166"/>
      <c r="AI379" s="166"/>
      <c r="AJ379" s="166"/>
      <c r="AK379" s="166"/>
      <c r="AL379" s="166"/>
      <c r="AM379" s="166"/>
      <c r="AN379" s="166"/>
      <c r="AO379" s="166"/>
      <c r="AP379" s="166"/>
      <c r="AQ379" s="166"/>
      <c r="AR379" s="166"/>
      <c r="AS379" s="166"/>
      <c r="AT379" s="166"/>
      <c r="AU379" s="343"/>
      <c r="AV379" s="348"/>
      <c r="AW379" s="343"/>
      <c r="AX379" s="343"/>
      <c r="AY379" s="344"/>
      <c r="AZ379" s="345"/>
      <c r="BA379" s="346"/>
      <c r="BB379" s="27"/>
    </row>
    <row r="380" spans="1:54">
      <c r="A380" s="2" t="str">
        <f t="shared" si="51"/>
        <v>Low Income - SF Retrofit_Advanced Thermostat - Furnace (Replace Programmable)</v>
      </c>
      <c r="B380" s="18">
        <v>377</v>
      </c>
      <c r="C380" s="23" t="s">
        <v>714</v>
      </c>
      <c r="D380" s="18" t="s">
        <v>1055</v>
      </c>
      <c r="E380" s="23" t="s">
        <v>150</v>
      </c>
      <c r="F380" s="23">
        <v>1</v>
      </c>
      <c r="G380" s="154">
        <v>1</v>
      </c>
      <c r="H380" s="447">
        <v>10</v>
      </c>
      <c r="I380" s="443">
        <v>11</v>
      </c>
      <c r="J380" s="23">
        <v>2</v>
      </c>
      <c r="K380" s="23">
        <v>2</v>
      </c>
      <c r="L380" s="23">
        <v>2</v>
      </c>
      <c r="M380" s="23">
        <v>2</v>
      </c>
      <c r="N380" s="217">
        <f t="shared" si="56"/>
        <v>56.28</v>
      </c>
      <c r="O380" s="215">
        <f t="shared" si="55"/>
        <v>56.28</v>
      </c>
      <c r="P380" s="215">
        <f t="shared" si="55"/>
        <v>56.28</v>
      </c>
      <c r="Q380" s="215">
        <f t="shared" si="55"/>
        <v>56.28</v>
      </c>
      <c r="R380" s="15" t="s">
        <v>838</v>
      </c>
      <c r="S380" s="15" t="s">
        <v>840</v>
      </c>
      <c r="T380" s="15" t="s">
        <v>49</v>
      </c>
      <c r="U380" s="15" t="s">
        <v>60</v>
      </c>
      <c r="V380" s="390" t="s">
        <v>441</v>
      </c>
      <c r="W380" s="159" t="s">
        <v>445</v>
      </c>
      <c r="X380" s="160">
        <v>1005</v>
      </c>
      <c r="Y380" s="161" t="s">
        <v>444</v>
      </c>
      <c r="Z380" s="162">
        <v>5.6000000000000001E-2</v>
      </c>
      <c r="AA380" s="157" t="s">
        <v>392</v>
      </c>
      <c r="AB380" s="163">
        <v>1</v>
      </c>
      <c r="AC380" s="157" t="s">
        <v>443</v>
      </c>
      <c r="AD380" s="163">
        <v>1</v>
      </c>
      <c r="AE380" s="157" t="s">
        <v>442</v>
      </c>
      <c r="AF380" s="164">
        <v>3.1399999999999997E-2</v>
      </c>
      <c r="AG380" s="166"/>
      <c r="AH380" s="166"/>
      <c r="AI380" s="166"/>
      <c r="AJ380" s="166"/>
      <c r="AK380" s="166"/>
      <c r="AL380" s="166"/>
      <c r="AM380" s="166"/>
      <c r="AN380" s="166"/>
      <c r="AO380" s="166"/>
      <c r="AP380" s="166"/>
      <c r="AQ380" s="166"/>
      <c r="AR380" s="166"/>
      <c r="AS380" s="166"/>
      <c r="AT380" s="166"/>
      <c r="AU380" s="343"/>
      <c r="AV380" s="348"/>
      <c r="AW380" s="343"/>
      <c r="AX380" s="343"/>
      <c r="AY380" s="344"/>
      <c r="AZ380" s="345"/>
      <c r="BA380" s="346"/>
      <c r="BB380" s="27"/>
    </row>
    <row r="381" spans="1:54">
      <c r="A381" s="2" t="str">
        <f t="shared" si="51"/>
        <v>Low Income - SF Retrofit_Advanced Thermostat - Boiler (Replace Programmable)</v>
      </c>
      <c r="B381" s="18">
        <v>378</v>
      </c>
      <c r="C381" s="23" t="s">
        <v>714</v>
      </c>
      <c r="D381" s="18" t="s">
        <v>704</v>
      </c>
      <c r="E381" s="23" t="s">
        <v>150</v>
      </c>
      <c r="F381" s="23">
        <v>1</v>
      </c>
      <c r="G381" s="154">
        <v>1</v>
      </c>
      <c r="H381" s="447">
        <v>10</v>
      </c>
      <c r="I381" s="443">
        <v>11</v>
      </c>
      <c r="J381" s="23">
        <v>0</v>
      </c>
      <c r="K381" s="23">
        <v>0</v>
      </c>
      <c r="L381" s="23">
        <v>0</v>
      </c>
      <c r="M381" s="23">
        <v>0</v>
      </c>
      <c r="N381" s="217">
        <f t="shared" si="56"/>
        <v>68.207999999999998</v>
      </c>
      <c r="O381" s="215">
        <f t="shared" si="55"/>
        <v>68.207999999999998</v>
      </c>
      <c r="P381" s="215">
        <f t="shared" si="55"/>
        <v>68.207999999999998</v>
      </c>
      <c r="Q381" s="215">
        <f t="shared" si="55"/>
        <v>68.207999999999998</v>
      </c>
      <c r="R381" s="15" t="s">
        <v>838</v>
      </c>
      <c r="S381" s="15" t="s">
        <v>840</v>
      </c>
      <c r="T381" s="15" t="s">
        <v>49</v>
      </c>
      <c r="U381" s="15" t="s">
        <v>60</v>
      </c>
      <c r="V381" s="390" t="s">
        <v>441</v>
      </c>
      <c r="W381" s="159" t="s">
        <v>445</v>
      </c>
      <c r="X381" s="160">
        <v>1218</v>
      </c>
      <c r="Y381" s="161" t="s">
        <v>444</v>
      </c>
      <c r="Z381" s="162">
        <v>5.6000000000000001E-2</v>
      </c>
      <c r="AA381" s="157" t="s">
        <v>392</v>
      </c>
      <c r="AB381" s="163">
        <v>1</v>
      </c>
      <c r="AC381" s="157" t="s">
        <v>443</v>
      </c>
      <c r="AD381" s="163">
        <v>1</v>
      </c>
      <c r="AE381" s="157" t="s">
        <v>442</v>
      </c>
      <c r="AF381" s="164">
        <v>3.1399999999999997E-2</v>
      </c>
      <c r="AG381" s="166"/>
      <c r="AH381" s="166"/>
      <c r="AI381" s="166"/>
      <c r="AJ381" s="166"/>
      <c r="AK381" s="166"/>
      <c r="AL381" s="166"/>
      <c r="AM381" s="166"/>
      <c r="AN381" s="166"/>
      <c r="AO381" s="166"/>
      <c r="AP381" s="166"/>
      <c r="AQ381" s="166"/>
      <c r="AR381" s="166"/>
      <c r="AS381" s="166"/>
      <c r="AT381" s="166"/>
      <c r="AU381" s="343"/>
      <c r="AV381" s="348"/>
      <c r="AW381" s="343"/>
      <c r="AX381" s="343"/>
      <c r="AY381" s="344"/>
      <c r="AZ381" s="345"/>
      <c r="BA381" s="346"/>
      <c r="BB381" s="27"/>
    </row>
    <row r="382" spans="1:54">
      <c r="A382" s="2" t="str">
        <f t="shared" si="51"/>
        <v>Low Income - SF Retrofit_Water Heater Setback</v>
      </c>
      <c r="B382" s="18">
        <v>379</v>
      </c>
      <c r="C382" s="23" t="s">
        <v>714</v>
      </c>
      <c r="D382" s="18" t="s">
        <v>377</v>
      </c>
      <c r="E382" s="23" t="s">
        <v>150</v>
      </c>
      <c r="F382" s="23">
        <v>1</v>
      </c>
      <c r="G382" s="154">
        <v>1</v>
      </c>
      <c r="H382" s="447">
        <v>2</v>
      </c>
      <c r="I382" s="436">
        <v>2</v>
      </c>
      <c r="J382" s="23">
        <v>11</v>
      </c>
      <c r="K382" s="23">
        <v>11</v>
      </c>
      <c r="L382" s="23">
        <v>11</v>
      </c>
      <c r="M382" s="23">
        <v>11</v>
      </c>
      <c r="N382" s="215">
        <f>(AB382*AD382*(X382-Z382)*AF382)/(100000*AH382)</f>
        <v>3.4965719653846157</v>
      </c>
      <c r="O382" s="215">
        <f t="shared" si="55"/>
        <v>3.4965719653846157</v>
      </c>
      <c r="P382" s="215">
        <f t="shared" si="55"/>
        <v>3.4965719653846157</v>
      </c>
      <c r="Q382" s="215">
        <f t="shared" si="55"/>
        <v>3.4965719653846157</v>
      </c>
      <c r="R382" s="15" t="s">
        <v>838</v>
      </c>
      <c r="S382" s="15" t="s">
        <v>840</v>
      </c>
      <c r="T382" s="18" t="s">
        <v>376</v>
      </c>
      <c r="U382" s="18" t="s">
        <v>375</v>
      </c>
      <c r="V382" s="390" t="s">
        <v>369</v>
      </c>
      <c r="W382" s="390" t="s">
        <v>374</v>
      </c>
      <c r="X382" s="390">
        <v>135</v>
      </c>
      <c r="Y382" s="390" t="s">
        <v>373</v>
      </c>
      <c r="Z382" s="390">
        <v>120</v>
      </c>
      <c r="AA382" s="390" t="s">
        <v>372</v>
      </c>
      <c r="AB382" s="390">
        <v>8.3000000000000004E-2</v>
      </c>
      <c r="AC382" s="390" t="s">
        <v>371</v>
      </c>
      <c r="AD382" s="390">
        <v>24.99</v>
      </c>
      <c r="AE382" s="390" t="s">
        <v>153</v>
      </c>
      <c r="AF382" s="390">
        <v>8766</v>
      </c>
      <c r="AG382" s="390" t="s">
        <v>370</v>
      </c>
      <c r="AH382" s="421">
        <v>0.78</v>
      </c>
      <c r="AI382" s="390"/>
      <c r="AJ382" s="390"/>
      <c r="AK382" s="390"/>
      <c r="AL382" s="390"/>
      <c r="AM382" s="390"/>
      <c r="AN382" s="390"/>
      <c r="AO382" s="390"/>
      <c r="AP382" s="390"/>
      <c r="AQ382" s="390"/>
      <c r="AR382" s="390"/>
      <c r="AS382" s="390"/>
      <c r="AT382" s="390"/>
      <c r="AU382" s="343"/>
      <c r="AV382" s="348"/>
      <c r="AW382" s="343"/>
      <c r="AX382" s="343"/>
      <c r="AY382" s="344"/>
      <c r="AZ382" s="345"/>
      <c r="BA382" s="346"/>
      <c r="BB382" s="27"/>
    </row>
    <row r="383" spans="1:54">
      <c r="A383" s="2" t="str">
        <f t="shared" si="51"/>
        <v>Low Income - SF Retrofit_Air Sealing</v>
      </c>
      <c r="B383" s="18">
        <v>380</v>
      </c>
      <c r="C383" s="23" t="s">
        <v>714</v>
      </c>
      <c r="D383" s="18" t="s">
        <v>678</v>
      </c>
      <c r="E383" s="23" t="s">
        <v>439</v>
      </c>
      <c r="F383" s="23">
        <v>2000</v>
      </c>
      <c r="G383" s="154">
        <v>1</v>
      </c>
      <c r="H383" s="447">
        <v>15</v>
      </c>
      <c r="I383" s="443">
        <v>20</v>
      </c>
      <c r="J383" s="23">
        <v>56</v>
      </c>
      <c r="K383" s="23">
        <v>56</v>
      </c>
      <c r="L383" s="23">
        <v>56</v>
      </c>
      <c r="M383" s="23">
        <v>56</v>
      </c>
      <c r="N383" s="471">
        <f>1/X383*60*24*Z383*0.018/(AB383*100000)*AD383*AF383</f>
        <v>6.0996592468619264E-2</v>
      </c>
      <c r="O383" s="29">
        <f t="shared" si="55"/>
        <v>6.0996592468619264E-2</v>
      </c>
      <c r="P383" s="29">
        <f t="shared" si="55"/>
        <v>6.0996592468619264E-2</v>
      </c>
      <c r="Q383" s="29">
        <f t="shared" si="55"/>
        <v>6.0996592468619264E-2</v>
      </c>
      <c r="R383" s="15" t="s">
        <v>838</v>
      </c>
      <c r="S383" s="15" t="s">
        <v>840</v>
      </c>
      <c r="T383" s="15" t="s">
        <v>438</v>
      </c>
      <c r="U383" s="15" t="s">
        <v>437</v>
      </c>
      <c r="V383" s="472" t="s">
        <v>1448</v>
      </c>
      <c r="W383" s="166" t="s">
        <v>436</v>
      </c>
      <c r="X383" s="166">
        <v>23.9</v>
      </c>
      <c r="Y383" s="166" t="s">
        <v>411</v>
      </c>
      <c r="Z383" s="166">
        <v>5113</v>
      </c>
      <c r="AA383" s="158" t="s">
        <v>440</v>
      </c>
      <c r="AB383" s="403">
        <v>0.72</v>
      </c>
      <c r="AC383" s="395" t="s">
        <v>846</v>
      </c>
      <c r="AD383" s="404">
        <v>0.72</v>
      </c>
      <c r="AE383" s="466" t="s">
        <v>1449</v>
      </c>
      <c r="AF383" s="473">
        <v>1.1000000000000001</v>
      </c>
      <c r="AG383" s="166"/>
      <c r="AH383" s="166"/>
      <c r="AI383" s="166"/>
      <c r="AJ383" s="166"/>
      <c r="AK383" s="166"/>
      <c r="AL383" s="166"/>
      <c r="AM383" s="166"/>
      <c r="AN383" s="166"/>
      <c r="AO383" s="166"/>
      <c r="AP383" s="166"/>
      <c r="AQ383" s="166"/>
      <c r="AR383" s="166"/>
      <c r="AS383" s="166"/>
      <c r="AT383" s="166"/>
      <c r="AU383" s="343"/>
      <c r="AV383" s="348"/>
      <c r="AW383" s="343"/>
      <c r="AX383" s="343"/>
      <c r="AY383" s="344"/>
      <c r="AZ383" s="345"/>
      <c r="BA383" s="346"/>
      <c r="BB383" s="27"/>
    </row>
    <row r="384" spans="1:54">
      <c r="A384" s="2" t="str">
        <f t="shared" si="51"/>
        <v>Low Income - SF Retrofit_Attic Insulation</v>
      </c>
      <c r="B384" s="18">
        <v>381</v>
      </c>
      <c r="C384" s="23" t="s">
        <v>714</v>
      </c>
      <c r="D384" s="18" t="s">
        <v>729</v>
      </c>
      <c r="E384" s="23" t="s">
        <v>418</v>
      </c>
      <c r="F384" s="23">
        <v>1100</v>
      </c>
      <c r="G384" s="154">
        <v>1</v>
      </c>
      <c r="H384" s="447">
        <v>25</v>
      </c>
      <c r="I384" s="443">
        <v>20</v>
      </c>
      <c r="J384" s="23">
        <v>56</v>
      </c>
      <c r="K384" s="23">
        <v>56</v>
      </c>
      <c r="L384" s="23">
        <v>56</v>
      </c>
      <c r="M384" s="23">
        <v>56</v>
      </c>
      <c r="N384" s="471">
        <f>((((1/X384-1/Z384)*1*(1-AB384))*24*AF384)/(AH384*100000)*AD384*AJ384*AL384)</f>
        <v>0.10228726933333333</v>
      </c>
      <c r="O384" s="29">
        <f t="shared" si="55"/>
        <v>0.10228726933333333</v>
      </c>
      <c r="P384" s="29">
        <f t="shared" si="55"/>
        <v>0.10228726933333333</v>
      </c>
      <c r="Q384" s="29">
        <f t="shared" si="55"/>
        <v>0.10228726933333333</v>
      </c>
      <c r="R384" s="15" t="s">
        <v>838</v>
      </c>
      <c r="S384" s="15" t="s">
        <v>840</v>
      </c>
      <c r="T384" s="15" t="s">
        <v>1047</v>
      </c>
      <c r="U384" s="15" t="s">
        <v>416</v>
      </c>
      <c r="V384" s="472" t="s">
        <v>1450</v>
      </c>
      <c r="W384" s="166" t="s">
        <v>415</v>
      </c>
      <c r="X384" s="166">
        <v>10</v>
      </c>
      <c r="Y384" s="394" t="s">
        <v>847</v>
      </c>
      <c r="Z384" s="166">
        <f>49+5</f>
        <v>54</v>
      </c>
      <c r="AA384" s="158" t="s">
        <v>434</v>
      </c>
      <c r="AB384" s="397">
        <v>7.0000000000000007E-2</v>
      </c>
      <c r="AC384" s="395" t="s">
        <v>848</v>
      </c>
      <c r="AD384" s="404">
        <v>0.72</v>
      </c>
      <c r="AE384" s="158" t="s">
        <v>411</v>
      </c>
      <c r="AF384" s="166">
        <v>5113</v>
      </c>
      <c r="AG384" s="166" t="s">
        <v>410</v>
      </c>
      <c r="AH384" s="397">
        <v>0.72</v>
      </c>
      <c r="AI384" s="472" t="s">
        <v>1449</v>
      </c>
      <c r="AJ384" s="473">
        <v>1.1000000000000001</v>
      </c>
      <c r="AK384" s="472" t="s">
        <v>1451</v>
      </c>
      <c r="AL384" s="473">
        <v>1</v>
      </c>
      <c r="AM384" s="166"/>
      <c r="AN384" s="166"/>
      <c r="AO384" s="166"/>
      <c r="AP384" s="166"/>
      <c r="AQ384" s="166"/>
      <c r="AR384" s="166"/>
      <c r="AS384" s="166"/>
      <c r="AT384" s="166"/>
      <c r="AU384" s="343"/>
      <c r="AV384" s="348"/>
      <c r="AW384" s="343"/>
      <c r="AX384" s="343"/>
      <c r="AY384" s="344"/>
      <c r="AZ384" s="345"/>
      <c r="BA384" s="346"/>
      <c r="BB384" s="27"/>
    </row>
    <row r="385" spans="1:54">
      <c r="A385" s="2" t="str">
        <f t="shared" si="51"/>
        <v>Low Income - SF Retrofit_Wall Insulation</v>
      </c>
      <c r="B385" s="18">
        <v>382</v>
      </c>
      <c r="C385" s="23" t="s">
        <v>714</v>
      </c>
      <c r="D385" s="18" t="s">
        <v>680</v>
      </c>
      <c r="E385" s="23" t="s">
        <v>418</v>
      </c>
      <c r="F385" s="23">
        <v>300</v>
      </c>
      <c r="G385" s="154">
        <v>1</v>
      </c>
      <c r="H385" s="447">
        <v>25</v>
      </c>
      <c r="I385" s="443">
        <v>20</v>
      </c>
      <c r="J385" s="23">
        <v>28</v>
      </c>
      <c r="K385" s="23">
        <v>28</v>
      </c>
      <c r="L385" s="23">
        <v>28</v>
      </c>
      <c r="M385" s="23">
        <v>28</v>
      </c>
      <c r="N385" s="389">
        <f>((((1/X385-1/Z385)*1*(1-AB385))*24*AF385)/(AH385*100000)*AD385)</f>
        <v>7.90190909090909E-2</v>
      </c>
      <c r="O385" s="215">
        <f t="shared" si="55"/>
        <v>7.90190909090909E-2</v>
      </c>
      <c r="P385" s="215">
        <f t="shared" si="55"/>
        <v>7.90190909090909E-2</v>
      </c>
      <c r="Q385" s="215">
        <f t="shared" si="55"/>
        <v>7.90190909090909E-2</v>
      </c>
      <c r="R385" s="15" t="s">
        <v>838</v>
      </c>
      <c r="S385" s="15" t="s">
        <v>840</v>
      </c>
      <c r="T385" s="15" t="s">
        <v>417</v>
      </c>
      <c r="U385" s="15" t="s">
        <v>416</v>
      </c>
      <c r="V385" s="394" t="s">
        <v>849</v>
      </c>
      <c r="W385" s="166" t="s">
        <v>415</v>
      </c>
      <c r="X385" s="166">
        <v>3.3</v>
      </c>
      <c r="Y385" s="394" t="s">
        <v>850</v>
      </c>
      <c r="Z385" s="166">
        <v>5</v>
      </c>
      <c r="AA385" s="158" t="s">
        <v>433</v>
      </c>
      <c r="AB385" s="397">
        <v>0.25</v>
      </c>
      <c r="AC385" s="395" t="s">
        <v>851</v>
      </c>
      <c r="AD385" s="397">
        <v>0.6</v>
      </c>
      <c r="AE385" s="158" t="s">
        <v>411</v>
      </c>
      <c r="AF385" s="166">
        <v>5113</v>
      </c>
      <c r="AG385" s="166" t="s">
        <v>410</v>
      </c>
      <c r="AH385" s="397">
        <v>0.72</v>
      </c>
      <c r="AI385" s="166"/>
      <c r="AJ385" s="166"/>
      <c r="AK385" s="166"/>
      <c r="AL385" s="166"/>
      <c r="AM385" s="166"/>
      <c r="AN385" s="166"/>
      <c r="AO385" s="166"/>
      <c r="AP385" s="166"/>
      <c r="AQ385" s="166"/>
      <c r="AR385" s="166"/>
      <c r="AS385" s="166"/>
      <c r="AT385" s="166"/>
      <c r="AU385" s="343"/>
      <c r="AV385" s="348"/>
      <c r="AW385" s="343"/>
      <c r="AX385" s="343"/>
      <c r="AY385" s="344"/>
      <c r="AZ385" s="345"/>
      <c r="BA385" s="346"/>
      <c r="BB385" s="27"/>
    </row>
    <row r="386" spans="1:54">
      <c r="A386" s="2" t="str">
        <f t="shared" si="51"/>
        <v>Low Income - SF Retrofit_Foundation Insulation</v>
      </c>
      <c r="B386" s="18">
        <v>383</v>
      </c>
      <c r="C386" s="23" t="s">
        <v>714</v>
      </c>
      <c r="D386" s="18" t="s">
        <v>432</v>
      </c>
      <c r="E386" s="23" t="s">
        <v>418</v>
      </c>
      <c r="F386" s="23">
        <v>50</v>
      </c>
      <c r="G386" s="154">
        <v>1</v>
      </c>
      <c r="H386" s="447">
        <v>25</v>
      </c>
      <c r="I386" s="436">
        <v>25</v>
      </c>
      <c r="J386" s="23">
        <v>11</v>
      </c>
      <c r="K386" s="23">
        <v>11</v>
      </c>
      <c r="L386" s="23">
        <v>11</v>
      </c>
      <c r="M386" s="23">
        <v>11</v>
      </c>
      <c r="N386" s="216">
        <f>(1/X386-1/Z386)*(1-AB386)*24*AF386/(AH386*100067)*AD386</f>
        <v>8.2417994229580488E-2</v>
      </c>
      <c r="O386" s="215">
        <f t="shared" si="55"/>
        <v>8.2417994229580488E-2</v>
      </c>
      <c r="P386" s="215">
        <f t="shared" si="55"/>
        <v>8.2417994229580488E-2</v>
      </c>
      <c r="Q386" s="215">
        <f t="shared" si="55"/>
        <v>8.2417994229580488E-2</v>
      </c>
      <c r="R386" s="15" t="s">
        <v>838</v>
      </c>
      <c r="S386" s="15" t="s">
        <v>840</v>
      </c>
      <c r="T386" s="15" t="s">
        <v>431</v>
      </c>
      <c r="U386" s="15" t="s">
        <v>430</v>
      </c>
      <c r="V386" s="166" t="s">
        <v>409</v>
      </c>
      <c r="W386" s="166" t="s">
        <v>415</v>
      </c>
      <c r="X386" s="166">
        <v>4</v>
      </c>
      <c r="Y386" s="166" t="s">
        <v>414</v>
      </c>
      <c r="Z386" s="166">
        <f>13+1</f>
        <v>14</v>
      </c>
      <c r="AA386" s="158" t="s">
        <v>413</v>
      </c>
      <c r="AB386" s="397">
        <v>0.25</v>
      </c>
      <c r="AC386" s="158" t="s">
        <v>412</v>
      </c>
      <c r="AD386" s="397">
        <v>0.6</v>
      </c>
      <c r="AE386" s="158" t="s">
        <v>411</v>
      </c>
      <c r="AF386" s="166">
        <v>3079</v>
      </c>
      <c r="AG386" s="166" t="s">
        <v>410</v>
      </c>
      <c r="AH386" s="397">
        <v>0.72</v>
      </c>
      <c r="AI386" s="166"/>
      <c r="AJ386" s="166"/>
      <c r="AK386" s="166"/>
      <c r="AL386" s="166"/>
      <c r="AM386" s="166"/>
      <c r="AN386" s="166"/>
      <c r="AO386" s="166"/>
      <c r="AP386" s="166"/>
      <c r="AQ386" s="166"/>
      <c r="AR386" s="166"/>
      <c r="AS386" s="166"/>
      <c r="AT386" s="166"/>
      <c r="AU386" s="343"/>
      <c r="AV386" s="348"/>
      <c r="AW386" s="343"/>
      <c r="AX386" s="343"/>
      <c r="AY386" s="344"/>
      <c r="AZ386" s="345"/>
      <c r="BA386" s="346"/>
      <c r="BB386" s="27"/>
    </row>
    <row r="387" spans="1:54">
      <c r="A387" s="2" t="str">
        <f t="shared" si="51"/>
        <v>Low Income - SF Retrofit_Rim Joist Insulation</v>
      </c>
      <c r="B387" s="18">
        <v>384</v>
      </c>
      <c r="C387" s="23" t="s">
        <v>714</v>
      </c>
      <c r="D387" s="18" t="s">
        <v>419</v>
      </c>
      <c r="E387" s="23" t="s">
        <v>418</v>
      </c>
      <c r="F387" s="23">
        <v>50</v>
      </c>
      <c r="G387" s="154">
        <v>1</v>
      </c>
      <c r="H387" s="447">
        <v>25</v>
      </c>
      <c r="I387" s="436">
        <v>25</v>
      </c>
      <c r="J387" s="23">
        <v>11</v>
      </c>
      <c r="K387" s="23">
        <v>11</v>
      </c>
      <c r="L387" s="23">
        <v>11</v>
      </c>
      <c r="M387" s="23">
        <v>11</v>
      </c>
      <c r="N387" s="389">
        <f xml:space="preserve">  (1/X387 - 1/Z387) * 1 * (1-AB387) * AF387 * 24 * AD387 / (AH387 * 100000)</f>
        <v>0.6476466666666667</v>
      </c>
      <c r="O387" s="215">
        <f t="shared" si="55"/>
        <v>0.6476466666666667</v>
      </c>
      <c r="P387" s="215">
        <f t="shared" si="55"/>
        <v>0.6476466666666667</v>
      </c>
      <c r="Q387" s="215">
        <f t="shared" si="55"/>
        <v>0.6476466666666667</v>
      </c>
      <c r="R387" s="15" t="s">
        <v>838</v>
      </c>
      <c r="S387" s="15" t="s">
        <v>840</v>
      </c>
      <c r="T387" s="15" t="s">
        <v>417</v>
      </c>
      <c r="U387" s="15" t="s">
        <v>416</v>
      </c>
      <c r="V387" s="394" t="s">
        <v>854</v>
      </c>
      <c r="W387" s="166" t="s">
        <v>415</v>
      </c>
      <c r="X387" s="166">
        <v>1</v>
      </c>
      <c r="Y387" s="394" t="s">
        <v>855</v>
      </c>
      <c r="Z387" s="166">
        <v>3</v>
      </c>
      <c r="AA387" s="395" t="s">
        <v>856</v>
      </c>
      <c r="AB387" s="404">
        <v>0.05</v>
      </c>
      <c r="AC387" s="395" t="s">
        <v>857</v>
      </c>
      <c r="AD387" s="397">
        <v>0.6</v>
      </c>
      <c r="AE387" s="158" t="s">
        <v>411</v>
      </c>
      <c r="AF387" s="166">
        <v>5113</v>
      </c>
      <c r="AG387" s="166" t="s">
        <v>410</v>
      </c>
      <c r="AH387" s="397">
        <v>0.72</v>
      </c>
      <c r="AI387" s="166"/>
      <c r="AJ387" s="166"/>
      <c r="AK387" s="166"/>
      <c r="AL387" s="166"/>
      <c r="AM387" s="166"/>
      <c r="AN387" s="166"/>
      <c r="AO387" s="166"/>
      <c r="AP387" s="166"/>
      <c r="AQ387" s="166"/>
      <c r="AR387" s="166"/>
      <c r="AS387" s="166"/>
      <c r="AT387" s="166"/>
      <c r="AU387" s="343"/>
      <c r="AV387" s="348"/>
      <c r="AW387" s="343"/>
      <c r="AX387" s="343"/>
      <c r="AY387" s="344"/>
      <c r="AZ387" s="345"/>
      <c r="BA387" s="346"/>
      <c r="BB387" s="27"/>
    </row>
    <row r="388" spans="1:54">
      <c r="A388" s="2" t="str">
        <f t="shared" si="51"/>
        <v>Low Income - SF Retrofit_Water Heater - Storage 0.67 EF</v>
      </c>
      <c r="B388" s="18">
        <v>385</v>
      </c>
      <c r="C388" s="23" t="s">
        <v>714</v>
      </c>
      <c r="D388" s="18" t="s">
        <v>387</v>
      </c>
      <c r="E388" s="23" t="s">
        <v>150</v>
      </c>
      <c r="F388" s="23">
        <v>1</v>
      </c>
      <c r="G388" s="154">
        <v>1</v>
      </c>
      <c r="H388" s="447">
        <v>13</v>
      </c>
      <c r="I388" s="436">
        <v>13</v>
      </c>
      <c r="J388" s="23">
        <v>3</v>
      </c>
      <c r="K388" s="23">
        <v>3</v>
      </c>
      <c r="L388" s="23">
        <v>3</v>
      </c>
      <c r="M388" s="23">
        <v>3</v>
      </c>
      <c r="N388" s="433">
        <f>(((1/X388)-(1/Z388))*(AB388*AD388*365.25*AF388*(AH388-AJ388)*1))/100000</f>
        <v>15.645447674402874</v>
      </c>
      <c r="O388" s="215">
        <f t="shared" si="55"/>
        <v>15.645447674402874</v>
      </c>
      <c r="P388" s="215">
        <f t="shared" si="55"/>
        <v>15.645447674402874</v>
      </c>
      <c r="Q388" s="215">
        <f t="shared" si="55"/>
        <v>15.645447674402874</v>
      </c>
      <c r="R388" s="15" t="s">
        <v>838</v>
      </c>
      <c r="S388" s="15" t="s">
        <v>840</v>
      </c>
      <c r="T388" s="15" t="s">
        <v>386</v>
      </c>
      <c r="U388" s="15" t="s">
        <v>385</v>
      </c>
      <c r="V388" s="395" t="s">
        <v>858</v>
      </c>
      <c r="W388" s="394" t="s">
        <v>859</v>
      </c>
      <c r="X388" s="422">
        <f xml:space="preserve"> 0.6483 - ( 0.0017 * AL388 )</f>
        <v>0.58030000000000004</v>
      </c>
      <c r="Y388" s="394" t="s">
        <v>860</v>
      </c>
      <c r="Z388" s="394">
        <v>0.64</v>
      </c>
      <c r="AA388" s="158" t="s">
        <v>256</v>
      </c>
      <c r="AB388" s="166">
        <v>17.600000000000001</v>
      </c>
      <c r="AC388" s="158" t="s">
        <v>384</v>
      </c>
      <c r="AD388" s="166">
        <v>2.56</v>
      </c>
      <c r="AE388" s="166" t="s">
        <v>383</v>
      </c>
      <c r="AF388" s="166">
        <v>8.33</v>
      </c>
      <c r="AG388" s="166" t="s">
        <v>257</v>
      </c>
      <c r="AH388" s="166">
        <v>125</v>
      </c>
      <c r="AI388" s="166" t="s">
        <v>250</v>
      </c>
      <c r="AJ388" s="166">
        <v>54</v>
      </c>
      <c r="AK388" s="166" t="s">
        <v>382</v>
      </c>
      <c r="AL388" s="166">
        <v>40</v>
      </c>
      <c r="AM388" s="166"/>
      <c r="AN388" s="166"/>
      <c r="AO388" s="166"/>
      <c r="AP388" s="166"/>
      <c r="AQ388" s="166"/>
      <c r="AR388" s="166"/>
      <c r="AS388" s="166"/>
      <c r="AT388" s="166"/>
      <c r="AU388" s="343"/>
      <c r="AV388" s="348"/>
      <c r="AW388" s="343"/>
      <c r="AX388" s="343"/>
      <c r="AY388" s="344"/>
      <c r="AZ388" s="345"/>
      <c r="BA388" s="346"/>
      <c r="BB388" s="27"/>
    </row>
    <row r="389" spans="1:54">
      <c r="A389" s="2" t="str">
        <f t="shared" ref="A389:A421" si="57">C389&amp;"_"&amp;D389</f>
        <v>Low Income - SF Retrofit_Boiler ≥90% AFUE, &lt;300MBh</v>
      </c>
      <c r="B389" s="18">
        <v>386</v>
      </c>
      <c r="C389" s="23" t="s">
        <v>714</v>
      </c>
      <c r="D389" s="18" t="s">
        <v>730</v>
      </c>
      <c r="E389" s="23" t="s">
        <v>150</v>
      </c>
      <c r="F389" s="23">
        <v>1</v>
      </c>
      <c r="G389" s="154">
        <v>1</v>
      </c>
      <c r="H389" s="447">
        <v>25</v>
      </c>
      <c r="I389" s="436">
        <v>25</v>
      </c>
      <c r="J389" s="23">
        <v>3</v>
      </c>
      <c r="K389" s="23">
        <v>3</v>
      </c>
      <c r="L389" s="23">
        <v>3</v>
      </c>
      <c r="M389" s="23">
        <v>3</v>
      </c>
      <c r="N389" s="433">
        <f xml:space="preserve"> (X389 * Z389 * (AB389 / AD389 -1)) / 100000</f>
        <v>95.219512195122036</v>
      </c>
      <c r="O389" s="215">
        <f t="shared" si="55"/>
        <v>95.219512195122036</v>
      </c>
      <c r="P389" s="215">
        <f t="shared" si="55"/>
        <v>95.219512195122036</v>
      </c>
      <c r="Q389" s="215">
        <f t="shared" si="55"/>
        <v>95.219512195122036</v>
      </c>
      <c r="R389" s="15" t="s">
        <v>838</v>
      </c>
      <c r="S389" s="15" t="s">
        <v>840</v>
      </c>
      <c r="T389" s="15" t="s">
        <v>405</v>
      </c>
      <c r="U389" s="15" t="s">
        <v>404</v>
      </c>
      <c r="V389" s="394" t="s">
        <v>843</v>
      </c>
      <c r="W389" s="394" t="s">
        <v>303</v>
      </c>
      <c r="X389" s="400">
        <v>976</v>
      </c>
      <c r="Y389" s="394" t="s">
        <v>844</v>
      </c>
      <c r="Z389" s="401">
        <v>100000</v>
      </c>
      <c r="AA389" s="158" t="s">
        <v>299</v>
      </c>
      <c r="AB389" s="397">
        <v>0.9</v>
      </c>
      <c r="AC389" s="158" t="s">
        <v>390</v>
      </c>
      <c r="AD389" s="399">
        <v>0.82</v>
      </c>
      <c r="AE389" s="158"/>
      <c r="AF389" s="399"/>
      <c r="AG389" s="166"/>
      <c r="AH389" s="166"/>
      <c r="AI389" s="166"/>
      <c r="AJ389" s="166"/>
      <c r="AK389" s="166"/>
      <c r="AL389" s="166"/>
      <c r="AM389" s="166"/>
      <c r="AN389" s="166"/>
      <c r="AO389" s="166"/>
      <c r="AP389" s="166"/>
      <c r="AQ389" s="166"/>
      <c r="AR389" s="166"/>
      <c r="AS389" s="166"/>
      <c r="AT389" s="166"/>
      <c r="AU389" s="343"/>
      <c r="AV389" s="348"/>
      <c r="AW389" s="343"/>
      <c r="AX389" s="343"/>
      <c r="AY389" s="344"/>
      <c r="AZ389" s="345"/>
      <c r="BA389" s="346"/>
      <c r="BB389" s="27"/>
    </row>
    <row r="390" spans="1:54">
      <c r="A390" s="2" t="str">
        <f t="shared" si="57"/>
        <v>Low Income - SF Retrofit_Furnace &gt;95% AFUE</v>
      </c>
      <c r="B390" s="18">
        <v>387</v>
      </c>
      <c r="C390" s="23" t="s">
        <v>714</v>
      </c>
      <c r="D390" s="18" t="s">
        <v>1059</v>
      </c>
      <c r="E390" s="23" t="s">
        <v>150</v>
      </c>
      <c r="F390" s="23">
        <v>1</v>
      </c>
      <c r="G390" s="154">
        <v>1</v>
      </c>
      <c r="H390" s="447">
        <v>20</v>
      </c>
      <c r="I390" s="436">
        <v>20</v>
      </c>
      <c r="J390" s="23">
        <v>3</v>
      </c>
      <c r="K390" s="23">
        <v>3</v>
      </c>
      <c r="L390" s="23">
        <v>3</v>
      </c>
      <c r="M390" s="23">
        <v>3</v>
      </c>
      <c r="N390" s="433">
        <f xml:space="preserve"> ((X390 * Z390)/(1-AH390) * (((AD390 * (1-AH390)) / (AB390 * (1-AF390))) - 1)) / 100000</f>
        <v>156.41025641025624</v>
      </c>
      <c r="O390" s="215">
        <f t="shared" si="55"/>
        <v>156.41025641025624</v>
      </c>
      <c r="P390" s="215">
        <f t="shared" si="55"/>
        <v>156.41025641025624</v>
      </c>
      <c r="Q390" s="215">
        <f t="shared" si="55"/>
        <v>156.41025641025624</v>
      </c>
      <c r="R390" s="15" t="s">
        <v>838</v>
      </c>
      <c r="S390" s="15" t="s">
        <v>840</v>
      </c>
      <c r="T390" s="15" t="s">
        <v>401</v>
      </c>
      <c r="U390" s="15" t="s">
        <v>400</v>
      </c>
      <c r="V390" s="394" t="s">
        <v>845</v>
      </c>
      <c r="W390" s="394" t="s">
        <v>303</v>
      </c>
      <c r="X390" s="400">
        <v>976</v>
      </c>
      <c r="Y390" s="394" t="s">
        <v>844</v>
      </c>
      <c r="Z390" s="402">
        <v>80000</v>
      </c>
      <c r="AA390" s="158" t="s">
        <v>390</v>
      </c>
      <c r="AB390" s="397">
        <v>0.8</v>
      </c>
      <c r="AC390" s="158" t="s">
        <v>299</v>
      </c>
      <c r="AD390" s="397">
        <v>0.95</v>
      </c>
      <c r="AE390" s="165" t="s">
        <v>398</v>
      </c>
      <c r="AF390" s="399">
        <v>6.4000000000000001E-2</v>
      </c>
      <c r="AG390" s="166" t="s">
        <v>397</v>
      </c>
      <c r="AH390" s="399">
        <v>6.4000000000000001E-2</v>
      </c>
      <c r="AI390" s="166"/>
      <c r="AJ390" s="166"/>
      <c r="AK390" s="166"/>
      <c r="AL390" s="166"/>
      <c r="AM390" s="166"/>
      <c r="AN390" s="166"/>
      <c r="AO390" s="166"/>
      <c r="AP390" s="166"/>
      <c r="AQ390" s="166"/>
      <c r="AR390" s="166"/>
      <c r="AS390" s="166"/>
      <c r="AT390" s="166"/>
      <c r="AU390" s="343"/>
      <c r="AV390" s="348"/>
      <c r="AW390" s="343"/>
      <c r="AX390" s="343"/>
      <c r="AY390" s="344"/>
      <c r="AZ390" s="345"/>
      <c r="BA390" s="346"/>
      <c r="BB390" s="27"/>
    </row>
    <row r="391" spans="1:54">
      <c r="A391" s="2" t="str">
        <f t="shared" si="57"/>
        <v>Low Income - SF Retrofit_Furnace Clean &amp; Tune</v>
      </c>
      <c r="B391" s="18">
        <v>388</v>
      </c>
      <c r="C391" s="23" t="s">
        <v>714</v>
      </c>
      <c r="D391" s="18" t="s">
        <v>395</v>
      </c>
      <c r="E391" s="23" t="s">
        <v>150</v>
      </c>
      <c r="F391" s="23">
        <v>1</v>
      </c>
      <c r="G391" s="154">
        <v>1</v>
      </c>
      <c r="H391" s="447">
        <v>2</v>
      </c>
      <c r="I391" s="436">
        <v>2</v>
      </c>
      <c r="J391" s="23">
        <v>56</v>
      </c>
      <c r="K391" s="23">
        <v>56</v>
      </c>
      <c r="L391" s="23">
        <v>56</v>
      </c>
      <c r="M391" s="23">
        <v>56</v>
      </c>
      <c r="N391" s="216">
        <f>Z391*X391*(1/(AB391*(1-AD391))-1/(AB391*(1-AF391)))</f>
        <v>71.282051282051214</v>
      </c>
      <c r="O391" s="215">
        <f t="shared" ref="O391:Q410" si="58">N391</f>
        <v>71.282051282051214</v>
      </c>
      <c r="P391" s="215">
        <f t="shared" si="58"/>
        <v>71.282051282051214</v>
      </c>
      <c r="Q391" s="215">
        <f t="shared" si="58"/>
        <v>71.282051282051214</v>
      </c>
      <c r="R391" s="15" t="s">
        <v>838</v>
      </c>
      <c r="S391" s="15" t="s">
        <v>840</v>
      </c>
      <c r="T391" s="15" t="s">
        <v>394</v>
      </c>
      <c r="U391" s="15" t="s">
        <v>393</v>
      </c>
      <c r="V391" s="166"/>
      <c r="W391" s="166" t="s">
        <v>392</v>
      </c>
      <c r="X391" s="397">
        <v>1</v>
      </c>
      <c r="Y391" s="166" t="s">
        <v>391</v>
      </c>
      <c r="Z391" s="166">
        <v>834</v>
      </c>
      <c r="AA391" s="158" t="s">
        <v>390</v>
      </c>
      <c r="AB391" s="397">
        <v>0.8</v>
      </c>
      <c r="AC391" s="158" t="s">
        <v>389</v>
      </c>
      <c r="AD391" s="167">
        <v>6.4000000000000001E-2</v>
      </c>
      <c r="AE391" s="158" t="s">
        <v>388</v>
      </c>
      <c r="AF391" s="168">
        <v>0</v>
      </c>
      <c r="AG391" s="158"/>
      <c r="AH391" s="158"/>
      <c r="AI391" s="158"/>
      <c r="AJ391" s="158"/>
      <c r="AK391" s="158"/>
      <c r="AL391" s="158"/>
      <c r="AM391" s="158"/>
      <c r="AN391" s="158"/>
      <c r="AO391" s="166"/>
      <c r="AP391" s="166"/>
      <c r="AQ391" s="166"/>
      <c r="AR391" s="166"/>
      <c r="AS391" s="166"/>
      <c r="AT391" s="166"/>
      <c r="AU391" s="343"/>
      <c r="AV391" s="348"/>
      <c r="AW391" s="343"/>
      <c r="AX391" s="343"/>
      <c r="AY391" s="344"/>
      <c r="AZ391" s="345"/>
      <c r="BA391" s="346"/>
      <c r="BB391" s="27"/>
    </row>
    <row r="392" spans="1:54">
      <c r="A392" s="2" t="str">
        <f t="shared" si="57"/>
        <v>Low Income - SF Retrofit_Weatherstripping/Door Sweeps</v>
      </c>
      <c r="B392" s="18">
        <v>389</v>
      </c>
      <c r="C392" s="23" t="s">
        <v>714</v>
      </c>
      <c r="D392" s="18" t="s">
        <v>677</v>
      </c>
      <c r="E392" s="23" t="s">
        <v>691</v>
      </c>
      <c r="F392" s="23">
        <v>3</v>
      </c>
      <c r="G392" s="154">
        <v>1</v>
      </c>
      <c r="H392" s="447">
        <v>15</v>
      </c>
      <c r="I392" s="436">
        <v>15</v>
      </c>
      <c r="J392" s="23">
        <v>56</v>
      </c>
      <c r="K392" s="23">
        <v>56</v>
      </c>
      <c r="L392" s="23">
        <v>56</v>
      </c>
      <c r="M392" s="23">
        <v>56</v>
      </c>
      <c r="N392" s="217">
        <v>98</v>
      </c>
      <c r="O392" s="215">
        <f t="shared" si="58"/>
        <v>98</v>
      </c>
      <c r="P392" s="215">
        <f t="shared" si="58"/>
        <v>98</v>
      </c>
      <c r="Q392" s="215">
        <f t="shared" si="58"/>
        <v>98</v>
      </c>
      <c r="R392" s="15" t="s">
        <v>838</v>
      </c>
      <c r="S392" s="15" t="s">
        <v>840</v>
      </c>
      <c r="T392" s="19" t="s">
        <v>438</v>
      </c>
      <c r="U392" s="18" t="s">
        <v>437</v>
      </c>
      <c r="V392" s="390"/>
      <c r="W392" s="169"/>
      <c r="X392" s="169"/>
      <c r="Y392" s="390"/>
      <c r="Z392" s="390"/>
      <c r="AA392" s="170"/>
      <c r="AB392" s="390"/>
      <c r="AC392" s="157"/>
      <c r="AD392" s="390"/>
      <c r="AE392" s="157"/>
      <c r="AF392" s="390"/>
      <c r="AG392" s="390"/>
      <c r="AH392" s="390"/>
      <c r="AI392" s="390"/>
      <c r="AJ392" s="390"/>
      <c r="AK392" s="390"/>
      <c r="AL392" s="390"/>
      <c r="AM392" s="390"/>
      <c r="AN392" s="390"/>
      <c r="AO392" s="390"/>
      <c r="AP392" s="390"/>
      <c r="AQ392" s="390"/>
      <c r="AR392" s="390"/>
      <c r="AS392" s="390"/>
      <c r="AT392" s="390"/>
      <c r="AU392" s="343"/>
      <c r="AV392" s="348"/>
      <c r="AW392" s="343"/>
      <c r="AX392" s="343"/>
      <c r="AY392" s="344"/>
      <c r="AZ392" s="345"/>
      <c r="BA392" s="346"/>
      <c r="BB392" s="27"/>
    </row>
    <row r="393" spans="1:54">
      <c r="A393" s="2" t="str">
        <f t="shared" si="57"/>
        <v>Low Income - MF Retrofit_Bathroom Aerator</v>
      </c>
      <c r="B393" s="18">
        <v>390</v>
      </c>
      <c r="C393" s="23" t="s">
        <v>715</v>
      </c>
      <c r="D393" s="23" t="s">
        <v>733</v>
      </c>
      <c r="E393" s="23" t="s">
        <v>150</v>
      </c>
      <c r="F393" s="23">
        <v>1</v>
      </c>
      <c r="G393" s="154">
        <v>1</v>
      </c>
      <c r="H393" s="447">
        <v>9</v>
      </c>
      <c r="I393" s="443">
        <v>10</v>
      </c>
      <c r="J393" s="23">
        <v>188</v>
      </c>
      <c r="K393" s="23">
        <v>188</v>
      </c>
      <c r="L393" s="23">
        <v>188</v>
      </c>
      <c r="M393" s="23">
        <v>188</v>
      </c>
      <c r="N393" s="215">
        <f>100%*(((X393*AB393)-(Z393*AB393))*AL393*365.25*AD393/AF393)*AH393*AJ393</f>
        <v>1.6368815404525978</v>
      </c>
      <c r="O393" s="215">
        <f t="shared" si="58"/>
        <v>1.6368815404525978</v>
      </c>
      <c r="P393" s="215">
        <f t="shared" si="58"/>
        <v>1.6368815404525978</v>
      </c>
      <c r="Q393" s="215">
        <f t="shared" si="58"/>
        <v>1.6368815404525978</v>
      </c>
      <c r="R393" s="15" t="s">
        <v>838</v>
      </c>
      <c r="S393" s="15" t="s">
        <v>840</v>
      </c>
      <c r="T393" s="15" t="s">
        <v>470</v>
      </c>
      <c r="U393" s="15" t="s">
        <v>469</v>
      </c>
      <c r="V393" s="390" t="s">
        <v>467</v>
      </c>
      <c r="W393" s="391" t="s">
        <v>359</v>
      </c>
      <c r="X393" s="391">
        <v>1.53</v>
      </c>
      <c r="Y393" s="390" t="s">
        <v>358</v>
      </c>
      <c r="Z393" s="390">
        <v>0.94</v>
      </c>
      <c r="AA393" s="157" t="s">
        <v>357</v>
      </c>
      <c r="AB393" s="390">
        <v>1.6</v>
      </c>
      <c r="AC393" s="157" t="s">
        <v>468</v>
      </c>
      <c r="AD393" s="392">
        <v>0.9</v>
      </c>
      <c r="AE393" s="157" t="s">
        <v>364</v>
      </c>
      <c r="AF393" s="390">
        <v>1.5</v>
      </c>
      <c r="AG393" s="390" t="s">
        <v>355</v>
      </c>
      <c r="AH393" s="393">
        <f>8.33*1*(86-54.1)/(AN393*100000)</f>
        <v>3.9660746268656713E-3</v>
      </c>
      <c r="AI393" s="390" t="s">
        <v>354</v>
      </c>
      <c r="AJ393" s="390">
        <v>0.95</v>
      </c>
      <c r="AK393" s="390" t="s">
        <v>462</v>
      </c>
      <c r="AL393" s="390">
        <v>2.1</v>
      </c>
      <c r="AM393" s="390" t="s">
        <v>461</v>
      </c>
      <c r="AN393" s="392">
        <v>0.67</v>
      </c>
      <c r="AO393" s="166"/>
      <c r="AP393" s="166"/>
      <c r="AQ393" s="166"/>
      <c r="AR393" s="166"/>
      <c r="AS393" s="166"/>
      <c r="AT393" s="166"/>
      <c r="AU393" s="343"/>
      <c r="AV393" s="348"/>
      <c r="AW393" s="343"/>
      <c r="AX393" s="343"/>
      <c r="AY393" s="344"/>
      <c r="AZ393" s="345"/>
      <c r="BA393" s="346"/>
      <c r="BB393" s="27"/>
    </row>
    <row r="394" spans="1:54">
      <c r="A394" s="2" t="str">
        <f t="shared" si="57"/>
        <v>Low Income - MF Retrofit_Kitchen Aerator</v>
      </c>
      <c r="B394" s="18">
        <v>391</v>
      </c>
      <c r="C394" s="23" t="s">
        <v>715</v>
      </c>
      <c r="D394" s="23" t="s">
        <v>732</v>
      </c>
      <c r="E394" s="23" t="s">
        <v>150</v>
      </c>
      <c r="F394" s="23">
        <v>1</v>
      </c>
      <c r="G394" s="154">
        <v>1</v>
      </c>
      <c r="H394" s="447">
        <v>9</v>
      </c>
      <c r="I394" s="443">
        <v>10</v>
      </c>
      <c r="J394" s="23">
        <v>154</v>
      </c>
      <c r="K394" s="23">
        <v>154</v>
      </c>
      <c r="L394" s="23">
        <v>154</v>
      </c>
      <c r="M394" s="23">
        <v>154</v>
      </c>
      <c r="N394" s="215">
        <f>100%*(((X394*AB394)-(Z394*AB394))*AL394*365.25*AD394/AF394)*AH394*AJ394</f>
        <v>7.8612856931203403</v>
      </c>
      <c r="O394" s="215">
        <f t="shared" si="58"/>
        <v>7.8612856931203403</v>
      </c>
      <c r="P394" s="215">
        <f t="shared" si="58"/>
        <v>7.8612856931203403</v>
      </c>
      <c r="Q394" s="215">
        <f t="shared" si="58"/>
        <v>7.8612856931203403</v>
      </c>
      <c r="R394" s="15" t="s">
        <v>838</v>
      </c>
      <c r="S394" s="15" t="s">
        <v>840</v>
      </c>
      <c r="T394" s="15" t="s">
        <v>470</v>
      </c>
      <c r="U394" s="15" t="s">
        <v>469</v>
      </c>
      <c r="V394" s="390" t="s">
        <v>467</v>
      </c>
      <c r="W394" s="391" t="s">
        <v>359</v>
      </c>
      <c r="X394" s="391">
        <v>1.63</v>
      </c>
      <c r="Y394" s="390" t="s">
        <v>358</v>
      </c>
      <c r="Z394" s="390">
        <v>0.94</v>
      </c>
      <c r="AA394" s="157" t="s">
        <v>357</v>
      </c>
      <c r="AB394" s="390">
        <v>4.5</v>
      </c>
      <c r="AC394" s="157" t="s">
        <v>468</v>
      </c>
      <c r="AD394" s="392">
        <v>0.75</v>
      </c>
      <c r="AE394" s="157" t="s">
        <v>364</v>
      </c>
      <c r="AF394" s="390">
        <v>1</v>
      </c>
      <c r="AG394" s="390" t="s">
        <v>355</v>
      </c>
      <c r="AH394" s="393">
        <f>8.33*1*(93-54.1)/(AN394*100000)</f>
        <v>4.836373134328358E-3</v>
      </c>
      <c r="AI394" s="390" t="s">
        <v>354</v>
      </c>
      <c r="AJ394" s="390">
        <v>0.91</v>
      </c>
      <c r="AK394" s="390" t="s">
        <v>462</v>
      </c>
      <c r="AL394" s="390">
        <v>2.1</v>
      </c>
      <c r="AM394" s="390" t="s">
        <v>461</v>
      </c>
      <c r="AN394" s="392">
        <v>0.67</v>
      </c>
      <c r="AO394" s="166"/>
      <c r="AP394" s="166"/>
      <c r="AQ394" s="166"/>
      <c r="AR394" s="166"/>
      <c r="AS394" s="166"/>
      <c r="AT394" s="166"/>
      <c r="AU394" s="343"/>
      <c r="AV394" s="348"/>
      <c r="AW394" s="343"/>
      <c r="AX394" s="343"/>
      <c r="AY394" s="344"/>
      <c r="AZ394" s="345"/>
      <c r="BA394" s="346"/>
      <c r="BB394" s="27"/>
    </row>
    <row r="395" spans="1:54">
      <c r="A395" s="2" t="str">
        <f t="shared" si="57"/>
        <v>Low Income - MF Retrofit_Showerhead</v>
      </c>
      <c r="B395" s="18">
        <v>392</v>
      </c>
      <c r="C395" s="23" t="s">
        <v>715</v>
      </c>
      <c r="D395" s="23" t="s">
        <v>731</v>
      </c>
      <c r="E395" s="23" t="s">
        <v>150</v>
      </c>
      <c r="F395" s="23">
        <v>1</v>
      </c>
      <c r="G395" s="154">
        <v>1</v>
      </c>
      <c r="H395" s="447">
        <v>10</v>
      </c>
      <c r="I395" s="436">
        <v>10</v>
      </c>
      <c r="J395" s="23">
        <v>190</v>
      </c>
      <c r="K395" s="23">
        <v>190</v>
      </c>
      <c r="L395" s="23">
        <v>190</v>
      </c>
      <c r="M395" s="23">
        <v>190</v>
      </c>
      <c r="N395" s="215">
        <f>100%*((X395*AB395-Z395*AB395)*AL395*AF395*365.25/AH395)*AD395*AJ395</f>
        <v>11.319060638970004</v>
      </c>
      <c r="O395" s="215">
        <f t="shared" si="58"/>
        <v>11.319060638970004</v>
      </c>
      <c r="P395" s="215">
        <f t="shared" si="58"/>
        <v>11.319060638970004</v>
      </c>
      <c r="Q395" s="215">
        <f t="shared" si="58"/>
        <v>11.319060638970004</v>
      </c>
      <c r="R395" s="15" t="s">
        <v>838</v>
      </c>
      <c r="S395" s="15" t="s">
        <v>840</v>
      </c>
      <c r="T395" s="15" t="s">
        <v>466</v>
      </c>
      <c r="U395" s="15" t="s">
        <v>465</v>
      </c>
      <c r="V395" s="390" t="s">
        <v>460</v>
      </c>
      <c r="W395" s="391" t="s">
        <v>359</v>
      </c>
      <c r="X395" s="391">
        <v>2.2400000000000002</v>
      </c>
      <c r="Y395" s="390" t="s">
        <v>358</v>
      </c>
      <c r="Z395" s="390">
        <v>1.5</v>
      </c>
      <c r="AA395" s="157" t="s">
        <v>357</v>
      </c>
      <c r="AB395" s="390">
        <v>7.8</v>
      </c>
      <c r="AC395" s="157" t="s">
        <v>355</v>
      </c>
      <c r="AD395" s="393">
        <f>8.33*1*(101-54.1)/(AN395*100000)</f>
        <v>5.8309999999999994E-3</v>
      </c>
      <c r="AE395" s="157" t="s">
        <v>464</v>
      </c>
      <c r="AF395" s="390">
        <v>0.6</v>
      </c>
      <c r="AG395" s="390" t="s">
        <v>463</v>
      </c>
      <c r="AH395" s="390">
        <v>1.3</v>
      </c>
      <c r="AI395" s="390" t="s">
        <v>354</v>
      </c>
      <c r="AJ395" s="390">
        <v>0.95</v>
      </c>
      <c r="AK395" s="390" t="s">
        <v>462</v>
      </c>
      <c r="AL395" s="390">
        <v>2.1</v>
      </c>
      <c r="AM395" s="390" t="s">
        <v>461</v>
      </c>
      <c r="AN395" s="392">
        <v>0.67</v>
      </c>
      <c r="AO395" s="166"/>
      <c r="AP395" s="166"/>
      <c r="AQ395" s="166"/>
      <c r="AR395" s="166"/>
      <c r="AS395" s="166"/>
      <c r="AT395" s="166"/>
      <c r="AU395" s="343"/>
      <c r="AV395" s="348"/>
      <c r="AW395" s="343"/>
      <c r="AX395" s="343"/>
      <c r="AY395" s="344"/>
      <c r="AZ395" s="345"/>
      <c r="BA395" s="346"/>
      <c r="BB395" s="27"/>
    </row>
    <row r="396" spans="1:54">
      <c r="A396" s="2" t="str">
        <f t="shared" si="57"/>
        <v>Low Income - MF Retrofit_Pipe Insulation (DHW)</v>
      </c>
      <c r="B396" s="18">
        <v>393</v>
      </c>
      <c r="C396" s="23" t="s">
        <v>715</v>
      </c>
      <c r="D396" s="23" t="s">
        <v>1052</v>
      </c>
      <c r="E396" s="23" t="s">
        <v>210</v>
      </c>
      <c r="F396" s="23">
        <v>3</v>
      </c>
      <c r="G396" s="154">
        <v>1</v>
      </c>
      <c r="H396" s="447">
        <v>15</v>
      </c>
      <c r="I396" s="436">
        <v>15</v>
      </c>
      <c r="J396" s="23">
        <v>130</v>
      </c>
      <c r="K396" s="23">
        <v>130</v>
      </c>
      <c r="L396" s="23">
        <v>130</v>
      </c>
      <c r="M396" s="23">
        <v>130</v>
      </c>
      <c r="N396" s="389">
        <f xml:space="preserve"> ((X396 / Z396 - AB396 / AD396) * AF396 * AH396 * 8766) / AJ396 / 100000</f>
        <v>0.77039653846153844</v>
      </c>
      <c r="O396" s="215">
        <f t="shared" si="58"/>
        <v>0.77039653846153844</v>
      </c>
      <c r="P396" s="215">
        <f t="shared" si="58"/>
        <v>0.77039653846153844</v>
      </c>
      <c r="Q396" s="215">
        <f t="shared" si="58"/>
        <v>0.77039653846153844</v>
      </c>
      <c r="R396" s="15" t="s">
        <v>838</v>
      </c>
      <c r="S396" s="15" t="s">
        <v>840</v>
      </c>
      <c r="T396" s="15" t="s">
        <v>459</v>
      </c>
      <c r="U396" s="15" t="s">
        <v>458</v>
      </c>
      <c r="V396" s="394" t="s">
        <v>841</v>
      </c>
      <c r="W396" s="158" t="s">
        <v>451</v>
      </c>
      <c r="X396" s="166">
        <v>0.19600000000000001</v>
      </c>
      <c r="Y396" s="166" t="s">
        <v>454</v>
      </c>
      <c r="Z396" s="166">
        <v>1</v>
      </c>
      <c r="AA396" s="395" t="s">
        <v>842</v>
      </c>
      <c r="AB396" s="394">
        <v>0.32700000000000001</v>
      </c>
      <c r="AC396" s="166" t="s">
        <v>453</v>
      </c>
      <c r="AD396" s="166">
        <f>(1+3)</f>
        <v>4</v>
      </c>
      <c r="AE396" s="158" t="s">
        <v>260</v>
      </c>
      <c r="AF396" s="166">
        <v>1</v>
      </c>
      <c r="AG396" s="158" t="s">
        <v>304</v>
      </c>
      <c r="AH396" s="166">
        <v>60</v>
      </c>
      <c r="AI396" s="166" t="s">
        <v>457</v>
      </c>
      <c r="AJ396" s="166">
        <v>0.78</v>
      </c>
      <c r="AK396" s="166"/>
      <c r="AL396" s="166"/>
      <c r="AM396" s="166"/>
      <c r="AN396" s="166"/>
      <c r="AO396" s="166"/>
      <c r="AP396" s="166"/>
      <c r="AQ396" s="166"/>
      <c r="AR396" s="166"/>
      <c r="AS396" s="166"/>
      <c r="AT396" s="166"/>
      <c r="AU396" s="343"/>
      <c r="AV396" s="348"/>
      <c r="AW396" s="343"/>
      <c r="AX396" s="343"/>
      <c r="AY396" s="344"/>
      <c r="AZ396" s="346"/>
      <c r="BA396" s="346"/>
      <c r="BB396" s="27"/>
    </row>
    <row r="397" spans="1:54">
      <c r="A397" s="2" t="str">
        <f t="shared" si="57"/>
        <v>Low Income - MF Retrofit_Programmable Thermostat - Furnace</v>
      </c>
      <c r="B397" s="18">
        <v>394</v>
      </c>
      <c r="C397" s="23" t="s">
        <v>715</v>
      </c>
      <c r="D397" s="18" t="s">
        <v>702</v>
      </c>
      <c r="E397" s="23" t="s">
        <v>150</v>
      </c>
      <c r="F397" s="23">
        <v>1</v>
      </c>
      <c r="G397" s="154">
        <v>1</v>
      </c>
      <c r="H397" s="447">
        <v>5</v>
      </c>
      <c r="I397" s="443">
        <v>8</v>
      </c>
      <c r="J397" s="23">
        <v>130</v>
      </c>
      <c r="K397" s="23">
        <v>130</v>
      </c>
      <c r="L397" s="23">
        <v>130</v>
      </c>
      <c r="M397" s="23">
        <v>130</v>
      </c>
      <c r="N397" s="354">
        <f t="shared" ref="N397:N402" si="59">X397*Z397*AB397*AD397</f>
        <v>40.5015</v>
      </c>
      <c r="O397" s="215">
        <f t="shared" si="58"/>
        <v>40.5015</v>
      </c>
      <c r="P397" s="215">
        <f t="shared" si="58"/>
        <v>40.5015</v>
      </c>
      <c r="Q397" s="215">
        <f t="shared" si="58"/>
        <v>40.5015</v>
      </c>
      <c r="R397" s="15" t="s">
        <v>838</v>
      </c>
      <c r="S397" s="15" t="s">
        <v>840</v>
      </c>
      <c r="T397" s="15" t="s">
        <v>447</v>
      </c>
      <c r="U397" s="15" t="s">
        <v>446</v>
      </c>
      <c r="V397" s="390" t="s">
        <v>441</v>
      </c>
      <c r="W397" s="159" t="s">
        <v>445</v>
      </c>
      <c r="X397" s="160">
        <v>1005</v>
      </c>
      <c r="Y397" s="161" t="s">
        <v>444</v>
      </c>
      <c r="Z397" s="162">
        <v>6.2E-2</v>
      </c>
      <c r="AA397" s="157" t="s">
        <v>399</v>
      </c>
      <c r="AB397" s="163">
        <v>0.65</v>
      </c>
      <c r="AC397" s="157" t="s">
        <v>443</v>
      </c>
      <c r="AD397" s="163">
        <v>1</v>
      </c>
      <c r="AE397" s="157" t="s">
        <v>442</v>
      </c>
      <c r="AF397" s="164">
        <v>3.1399999999999997E-2</v>
      </c>
      <c r="AG397" s="166"/>
      <c r="AH397" s="166"/>
      <c r="AI397" s="166"/>
      <c r="AJ397" s="166"/>
      <c r="AK397" s="166"/>
      <c r="AL397" s="166"/>
      <c r="AM397" s="166"/>
      <c r="AN397" s="166"/>
      <c r="AO397" s="166"/>
      <c r="AP397" s="166"/>
      <c r="AQ397" s="166"/>
      <c r="AR397" s="166"/>
      <c r="AS397" s="166"/>
      <c r="AT397" s="166"/>
      <c r="AU397" s="343"/>
      <c r="AV397" s="348"/>
      <c r="AW397" s="343"/>
      <c r="AX397" s="343"/>
      <c r="AY397" s="344"/>
      <c r="AZ397" s="345"/>
      <c r="BA397" s="346"/>
      <c r="BB397" s="27"/>
    </row>
    <row r="398" spans="1:54">
      <c r="A398" s="2" t="str">
        <f t="shared" si="57"/>
        <v>Low Income - MF Retrofit_Programmable Thermostat - Boiler</v>
      </c>
      <c r="B398" s="18">
        <v>395</v>
      </c>
      <c r="C398" s="23" t="s">
        <v>715</v>
      </c>
      <c r="D398" s="18" t="s">
        <v>1053</v>
      </c>
      <c r="E398" s="23" t="s">
        <v>150</v>
      </c>
      <c r="F398" s="23">
        <v>1</v>
      </c>
      <c r="G398" s="154">
        <v>1</v>
      </c>
      <c r="H398" s="447">
        <v>5</v>
      </c>
      <c r="I398" s="443">
        <v>8</v>
      </c>
      <c r="J398" s="23">
        <v>10</v>
      </c>
      <c r="K398" s="23">
        <v>10</v>
      </c>
      <c r="L398" s="23">
        <v>10</v>
      </c>
      <c r="M398" s="23">
        <v>10</v>
      </c>
      <c r="N398" s="354">
        <f t="shared" si="59"/>
        <v>49.085400000000007</v>
      </c>
      <c r="O398" s="215">
        <f t="shared" si="58"/>
        <v>49.085400000000007</v>
      </c>
      <c r="P398" s="215">
        <f t="shared" si="58"/>
        <v>49.085400000000007</v>
      </c>
      <c r="Q398" s="215">
        <f t="shared" si="58"/>
        <v>49.085400000000007</v>
      </c>
      <c r="R398" s="15" t="s">
        <v>838</v>
      </c>
      <c r="S398" s="15" t="s">
        <v>840</v>
      </c>
      <c r="T398" s="15" t="s">
        <v>447</v>
      </c>
      <c r="U398" s="15" t="s">
        <v>446</v>
      </c>
      <c r="V398" s="390" t="s">
        <v>441</v>
      </c>
      <c r="W398" s="159" t="s">
        <v>445</v>
      </c>
      <c r="X398" s="160">
        <v>1218</v>
      </c>
      <c r="Y398" s="161" t="s">
        <v>444</v>
      </c>
      <c r="Z398" s="162">
        <v>6.2E-2</v>
      </c>
      <c r="AA398" s="157" t="s">
        <v>399</v>
      </c>
      <c r="AB398" s="163">
        <v>0.65</v>
      </c>
      <c r="AC398" s="157" t="s">
        <v>443</v>
      </c>
      <c r="AD398" s="163">
        <v>1</v>
      </c>
      <c r="AE398" s="157" t="s">
        <v>442</v>
      </c>
      <c r="AF398" s="164">
        <v>3.1399999999999997E-2</v>
      </c>
      <c r="AG398" s="166"/>
      <c r="AH398" s="166"/>
      <c r="AI398" s="166"/>
      <c r="AJ398" s="166"/>
      <c r="AK398" s="166"/>
      <c r="AL398" s="166"/>
      <c r="AM398" s="166"/>
      <c r="AN398" s="166"/>
      <c r="AO398" s="166"/>
      <c r="AP398" s="166"/>
      <c r="AQ398" s="166"/>
      <c r="AR398" s="166"/>
      <c r="AS398" s="166"/>
      <c r="AT398" s="166"/>
      <c r="AU398" s="343"/>
      <c r="AV398" s="348"/>
      <c r="AW398" s="343"/>
      <c r="AX398" s="343"/>
      <c r="AY398" s="344"/>
      <c r="AZ398" s="350"/>
      <c r="BA398" s="346"/>
      <c r="BB398" s="27"/>
    </row>
    <row r="399" spans="1:54">
      <c r="A399" s="2" t="str">
        <f t="shared" si="57"/>
        <v>Low Income - MF Retrofit_Advanced Thermostat - Furnace (Replace Manual)</v>
      </c>
      <c r="B399" s="18">
        <v>396</v>
      </c>
      <c r="C399" s="23" t="s">
        <v>715</v>
      </c>
      <c r="D399" s="18" t="s">
        <v>699</v>
      </c>
      <c r="E399" s="23" t="s">
        <v>150</v>
      </c>
      <c r="F399" s="23">
        <v>1</v>
      </c>
      <c r="G399" s="154">
        <v>1</v>
      </c>
      <c r="H399" s="447">
        <v>10</v>
      </c>
      <c r="I399" s="443">
        <v>11</v>
      </c>
      <c r="J399" s="23">
        <v>0</v>
      </c>
      <c r="K399" s="23">
        <f>J399</f>
        <v>0</v>
      </c>
      <c r="L399" s="23">
        <f>K399</f>
        <v>0</v>
      </c>
      <c r="M399" s="23">
        <f>L399</f>
        <v>0</v>
      </c>
      <c r="N399" s="217">
        <f t="shared" si="59"/>
        <v>57.485999999999997</v>
      </c>
      <c r="O399" s="215">
        <f t="shared" si="58"/>
        <v>57.485999999999997</v>
      </c>
      <c r="P399" s="215">
        <f t="shared" si="58"/>
        <v>57.485999999999997</v>
      </c>
      <c r="Q399" s="215">
        <f t="shared" si="58"/>
        <v>57.485999999999997</v>
      </c>
      <c r="R399" s="15" t="s">
        <v>838</v>
      </c>
      <c r="S399" s="15" t="s">
        <v>840</v>
      </c>
      <c r="T399" s="15" t="s">
        <v>49</v>
      </c>
      <c r="U399" s="15" t="s">
        <v>60</v>
      </c>
      <c r="V399" s="390" t="s">
        <v>441</v>
      </c>
      <c r="W399" s="159" t="s">
        <v>445</v>
      </c>
      <c r="X399" s="160">
        <v>1005</v>
      </c>
      <c r="Y399" s="161" t="s">
        <v>444</v>
      </c>
      <c r="Z399" s="162">
        <v>8.7999999999999995E-2</v>
      </c>
      <c r="AA399" s="157" t="s">
        <v>399</v>
      </c>
      <c r="AB399" s="163">
        <v>0.65</v>
      </c>
      <c r="AC399" s="157" t="s">
        <v>443</v>
      </c>
      <c r="AD399" s="163">
        <v>1</v>
      </c>
      <c r="AE399" s="157" t="s">
        <v>442</v>
      </c>
      <c r="AF399" s="164">
        <v>3.1399999999999997E-2</v>
      </c>
      <c r="AG399" s="166"/>
      <c r="AH399" s="166"/>
      <c r="AI399" s="166"/>
      <c r="AJ399" s="166"/>
      <c r="AK399" s="166"/>
      <c r="AL399" s="166"/>
      <c r="AM399" s="166"/>
      <c r="AN399" s="166"/>
      <c r="AO399" s="166"/>
      <c r="AP399" s="166"/>
      <c r="AQ399" s="166"/>
      <c r="AR399" s="166"/>
      <c r="AS399" s="166"/>
      <c r="AT399" s="166"/>
      <c r="AU399" s="343"/>
      <c r="AV399" s="348"/>
      <c r="AW399" s="343"/>
      <c r="AX399" s="343"/>
      <c r="AY399" s="344"/>
      <c r="AZ399" s="345"/>
      <c r="BA399" s="346"/>
      <c r="BB399" s="27"/>
    </row>
    <row r="400" spans="1:54">
      <c r="A400" s="2" t="str">
        <f t="shared" si="57"/>
        <v>Low Income - MF Retrofit_Advanced Thermostat - Boiler (Replace Manual)</v>
      </c>
      <c r="B400" s="18">
        <v>397</v>
      </c>
      <c r="C400" s="23" t="s">
        <v>715</v>
      </c>
      <c r="D400" s="18" t="s">
        <v>1054</v>
      </c>
      <c r="E400" s="23" t="s">
        <v>150</v>
      </c>
      <c r="F400" s="23">
        <v>1</v>
      </c>
      <c r="G400" s="154">
        <v>1</v>
      </c>
      <c r="H400" s="447">
        <v>10</v>
      </c>
      <c r="I400" s="443">
        <v>11</v>
      </c>
      <c r="J400" s="23">
        <v>4</v>
      </c>
      <c r="K400" s="23">
        <v>4</v>
      </c>
      <c r="L400" s="23">
        <v>4</v>
      </c>
      <c r="M400" s="23">
        <v>4</v>
      </c>
      <c r="N400" s="217">
        <f t="shared" si="59"/>
        <v>69.669600000000003</v>
      </c>
      <c r="O400" s="215">
        <f t="shared" si="58"/>
        <v>69.669600000000003</v>
      </c>
      <c r="P400" s="215">
        <f t="shared" si="58"/>
        <v>69.669600000000003</v>
      </c>
      <c r="Q400" s="215">
        <f t="shared" si="58"/>
        <v>69.669600000000003</v>
      </c>
      <c r="R400" s="15" t="s">
        <v>838</v>
      </c>
      <c r="S400" s="15" t="s">
        <v>840</v>
      </c>
      <c r="T400" s="15" t="s">
        <v>49</v>
      </c>
      <c r="U400" s="15" t="s">
        <v>60</v>
      </c>
      <c r="V400" s="390" t="s">
        <v>441</v>
      </c>
      <c r="W400" s="159" t="s">
        <v>445</v>
      </c>
      <c r="X400" s="160">
        <v>1218</v>
      </c>
      <c r="Y400" s="161" t="s">
        <v>444</v>
      </c>
      <c r="Z400" s="162">
        <v>8.7999999999999995E-2</v>
      </c>
      <c r="AA400" s="157" t="s">
        <v>399</v>
      </c>
      <c r="AB400" s="163">
        <v>0.65</v>
      </c>
      <c r="AC400" s="157" t="s">
        <v>443</v>
      </c>
      <c r="AD400" s="163">
        <v>1</v>
      </c>
      <c r="AE400" s="157" t="s">
        <v>442</v>
      </c>
      <c r="AF400" s="164">
        <v>3.1399999999999997E-2</v>
      </c>
      <c r="AG400" s="166"/>
      <c r="AH400" s="166"/>
      <c r="AI400" s="166"/>
      <c r="AJ400" s="166"/>
      <c r="AK400" s="166"/>
      <c r="AL400" s="166"/>
      <c r="AM400" s="166"/>
      <c r="AN400" s="166"/>
      <c r="AO400" s="166"/>
      <c r="AP400" s="166"/>
      <c r="AQ400" s="166"/>
      <c r="AR400" s="166"/>
      <c r="AS400" s="166"/>
      <c r="AT400" s="166"/>
      <c r="AU400" s="343"/>
      <c r="AV400" s="348"/>
      <c r="AW400" s="343"/>
      <c r="AX400" s="343"/>
      <c r="AY400" s="344"/>
      <c r="AZ400" s="345"/>
      <c r="BA400" s="346"/>
      <c r="BB400" s="27"/>
    </row>
    <row r="401" spans="1:54">
      <c r="A401" s="2" t="str">
        <f t="shared" si="57"/>
        <v>Low Income - MF Retrofit_Advanced Thermostat - Furnace (Replace Programmable)</v>
      </c>
      <c r="B401" s="18">
        <v>398</v>
      </c>
      <c r="C401" s="23" t="s">
        <v>715</v>
      </c>
      <c r="D401" s="18" t="s">
        <v>1055</v>
      </c>
      <c r="E401" s="23" t="s">
        <v>150</v>
      </c>
      <c r="F401" s="23">
        <v>1</v>
      </c>
      <c r="G401" s="154">
        <v>1</v>
      </c>
      <c r="H401" s="447">
        <v>10</v>
      </c>
      <c r="I401" s="443">
        <v>11</v>
      </c>
      <c r="J401" s="23">
        <v>0</v>
      </c>
      <c r="K401" s="23">
        <v>0</v>
      </c>
      <c r="L401" s="23">
        <v>0</v>
      </c>
      <c r="M401" s="23">
        <v>0</v>
      </c>
      <c r="N401" s="217">
        <f t="shared" si="59"/>
        <v>36.582000000000001</v>
      </c>
      <c r="O401" s="215">
        <f t="shared" si="58"/>
        <v>36.582000000000001</v>
      </c>
      <c r="P401" s="215">
        <f t="shared" si="58"/>
        <v>36.582000000000001</v>
      </c>
      <c r="Q401" s="215">
        <f t="shared" si="58"/>
        <v>36.582000000000001</v>
      </c>
      <c r="R401" s="15" t="s">
        <v>838</v>
      </c>
      <c r="S401" s="15" t="s">
        <v>840</v>
      </c>
      <c r="T401" s="15" t="s">
        <v>49</v>
      </c>
      <c r="U401" s="15" t="s">
        <v>60</v>
      </c>
      <c r="V401" s="390" t="s">
        <v>441</v>
      </c>
      <c r="W401" s="159" t="s">
        <v>445</v>
      </c>
      <c r="X401" s="160">
        <v>1005</v>
      </c>
      <c r="Y401" s="161" t="s">
        <v>444</v>
      </c>
      <c r="Z401" s="162">
        <v>5.6000000000000001E-2</v>
      </c>
      <c r="AA401" s="157" t="s">
        <v>399</v>
      </c>
      <c r="AB401" s="163">
        <v>0.65</v>
      </c>
      <c r="AC401" s="157" t="s">
        <v>443</v>
      </c>
      <c r="AD401" s="163">
        <v>1</v>
      </c>
      <c r="AE401" s="157" t="s">
        <v>442</v>
      </c>
      <c r="AF401" s="164">
        <v>3.1399999999999997E-2</v>
      </c>
      <c r="AG401" s="166"/>
      <c r="AH401" s="166"/>
      <c r="AI401" s="166"/>
      <c r="AJ401" s="166"/>
      <c r="AK401" s="166"/>
      <c r="AL401" s="166"/>
      <c r="AM401" s="166"/>
      <c r="AN401" s="166"/>
      <c r="AO401" s="166"/>
      <c r="AP401" s="166"/>
      <c r="AQ401" s="166"/>
      <c r="AR401" s="166"/>
      <c r="AS401" s="166"/>
      <c r="AT401" s="166"/>
      <c r="AU401" s="343"/>
      <c r="AV401" s="348"/>
      <c r="AW401" s="343"/>
      <c r="AX401" s="343"/>
      <c r="AY401" s="344"/>
      <c r="AZ401" s="345"/>
      <c r="BA401" s="346"/>
      <c r="BB401" s="27"/>
    </row>
    <row r="402" spans="1:54">
      <c r="A402" s="2" t="str">
        <f t="shared" si="57"/>
        <v>Low Income - MF Retrofit_Advanced Thermostat - Boiler (Replace Programmable)</v>
      </c>
      <c r="B402" s="18">
        <v>399</v>
      </c>
      <c r="C402" s="23" t="s">
        <v>715</v>
      </c>
      <c r="D402" s="18" t="s">
        <v>704</v>
      </c>
      <c r="E402" s="23" t="s">
        <v>150</v>
      </c>
      <c r="F402" s="23">
        <v>1</v>
      </c>
      <c r="G402" s="154">
        <v>1</v>
      </c>
      <c r="H402" s="447">
        <v>10</v>
      </c>
      <c r="I402" s="443">
        <v>11</v>
      </c>
      <c r="J402" s="23">
        <v>4</v>
      </c>
      <c r="K402" s="23">
        <v>4</v>
      </c>
      <c r="L402" s="23">
        <v>4</v>
      </c>
      <c r="M402" s="23">
        <v>4</v>
      </c>
      <c r="N402" s="217">
        <f t="shared" si="59"/>
        <v>44.3352</v>
      </c>
      <c r="O402" s="215">
        <f t="shared" si="58"/>
        <v>44.3352</v>
      </c>
      <c r="P402" s="215">
        <f t="shared" si="58"/>
        <v>44.3352</v>
      </c>
      <c r="Q402" s="215">
        <f t="shared" si="58"/>
        <v>44.3352</v>
      </c>
      <c r="R402" s="15" t="s">
        <v>838</v>
      </c>
      <c r="S402" s="15" t="s">
        <v>840</v>
      </c>
      <c r="T402" s="15" t="s">
        <v>49</v>
      </c>
      <c r="U402" s="15" t="s">
        <v>60</v>
      </c>
      <c r="V402" s="390" t="s">
        <v>441</v>
      </c>
      <c r="W402" s="159" t="s">
        <v>445</v>
      </c>
      <c r="X402" s="160">
        <v>1218</v>
      </c>
      <c r="Y402" s="161" t="s">
        <v>444</v>
      </c>
      <c r="Z402" s="162">
        <v>5.6000000000000001E-2</v>
      </c>
      <c r="AA402" s="157" t="s">
        <v>399</v>
      </c>
      <c r="AB402" s="163">
        <v>0.65</v>
      </c>
      <c r="AC402" s="157" t="s">
        <v>443</v>
      </c>
      <c r="AD402" s="163">
        <v>1</v>
      </c>
      <c r="AE402" s="157" t="s">
        <v>442</v>
      </c>
      <c r="AF402" s="164">
        <v>3.1399999999999997E-2</v>
      </c>
      <c r="AG402" s="166"/>
      <c r="AH402" s="166"/>
      <c r="AI402" s="166"/>
      <c r="AJ402" s="166"/>
      <c r="AK402" s="166"/>
      <c r="AL402" s="166"/>
      <c r="AM402" s="166"/>
      <c r="AN402" s="166"/>
      <c r="AO402" s="166"/>
      <c r="AP402" s="166"/>
      <c r="AQ402" s="166"/>
      <c r="AR402" s="166"/>
      <c r="AS402" s="166"/>
      <c r="AT402" s="166"/>
      <c r="AU402" s="343"/>
      <c r="AV402" s="348"/>
      <c r="AW402" s="343"/>
      <c r="AX402" s="343"/>
      <c r="AY402" s="344"/>
      <c r="AZ402" s="345"/>
      <c r="BA402" s="346"/>
      <c r="BB402" s="27"/>
    </row>
    <row r="403" spans="1:54">
      <c r="A403" s="2" t="str">
        <f t="shared" si="57"/>
        <v>Low Income - MF Retrofit_Water Heater Setback</v>
      </c>
      <c r="B403" s="18">
        <v>400</v>
      </c>
      <c r="C403" s="23" t="s">
        <v>715</v>
      </c>
      <c r="D403" s="18" t="s">
        <v>377</v>
      </c>
      <c r="E403" s="23" t="s">
        <v>150</v>
      </c>
      <c r="F403" s="23">
        <v>1</v>
      </c>
      <c r="G403" s="154">
        <v>1</v>
      </c>
      <c r="H403" s="447">
        <v>2</v>
      </c>
      <c r="I403" s="436">
        <v>2</v>
      </c>
      <c r="J403" s="23">
        <v>100</v>
      </c>
      <c r="K403" s="23">
        <v>100</v>
      </c>
      <c r="L403" s="23">
        <v>100</v>
      </c>
      <c r="M403" s="23">
        <v>100</v>
      </c>
      <c r="N403" s="215">
        <f>(AB403*AD403*(X403-Z403)*AF403)/(100000*AH403)</f>
        <v>4.0706360194029854</v>
      </c>
      <c r="O403" s="215">
        <f t="shared" si="58"/>
        <v>4.0706360194029854</v>
      </c>
      <c r="P403" s="215">
        <f t="shared" si="58"/>
        <v>4.0706360194029854</v>
      </c>
      <c r="Q403" s="215">
        <f t="shared" si="58"/>
        <v>4.0706360194029854</v>
      </c>
      <c r="R403" s="15" t="s">
        <v>838</v>
      </c>
      <c r="S403" s="15" t="s">
        <v>840</v>
      </c>
      <c r="T403" s="18" t="s">
        <v>376</v>
      </c>
      <c r="U403" s="18" t="s">
        <v>375</v>
      </c>
      <c r="V403" s="390" t="s">
        <v>369</v>
      </c>
      <c r="W403" s="390" t="s">
        <v>374</v>
      </c>
      <c r="X403" s="390">
        <v>135</v>
      </c>
      <c r="Y403" s="390" t="s">
        <v>373</v>
      </c>
      <c r="Z403" s="390">
        <v>120</v>
      </c>
      <c r="AA403" s="390" t="s">
        <v>372</v>
      </c>
      <c r="AB403" s="390">
        <v>8.3000000000000004E-2</v>
      </c>
      <c r="AC403" s="390" t="s">
        <v>371</v>
      </c>
      <c r="AD403" s="390">
        <v>24.99</v>
      </c>
      <c r="AE403" s="390" t="s">
        <v>153</v>
      </c>
      <c r="AF403" s="390">
        <v>8766</v>
      </c>
      <c r="AG403" s="390" t="s">
        <v>370</v>
      </c>
      <c r="AH403" s="421">
        <v>0.67</v>
      </c>
      <c r="AI403" s="390"/>
      <c r="AJ403" s="390"/>
      <c r="AK403" s="390"/>
      <c r="AL403" s="390"/>
      <c r="AM403" s="390"/>
      <c r="AN403" s="390"/>
      <c r="AO403" s="390"/>
      <c r="AP403" s="390"/>
      <c r="AQ403" s="390"/>
      <c r="AR403" s="390"/>
      <c r="AS403" s="390"/>
      <c r="AT403" s="390"/>
      <c r="AU403" s="343"/>
      <c r="AV403" s="348"/>
      <c r="AW403" s="343"/>
      <c r="AX403" s="343"/>
      <c r="AY403" s="344"/>
      <c r="AZ403" s="345"/>
      <c r="BA403" s="346"/>
      <c r="BB403" s="27"/>
    </row>
    <row r="404" spans="1:54">
      <c r="A404" s="2" t="str">
        <f t="shared" si="57"/>
        <v>Low Income - MF Retrofit_Air Sealing</v>
      </c>
      <c r="B404" s="18">
        <v>401</v>
      </c>
      <c r="C404" s="23" t="s">
        <v>715</v>
      </c>
      <c r="D404" s="18" t="s">
        <v>678</v>
      </c>
      <c r="E404" s="23" t="s">
        <v>150</v>
      </c>
      <c r="F404" s="23">
        <v>1</v>
      </c>
      <c r="G404" s="154">
        <v>1</v>
      </c>
      <c r="H404" s="447">
        <v>15</v>
      </c>
      <c r="I404" s="443">
        <v>20</v>
      </c>
      <c r="J404" s="23">
        <v>5</v>
      </c>
      <c r="K404" s="23">
        <v>5</v>
      </c>
      <c r="L404" s="23">
        <v>5</v>
      </c>
      <c r="M404" s="23">
        <v>5</v>
      </c>
      <c r="N404" s="29">
        <v>600</v>
      </c>
      <c r="O404" s="29">
        <f t="shared" si="58"/>
        <v>600</v>
      </c>
      <c r="P404" s="29">
        <f t="shared" si="58"/>
        <v>600</v>
      </c>
      <c r="Q404" s="29">
        <f t="shared" si="58"/>
        <v>600</v>
      </c>
      <c r="R404" s="18" t="s">
        <v>140</v>
      </c>
      <c r="S404" s="18" t="s">
        <v>140</v>
      </c>
      <c r="T404" s="18" t="s">
        <v>140</v>
      </c>
      <c r="U404" s="18" t="s">
        <v>140</v>
      </c>
      <c r="V404" s="390"/>
      <c r="W404" s="390"/>
      <c r="X404" s="390"/>
      <c r="Y404" s="390"/>
      <c r="Z404" s="390"/>
      <c r="AA404" s="390"/>
      <c r="AB404" s="390"/>
      <c r="AC404" s="390"/>
      <c r="AD404" s="390"/>
      <c r="AE404" s="390"/>
      <c r="AF404" s="390"/>
      <c r="AG404" s="390"/>
      <c r="AH404" s="390"/>
      <c r="AI404" s="390"/>
      <c r="AJ404" s="390"/>
      <c r="AK404" s="390"/>
      <c r="AL404" s="390"/>
      <c r="AM404" s="390"/>
      <c r="AN404" s="390"/>
      <c r="AO404" s="390"/>
      <c r="AP404" s="390"/>
      <c r="AQ404" s="390"/>
      <c r="AR404" s="390"/>
      <c r="AS404" s="390"/>
      <c r="AT404" s="390"/>
      <c r="AU404" s="343"/>
      <c r="AV404" s="348"/>
      <c r="AW404" s="343"/>
      <c r="AX404" s="343"/>
      <c r="AY404" s="344"/>
      <c r="AZ404" s="345"/>
      <c r="BA404" s="346"/>
      <c r="BB404" s="27"/>
    </row>
    <row r="405" spans="1:54">
      <c r="A405" s="2" t="str">
        <f t="shared" si="57"/>
        <v>Low Income - MF Retrofit_Attic Insulation &amp; Air Sealing</v>
      </c>
      <c r="B405" s="18">
        <v>402</v>
      </c>
      <c r="C405" s="23" t="s">
        <v>715</v>
      </c>
      <c r="D405" s="18" t="s">
        <v>679</v>
      </c>
      <c r="E405" s="23" t="s">
        <v>150</v>
      </c>
      <c r="F405" s="23">
        <v>1</v>
      </c>
      <c r="G405" s="154">
        <v>1</v>
      </c>
      <c r="H405" s="447">
        <v>15</v>
      </c>
      <c r="I405" s="443">
        <v>20</v>
      </c>
      <c r="J405" s="23">
        <v>5</v>
      </c>
      <c r="K405" s="23">
        <v>5</v>
      </c>
      <c r="L405" s="23">
        <v>5</v>
      </c>
      <c r="M405" s="23">
        <v>5</v>
      </c>
      <c r="N405" s="29">
        <v>1400</v>
      </c>
      <c r="O405" s="29">
        <f t="shared" si="58"/>
        <v>1400</v>
      </c>
      <c r="P405" s="29">
        <f t="shared" si="58"/>
        <v>1400</v>
      </c>
      <c r="Q405" s="29">
        <f t="shared" si="58"/>
        <v>1400</v>
      </c>
      <c r="R405" s="18" t="s">
        <v>140</v>
      </c>
      <c r="S405" s="18" t="s">
        <v>140</v>
      </c>
      <c r="T405" s="18" t="s">
        <v>140</v>
      </c>
      <c r="U405" s="18" t="s">
        <v>140</v>
      </c>
      <c r="V405" s="390"/>
      <c r="W405" s="390"/>
      <c r="X405" s="390"/>
      <c r="Y405" s="390"/>
      <c r="Z405" s="390"/>
      <c r="AA405" s="390"/>
      <c r="AB405" s="390"/>
      <c r="AC405" s="390"/>
      <c r="AD405" s="390"/>
      <c r="AE405" s="390"/>
      <c r="AF405" s="390"/>
      <c r="AG405" s="390"/>
      <c r="AH405" s="390"/>
      <c r="AI405" s="390"/>
      <c r="AJ405" s="390"/>
      <c r="AK405" s="390"/>
      <c r="AL405" s="390"/>
      <c r="AM405" s="390"/>
      <c r="AN405" s="390"/>
      <c r="AO405" s="390"/>
      <c r="AP405" s="390"/>
      <c r="AQ405" s="390"/>
      <c r="AR405" s="390"/>
      <c r="AS405" s="390"/>
      <c r="AT405" s="390"/>
      <c r="AU405" s="343"/>
      <c r="AV405" s="348"/>
      <c r="AW405" s="343"/>
      <c r="AX405" s="343"/>
      <c r="AY405" s="344"/>
      <c r="AZ405" s="345"/>
      <c r="BA405" s="346"/>
      <c r="BB405" s="27"/>
    </row>
    <row r="406" spans="1:54">
      <c r="A406" s="2" t="str">
        <f t="shared" si="57"/>
        <v>Low Income - MF Retrofit_Wall Insulation</v>
      </c>
      <c r="B406" s="18">
        <v>403</v>
      </c>
      <c r="C406" s="23" t="s">
        <v>715</v>
      </c>
      <c r="D406" s="18" t="s">
        <v>680</v>
      </c>
      <c r="E406" s="23" t="s">
        <v>150</v>
      </c>
      <c r="F406" s="23">
        <v>1</v>
      </c>
      <c r="G406" s="154">
        <v>1</v>
      </c>
      <c r="H406" s="447">
        <v>25</v>
      </c>
      <c r="I406" s="443">
        <v>20</v>
      </c>
      <c r="J406" s="23">
        <v>1</v>
      </c>
      <c r="K406" s="23">
        <v>1</v>
      </c>
      <c r="L406" s="23">
        <v>1</v>
      </c>
      <c r="M406" s="23">
        <v>1</v>
      </c>
      <c r="N406" s="215">
        <v>1500</v>
      </c>
      <c r="O406" s="215">
        <f t="shared" si="58"/>
        <v>1500</v>
      </c>
      <c r="P406" s="215">
        <f t="shared" si="58"/>
        <v>1500</v>
      </c>
      <c r="Q406" s="215">
        <f t="shared" si="58"/>
        <v>1500</v>
      </c>
      <c r="R406" s="18" t="s">
        <v>140</v>
      </c>
      <c r="S406" s="18" t="s">
        <v>140</v>
      </c>
      <c r="T406" s="18" t="s">
        <v>140</v>
      </c>
      <c r="U406" s="18" t="s">
        <v>140</v>
      </c>
      <c r="V406" s="390"/>
      <c r="W406" s="390"/>
      <c r="X406" s="390"/>
      <c r="Y406" s="390"/>
      <c r="Z406" s="390"/>
      <c r="AA406" s="390"/>
      <c r="AB406" s="390"/>
      <c r="AC406" s="390"/>
      <c r="AD406" s="390"/>
      <c r="AE406" s="390"/>
      <c r="AF406" s="390"/>
      <c r="AG406" s="390"/>
      <c r="AH406" s="390"/>
      <c r="AI406" s="390"/>
      <c r="AJ406" s="390"/>
      <c r="AK406" s="390"/>
      <c r="AL406" s="390"/>
      <c r="AM406" s="390"/>
      <c r="AN406" s="390"/>
      <c r="AO406" s="390"/>
      <c r="AP406" s="390"/>
      <c r="AQ406" s="390"/>
      <c r="AR406" s="390"/>
      <c r="AS406" s="390"/>
      <c r="AT406" s="390"/>
      <c r="AU406" s="343"/>
      <c r="AV406" s="348"/>
      <c r="AW406" s="343"/>
      <c r="AX406" s="343"/>
      <c r="AY406" s="344"/>
      <c r="AZ406" s="345"/>
      <c r="BA406" s="346"/>
      <c r="BB406" s="27"/>
    </row>
    <row r="407" spans="1:54">
      <c r="A407" s="2" t="str">
        <f t="shared" si="57"/>
        <v>Low Income - MF Retrofit_Pipe Insulation - DHW</v>
      </c>
      <c r="B407" s="18">
        <v>404</v>
      </c>
      <c r="C407" s="23" t="s">
        <v>715</v>
      </c>
      <c r="D407" s="18" t="s">
        <v>681</v>
      </c>
      <c r="E407" s="23" t="s">
        <v>150</v>
      </c>
      <c r="F407" s="23">
        <v>1</v>
      </c>
      <c r="G407" s="154">
        <v>1</v>
      </c>
      <c r="H407" s="447">
        <v>15</v>
      </c>
      <c r="I407" s="436">
        <v>15</v>
      </c>
      <c r="J407" s="23">
        <v>3</v>
      </c>
      <c r="K407" s="23">
        <v>3</v>
      </c>
      <c r="L407" s="23">
        <v>3</v>
      </c>
      <c r="M407" s="23">
        <v>3</v>
      </c>
      <c r="N407" s="215">
        <v>700</v>
      </c>
      <c r="O407" s="215">
        <f t="shared" si="58"/>
        <v>700</v>
      </c>
      <c r="P407" s="215">
        <f t="shared" si="58"/>
        <v>700</v>
      </c>
      <c r="Q407" s="215">
        <f t="shared" si="58"/>
        <v>700</v>
      </c>
      <c r="R407" s="18" t="s">
        <v>140</v>
      </c>
      <c r="S407" s="18" t="s">
        <v>140</v>
      </c>
      <c r="T407" s="18" t="s">
        <v>140</v>
      </c>
      <c r="U407" s="18" t="s">
        <v>140</v>
      </c>
      <c r="V407" s="390"/>
      <c r="W407" s="390"/>
      <c r="X407" s="390"/>
      <c r="Y407" s="390"/>
      <c r="Z407" s="390"/>
      <c r="AA407" s="390"/>
      <c r="AB407" s="390"/>
      <c r="AC407" s="390"/>
      <c r="AD407" s="390"/>
      <c r="AE407" s="390"/>
      <c r="AF407" s="390"/>
      <c r="AG407" s="390"/>
      <c r="AH407" s="390"/>
      <c r="AI407" s="390"/>
      <c r="AJ407" s="390"/>
      <c r="AK407" s="390"/>
      <c r="AL407" s="390"/>
      <c r="AM407" s="390"/>
      <c r="AN407" s="390"/>
      <c r="AO407" s="390"/>
      <c r="AP407" s="390"/>
      <c r="AQ407" s="390"/>
      <c r="AR407" s="390"/>
      <c r="AS407" s="390"/>
      <c r="AT407" s="390"/>
      <c r="AU407" s="343"/>
      <c r="AV407" s="348"/>
      <c r="AW407" s="343"/>
      <c r="AX407" s="343"/>
      <c r="AY407" s="344"/>
      <c r="AZ407" s="345"/>
      <c r="BA407" s="346"/>
      <c r="BB407" s="27"/>
    </row>
    <row r="408" spans="1:54">
      <c r="A408" s="2" t="str">
        <f t="shared" si="57"/>
        <v>Low Income - MF Retrofit_Pipe Insulation - Heating</v>
      </c>
      <c r="B408" s="18">
        <v>405</v>
      </c>
      <c r="C408" s="23" t="s">
        <v>715</v>
      </c>
      <c r="D408" s="18" t="s">
        <v>682</v>
      </c>
      <c r="E408" s="23" t="s">
        <v>150</v>
      </c>
      <c r="F408" s="23">
        <v>1</v>
      </c>
      <c r="G408" s="154">
        <v>1</v>
      </c>
      <c r="H408" s="447">
        <v>15</v>
      </c>
      <c r="I408" s="436">
        <v>15</v>
      </c>
      <c r="J408" s="23">
        <v>4</v>
      </c>
      <c r="K408" s="23">
        <v>4</v>
      </c>
      <c r="L408" s="23">
        <v>4</v>
      </c>
      <c r="M408" s="23">
        <v>4</v>
      </c>
      <c r="N408" s="215">
        <v>1100</v>
      </c>
      <c r="O408" s="215">
        <f t="shared" si="58"/>
        <v>1100</v>
      </c>
      <c r="P408" s="215">
        <f t="shared" si="58"/>
        <v>1100</v>
      </c>
      <c r="Q408" s="215">
        <f t="shared" si="58"/>
        <v>1100</v>
      </c>
      <c r="R408" s="18" t="s">
        <v>140</v>
      </c>
      <c r="S408" s="18" t="s">
        <v>140</v>
      </c>
      <c r="T408" s="18" t="s">
        <v>140</v>
      </c>
      <c r="U408" s="18" t="s">
        <v>140</v>
      </c>
      <c r="V408" s="390"/>
      <c r="W408" s="390"/>
      <c r="X408" s="390"/>
      <c r="Y408" s="390"/>
      <c r="Z408" s="390"/>
      <c r="AA408" s="390"/>
      <c r="AB408" s="390"/>
      <c r="AC408" s="390"/>
      <c r="AD408" s="390"/>
      <c r="AE408" s="390"/>
      <c r="AF408" s="390"/>
      <c r="AG408" s="390"/>
      <c r="AH408" s="390"/>
      <c r="AI408" s="390"/>
      <c r="AJ408" s="390"/>
      <c r="AK408" s="390"/>
      <c r="AL408" s="390"/>
      <c r="AM408" s="390"/>
      <c r="AN408" s="390"/>
      <c r="AO408" s="390"/>
      <c r="AP408" s="390"/>
      <c r="AQ408" s="390"/>
      <c r="AR408" s="390"/>
      <c r="AS408" s="390"/>
      <c r="AT408" s="390"/>
      <c r="AU408" s="343"/>
      <c r="AV408" s="348"/>
      <c r="AW408" s="343"/>
      <c r="AX408" s="343"/>
      <c r="AY408" s="344"/>
      <c r="AZ408" s="345"/>
      <c r="BA408" s="346"/>
      <c r="BB408" s="27"/>
    </row>
    <row r="409" spans="1:54">
      <c r="A409" s="2" t="str">
        <f t="shared" si="57"/>
        <v>Low Income - MF Retrofit_Boiler Tune-ups</v>
      </c>
      <c r="B409" s="18">
        <v>406</v>
      </c>
      <c r="C409" s="23" t="s">
        <v>715</v>
      </c>
      <c r="D409" s="18" t="s">
        <v>683</v>
      </c>
      <c r="E409" s="23" t="s">
        <v>150</v>
      </c>
      <c r="F409" s="23">
        <v>1</v>
      </c>
      <c r="G409" s="154">
        <v>1</v>
      </c>
      <c r="H409" s="447">
        <v>3</v>
      </c>
      <c r="I409" s="436">
        <v>3</v>
      </c>
      <c r="J409" s="23">
        <v>1</v>
      </c>
      <c r="K409" s="23">
        <v>1</v>
      </c>
      <c r="L409" s="23">
        <v>1</v>
      </c>
      <c r="M409" s="23">
        <v>1</v>
      </c>
      <c r="N409" s="215">
        <v>130</v>
      </c>
      <c r="O409" s="215">
        <f t="shared" si="58"/>
        <v>130</v>
      </c>
      <c r="P409" s="215">
        <f t="shared" si="58"/>
        <v>130</v>
      </c>
      <c r="Q409" s="215">
        <f t="shared" si="58"/>
        <v>130</v>
      </c>
      <c r="R409" s="18" t="s">
        <v>140</v>
      </c>
      <c r="S409" s="18" t="s">
        <v>140</v>
      </c>
      <c r="T409" s="18" t="s">
        <v>140</v>
      </c>
      <c r="U409" s="18" t="s">
        <v>140</v>
      </c>
      <c r="V409" s="390"/>
      <c r="W409" s="390"/>
      <c r="X409" s="390"/>
      <c r="Y409" s="390"/>
      <c r="Z409" s="390"/>
      <c r="AA409" s="390"/>
      <c r="AB409" s="390"/>
      <c r="AC409" s="390"/>
      <c r="AD409" s="390"/>
      <c r="AE409" s="390"/>
      <c r="AF409" s="390"/>
      <c r="AG409" s="390"/>
      <c r="AH409" s="390"/>
      <c r="AI409" s="390"/>
      <c r="AJ409" s="390"/>
      <c r="AK409" s="390"/>
      <c r="AL409" s="390"/>
      <c r="AM409" s="390"/>
      <c r="AN409" s="390"/>
      <c r="AO409" s="390"/>
      <c r="AP409" s="390"/>
      <c r="AQ409" s="390"/>
      <c r="AR409" s="390"/>
      <c r="AS409" s="390"/>
      <c r="AT409" s="390"/>
      <c r="AU409" s="343"/>
      <c r="AV409" s="348"/>
      <c r="AW409" s="343"/>
      <c r="AX409" s="343"/>
      <c r="AY409" s="344"/>
      <c r="AZ409" s="346"/>
      <c r="BA409" s="346"/>
      <c r="BB409" s="27"/>
    </row>
    <row r="410" spans="1:54">
      <c r="A410" s="2" t="str">
        <f t="shared" si="57"/>
        <v>Low Income - MF Retrofit_Outdoor Resets/Cutouts</v>
      </c>
      <c r="B410" s="18">
        <v>407</v>
      </c>
      <c r="C410" s="23" t="s">
        <v>715</v>
      </c>
      <c r="D410" s="18" t="s">
        <v>684</v>
      </c>
      <c r="E410" s="23" t="s">
        <v>150</v>
      </c>
      <c r="F410" s="23">
        <v>1</v>
      </c>
      <c r="G410" s="154">
        <v>1</v>
      </c>
      <c r="H410" s="447">
        <v>20</v>
      </c>
      <c r="I410" s="436">
        <v>20</v>
      </c>
      <c r="J410" s="23">
        <v>0</v>
      </c>
      <c r="K410" s="23">
        <f t="shared" ref="K410:M421" si="60">J410</f>
        <v>0</v>
      </c>
      <c r="L410" s="23">
        <f t="shared" si="60"/>
        <v>0</v>
      </c>
      <c r="M410" s="23">
        <f t="shared" si="60"/>
        <v>0</v>
      </c>
      <c r="N410" s="215">
        <v>1000</v>
      </c>
      <c r="O410" s="215">
        <f t="shared" si="58"/>
        <v>1000</v>
      </c>
      <c r="P410" s="215">
        <f t="shared" si="58"/>
        <v>1000</v>
      </c>
      <c r="Q410" s="215">
        <f t="shared" si="58"/>
        <v>1000</v>
      </c>
      <c r="R410" s="18" t="s">
        <v>140</v>
      </c>
      <c r="S410" s="18" t="s">
        <v>140</v>
      </c>
      <c r="T410" s="18" t="s">
        <v>140</v>
      </c>
      <c r="U410" s="18" t="s">
        <v>140</v>
      </c>
      <c r="V410" s="390"/>
      <c r="W410" s="390"/>
      <c r="X410" s="390"/>
      <c r="Y410" s="390"/>
      <c r="Z410" s="390"/>
      <c r="AA410" s="390"/>
      <c r="AB410" s="390"/>
      <c r="AC410" s="390"/>
      <c r="AD410" s="390"/>
      <c r="AE410" s="390"/>
      <c r="AF410" s="390"/>
      <c r="AG410" s="390"/>
      <c r="AH410" s="390"/>
      <c r="AI410" s="390"/>
      <c r="AJ410" s="390"/>
      <c r="AK410" s="390"/>
      <c r="AL410" s="390"/>
      <c r="AM410" s="390"/>
      <c r="AN410" s="390"/>
      <c r="AO410" s="390"/>
      <c r="AP410" s="390"/>
      <c r="AQ410" s="390"/>
      <c r="AR410" s="390"/>
      <c r="AS410" s="390"/>
      <c r="AT410" s="390"/>
      <c r="AU410" s="343"/>
      <c r="AV410" s="348"/>
      <c r="AW410" s="343"/>
      <c r="AX410" s="343"/>
      <c r="AY410" s="344"/>
      <c r="AZ410" s="346"/>
      <c r="BA410" s="346"/>
      <c r="BB410" s="27"/>
    </row>
    <row r="411" spans="1:54">
      <c r="A411" s="2" t="str">
        <f t="shared" si="57"/>
        <v>Low Income - MF Retrofit_Steam Trap</v>
      </c>
      <c r="B411" s="18">
        <v>408</v>
      </c>
      <c r="C411" s="23" t="s">
        <v>715</v>
      </c>
      <c r="D411" s="18" t="s">
        <v>685</v>
      </c>
      <c r="E411" s="23" t="s">
        <v>150</v>
      </c>
      <c r="F411" s="23">
        <v>75</v>
      </c>
      <c r="G411" s="154">
        <v>1</v>
      </c>
      <c r="H411" s="447">
        <v>6</v>
      </c>
      <c r="I411" s="436">
        <v>6</v>
      </c>
      <c r="J411" s="23">
        <v>1</v>
      </c>
      <c r="K411" s="23">
        <f t="shared" si="60"/>
        <v>1</v>
      </c>
      <c r="L411" s="23">
        <f t="shared" si="60"/>
        <v>1</v>
      </c>
      <c r="M411" s="23">
        <f t="shared" si="60"/>
        <v>1</v>
      </c>
      <c r="N411" s="217">
        <v>110</v>
      </c>
      <c r="O411" s="215">
        <f t="shared" ref="O411:Q421" si="61">N411</f>
        <v>110</v>
      </c>
      <c r="P411" s="215">
        <f t="shared" si="61"/>
        <v>110</v>
      </c>
      <c r="Q411" s="215">
        <f t="shared" si="61"/>
        <v>110</v>
      </c>
      <c r="R411" s="18" t="s">
        <v>140</v>
      </c>
      <c r="S411" s="18" t="s">
        <v>140</v>
      </c>
      <c r="T411" s="18" t="s">
        <v>140</v>
      </c>
      <c r="U411" s="18" t="s">
        <v>140</v>
      </c>
      <c r="V411" s="390"/>
      <c r="W411" s="169"/>
      <c r="X411" s="169"/>
      <c r="Y411" s="390"/>
      <c r="Z411" s="390"/>
      <c r="AA411" s="170"/>
      <c r="AB411" s="390"/>
      <c r="AC411" s="157"/>
      <c r="AD411" s="390"/>
      <c r="AE411" s="157"/>
      <c r="AF411" s="390"/>
      <c r="AG411" s="390"/>
      <c r="AH411" s="390"/>
      <c r="AI411" s="390"/>
      <c r="AJ411" s="390"/>
      <c r="AK411" s="390"/>
      <c r="AL411" s="390"/>
      <c r="AM411" s="390"/>
      <c r="AN411" s="390"/>
      <c r="AO411" s="390"/>
      <c r="AP411" s="390"/>
      <c r="AQ411" s="390"/>
      <c r="AR411" s="390"/>
      <c r="AS411" s="390"/>
      <c r="AT411" s="390"/>
      <c r="AU411" s="343"/>
      <c r="AV411" s="348"/>
      <c r="AW411" s="343"/>
      <c r="AX411" s="343"/>
      <c r="AY411" s="344"/>
      <c r="AZ411" s="346"/>
      <c r="BA411" s="346"/>
      <c r="BB411" s="27"/>
    </row>
    <row r="412" spans="1:54">
      <c r="A412" s="2" t="str">
        <f t="shared" si="57"/>
        <v>Low Income - MF Retrofit_Controls for Central DHW Pumps</v>
      </c>
      <c r="B412" s="18">
        <v>409</v>
      </c>
      <c r="C412" s="23" t="s">
        <v>715</v>
      </c>
      <c r="D412" s="18" t="s">
        <v>686</v>
      </c>
      <c r="E412" s="23" t="s">
        <v>150</v>
      </c>
      <c r="F412" s="23">
        <v>1</v>
      </c>
      <c r="G412" s="154">
        <v>1</v>
      </c>
      <c r="H412" s="447">
        <v>15</v>
      </c>
      <c r="I412" s="436">
        <v>15</v>
      </c>
      <c r="J412" s="23">
        <v>1</v>
      </c>
      <c r="K412" s="23">
        <f t="shared" si="60"/>
        <v>1</v>
      </c>
      <c r="L412" s="23">
        <f t="shared" si="60"/>
        <v>1</v>
      </c>
      <c r="M412" s="23">
        <f t="shared" si="60"/>
        <v>1</v>
      </c>
      <c r="N412" s="217">
        <v>1300</v>
      </c>
      <c r="O412" s="215">
        <f t="shared" si="61"/>
        <v>1300</v>
      </c>
      <c r="P412" s="215">
        <f t="shared" si="61"/>
        <v>1300</v>
      </c>
      <c r="Q412" s="215">
        <f t="shared" si="61"/>
        <v>1300</v>
      </c>
      <c r="R412" s="18" t="s">
        <v>140</v>
      </c>
      <c r="S412" s="18" t="s">
        <v>140</v>
      </c>
      <c r="T412" s="18" t="s">
        <v>140</v>
      </c>
      <c r="U412" s="18" t="s">
        <v>140</v>
      </c>
      <c r="V412" s="390"/>
      <c r="W412" s="169"/>
      <c r="X412" s="169"/>
      <c r="Y412" s="390"/>
      <c r="Z412" s="390"/>
      <c r="AA412" s="170"/>
      <c r="AB412" s="390"/>
      <c r="AC412" s="157"/>
      <c r="AD412" s="390"/>
      <c r="AE412" s="157"/>
      <c r="AF412" s="390"/>
      <c r="AG412" s="390"/>
      <c r="AH412" s="390"/>
      <c r="AI412" s="390"/>
      <c r="AJ412" s="390"/>
      <c r="AK412" s="390"/>
      <c r="AL412" s="390"/>
      <c r="AM412" s="390"/>
      <c r="AN412" s="390"/>
      <c r="AO412" s="390"/>
      <c r="AP412" s="390"/>
      <c r="AQ412" s="390"/>
      <c r="AR412" s="390"/>
      <c r="AS412" s="390"/>
      <c r="AT412" s="390"/>
      <c r="AU412" s="343"/>
      <c r="AV412" s="348"/>
      <c r="AW412" s="343"/>
      <c r="AX412" s="343"/>
      <c r="AY412" s="344"/>
      <c r="AZ412" s="346"/>
      <c r="BA412" s="346"/>
      <c r="BB412" s="27"/>
    </row>
    <row r="413" spans="1:54">
      <c r="A413" s="2" t="str">
        <f t="shared" si="57"/>
        <v>Low Income - MF Retrofit_Steam Boiler Averaging Controls</v>
      </c>
      <c r="B413" s="18">
        <v>410</v>
      </c>
      <c r="C413" s="23" t="s">
        <v>715</v>
      </c>
      <c r="D413" s="18" t="s">
        <v>277</v>
      </c>
      <c r="E413" s="23" t="s">
        <v>150</v>
      </c>
      <c r="F413" s="23">
        <v>1</v>
      </c>
      <c r="G413" s="154">
        <v>1</v>
      </c>
      <c r="H413" s="447">
        <v>15</v>
      </c>
      <c r="I413" s="436">
        <v>15</v>
      </c>
      <c r="J413" s="23">
        <v>1</v>
      </c>
      <c r="K413" s="23">
        <f t="shared" si="60"/>
        <v>1</v>
      </c>
      <c r="L413" s="23">
        <f t="shared" si="60"/>
        <v>1</v>
      </c>
      <c r="M413" s="23">
        <f t="shared" si="60"/>
        <v>1</v>
      </c>
      <c r="N413" s="215">
        <v>1200</v>
      </c>
      <c r="O413" s="215">
        <f t="shared" si="61"/>
        <v>1200</v>
      </c>
      <c r="P413" s="215">
        <f t="shared" si="61"/>
        <v>1200</v>
      </c>
      <c r="Q413" s="215">
        <f t="shared" si="61"/>
        <v>1200</v>
      </c>
      <c r="R413" s="18" t="s">
        <v>140</v>
      </c>
      <c r="S413" s="18" t="s">
        <v>140</v>
      </c>
      <c r="T413" s="18" t="s">
        <v>140</v>
      </c>
      <c r="U413" s="18" t="s">
        <v>140</v>
      </c>
      <c r="V413" s="390"/>
      <c r="W413" s="390"/>
      <c r="X413" s="390"/>
      <c r="Y413" s="390"/>
      <c r="Z413" s="390"/>
      <c r="AA413" s="390"/>
      <c r="AB413" s="390"/>
      <c r="AC413" s="390"/>
      <c r="AD413" s="390"/>
      <c r="AE413" s="390"/>
      <c r="AF413" s="390"/>
      <c r="AG413" s="390"/>
      <c r="AH413" s="390"/>
      <c r="AI413" s="390"/>
      <c r="AJ413" s="390"/>
      <c r="AK413" s="390"/>
      <c r="AL413" s="390"/>
      <c r="AM413" s="390"/>
      <c r="AN413" s="390"/>
      <c r="AO413" s="390"/>
      <c r="AP413" s="390"/>
      <c r="AQ413" s="390"/>
      <c r="AR413" s="390"/>
      <c r="AS413" s="390"/>
      <c r="AT413" s="390"/>
      <c r="AU413" s="343"/>
      <c r="AV413" s="348"/>
      <c r="AW413" s="343"/>
      <c r="AX413" s="343"/>
      <c r="AY413" s="344"/>
      <c r="AZ413" s="346"/>
      <c r="BA413" s="346"/>
      <c r="BB413" s="27"/>
    </row>
    <row r="414" spans="1:54">
      <c r="A414" s="2" t="str">
        <f t="shared" si="57"/>
        <v>Low Income - MF Retrofit_Boiler Replacement</v>
      </c>
      <c r="B414" s="18">
        <v>411</v>
      </c>
      <c r="C414" s="23" t="s">
        <v>715</v>
      </c>
      <c r="D414" s="18" t="s">
        <v>687</v>
      </c>
      <c r="E414" s="23" t="s">
        <v>150</v>
      </c>
      <c r="F414" s="23">
        <v>1</v>
      </c>
      <c r="G414" s="154">
        <v>1</v>
      </c>
      <c r="H414" s="447">
        <v>20</v>
      </c>
      <c r="I414" s="436">
        <v>20</v>
      </c>
      <c r="J414" s="23">
        <v>1</v>
      </c>
      <c r="K414" s="23">
        <f t="shared" si="60"/>
        <v>1</v>
      </c>
      <c r="L414" s="23">
        <f t="shared" si="60"/>
        <v>1</v>
      </c>
      <c r="M414" s="23">
        <f t="shared" si="60"/>
        <v>1</v>
      </c>
      <c r="N414" s="215">
        <v>1300</v>
      </c>
      <c r="O414" s="215">
        <f t="shared" si="61"/>
        <v>1300</v>
      </c>
      <c r="P414" s="215">
        <f t="shared" si="61"/>
        <v>1300</v>
      </c>
      <c r="Q414" s="215">
        <f t="shared" si="61"/>
        <v>1300</v>
      </c>
      <c r="R414" s="18" t="s">
        <v>140</v>
      </c>
      <c r="S414" s="18" t="s">
        <v>140</v>
      </c>
      <c r="T414" s="18" t="s">
        <v>140</v>
      </c>
      <c r="U414" s="18" t="s">
        <v>140</v>
      </c>
      <c r="V414" s="390"/>
      <c r="W414" s="390"/>
      <c r="X414" s="390"/>
      <c r="Y414" s="390"/>
      <c r="Z414" s="390"/>
      <c r="AA414" s="390"/>
      <c r="AB414" s="390"/>
      <c r="AC414" s="390"/>
      <c r="AD414" s="390"/>
      <c r="AE414" s="390"/>
      <c r="AF414" s="390"/>
      <c r="AG414" s="390"/>
      <c r="AH414" s="390"/>
      <c r="AI414" s="390"/>
      <c r="AJ414" s="390"/>
      <c r="AK414" s="390"/>
      <c r="AL414" s="390"/>
      <c r="AM414" s="390"/>
      <c r="AN414" s="390"/>
      <c r="AO414" s="390"/>
      <c r="AP414" s="390"/>
      <c r="AQ414" s="390"/>
      <c r="AR414" s="390"/>
      <c r="AS414" s="390"/>
      <c r="AT414" s="390"/>
      <c r="AU414" s="343"/>
      <c r="AV414" s="348"/>
      <c r="AW414" s="343"/>
      <c r="AX414" s="343"/>
      <c r="AY414" s="344"/>
      <c r="AZ414" s="346"/>
      <c r="BA414" s="346"/>
      <c r="BB414" s="27"/>
    </row>
    <row r="415" spans="1:54">
      <c r="A415" s="2" t="str">
        <f t="shared" si="57"/>
        <v>Low Income - MF Retrofit_DHW Replacement</v>
      </c>
      <c r="B415" s="18">
        <v>412</v>
      </c>
      <c r="C415" s="23" t="s">
        <v>715</v>
      </c>
      <c r="D415" s="18" t="s">
        <v>688</v>
      </c>
      <c r="E415" s="23" t="s">
        <v>150</v>
      </c>
      <c r="F415" s="23">
        <v>1</v>
      </c>
      <c r="G415" s="154">
        <v>1</v>
      </c>
      <c r="H415" s="447">
        <v>15</v>
      </c>
      <c r="I415" s="436">
        <v>15</v>
      </c>
      <c r="J415" s="23">
        <v>1</v>
      </c>
      <c r="K415" s="23">
        <f t="shared" si="60"/>
        <v>1</v>
      </c>
      <c r="L415" s="23">
        <f t="shared" si="60"/>
        <v>1</v>
      </c>
      <c r="M415" s="23">
        <f t="shared" si="60"/>
        <v>1</v>
      </c>
      <c r="N415" s="215">
        <v>800</v>
      </c>
      <c r="O415" s="215">
        <f t="shared" si="61"/>
        <v>800</v>
      </c>
      <c r="P415" s="215">
        <f t="shared" si="61"/>
        <v>800</v>
      </c>
      <c r="Q415" s="215">
        <f t="shared" si="61"/>
        <v>800</v>
      </c>
      <c r="R415" s="18" t="s">
        <v>140</v>
      </c>
      <c r="S415" s="18" t="s">
        <v>140</v>
      </c>
      <c r="T415" s="18" t="s">
        <v>140</v>
      </c>
      <c r="U415" s="18" t="s">
        <v>140</v>
      </c>
      <c r="V415" s="390"/>
      <c r="W415" s="390"/>
      <c r="X415" s="390"/>
      <c r="Y415" s="390"/>
      <c r="Z415" s="390"/>
      <c r="AA415" s="390"/>
      <c r="AB415" s="390"/>
      <c r="AC415" s="390"/>
      <c r="AD415" s="390"/>
      <c r="AE415" s="390"/>
      <c r="AF415" s="390"/>
      <c r="AG415" s="390"/>
      <c r="AH415" s="390"/>
      <c r="AI415" s="390"/>
      <c r="AJ415" s="390"/>
      <c r="AK415" s="390"/>
      <c r="AL415" s="390"/>
      <c r="AM415" s="390"/>
      <c r="AN415" s="390"/>
      <c r="AO415" s="390"/>
      <c r="AP415" s="390"/>
      <c r="AQ415" s="390"/>
      <c r="AR415" s="390"/>
      <c r="AS415" s="390"/>
      <c r="AT415" s="390"/>
      <c r="AU415" s="343"/>
      <c r="AV415" s="348"/>
      <c r="AW415" s="343"/>
      <c r="AX415" s="343"/>
      <c r="AY415" s="344"/>
      <c r="AZ415" s="346"/>
      <c r="BA415" s="346"/>
      <c r="BB415" s="27"/>
    </row>
    <row r="416" spans="1:54">
      <c r="A416" s="2" t="str">
        <f t="shared" si="57"/>
        <v>Low Income - MF Retrofit_HVAC Balancing/Optimizing</v>
      </c>
      <c r="B416" s="18">
        <v>413</v>
      </c>
      <c r="C416" s="23" t="s">
        <v>715</v>
      </c>
      <c r="D416" s="18" t="s">
        <v>689</v>
      </c>
      <c r="E416" s="23" t="s">
        <v>150</v>
      </c>
      <c r="F416" s="23">
        <v>1</v>
      </c>
      <c r="G416" s="154">
        <v>1</v>
      </c>
      <c r="H416" s="447">
        <v>15</v>
      </c>
      <c r="I416" s="436">
        <v>15</v>
      </c>
      <c r="J416" s="23">
        <v>1</v>
      </c>
      <c r="K416" s="23">
        <f t="shared" si="60"/>
        <v>1</v>
      </c>
      <c r="L416" s="23">
        <f t="shared" si="60"/>
        <v>1</v>
      </c>
      <c r="M416" s="23">
        <f t="shared" si="60"/>
        <v>1</v>
      </c>
      <c r="N416" s="215">
        <v>680</v>
      </c>
      <c r="O416" s="215">
        <f t="shared" si="61"/>
        <v>680</v>
      </c>
      <c r="P416" s="215">
        <f t="shared" si="61"/>
        <v>680</v>
      </c>
      <c r="Q416" s="215">
        <f t="shared" si="61"/>
        <v>680</v>
      </c>
      <c r="R416" s="18" t="s">
        <v>140</v>
      </c>
      <c r="S416" s="18" t="s">
        <v>140</v>
      </c>
      <c r="T416" s="18" t="s">
        <v>140</v>
      </c>
      <c r="U416" s="18" t="s">
        <v>140</v>
      </c>
      <c r="V416" s="390"/>
      <c r="W416" s="390"/>
      <c r="X416" s="390"/>
      <c r="Y416" s="390"/>
      <c r="Z416" s="390"/>
      <c r="AA416" s="390"/>
      <c r="AB416" s="390"/>
      <c r="AC416" s="390"/>
      <c r="AD416" s="390"/>
      <c r="AE416" s="390"/>
      <c r="AF416" s="390"/>
      <c r="AG416" s="390"/>
      <c r="AH416" s="390"/>
      <c r="AI416" s="390"/>
      <c r="AJ416" s="390"/>
      <c r="AK416" s="390"/>
      <c r="AL416" s="390"/>
      <c r="AM416" s="390"/>
      <c r="AN416" s="390"/>
      <c r="AO416" s="390"/>
      <c r="AP416" s="390"/>
      <c r="AQ416" s="390"/>
      <c r="AR416" s="390"/>
      <c r="AS416" s="390"/>
      <c r="AT416" s="390"/>
      <c r="AU416" s="343"/>
      <c r="AV416" s="348"/>
      <c r="AW416" s="343"/>
      <c r="AX416" s="343"/>
      <c r="AY416" s="344"/>
      <c r="AZ416" s="346"/>
      <c r="BA416" s="346"/>
      <c r="BB416" s="27"/>
    </row>
    <row r="417" spans="1:54">
      <c r="A417" s="2" t="str">
        <f t="shared" si="57"/>
        <v>Low Income - SF New Construction_Furnace &gt;95% AFUE</v>
      </c>
      <c r="B417" s="18">
        <v>414</v>
      </c>
      <c r="C417" s="23" t="s">
        <v>716</v>
      </c>
      <c r="D417" s="23" t="s">
        <v>1059</v>
      </c>
      <c r="E417" s="23" t="s">
        <v>150</v>
      </c>
      <c r="F417" s="23">
        <v>1</v>
      </c>
      <c r="G417" s="154">
        <v>1</v>
      </c>
      <c r="H417" s="447">
        <v>20</v>
      </c>
      <c r="I417" s="436">
        <v>20</v>
      </c>
      <c r="J417" s="23">
        <v>0</v>
      </c>
      <c r="K417" s="23">
        <f t="shared" si="60"/>
        <v>0</v>
      </c>
      <c r="L417" s="23">
        <f t="shared" si="60"/>
        <v>0</v>
      </c>
      <c r="M417" s="23">
        <f t="shared" si="60"/>
        <v>0</v>
      </c>
      <c r="N417" s="433">
        <f xml:space="preserve"> ((X417 * Z417)/(1-AH417) * (((AD417 * (1-AH417)) / (AB417 * (1-AF417))) - 1)) / 100000</f>
        <v>156.41025641025624</v>
      </c>
      <c r="O417" s="215">
        <f t="shared" si="61"/>
        <v>156.41025641025624</v>
      </c>
      <c r="P417" s="215">
        <f t="shared" si="61"/>
        <v>156.41025641025624</v>
      </c>
      <c r="Q417" s="215">
        <f t="shared" si="61"/>
        <v>156.41025641025624</v>
      </c>
      <c r="R417" s="15" t="s">
        <v>838</v>
      </c>
      <c r="S417" s="15" t="s">
        <v>840</v>
      </c>
      <c r="T417" s="15" t="s">
        <v>401</v>
      </c>
      <c r="U417" s="15" t="s">
        <v>400</v>
      </c>
      <c r="V417" s="394" t="s">
        <v>845</v>
      </c>
      <c r="W417" s="394" t="s">
        <v>303</v>
      </c>
      <c r="X417" s="400">
        <v>976</v>
      </c>
      <c r="Y417" s="394" t="s">
        <v>844</v>
      </c>
      <c r="Z417" s="402">
        <v>80000</v>
      </c>
      <c r="AA417" s="158" t="s">
        <v>390</v>
      </c>
      <c r="AB417" s="397">
        <v>0.8</v>
      </c>
      <c r="AC417" s="158" t="s">
        <v>299</v>
      </c>
      <c r="AD417" s="397">
        <v>0.95</v>
      </c>
      <c r="AE417" s="165" t="s">
        <v>398</v>
      </c>
      <c r="AF417" s="399">
        <v>6.4000000000000001E-2</v>
      </c>
      <c r="AG417" s="166" t="s">
        <v>397</v>
      </c>
      <c r="AH417" s="399">
        <v>6.4000000000000001E-2</v>
      </c>
      <c r="AI417" s="166"/>
      <c r="AJ417" s="166"/>
      <c r="AK417" s="166"/>
      <c r="AL417" s="166"/>
      <c r="AM417" s="166"/>
      <c r="AN417" s="166"/>
      <c r="AO417" s="166"/>
      <c r="AP417" s="166"/>
      <c r="AQ417" s="166"/>
      <c r="AR417" s="166"/>
      <c r="AS417" s="166"/>
      <c r="AT417" s="166"/>
      <c r="AU417" s="343"/>
      <c r="AV417" s="348"/>
      <c r="AW417" s="343"/>
      <c r="AX417" s="343"/>
      <c r="AY417" s="344"/>
      <c r="AZ417" s="346"/>
      <c r="BA417" s="346"/>
      <c r="BB417" s="27"/>
    </row>
    <row r="418" spans="1:54">
      <c r="A418" s="2" t="str">
        <f t="shared" si="57"/>
        <v>Low Income - SF New Construction_Water Heater - Storage 0.67 EF</v>
      </c>
      <c r="B418" s="18">
        <v>415</v>
      </c>
      <c r="C418" s="23" t="s">
        <v>716</v>
      </c>
      <c r="D418" s="23" t="s">
        <v>387</v>
      </c>
      <c r="E418" s="23" t="s">
        <v>150</v>
      </c>
      <c r="F418" s="23">
        <v>1</v>
      </c>
      <c r="G418" s="154">
        <v>1</v>
      </c>
      <c r="H418" s="447">
        <v>13</v>
      </c>
      <c r="I418" s="436">
        <v>13</v>
      </c>
      <c r="J418" s="23">
        <v>0</v>
      </c>
      <c r="K418" s="23">
        <f t="shared" si="60"/>
        <v>0</v>
      </c>
      <c r="L418" s="23">
        <f t="shared" si="60"/>
        <v>0</v>
      </c>
      <c r="M418" s="23">
        <f t="shared" si="60"/>
        <v>0</v>
      </c>
      <c r="N418" s="433">
        <f>(((1/X418)-(1/Z418))*(AB418*AD418*365.25*AF418*(AH418-AJ418)*1))/100000</f>
        <v>15.645447674402874</v>
      </c>
      <c r="O418" s="215">
        <f t="shared" si="61"/>
        <v>15.645447674402874</v>
      </c>
      <c r="P418" s="215">
        <f t="shared" si="61"/>
        <v>15.645447674402874</v>
      </c>
      <c r="Q418" s="215">
        <f t="shared" si="61"/>
        <v>15.645447674402874</v>
      </c>
      <c r="R418" s="15" t="s">
        <v>838</v>
      </c>
      <c r="S418" s="15" t="s">
        <v>840</v>
      </c>
      <c r="T418" s="15" t="s">
        <v>386</v>
      </c>
      <c r="U418" s="15" t="s">
        <v>385</v>
      </c>
      <c r="V418" s="395" t="s">
        <v>858</v>
      </c>
      <c r="W418" s="394" t="s">
        <v>859</v>
      </c>
      <c r="X418" s="422">
        <f xml:space="preserve"> 0.6483 - ( 0.0017 * AL418 )</f>
        <v>0.58030000000000004</v>
      </c>
      <c r="Y418" s="394" t="s">
        <v>860</v>
      </c>
      <c r="Z418" s="394">
        <v>0.64</v>
      </c>
      <c r="AA418" s="158" t="s">
        <v>256</v>
      </c>
      <c r="AB418" s="166">
        <v>17.600000000000001</v>
      </c>
      <c r="AC418" s="158" t="s">
        <v>384</v>
      </c>
      <c r="AD418" s="166">
        <v>2.56</v>
      </c>
      <c r="AE418" s="166" t="s">
        <v>383</v>
      </c>
      <c r="AF418" s="166">
        <v>8.33</v>
      </c>
      <c r="AG418" s="166" t="s">
        <v>257</v>
      </c>
      <c r="AH418" s="166">
        <v>125</v>
      </c>
      <c r="AI418" s="166" t="s">
        <v>250</v>
      </c>
      <c r="AJ418" s="166">
        <v>54</v>
      </c>
      <c r="AK418" s="166" t="s">
        <v>382</v>
      </c>
      <c r="AL418" s="166">
        <v>40</v>
      </c>
      <c r="AM418" s="166"/>
      <c r="AN418" s="166"/>
      <c r="AO418" s="166"/>
      <c r="AP418" s="166"/>
      <c r="AQ418" s="166"/>
      <c r="AR418" s="166"/>
      <c r="AS418" s="166"/>
      <c r="AT418" s="166"/>
      <c r="AU418" s="343"/>
      <c r="AV418" s="348"/>
      <c r="AW418" s="343"/>
      <c r="AX418" s="343"/>
      <c r="AY418" s="346"/>
      <c r="AZ418" s="346"/>
      <c r="BA418" s="346"/>
      <c r="BB418" s="27"/>
    </row>
    <row r="419" spans="1:54">
      <c r="A419" s="2" t="str">
        <f t="shared" si="57"/>
        <v>Low Income - SF New Construction_Programmable Thermostat - Furnace</v>
      </c>
      <c r="B419" s="18">
        <v>416</v>
      </c>
      <c r="C419" s="23" t="s">
        <v>716</v>
      </c>
      <c r="D419" s="23" t="s">
        <v>702</v>
      </c>
      <c r="E419" s="23" t="s">
        <v>150</v>
      </c>
      <c r="F419" s="23">
        <v>1</v>
      </c>
      <c r="G419" s="154">
        <v>1</v>
      </c>
      <c r="H419" s="447">
        <v>5</v>
      </c>
      <c r="I419" s="443">
        <v>8</v>
      </c>
      <c r="J419" s="23">
        <v>0</v>
      </c>
      <c r="K419" s="23">
        <f t="shared" si="60"/>
        <v>0</v>
      </c>
      <c r="L419" s="23">
        <f t="shared" si="60"/>
        <v>0</v>
      </c>
      <c r="M419" s="23">
        <f t="shared" si="60"/>
        <v>0</v>
      </c>
      <c r="N419" s="354">
        <f>X419*Z419*AB419*AD419</f>
        <v>34.893600000000006</v>
      </c>
      <c r="O419" s="215">
        <f t="shared" si="61"/>
        <v>34.893600000000006</v>
      </c>
      <c r="P419" s="215">
        <f t="shared" si="61"/>
        <v>34.893600000000006</v>
      </c>
      <c r="Q419" s="215">
        <f t="shared" si="61"/>
        <v>34.893600000000006</v>
      </c>
      <c r="R419" s="15" t="s">
        <v>838</v>
      </c>
      <c r="S419" s="15" t="s">
        <v>840</v>
      </c>
      <c r="T419" s="15" t="s">
        <v>447</v>
      </c>
      <c r="U419" s="15" t="s">
        <v>446</v>
      </c>
      <c r="V419" s="390" t="s">
        <v>441</v>
      </c>
      <c r="W419" s="159" t="s">
        <v>445</v>
      </c>
      <c r="X419" s="160">
        <v>1005</v>
      </c>
      <c r="Y419" s="161" t="s">
        <v>444</v>
      </c>
      <c r="Z419" s="162">
        <v>6.2E-2</v>
      </c>
      <c r="AA419" s="157" t="s">
        <v>392</v>
      </c>
      <c r="AB419" s="163">
        <v>1</v>
      </c>
      <c r="AC419" s="157" t="s">
        <v>443</v>
      </c>
      <c r="AD419" s="163">
        <v>0.56000000000000005</v>
      </c>
      <c r="AE419" s="157" t="s">
        <v>442</v>
      </c>
      <c r="AF419" s="164">
        <v>3.1399999999999997E-2</v>
      </c>
      <c r="AG419" s="166"/>
      <c r="AH419" s="166"/>
      <c r="AI419" s="166"/>
      <c r="AJ419" s="166"/>
      <c r="AK419" s="166"/>
      <c r="AL419" s="166"/>
      <c r="AM419" s="166"/>
      <c r="AN419" s="166"/>
      <c r="AO419" s="166"/>
      <c r="AP419" s="166"/>
      <c r="AQ419" s="166"/>
      <c r="AR419" s="166"/>
      <c r="AS419" s="166"/>
      <c r="AT419" s="166"/>
      <c r="AU419" s="343"/>
      <c r="AV419" s="348"/>
      <c r="AW419" s="343"/>
      <c r="AX419" s="343"/>
      <c r="AY419" s="346"/>
      <c r="AZ419" s="346"/>
      <c r="BA419" s="346"/>
      <c r="BB419" s="27"/>
    </row>
    <row r="420" spans="1:54">
      <c r="A420" s="2" t="str">
        <f t="shared" si="57"/>
        <v>Low Income - SF New Construction_Duct Sealing</v>
      </c>
      <c r="B420" s="18">
        <v>417</v>
      </c>
      <c r="C420" s="23" t="s">
        <v>716</v>
      </c>
      <c r="D420" s="23" t="s">
        <v>707</v>
      </c>
      <c r="E420" s="23" t="s">
        <v>429</v>
      </c>
      <c r="F420" s="23">
        <v>120</v>
      </c>
      <c r="G420" s="154">
        <v>1</v>
      </c>
      <c r="H420" s="447">
        <v>20</v>
      </c>
      <c r="I420" s="436">
        <v>20</v>
      </c>
      <c r="J420" s="23">
        <v>0</v>
      </c>
      <c r="K420" s="23">
        <f t="shared" si="60"/>
        <v>0</v>
      </c>
      <c r="L420" s="23">
        <f t="shared" si="60"/>
        <v>0</v>
      </c>
      <c r="M420" s="23">
        <f t="shared" si="60"/>
        <v>0</v>
      </c>
      <c r="N420" s="216">
        <f>X420/(Z420*0.0123)*AB420*Z420*AH420*(AD420/AF420)/100000</f>
        <v>0.70950058072009281</v>
      </c>
      <c r="O420" s="215">
        <f t="shared" si="61"/>
        <v>0.70950058072009281</v>
      </c>
      <c r="P420" s="215">
        <f t="shared" si="61"/>
        <v>0.70950058072009281</v>
      </c>
      <c r="Q420" s="215">
        <f t="shared" si="61"/>
        <v>0.70950058072009281</v>
      </c>
      <c r="R420" s="15" t="s">
        <v>838</v>
      </c>
      <c r="S420" s="15" t="s">
        <v>840</v>
      </c>
      <c r="T420" s="15" t="s">
        <v>428</v>
      </c>
      <c r="U420" s="15" t="s">
        <v>427</v>
      </c>
      <c r="V420" s="166" t="s">
        <v>420</v>
      </c>
      <c r="W420" s="166" t="s">
        <v>426</v>
      </c>
      <c r="X420" s="166">
        <v>1</v>
      </c>
      <c r="Y420" s="166" t="s">
        <v>425</v>
      </c>
      <c r="Z420" s="398">
        <v>76000</v>
      </c>
      <c r="AA420" s="158" t="s">
        <v>424</v>
      </c>
      <c r="AB420" s="398">
        <v>1840</v>
      </c>
      <c r="AC420" s="158" t="s">
        <v>423</v>
      </c>
      <c r="AD420" s="403">
        <v>0.83</v>
      </c>
      <c r="AE420" s="158" t="s">
        <v>422</v>
      </c>
      <c r="AF420" s="397">
        <v>0.7</v>
      </c>
      <c r="AG420" s="166" t="s">
        <v>421</v>
      </c>
      <c r="AH420" s="397">
        <v>0.4</v>
      </c>
      <c r="AI420" s="166"/>
      <c r="AJ420" s="166"/>
      <c r="AK420" s="166"/>
      <c r="AL420" s="166"/>
      <c r="AM420" s="166"/>
      <c r="AN420" s="166"/>
      <c r="AO420" s="166"/>
      <c r="AP420" s="166"/>
      <c r="AQ420" s="166"/>
      <c r="AR420" s="166"/>
      <c r="AS420" s="166"/>
      <c r="AT420" s="166"/>
      <c r="AU420" s="343"/>
      <c r="AV420" s="348"/>
      <c r="AW420" s="343"/>
      <c r="AX420" s="343"/>
      <c r="AY420" s="346"/>
      <c r="AZ420" s="346"/>
      <c r="BA420" s="346"/>
      <c r="BB420" s="27"/>
    </row>
    <row r="421" spans="1:54">
      <c r="A421" s="2" t="str">
        <f t="shared" si="57"/>
        <v>Low Income - MF New Construction_New Construction</v>
      </c>
      <c r="B421" s="18">
        <v>418</v>
      </c>
      <c r="C421" s="23" t="s">
        <v>717</v>
      </c>
      <c r="D421" s="23" t="s">
        <v>676</v>
      </c>
      <c r="E421" s="23" t="s">
        <v>150</v>
      </c>
      <c r="F421" s="23">
        <v>1</v>
      </c>
      <c r="G421" s="154">
        <v>1</v>
      </c>
      <c r="H421" s="447">
        <v>15</v>
      </c>
      <c r="I421" s="436">
        <v>15</v>
      </c>
      <c r="J421" s="23">
        <v>0</v>
      </c>
      <c r="K421" s="23">
        <f t="shared" si="60"/>
        <v>0</v>
      </c>
      <c r="L421" s="23">
        <f t="shared" si="60"/>
        <v>0</v>
      </c>
      <c r="M421" s="23">
        <f t="shared" si="60"/>
        <v>0</v>
      </c>
      <c r="N421" s="215">
        <v>6100</v>
      </c>
      <c r="O421" s="215">
        <f t="shared" si="61"/>
        <v>6100</v>
      </c>
      <c r="P421" s="215">
        <f t="shared" si="61"/>
        <v>6100</v>
      </c>
      <c r="Q421" s="215">
        <f t="shared" si="61"/>
        <v>6100</v>
      </c>
      <c r="R421" s="18" t="s">
        <v>140</v>
      </c>
      <c r="S421" s="18" t="s">
        <v>140</v>
      </c>
      <c r="T421" s="18" t="s">
        <v>140</v>
      </c>
      <c r="U421" s="18" t="s">
        <v>140</v>
      </c>
      <c r="V421" s="390"/>
      <c r="W421" s="390"/>
      <c r="X421" s="390"/>
      <c r="Y421" s="390"/>
      <c r="Z421" s="390"/>
      <c r="AA421" s="390"/>
      <c r="AB421" s="390"/>
      <c r="AC421" s="390"/>
      <c r="AD421" s="390"/>
      <c r="AE421" s="390"/>
      <c r="AF421" s="390"/>
      <c r="AG421" s="390"/>
      <c r="AH421" s="390"/>
      <c r="AI421" s="390"/>
      <c r="AJ421" s="390"/>
      <c r="AK421" s="390"/>
      <c r="AL421" s="390"/>
      <c r="AM421" s="390"/>
      <c r="AN421" s="390"/>
      <c r="AO421" s="390"/>
      <c r="AP421" s="390"/>
      <c r="AQ421" s="390"/>
      <c r="AR421" s="390"/>
      <c r="AS421" s="390"/>
      <c r="AT421" s="390"/>
      <c r="AU421" s="343"/>
      <c r="AV421" s="348"/>
      <c r="AW421" s="343"/>
      <c r="AX421" s="343"/>
      <c r="AY421" s="346"/>
      <c r="AZ421" s="346"/>
      <c r="BA421" s="346"/>
      <c r="BB421" s="27"/>
    </row>
    <row r="422" spans="1:54">
      <c r="N422" s="439"/>
      <c r="O422" s="439"/>
      <c r="P422" s="439"/>
      <c r="Q422" s="439"/>
      <c r="U422" s="2"/>
      <c r="W422" s="2"/>
      <c r="X422" s="2"/>
      <c r="Y422" s="2"/>
      <c r="Z422" s="2"/>
      <c r="AA422" s="2"/>
      <c r="AC422" s="2"/>
      <c r="AE422" s="2"/>
      <c r="AU422" s="343"/>
      <c r="AV422" s="348"/>
      <c r="AW422" s="343"/>
      <c r="AX422" s="343"/>
      <c r="AY422" s="346"/>
      <c r="AZ422" s="345"/>
      <c r="BA422" s="346"/>
      <c r="BB422" s="27"/>
    </row>
    <row r="423" spans="1:54">
      <c r="N423" s="439"/>
      <c r="O423" s="439"/>
      <c r="P423" s="439"/>
      <c r="Q423" s="439"/>
      <c r="U423" s="2"/>
      <c r="W423" s="2"/>
      <c r="X423" s="2"/>
      <c r="Y423" s="2"/>
      <c r="Z423" s="2"/>
      <c r="AA423" s="2"/>
      <c r="AC423" s="2"/>
      <c r="AE423" s="2"/>
      <c r="AU423" s="343"/>
      <c r="AV423" s="348"/>
      <c r="AW423" s="343"/>
      <c r="AX423" s="343"/>
      <c r="AY423" s="346"/>
      <c r="AZ423" s="345"/>
      <c r="BA423" s="346"/>
      <c r="BB423" s="27"/>
    </row>
    <row r="424" spans="1:54">
      <c r="N424" s="439"/>
      <c r="O424" s="439"/>
      <c r="P424" s="439"/>
      <c r="Q424" s="439"/>
      <c r="U424" s="2"/>
      <c r="W424" s="2"/>
      <c r="X424" s="2"/>
      <c r="Y424" s="2"/>
      <c r="Z424" s="2"/>
      <c r="AA424" s="2"/>
      <c r="AC424" s="2"/>
      <c r="AE424" s="2"/>
      <c r="AU424" s="343"/>
      <c r="AV424" s="348"/>
      <c r="AW424" s="343"/>
      <c r="AX424" s="343"/>
      <c r="AY424" s="346"/>
      <c r="AZ424" s="345"/>
      <c r="BA424" s="346"/>
      <c r="BB424" s="27"/>
    </row>
    <row r="425" spans="1:54">
      <c r="N425" s="439"/>
      <c r="O425" s="439"/>
      <c r="P425" s="439"/>
      <c r="Q425" s="439"/>
      <c r="U425" s="2"/>
      <c r="W425" s="2"/>
      <c r="X425" s="2"/>
      <c r="Y425" s="2"/>
      <c r="Z425" s="2"/>
      <c r="AA425" s="2"/>
      <c r="AC425" s="2"/>
      <c r="AE425" s="2"/>
      <c r="AU425" s="343"/>
      <c r="AV425" s="348"/>
      <c r="AW425" s="343"/>
      <c r="AX425" s="343"/>
      <c r="AY425" s="346"/>
      <c r="AZ425" s="345"/>
      <c r="BA425" s="346"/>
      <c r="BB425" s="27"/>
    </row>
    <row r="426" spans="1:54">
      <c r="N426" s="439"/>
      <c r="O426" s="439"/>
      <c r="P426" s="439"/>
      <c r="Q426" s="439"/>
      <c r="U426" s="2"/>
      <c r="W426" s="2"/>
      <c r="X426" s="2"/>
      <c r="Y426" s="2"/>
      <c r="Z426" s="2"/>
      <c r="AA426" s="2"/>
      <c r="AC426" s="2"/>
      <c r="AE426" s="2"/>
      <c r="AU426" s="343"/>
      <c r="AV426" s="348"/>
      <c r="AW426" s="343"/>
      <c r="AX426" s="343"/>
      <c r="AY426" s="346"/>
      <c r="AZ426" s="345"/>
      <c r="BA426" s="346"/>
      <c r="BB426" s="27"/>
    </row>
  </sheetData>
  <autoFilter ref="B3:AT421" xr:uid="{00000000-0009-0000-0000-000004000000}"/>
  <sortState xmlns:xlrd2="http://schemas.microsoft.com/office/spreadsheetml/2017/richdata2" ref="C164:AO290">
    <sortCondition ref="D167:D293"/>
  </sortState>
  <mergeCells count="2">
    <mergeCell ref="J2:M2"/>
    <mergeCell ref="N2:Q2"/>
  </mergeCells>
  <pageMargins left="0.7" right="0.7" top="0.75" bottom="0.75" header="0.3" footer="0.3"/>
  <pageSetup scale="26" orientation="landscape" r:id="rId1"/>
  <colBreaks count="1" manualBreakCount="1">
    <brk id="22"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3:O65"/>
  <sheetViews>
    <sheetView zoomScale="70" zoomScaleNormal="70" zoomScaleSheetLayoutView="70" workbookViewId="0"/>
  </sheetViews>
  <sheetFormatPr defaultRowHeight="14.5"/>
  <cols>
    <col min="2" max="2" width="21.54296875" bestFit="1" customWidth="1"/>
    <col min="3" max="3" width="19.1796875" bestFit="1" customWidth="1"/>
    <col min="4" max="4" width="20.81640625" bestFit="1" customWidth="1"/>
    <col min="5" max="5" width="19.1796875" bestFit="1" customWidth="1"/>
    <col min="6" max="6" width="9" bestFit="1" customWidth="1"/>
    <col min="7" max="7" width="27.81640625" bestFit="1" customWidth="1"/>
  </cols>
  <sheetData>
    <row r="3" spans="1:15" s="147" customFormat="1" ht="13">
      <c r="A3" s="72" t="s">
        <v>650</v>
      </c>
      <c r="B3" s="72"/>
      <c r="C3" s="72"/>
      <c r="D3" s="148"/>
      <c r="E3" s="148"/>
      <c r="F3" s="148"/>
      <c r="H3" s="148"/>
      <c r="I3" s="148"/>
      <c r="J3" s="148"/>
      <c r="K3" s="148"/>
      <c r="L3" s="148"/>
      <c r="M3" s="148"/>
      <c r="N3" s="148"/>
      <c r="O3" s="148"/>
    </row>
    <row r="4" spans="1:15" s="31" customFormat="1" ht="13">
      <c r="A4" s="117" t="s">
        <v>649</v>
      </c>
      <c r="B4" s="117"/>
      <c r="C4" s="117"/>
      <c r="D4" s="117"/>
      <c r="E4" s="117"/>
      <c r="F4" s="117"/>
      <c r="G4" s="117"/>
      <c r="H4" s="117"/>
      <c r="I4" s="117"/>
    </row>
    <row r="5" spans="1:15" s="31" customFormat="1" ht="13">
      <c r="A5" s="117" t="s">
        <v>648</v>
      </c>
      <c r="B5" s="117"/>
      <c r="C5" s="117"/>
      <c r="D5" s="117"/>
      <c r="E5" s="117"/>
      <c r="F5" s="117"/>
      <c r="G5" s="117"/>
      <c r="H5" s="117"/>
      <c r="I5" s="117"/>
    </row>
    <row r="6" spans="1:15" s="31" customFormat="1" ht="13">
      <c r="A6" s="117" t="s">
        <v>647</v>
      </c>
      <c r="B6" s="117"/>
      <c r="C6" s="117"/>
      <c r="D6" s="117"/>
      <c r="E6" s="117"/>
      <c r="F6" s="117"/>
      <c r="G6" s="117"/>
      <c r="H6" s="117"/>
      <c r="I6" s="117"/>
      <c r="J6" s="117"/>
      <c r="K6" s="117"/>
      <c r="L6" s="117"/>
      <c r="M6" s="117"/>
      <c r="N6" s="117"/>
      <c r="O6" s="117"/>
    </row>
    <row r="7" spans="1:15" s="31" customFormat="1" ht="13">
      <c r="A7" s="117" t="s">
        <v>646</v>
      </c>
      <c r="B7" s="117"/>
      <c r="C7" s="117"/>
      <c r="D7" s="117"/>
      <c r="E7" s="117"/>
      <c r="F7" s="117"/>
      <c r="G7" s="117"/>
      <c r="H7" s="117"/>
      <c r="I7" s="117"/>
      <c r="J7" s="117"/>
      <c r="K7" s="117"/>
      <c r="L7" s="117"/>
      <c r="M7" s="117"/>
      <c r="N7" s="117"/>
      <c r="O7" s="117"/>
    </row>
    <row r="8" spans="1:15" s="31" customFormat="1" ht="13">
      <c r="A8" s="117" t="s">
        <v>645</v>
      </c>
      <c r="B8" s="117"/>
      <c r="C8" s="117"/>
      <c r="D8" s="117"/>
      <c r="E8" s="117"/>
      <c r="F8" s="117"/>
      <c r="G8" s="117"/>
      <c r="H8" s="117"/>
      <c r="I8" s="117"/>
      <c r="J8" s="117"/>
      <c r="K8" s="117"/>
      <c r="L8" s="117"/>
      <c r="M8" s="117"/>
      <c r="N8" s="117"/>
      <c r="O8" s="117"/>
    </row>
    <row r="9" spans="1:15" s="31" customFormat="1" ht="13.5" thickBot="1">
      <c r="A9" s="117"/>
      <c r="B9" s="117"/>
      <c r="C9" s="117"/>
      <c r="D9" s="117"/>
      <c r="E9" s="117"/>
      <c r="F9" s="117"/>
      <c r="G9" s="117"/>
      <c r="H9" s="117"/>
      <c r="I9" s="117"/>
      <c r="J9" s="117"/>
      <c r="K9" s="117"/>
      <c r="L9" s="117"/>
      <c r="M9" s="117"/>
      <c r="N9" s="117"/>
      <c r="O9" s="117"/>
    </row>
    <row r="10" spans="1:15" s="2" customFormat="1" ht="13">
      <c r="A10" s="5"/>
      <c r="B10" s="146" t="s">
        <v>611</v>
      </c>
      <c r="C10" s="145" t="s">
        <v>644</v>
      </c>
      <c r="D10" s="144" t="s">
        <v>643</v>
      </c>
      <c r="E10" s="144" t="s">
        <v>642</v>
      </c>
      <c r="F10" s="5"/>
      <c r="G10" s="5"/>
      <c r="H10" s="5"/>
      <c r="I10" s="5"/>
      <c r="J10" s="5"/>
      <c r="K10" s="5"/>
      <c r="L10" s="5"/>
      <c r="M10" s="5"/>
      <c r="N10" s="5"/>
    </row>
    <row r="11" spans="1:15" s="2" customFormat="1" ht="13">
      <c r="A11" s="5"/>
      <c r="B11" s="131" t="s">
        <v>641</v>
      </c>
      <c r="C11" s="136">
        <v>200</v>
      </c>
      <c r="D11" s="143">
        <v>250</v>
      </c>
      <c r="E11" s="143">
        <v>400</v>
      </c>
      <c r="F11" s="5" t="s">
        <v>640</v>
      </c>
      <c r="G11" s="5"/>
      <c r="H11" s="5"/>
      <c r="I11" s="5"/>
      <c r="J11" s="5"/>
      <c r="K11" s="5"/>
      <c r="L11" s="5"/>
      <c r="M11" s="5"/>
      <c r="N11" s="5"/>
    </row>
    <row r="12" spans="1:15" s="2" customFormat="1" ht="13">
      <c r="A12" s="5"/>
      <c r="B12" s="131" t="s">
        <v>639</v>
      </c>
      <c r="C12" s="142">
        <v>250</v>
      </c>
      <c r="D12" s="141">
        <v>250</v>
      </c>
      <c r="E12" s="141">
        <v>250</v>
      </c>
      <c r="F12" s="5" t="s">
        <v>602</v>
      </c>
      <c r="G12" s="5"/>
      <c r="H12" s="5"/>
      <c r="I12" s="5"/>
      <c r="J12" s="5"/>
      <c r="K12" s="5"/>
      <c r="L12" s="5"/>
      <c r="M12" s="5"/>
      <c r="N12" s="5"/>
    </row>
    <row r="13" spans="1:15" s="2" customFormat="1" ht="13">
      <c r="A13" s="5"/>
      <c r="B13" s="131" t="s">
        <v>638</v>
      </c>
      <c r="C13" s="140">
        <v>0.52</v>
      </c>
      <c r="D13" s="139">
        <v>0.52</v>
      </c>
      <c r="E13" s="139">
        <v>0.52</v>
      </c>
      <c r="F13" s="5"/>
      <c r="G13" s="5"/>
      <c r="H13" s="5"/>
      <c r="I13" s="5"/>
      <c r="J13" s="5"/>
      <c r="K13" s="5"/>
      <c r="L13" s="5"/>
      <c r="M13" s="5"/>
      <c r="N13" s="5"/>
    </row>
    <row r="14" spans="1:15" s="2" customFormat="1" ht="13">
      <c r="A14" s="5"/>
      <c r="B14" s="131" t="s">
        <v>637</v>
      </c>
      <c r="C14" s="138">
        <v>0.56000000000000005</v>
      </c>
      <c r="D14" s="137">
        <v>0.56000000000000005</v>
      </c>
      <c r="E14" s="137">
        <v>0.56000000000000005</v>
      </c>
      <c r="F14" s="5"/>
      <c r="G14" s="5"/>
      <c r="H14" s="5"/>
      <c r="I14" s="5"/>
      <c r="J14" s="5"/>
      <c r="K14" s="5"/>
      <c r="L14" s="5"/>
      <c r="M14" s="5"/>
      <c r="N14" s="5"/>
    </row>
    <row r="15" spans="1:15" s="2" customFormat="1" ht="13">
      <c r="A15" s="5"/>
      <c r="B15" s="131" t="s">
        <v>636</v>
      </c>
      <c r="C15" s="138">
        <v>0.5</v>
      </c>
      <c r="D15" s="137">
        <v>0.5</v>
      </c>
      <c r="E15" s="137">
        <v>0.5</v>
      </c>
      <c r="F15" s="5"/>
      <c r="G15" s="5"/>
      <c r="H15" s="5"/>
      <c r="I15" s="5"/>
      <c r="J15" s="5"/>
      <c r="K15" s="5"/>
      <c r="L15" s="5"/>
      <c r="M15" s="5"/>
      <c r="N15" s="5"/>
    </row>
    <row r="16" spans="1:15" s="2" customFormat="1" ht="13">
      <c r="A16" s="5"/>
      <c r="B16" s="131" t="s">
        <v>635</v>
      </c>
      <c r="C16" s="130">
        <v>18658</v>
      </c>
      <c r="D16" s="129">
        <v>24562</v>
      </c>
      <c r="E16" s="129">
        <v>43300</v>
      </c>
      <c r="F16" s="5" t="s">
        <v>594</v>
      </c>
      <c r="G16" s="5"/>
      <c r="H16" s="5"/>
      <c r="I16" s="5"/>
      <c r="J16" s="5"/>
      <c r="K16" s="5"/>
      <c r="L16" s="5"/>
      <c r="M16" s="5"/>
      <c r="N16" s="5"/>
    </row>
    <row r="17" spans="1:14" s="2" customFormat="1" ht="13">
      <c r="A17" s="5"/>
      <c r="B17" s="131" t="s">
        <v>634</v>
      </c>
      <c r="C17" s="130">
        <v>195</v>
      </c>
      <c r="D17" s="129">
        <v>211</v>
      </c>
      <c r="E17" s="129">
        <v>579</v>
      </c>
      <c r="F17" s="5" t="s">
        <v>592</v>
      </c>
      <c r="G17" s="5"/>
      <c r="H17" s="5"/>
      <c r="I17" s="5"/>
      <c r="J17" s="5"/>
      <c r="K17" s="5"/>
      <c r="L17" s="5"/>
      <c r="M17" s="5"/>
      <c r="N17" s="5"/>
    </row>
    <row r="18" spans="1:14" s="2" customFormat="1" ht="13">
      <c r="A18" s="5"/>
      <c r="B18" s="131" t="s">
        <v>633</v>
      </c>
      <c r="C18" s="130">
        <v>105</v>
      </c>
      <c r="D18" s="132">
        <v>105</v>
      </c>
      <c r="E18" s="132">
        <v>105</v>
      </c>
      <c r="F18" s="5"/>
      <c r="G18" s="5"/>
      <c r="H18" s="5"/>
      <c r="I18" s="5"/>
      <c r="J18" s="5"/>
      <c r="K18" s="5"/>
      <c r="L18" s="5"/>
      <c r="M18" s="5"/>
      <c r="N18" s="5"/>
    </row>
    <row r="19" spans="1:14" s="2" customFormat="1" ht="13">
      <c r="A19" s="5"/>
      <c r="B19" s="131" t="s">
        <v>632</v>
      </c>
      <c r="C19" s="134">
        <v>0.39</v>
      </c>
      <c r="D19" s="133">
        <v>0.39</v>
      </c>
      <c r="E19" s="133">
        <v>0.39</v>
      </c>
      <c r="F19" s="5"/>
      <c r="G19" s="5"/>
      <c r="H19" s="5"/>
      <c r="I19" s="5"/>
      <c r="J19" s="5"/>
      <c r="K19" s="5"/>
      <c r="L19" s="5"/>
      <c r="M19" s="5"/>
      <c r="N19" s="5"/>
    </row>
    <row r="20" spans="1:14" s="2" customFormat="1" ht="13">
      <c r="A20" s="5"/>
      <c r="B20" s="131" t="s">
        <v>631</v>
      </c>
      <c r="C20" s="134">
        <v>0.41</v>
      </c>
      <c r="D20" s="133">
        <v>0.41</v>
      </c>
      <c r="E20" s="133">
        <v>0.41</v>
      </c>
      <c r="F20" s="5"/>
      <c r="G20" s="5"/>
      <c r="H20" s="5"/>
      <c r="I20" s="5"/>
      <c r="J20" s="5"/>
      <c r="K20" s="5"/>
      <c r="L20" s="5"/>
      <c r="M20" s="5"/>
      <c r="N20" s="5"/>
    </row>
    <row r="21" spans="1:14" s="2" customFormat="1" ht="13">
      <c r="A21" s="5"/>
      <c r="B21" s="131" t="s">
        <v>153</v>
      </c>
      <c r="C21" s="136">
        <v>12</v>
      </c>
      <c r="D21" s="135">
        <v>12</v>
      </c>
      <c r="E21" s="135">
        <v>12</v>
      </c>
      <c r="F21" s="5"/>
      <c r="G21" s="5"/>
      <c r="H21" s="5"/>
      <c r="I21" s="5"/>
      <c r="J21" s="5"/>
      <c r="K21" s="5"/>
      <c r="L21" s="5"/>
      <c r="M21" s="5"/>
      <c r="N21" s="5"/>
    </row>
    <row r="22" spans="1:14" s="2" customFormat="1" ht="13">
      <c r="A22" s="5"/>
      <c r="B22" s="131" t="s">
        <v>630</v>
      </c>
      <c r="C22" s="134">
        <v>0.5</v>
      </c>
      <c r="D22" s="133">
        <v>0.5</v>
      </c>
      <c r="E22" s="133">
        <v>0.5</v>
      </c>
      <c r="F22" s="5"/>
      <c r="G22" s="5"/>
      <c r="H22" s="5"/>
      <c r="I22" s="5"/>
      <c r="J22" s="5"/>
      <c r="K22" s="5"/>
      <c r="L22" s="5"/>
      <c r="M22" s="5"/>
      <c r="N22" s="5"/>
    </row>
    <row r="23" spans="1:14" s="2" customFormat="1" ht="13">
      <c r="A23" s="5"/>
      <c r="B23" s="131" t="s">
        <v>629</v>
      </c>
      <c r="C23" s="130">
        <v>8747</v>
      </c>
      <c r="D23" s="130">
        <v>10788</v>
      </c>
      <c r="E23" s="132">
        <v>13000</v>
      </c>
      <c r="F23" s="5"/>
      <c r="G23" s="5"/>
      <c r="H23" s="5"/>
      <c r="I23" s="5"/>
      <c r="J23" s="5"/>
      <c r="K23" s="5"/>
      <c r="L23" s="5"/>
      <c r="M23" s="5"/>
      <c r="N23" s="5"/>
    </row>
    <row r="24" spans="1:14" s="2" customFormat="1" ht="13">
      <c r="A24" s="5"/>
      <c r="B24" s="131" t="s">
        <v>628</v>
      </c>
      <c r="C24" s="130">
        <v>125</v>
      </c>
      <c r="D24" s="129">
        <v>176</v>
      </c>
      <c r="E24" s="129">
        <v>392</v>
      </c>
      <c r="F24" s="5"/>
      <c r="G24" s="5"/>
      <c r="H24" s="5"/>
      <c r="I24" s="5"/>
      <c r="J24" s="5"/>
      <c r="K24" s="5"/>
      <c r="L24" s="5"/>
      <c r="M24" s="5"/>
      <c r="N24" s="5"/>
    </row>
    <row r="25" spans="1:14" s="2" customFormat="1" ht="13">
      <c r="A25" s="5"/>
      <c r="B25" s="128" t="s">
        <v>627</v>
      </c>
      <c r="C25" s="127">
        <v>124</v>
      </c>
      <c r="D25" s="126">
        <v>210</v>
      </c>
      <c r="E25" s="126">
        <v>394</v>
      </c>
      <c r="F25" s="5"/>
      <c r="G25" s="5"/>
      <c r="H25" s="5"/>
      <c r="I25" s="5"/>
      <c r="J25" s="5"/>
      <c r="K25" s="5"/>
      <c r="L25" s="5"/>
      <c r="M25" s="5"/>
      <c r="N25" s="5"/>
    </row>
    <row r="26" spans="1:14" s="2" customFormat="1" ht="13">
      <c r="A26" s="5"/>
      <c r="B26" s="128" t="s">
        <v>626</v>
      </c>
      <c r="C26" s="127">
        <f>150*15+5425</f>
        <v>7675</v>
      </c>
      <c r="D26" s="126">
        <f>150*22+5425</f>
        <v>8725</v>
      </c>
      <c r="E26" s="126">
        <f>150*30+5425</f>
        <v>9925</v>
      </c>
      <c r="F26" s="5"/>
      <c r="G26" s="5"/>
      <c r="H26" s="5"/>
      <c r="I26" s="5"/>
      <c r="J26" s="5"/>
      <c r="K26" s="5"/>
      <c r="L26" s="5"/>
      <c r="M26" s="5"/>
      <c r="N26" s="5"/>
    </row>
    <row r="27" spans="1:14" s="2" customFormat="1" ht="13">
      <c r="A27" s="5"/>
      <c r="B27" s="128" t="s">
        <v>625</v>
      </c>
      <c r="C27" s="127">
        <f>200*15+6511</f>
        <v>9511</v>
      </c>
      <c r="D27" s="126">
        <f>200*22+6511</f>
        <v>10911</v>
      </c>
      <c r="E27" s="126">
        <f>200*30+6511</f>
        <v>12511</v>
      </c>
      <c r="F27" s="5"/>
      <c r="G27" s="5"/>
      <c r="H27" s="5"/>
      <c r="I27" s="5"/>
      <c r="J27" s="5"/>
      <c r="K27" s="5"/>
      <c r="L27" s="5"/>
      <c r="M27" s="5"/>
      <c r="N27" s="5"/>
    </row>
    <row r="28" spans="1:14" s="2" customFormat="1" ht="13.5" thickBot="1">
      <c r="A28" s="5"/>
      <c r="B28" s="128" t="s">
        <v>624</v>
      </c>
      <c r="C28" s="127">
        <v>172</v>
      </c>
      <c r="D28" s="126">
        <v>277</v>
      </c>
      <c r="E28" s="126">
        <v>640</v>
      </c>
      <c r="F28" s="5"/>
      <c r="G28" s="5"/>
      <c r="H28" s="5"/>
      <c r="I28" s="5"/>
      <c r="J28" s="5"/>
      <c r="K28" s="5"/>
      <c r="L28" s="5"/>
      <c r="M28" s="5"/>
      <c r="N28" s="5"/>
    </row>
    <row r="29" spans="1:14" s="2" customFormat="1" ht="13">
      <c r="A29" s="5"/>
      <c r="B29" s="125" t="s">
        <v>623</v>
      </c>
      <c r="C29" s="124">
        <f>C11*(C12/C13-C12/C14)*C15</f>
        <v>3434.0659340659386</v>
      </c>
      <c r="D29" s="124">
        <f>D11*(D12/D13-D12/D14)*D15</f>
        <v>4292.5824175824237</v>
      </c>
      <c r="E29" s="124">
        <f>E11*(E12/E13-E12/E14)*E15</f>
        <v>6868.1318681318771</v>
      </c>
      <c r="F29" s="5"/>
      <c r="G29" s="5"/>
      <c r="H29" s="5"/>
      <c r="I29" s="5"/>
      <c r="J29" s="5"/>
      <c r="K29" s="5"/>
      <c r="L29" s="5"/>
      <c r="M29" s="5"/>
      <c r="N29" s="5"/>
    </row>
    <row r="30" spans="1:14" s="2" customFormat="1" ht="13">
      <c r="A30" s="5"/>
      <c r="B30" s="123" t="s">
        <v>622</v>
      </c>
      <c r="C30" s="122">
        <f>(C16*((C21-C11/C17)*C22))-C27*((C21-C11/C28)*C22)</f>
        <v>50843.446034585577</v>
      </c>
      <c r="D30" s="122">
        <f>(D16*((D21-D11/D17)*D22))-D27*((D21-D11/D28)*D22)</f>
        <v>72278.788594795275</v>
      </c>
      <c r="E30" s="122">
        <f>(E16*((E21-E11/E17)*E22))-E27*((E21-E11/E28)*E22)</f>
        <v>173686.86539291881</v>
      </c>
      <c r="F30" s="5"/>
      <c r="G30" s="5"/>
      <c r="H30" s="5"/>
      <c r="I30" s="5"/>
      <c r="J30" s="5"/>
      <c r="K30" s="5"/>
      <c r="L30" s="5"/>
      <c r="M30" s="5"/>
      <c r="N30" s="5"/>
    </row>
    <row r="31" spans="1:14" s="2" customFormat="1" ht="13">
      <c r="A31" s="5"/>
      <c r="B31" s="121" t="s">
        <v>621</v>
      </c>
      <c r="C31" s="120">
        <f>C11*(C18/C19-C18/C20)*C22</f>
        <v>1313.3208255159445</v>
      </c>
      <c r="D31" s="120">
        <f>D11*(D18/D19-D18/D20)*D22</f>
        <v>1641.6510318949306</v>
      </c>
      <c r="E31" s="120">
        <f>E11*(E18/E19-E18/E20)*E22</f>
        <v>2626.6416510318891</v>
      </c>
      <c r="F31" s="5"/>
      <c r="G31" s="5"/>
      <c r="H31" s="5"/>
      <c r="I31" s="5"/>
      <c r="J31" s="5"/>
      <c r="K31" s="5"/>
      <c r="L31" s="5"/>
      <c r="M31" s="5"/>
      <c r="N31" s="5"/>
    </row>
    <row r="32" spans="1:14" s="2" customFormat="1" ht="13.5" thickBot="1">
      <c r="A32" s="5"/>
      <c r="B32" s="121" t="s">
        <v>620</v>
      </c>
      <c r="C32" s="120">
        <f>(C23*((C21-C11/C24)*C15))-C26*((C21-C11/C25)*C15)</f>
        <v>5623.9161290322591</v>
      </c>
      <c r="D32" s="120">
        <f>(D23*((D21-D11/D24)*D15))-D26*((D21-D11/D25)*D15)</f>
        <v>9909.5205627705582</v>
      </c>
      <c r="E32" s="120">
        <f>(E23*((E21-E11/E24)*E15))-E26*((E21-E11/E25)*E15)</f>
        <v>16855.41800476535</v>
      </c>
      <c r="F32" s="5"/>
      <c r="G32" s="5"/>
      <c r="H32" s="5"/>
      <c r="I32" s="5"/>
      <c r="J32" s="5"/>
      <c r="K32" s="5"/>
      <c r="L32" s="5"/>
      <c r="M32" s="5"/>
      <c r="N32" s="5"/>
    </row>
    <row r="33" spans="1:14" s="2" customFormat="1" ht="13.5" thickBot="1">
      <c r="A33" s="5"/>
      <c r="B33" s="119" t="s">
        <v>619</v>
      </c>
      <c r="C33" s="118">
        <f>(C29+C31+C32+C30)*365/100000</f>
        <v>223.43383356967897</v>
      </c>
      <c r="D33" s="118">
        <f>(D29+D31+D32+D30)*365/100000</f>
        <v>321.64728051570762</v>
      </c>
      <c r="E33" s="118">
        <f>(E29+E31+E32+E30)*365/100000</f>
        <v>730.13525774649497</v>
      </c>
      <c r="F33" s="5"/>
      <c r="G33" s="5"/>
      <c r="H33" s="5"/>
      <c r="I33" s="5"/>
      <c r="J33" s="5"/>
      <c r="K33" s="5"/>
      <c r="L33" s="5"/>
      <c r="M33" s="5"/>
      <c r="N33" s="5"/>
    </row>
    <row r="34" spans="1:14" s="2" customFormat="1" ht="13"/>
    <row r="35" spans="1:14" s="2" customFormat="1" ht="13"/>
    <row r="36" spans="1:14" s="79" customFormat="1" ht="13">
      <c r="A36" s="72" t="s">
        <v>618</v>
      </c>
      <c r="B36" s="72"/>
    </row>
    <row r="37" spans="1:14" s="2" customFormat="1" ht="13">
      <c r="A37" s="117" t="s">
        <v>617</v>
      </c>
    </row>
    <row r="38" spans="1:14" s="2" customFormat="1" ht="13">
      <c r="A38" s="117" t="s">
        <v>616</v>
      </c>
    </row>
    <row r="39" spans="1:14" s="2" customFormat="1" ht="13">
      <c r="A39" s="117" t="s">
        <v>615</v>
      </c>
    </row>
    <row r="40" spans="1:14" s="2" customFormat="1" ht="13">
      <c r="A40" s="117" t="s">
        <v>614</v>
      </c>
    </row>
    <row r="41" spans="1:14" s="2" customFormat="1" ht="13">
      <c r="A41" s="117" t="s">
        <v>613</v>
      </c>
    </row>
    <row r="42" spans="1:14" s="2" customFormat="1" ht="13.5" thickBot="1">
      <c r="A42" s="31"/>
    </row>
    <row r="43" spans="1:14" s="2" customFormat="1" ht="13.5" thickBot="1">
      <c r="C43" s="116" t="s">
        <v>612</v>
      </c>
      <c r="D43" s="115"/>
      <c r="E43" s="115"/>
      <c r="F43" s="114"/>
    </row>
    <row r="44" spans="1:14" s="109" customFormat="1" ht="13">
      <c r="B44" s="113" t="s">
        <v>611</v>
      </c>
      <c r="C44" s="112" t="s">
        <v>610</v>
      </c>
      <c r="D44" s="111" t="s">
        <v>609</v>
      </c>
      <c r="E44" s="111" t="s">
        <v>608</v>
      </c>
      <c r="F44" s="110" t="s">
        <v>607</v>
      </c>
    </row>
    <row r="45" spans="1:14" s="2" customFormat="1" ht="13">
      <c r="B45" s="100" t="s">
        <v>606</v>
      </c>
      <c r="C45" s="104">
        <v>0.9</v>
      </c>
      <c r="D45" s="103">
        <v>0.9</v>
      </c>
      <c r="E45" s="103">
        <v>0.9</v>
      </c>
      <c r="F45" s="102">
        <v>0.9</v>
      </c>
    </row>
    <row r="46" spans="1:14" s="2" customFormat="1" ht="13">
      <c r="B46" s="100" t="s">
        <v>605</v>
      </c>
      <c r="C46" s="108">
        <v>11000</v>
      </c>
      <c r="D46" s="78">
        <v>14667</v>
      </c>
      <c r="E46" s="78">
        <v>18333</v>
      </c>
      <c r="F46" s="98">
        <v>22000</v>
      </c>
      <c r="G46" s="2" t="s">
        <v>594</v>
      </c>
    </row>
    <row r="47" spans="1:14" s="2" customFormat="1" ht="13">
      <c r="B47" s="100" t="s">
        <v>604</v>
      </c>
      <c r="C47" s="108">
        <v>65</v>
      </c>
      <c r="D47" s="78">
        <v>87</v>
      </c>
      <c r="E47" s="78">
        <v>108</v>
      </c>
      <c r="F47" s="98">
        <v>130</v>
      </c>
      <c r="G47" s="2" t="s">
        <v>592</v>
      </c>
    </row>
    <row r="48" spans="1:14" s="2" customFormat="1" ht="13">
      <c r="B48" s="100" t="s">
        <v>603</v>
      </c>
      <c r="C48" s="108">
        <v>105</v>
      </c>
      <c r="D48" s="78">
        <v>105</v>
      </c>
      <c r="E48" s="78">
        <v>105</v>
      </c>
      <c r="F48" s="98">
        <v>105</v>
      </c>
      <c r="G48" s="2" t="s">
        <v>602</v>
      </c>
    </row>
    <row r="49" spans="2:7" s="2" customFormat="1" ht="13">
      <c r="B49" s="100" t="s">
        <v>601</v>
      </c>
      <c r="C49" s="104">
        <v>0.15</v>
      </c>
      <c r="D49" s="103">
        <v>0.15</v>
      </c>
      <c r="E49" s="103">
        <v>0.15</v>
      </c>
      <c r="F49" s="102">
        <v>0.15</v>
      </c>
    </row>
    <row r="50" spans="2:7" s="2" customFormat="1" ht="13">
      <c r="B50" s="100" t="s">
        <v>600</v>
      </c>
      <c r="C50" s="107">
        <v>6</v>
      </c>
      <c r="D50" s="106">
        <v>6</v>
      </c>
      <c r="E50" s="106">
        <v>6</v>
      </c>
      <c r="F50" s="105">
        <v>6</v>
      </c>
      <c r="G50" s="2" t="s">
        <v>599</v>
      </c>
    </row>
    <row r="51" spans="2:7" s="2" customFormat="1" ht="13">
      <c r="B51" s="100" t="s">
        <v>598</v>
      </c>
      <c r="C51" s="107">
        <v>100</v>
      </c>
      <c r="D51" s="106">
        <v>100</v>
      </c>
      <c r="E51" s="106">
        <v>100</v>
      </c>
      <c r="F51" s="105">
        <v>100</v>
      </c>
      <c r="G51" s="2" t="s">
        <v>597</v>
      </c>
    </row>
    <row r="52" spans="2:7" s="2" customFormat="1" ht="13">
      <c r="B52" s="100" t="s">
        <v>596</v>
      </c>
      <c r="C52" s="104">
        <v>0</v>
      </c>
      <c r="D52" s="103">
        <v>0</v>
      </c>
      <c r="E52" s="103">
        <v>0</v>
      </c>
      <c r="F52" s="102">
        <v>0</v>
      </c>
    </row>
    <row r="53" spans="2:7" s="2" customFormat="1" ht="13">
      <c r="B53" s="100" t="s">
        <v>595</v>
      </c>
      <c r="C53" s="60">
        <v>6250</v>
      </c>
      <c r="D53" s="19">
        <v>8333</v>
      </c>
      <c r="E53" s="19">
        <v>10417</v>
      </c>
      <c r="F53" s="101">
        <v>12500</v>
      </c>
      <c r="G53" s="2" t="s">
        <v>594</v>
      </c>
    </row>
    <row r="54" spans="2:7" s="2" customFormat="1" ht="13">
      <c r="B54" s="100" t="s">
        <v>593</v>
      </c>
      <c r="C54" s="60">
        <v>55</v>
      </c>
      <c r="D54" s="19">
        <v>73</v>
      </c>
      <c r="E54" s="19">
        <v>92</v>
      </c>
      <c r="F54" s="101">
        <v>110</v>
      </c>
      <c r="G54" s="2" t="s">
        <v>592</v>
      </c>
    </row>
    <row r="55" spans="2:7" s="2" customFormat="1" ht="13">
      <c r="B55" s="100" t="s">
        <v>591</v>
      </c>
      <c r="C55" s="104">
        <v>0.38</v>
      </c>
      <c r="D55" s="103">
        <v>0.38</v>
      </c>
      <c r="E55" s="103">
        <v>0.38</v>
      </c>
      <c r="F55" s="102">
        <v>0.38</v>
      </c>
    </row>
    <row r="56" spans="2:7" s="2" customFormat="1" ht="13">
      <c r="B56" s="100" t="s">
        <v>590</v>
      </c>
      <c r="C56" s="60">
        <v>1</v>
      </c>
      <c r="D56" s="19">
        <v>1</v>
      </c>
      <c r="E56" s="19">
        <v>1</v>
      </c>
      <c r="F56" s="101">
        <v>1</v>
      </c>
      <c r="G56" s="2" t="s">
        <v>589</v>
      </c>
    </row>
    <row r="57" spans="2:7" s="2" customFormat="1" ht="13">
      <c r="B57" s="100" t="s">
        <v>588</v>
      </c>
      <c r="C57" s="99">
        <v>11000</v>
      </c>
      <c r="D57" s="78">
        <v>11000</v>
      </c>
      <c r="E57" s="78">
        <v>11000</v>
      </c>
      <c r="F57" s="98">
        <v>11000</v>
      </c>
      <c r="G57" s="2" t="s">
        <v>587</v>
      </c>
    </row>
    <row r="58" spans="2:7" s="2" customFormat="1" ht="13.5" thickBot="1">
      <c r="B58" s="97" t="s">
        <v>586</v>
      </c>
      <c r="C58" s="96">
        <v>365.25</v>
      </c>
      <c r="D58" s="95">
        <v>365.25</v>
      </c>
      <c r="E58" s="95">
        <v>365.25</v>
      </c>
      <c r="F58" s="94">
        <v>365.25</v>
      </c>
    </row>
    <row r="59" spans="2:7" s="2" customFormat="1" ht="13">
      <c r="B59" s="93" t="s">
        <v>585</v>
      </c>
      <c r="C59" s="92">
        <f>((1-C$45)*C$46+C$45*C$47*C$48/C$49)*(C$50-(C$51/C$47)-(C$56*0.25))-((1-C$52)*C$53+C$52*C$54*C$48/C$55)*(C$50-(C$51/C$54)-(C$56*0.25))</f>
        <v>152521.32867132867</v>
      </c>
      <c r="D59" s="92">
        <f>((1-D$45)*D$46+D$45*D$47*D$48/D$49)*(D$50-(D$51/D$47)-(D$56*0.25))-((1-D$52)*D$53+D$52*D$54*D$48/D$55)*(D$50-(D$51/D$54)-(D$56*0.25))</f>
        <v>222405.48142418516</v>
      </c>
      <c r="E59" s="92">
        <f>((1-E$45)*E$46+E$45*E$47*E$48/E$49)*(E$50-(E$51/E$47)-(E$56*0.25))-((1-E$52)*E$53+E$52*E$54*E$48/E$55)*(E$50-(E$51/E$54)-(E$56*0.25))</f>
        <v>288499.05108695658</v>
      </c>
      <c r="F59" s="92">
        <f>((1-F$45)*F$46+F$45*F$47*F$48/F$49)*(F$50-(F$51/F$47)-(F$56*0.25))-((1-F$52)*F$53+F$52*F$54*F$48/F$55)*(F$50-(F$51/F$54)-(F$56*0.25))</f>
        <v>358371.32867132867</v>
      </c>
    </row>
    <row r="60" spans="2:7" s="2" customFormat="1" ht="13">
      <c r="B60" s="91" t="s">
        <v>584</v>
      </c>
      <c r="C60" s="90">
        <f>C$56*C$57</f>
        <v>11000</v>
      </c>
      <c r="D60" s="89">
        <f>D$56*D$57</f>
        <v>11000</v>
      </c>
      <c r="E60" s="89">
        <f>E$56*E$57</f>
        <v>11000</v>
      </c>
      <c r="F60" s="88">
        <f>F$56*F$57</f>
        <v>11000</v>
      </c>
    </row>
    <row r="61" spans="2:7" s="2" customFormat="1" ht="13.5" thickBot="1">
      <c r="B61" s="87" t="s">
        <v>583</v>
      </c>
      <c r="C61" s="86">
        <f>((1/C$49)-(1/C$55))*C51*C48</f>
        <v>42368.42105263158</v>
      </c>
      <c r="D61" s="85">
        <f>((1/D$49)-(1/D$55))*D51*D48</f>
        <v>42368.42105263158</v>
      </c>
      <c r="E61" s="85">
        <f>((1/E$49)-(1/E$55))*E51*E48</f>
        <v>42368.42105263158</v>
      </c>
      <c r="F61" s="84">
        <f>((1/F$49)-(1/F$55))*F51*F48</f>
        <v>42368.42105263158</v>
      </c>
    </row>
    <row r="62" spans="2:7" s="2" customFormat="1" ht="13.5" thickBot="1">
      <c r="B62" s="83" t="s">
        <v>582</v>
      </c>
      <c r="C62" s="82">
        <f>((C$61+C$60+C$59)/100000)*C$58</f>
        <v>752.01231086676478</v>
      </c>
      <c r="D62" s="81">
        <f>((D$61+D$60+D$59)/100000)*D$58</f>
        <v>1007.2641787965732</v>
      </c>
      <c r="E62" s="81">
        <f>((E$61+E$60+E$59)/100000)*E$58</f>
        <v>1248.6709419898457</v>
      </c>
      <c r="F62" s="80">
        <f>((F$61+F$60+F$59)/100000)*F$58</f>
        <v>1503.8794358667649</v>
      </c>
    </row>
    <row r="63" spans="2:7" s="2" customFormat="1" ht="13"/>
    <row r="64" spans="2:7" s="4" customFormat="1" ht="13"/>
    <row r="65" s="4" customFormat="1" ht="13"/>
  </sheetData>
  <pageMargins left="0.7" right="0.7" top="0.75" bottom="0.75" header="0.3" footer="0.3"/>
  <pageSetup scale="2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499984740745262"/>
  </sheetPr>
  <dimension ref="A3:AD120"/>
  <sheetViews>
    <sheetView zoomScale="70" zoomScaleNormal="70" zoomScaleSheetLayoutView="70" workbookViewId="0"/>
  </sheetViews>
  <sheetFormatPr defaultRowHeight="14.5"/>
  <cols>
    <col min="1" max="1" width="43.453125" customWidth="1"/>
    <col min="2" max="2" width="11.54296875" customWidth="1"/>
    <col min="3" max="3" width="13.81640625" bestFit="1" customWidth="1"/>
    <col min="4" max="4" width="15.26953125" bestFit="1" customWidth="1"/>
    <col min="5" max="5" width="12" bestFit="1" customWidth="1"/>
    <col min="6" max="6" width="8.7265625" bestFit="1" customWidth="1"/>
    <col min="7" max="7" width="15.26953125" bestFit="1" customWidth="1"/>
    <col min="8" max="8" width="9.7265625" bestFit="1" customWidth="1"/>
    <col min="9" max="9" width="7.7265625" bestFit="1" customWidth="1"/>
    <col min="10" max="10" width="8.54296875" customWidth="1"/>
    <col min="11" max="11" width="13.26953125" bestFit="1" customWidth="1"/>
    <col min="12" max="12" width="14.81640625" bestFit="1" customWidth="1"/>
    <col min="13" max="13" width="13.26953125" bestFit="1" customWidth="1"/>
    <col min="14" max="14" width="7.81640625" customWidth="1"/>
    <col min="15" max="15" width="5.453125" bestFit="1" customWidth="1"/>
    <col min="16" max="16" width="5" bestFit="1" customWidth="1"/>
    <col min="17" max="19" width="11.1796875" customWidth="1"/>
  </cols>
  <sheetData>
    <row r="3" spans="1:30" s="71" customFormat="1" ht="13">
      <c r="A3" s="72" t="s">
        <v>540</v>
      </c>
      <c r="B3" s="72"/>
      <c r="C3" s="72"/>
    </row>
    <row r="4" spans="1:30" s="69" customFormat="1" ht="13">
      <c r="A4" s="67" t="s">
        <v>539</v>
      </c>
      <c r="B4" s="70"/>
      <c r="C4" s="70"/>
      <c r="D4" s="70"/>
      <c r="E4" s="70"/>
      <c r="F4" s="70"/>
      <c r="G4" s="70"/>
      <c r="H4" s="70"/>
      <c r="I4" s="70"/>
      <c r="J4" s="70"/>
      <c r="K4" s="70"/>
      <c r="L4" s="70"/>
      <c r="M4" s="70"/>
      <c r="N4" s="70"/>
      <c r="O4" s="70"/>
      <c r="Z4" s="6"/>
      <c r="AA4" s="6"/>
      <c r="AB4" s="6"/>
      <c r="AC4" s="6"/>
      <c r="AD4" s="6"/>
    </row>
    <row r="5" spans="1:30" s="6" customFormat="1" ht="13">
      <c r="A5" s="68" t="s">
        <v>538</v>
      </c>
      <c r="B5" s="67"/>
      <c r="C5" s="67"/>
      <c r="D5" s="67"/>
      <c r="E5" s="67"/>
      <c r="F5" s="67"/>
      <c r="G5" s="67"/>
      <c r="H5" s="67"/>
      <c r="I5" s="67"/>
      <c r="J5" s="67"/>
      <c r="K5" s="67"/>
      <c r="L5" s="67"/>
      <c r="M5" s="67"/>
      <c r="N5" s="67"/>
      <c r="O5" s="67"/>
    </row>
    <row r="6" spans="1:30" s="4" customFormat="1" ht="13">
      <c r="A6" s="2"/>
      <c r="B6" s="2"/>
      <c r="C6" s="2"/>
      <c r="D6" s="2"/>
      <c r="E6" s="2"/>
      <c r="F6" s="31"/>
      <c r="G6" s="31"/>
      <c r="H6" s="31"/>
      <c r="I6" s="31"/>
      <c r="J6" s="31"/>
      <c r="K6" s="31"/>
      <c r="L6" s="31"/>
      <c r="M6" s="31"/>
      <c r="N6" s="27"/>
      <c r="O6" s="27"/>
      <c r="P6" s="27"/>
      <c r="Q6" s="31"/>
      <c r="R6" s="31"/>
      <c r="S6" s="31"/>
    </row>
    <row r="7" spans="1:30" s="4" customFormat="1" ht="13">
      <c r="A7" s="554" t="s">
        <v>537</v>
      </c>
      <c r="B7" s="554" t="s">
        <v>536</v>
      </c>
      <c r="C7" s="554"/>
      <c r="D7" s="554"/>
      <c r="E7" s="554"/>
      <c r="F7" s="554"/>
      <c r="G7" s="554" t="s">
        <v>535</v>
      </c>
      <c r="H7" s="554"/>
      <c r="I7" s="554"/>
      <c r="J7" s="558" t="s">
        <v>534</v>
      </c>
      <c r="K7" s="558"/>
      <c r="L7" s="558"/>
      <c r="M7" s="558"/>
      <c r="N7" s="558"/>
      <c r="O7" s="558"/>
      <c r="P7" s="31"/>
      <c r="Q7" s="31"/>
      <c r="R7" s="559" t="s">
        <v>533</v>
      </c>
      <c r="S7" s="560"/>
    </row>
    <row r="8" spans="1:30" s="4" customFormat="1" ht="26">
      <c r="A8" s="554"/>
      <c r="B8" s="66" t="s">
        <v>532</v>
      </c>
      <c r="C8" s="66" t="s">
        <v>532</v>
      </c>
      <c r="D8" s="66" t="s">
        <v>531</v>
      </c>
      <c r="E8" s="66" t="s">
        <v>530</v>
      </c>
      <c r="F8" s="66" t="s">
        <v>529</v>
      </c>
      <c r="G8" s="66" t="s">
        <v>531</v>
      </c>
      <c r="H8" s="66" t="s">
        <v>530</v>
      </c>
      <c r="I8" s="66" t="s">
        <v>529</v>
      </c>
      <c r="J8" s="65" t="s">
        <v>523</v>
      </c>
      <c r="K8" s="65" t="s">
        <v>522</v>
      </c>
      <c r="L8" s="65" t="s">
        <v>528</v>
      </c>
      <c r="M8" s="65" t="s">
        <v>527</v>
      </c>
      <c r="N8" s="65" t="s">
        <v>526</v>
      </c>
      <c r="O8" s="65" t="s">
        <v>525</v>
      </c>
      <c r="P8" s="65" t="s">
        <v>524</v>
      </c>
      <c r="Q8" s="31"/>
      <c r="R8" s="64" t="s">
        <v>523</v>
      </c>
      <c r="S8" s="64" t="s">
        <v>522</v>
      </c>
    </row>
    <row r="9" spans="1:30" s="4" customFormat="1" ht="13">
      <c r="A9" s="553" t="s">
        <v>521</v>
      </c>
      <c r="B9" s="57">
        <v>114.8</v>
      </c>
      <c r="C9" s="57">
        <v>27.34</v>
      </c>
      <c r="D9" s="55">
        <v>69.760000000000005</v>
      </c>
      <c r="E9" s="55">
        <v>46</v>
      </c>
      <c r="F9" s="55"/>
      <c r="G9" s="55">
        <v>16.170000000000002</v>
      </c>
      <c r="H9" s="55">
        <v>11.69</v>
      </c>
      <c r="I9" s="55"/>
      <c r="J9" s="54">
        <f t="shared" ref="J9:J25" si="0">((B9-C9)*$B$36*$B$33)/(100000*$B$30)</f>
        <v>3.7651150681536549</v>
      </c>
      <c r="K9" s="54"/>
      <c r="L9" s="54"/>
      <c r="M9" s="54">
        <f t="shared" ref="M9:M15" si="1">((D9-G9)*$B$36*$B$33)/(100000*$B$31)</f>
        <v>2.8731021450617282</v>
      </c>
      <c r="N9" s="58">
        <f t="shared" ref="N9:N20" si="2">(((E9-H9)+(D9-G9))/2*$B$36*$B$33)/(100000*$B$32)</f>
        <v>1.8643064102564104</v>
      </c>
      <c r="O9" s="58"/>
      <c r="P9" s="52"/>
      <c r="Q9" s="63"/>
      <c r="R9" s="62"/>
      <c r="S9" s="62"/>
    </row>
    <row r="10" spans="1:30" s="4" customFormat="1" ht="13">
      <c r="A10" s="553"/>
      <c r="B10" s="57">
        <v>140.19999999999999</v>
      </c>
      <c r="C10" s="57">
        <v>28.46</v>
      </c>
      <c r="D10" s="55">
        <v>80.05</v>
      </c>
      <c r="E10" s="55">
        <v>56.07</v>
      </c>
      <c r="F10" s="55">
        <v>38.5</v>
      </c>
      <c r="G10" s="55">
        <v>16.850000000000001</v>
      </c>
      <c r="H10" s="55">
        <v>12.19</v>
      </c>
      <c r="I10" s="55">
        <v>8.6999999999999993</v>
      </c>
      <c r="J10" s="54">
        <f t="shared" si="0"/>
        <v>4.8103585377942988</v>
      </c>
      <c r="K10" s="54"/>
      <c r="L10" s="54">
        <f t="shared" ref="L10:L15" si="3">((D10-G10)*$B$36*$B$33)/(100000*$B$30)</f>
        <v>2.7207325898389092</v>
      </c>
      <c r="M10" s="54">
        <f t="shared" si="1"/>
        <v>3.3883197530864191</v>
      </c>
      <c r="N10" s="58">
        <f t="shared" si="2"/>
        <v>2.2711027350427346</v>
      </c>
      <c r="O10" s="58">
        <f t="shared" ref="O10:O15" si="4">((F10-I10)*$B$35*$B$34)/(100000*$B$32)</f>
        <v>2.6792492307692308</v>
      </c>
      <c r="P10" s="52">
        <v>1</v>
      </c>
      <c r="Q10" s="51">
        <f t="shared" ref="Q10:Q25" si="5">28.716*P10^3</f>
        <v>28.716000000000001</v>
      </c>
      <c r="R10" s="555">
        <f>(1/Q10*L10+1/Q11*L11+1/Q12*L12+1/Q13*L13)/(1/Q10+1/Q11+1/Q12+1/Q13)</f>
        <v>3.1854757047967208</v>
      </c>
      <c r="S10" s="555">
        <f>(1/Q10*M10+1/Q11*M11+1/Q12*M12+1/Q13*M13)/(1/Q10+1/Q11+1/Q12+1/Q13)</f>
        <v>3.967097058288509</v>
      </c>
    </row>
    <row r="11" spans="1:30" s="4" customFormat="1" ht="13">
      <c r="A11" s="553"/>
      <c r="B11" s="57">
        <v>172.9</v>
      </c>
      <c r="C11" s="57">
        <v>36.479999999999997</v>
      </c>
      <c r="D11" s="55">
        <v>98.61</v>
      </c>
      <c r="E11" s="55">
        <v>69.040000000000006</v>
      </c>
      <c r="F11" s="55">
        <v>47.38</v>
      </c>
      <c r="G11" s="55">
        <v>21.56</v>
      </c>
      <c r="H11" s="55">
        <v>15.58</v>
      </c>
      <c r="I11" s="55">
        <v>11.1</v>
      </c>
      <c r="J11" s="54">
        <f t="shared" si="0"/>
        <v>5.8728218339529121</v>
      </c>
      <c r="K11" s="54"/>
      <c r="L11" s="54">
        <f t="shared" si="3"/>
        <v>3.3169690830235434</v>
      </c>
      <c r="M11" s="54">
        <f t="shared" si="1"/>
        <v>4.1308550154320987</v>
      </c>
      <c r="N11" s="58">
        <f t="shared" si="2"/>
        <v>2.7680390170940163</v>
      </c>
      <c r="O11" s="58">
        <f t="shared" si="4"/>
        <v>3.2618510769230769</v>
      </c>
      <c r="P11" s="52">
        <v>1.25</v>
      </c>
      <c r="Q11" s="51">
        <f t="shared" si="5"/>
        <v>56.0859375</v>
      </c>
      <c r="R11" s="555"/>
      <c r="S11" s="555"/>
    </row>
    <row r="12" spans="1:30" s="4" customFormat="1" ht="13">
      <c r="A12" s="553"/>
      <c r="B12" s="57">
        <v>195.5</v>
      </c>
      <c r="C12" s="57">
        <v>36.99</v>
      </c>
      <c r="D12" s="55">
        <v>111.4</v>
      </c>
      <c r="E12" s="55">
        <v>77.98</v>
      </c>
      <c r="F12" s="55">
        <v>53.5</v>
      </c>
      <c r="G12" s="55">
        <v>21.88</v>
      </c>
      <c r="H12" s="55">
        <v>15.82</v>
      </c>
      <c r="I12" s="55">
        <v>11.28</v>
      </c>
      <c r="J12" s="54">
        <f t="shared" si="0"/>
        <v>6.823786753407683</v>
      </c>
      <c r="K12" s="54"/>
      <c r="L12" s="54">
        <f t="shared" si="3"/>
        <v>3.8537971747211901</v>
      </c>
      <c r="M12" s="54">
        <f t="shared" si="1"/>
        <v>4.7994048148148156</v>
      </c>
      <c r="N12" s="58">
        <f t="shared" si="2"/>
        <v>3.2170420512820512</v>
      </c>
      <c r="O12" s="58">
        <f t="shared" si="4"/>
        <v>3.7959027692307687</v>
      </c>
      <c r="P12" s="52">
        <v>1.5</v>
      </c>
      <c r="Q12" s="51">
        <f t="shared" si="5"/>
        <v>96.916499999999999</v>
      </c>
      <c r="R12" s="555"/>
      <c r="S12" s="555"/>
    </row>
    <row r="13" spans="1:30" s="4" customFormat="1" ht="13">
      <c r="A13" s="553" t="s">
        <v>520</v>
      </c>
      <c r="B13" s="57">
        <v>239.9</v>
      </c>
      <c r="C13" s="57">
        <v>43.22</v>
      </c>
      <c r="D13" s="55">
        <v>136.6</v>
      </c>
      <c r="E13" s="55">
        <v>95.55</v>
      </c>
      <c r="F13" s="55">
        <v>65.53</v>
      </c>
      <c r="G13" s="55">
        <v>25.55</v>
      </c>
      <c r="H13" s="55">
        <v>18.48</v>
      </c>
      <c r="I13" s="55">
        <v>13.17</v>
      </c>
      <c r="J13" s="54">
        <f t="shared" si="0"/>
        <v>8.4669886988847569</v>
      </c>
      <c r="K13" s="54"/>
      <c r="L13" s="54">
        <f t="shared" si="3"/>
        <v>4.7806543370508052</v>
      </c>
      <c r="M13" s="54">
        <f t="shared" si="1"/>
        <v>5.9536852623456786</v>
      </c>
      <c r="N13" s="58">
        <f t="shared" si="2"/>
        <v>3.9899126495726498</v>
      </c>
      <c r="O13" s="58">
        <f t="shared" si="4"/>
        <v>4.7075667692307697</v>
      </c>
      <c r="P13" s="52">
        <v>2</v>
      </c>
      <c r="Q13" s="51">
        <f t="shared" si="5"/>
        <v>229.72800000000001</v>
      </c>
      <c r="R13" s="555"/>
      <c r="S13" s="555"/>
    </row>
    <row r="14" spans="1:30" s="4" customFormat="1" ht="13">
      <c r="A14" s="553"/>
      <c r="B14" s="57">
        <v>286.2</v>
      </c>
      <c r="C14" s="57">
        <v>49.65</v>
      </c>
      <c r="D14" s="55">
        <v>162.80000000000001</v>
      </c>
      <c r="E14" s="55">
        <v>113.9</v>
      </c>
      <c r="F14" s="55">
        <v>78.069999999999993</v>
      </c>
      <c r="G14" s="55">
        <v>29.35</v>
      </c>
      <c r="H14" s="55">
        <v>21.21</v>
      </c>
      <c r="I14" s="55">
        <v>15.12</v>
      </c>
      <c r="J14" s="54">
        <f t="shared" si="0"/>
        <v>10.183374907063195</v>
      </c>
      <c r="K14" s="22"/>
      <c r="L14" s="22">
        <f t="shared" si="3"/>
        <v>5.7449646220570019</v>
      </c>
      <c r="M14" s="22">
        <f t="shared" si="1"/>
        <v>7.154608719135803</v>
      </c>
      <c r="N14" s="61">
        <f t="shared" si="2"/>
        <v>4.7962941025641026</v>
      </c>
      <c r="O14" s="61">
        <f t="shared" si="4"/>
        <v>5.6596892307692306</v>
      </c>
      <c r="P14" s="60">
        <v>2.5</v>
      </c>
      <c r="Q14" s="59">
        <f t="shared" si="5"/>
        <v>448.6875</v>
      </c>
      <c r="R14" s="556">
        <f>(1/Q14*L14+1/Q15*L15+1/Q16*J16+1/Q17*J17+1/Q18*J18+1/Q19*J19)/(1/Q14+1/Q15+1/Q16+1/Q17+1/Q18+1/Q19)</f>
        <v>9.7774837796756167</v>
      </c>
      <c r="S14" s="555">
        <f>(1/Q14*M14+1/Q15*M15+1/Q16*K16+1/Q17*K17+1/Q18*K18+1/Q19*K19)/(1/Q14+1/Q15+1/Q16+1/Q17+1/Q18+1/Q19)</f>
        <v>12.176588595984912</v>
      </c>
    </row>
    <row r="15" spans="1:30" s="4" customFormat="1" ht="13">
      <c r="A15" s="553"/>
      <c r="B15" s="57">
        <v>343.7</v>
      </c>
      <c r="C15" s="57">
        <v>58.69</v>
      </c>
      <c r="D15" s="56">
        <v>195.4</v>
      </c>
      <c r="E15" s="55">
        <v>136.6</v>
      </c>
      <c r="F15" s="56">
        <v>93.64</v>
      </c>
      <c r="G15" s="55">
        <v>34.67</v>
      </c>
      <c r="H15" s="55">
        <v>25.05</v>
      </c>
      <c r="I15" s="55">
        <v>17.850000000000001</v>
      </c>
      <c r="J15" s="54">
        <f t="shared" si="0"/>
        <v>12.269556889714993</v>
      </c>
      <c r="K15" s="22"/>
      <c r="L15" s="22">
        <f t="shared" si="3"/>
        <v>6.9193567905824036</v>
      </c>
      <c r="M15" s="22">
        <f t="shared" si="1"/>
        <v>8.6171619290123456</v>
      </c>
      <c r="N15" s="61">
        <f t="shared" si="2"/>
        <v>5.774895897435897</v>
      </c>
      <c r="O15" s="61">
        <f t="shared" si="4"/>
        <v>6.8141039999999986</v>
      </c>
      <c r="P15" s="60">
        <v>3</v>
      </c>
      <c r="Q15" s="59">
        <f t="shared" si="5"/>
        <v>775.33199999999999</v>
      </c>
      <c r="R15" s="556"/>
      <c r="S15" s="555"/>
    </row>
    <row r="16" spans="1:30" s="4" customFormat="1" ht="13">
      <c r="A16" s="553"/>
      <c r="B16" s="57">
        <v>389.5</v>
      </c>
      <c r="C16" s="57">
        <v>55.22</v>
      </c>
      <c r="D16" s="56">
        <v>221.4</v>
      </c>
      <c r="E16" s="55">
        <v>154.69999999999999</v>
      </c>
      <c r="F16" s="56">
        <v>106</v>
      </c>
      <c r="G16" s="55">
        <v>32.67</v>
      </c>
      <c r="H16" s="55">
        <v>23.63</v>
      </c>
      <c r="I16" s="55">
        <v>16.86</v>
      </c>
      <c r="J16" s="22">
        <f t="shared" si="0"/>
        <v>14.390609021065673</v>
      </c>
      <c r="K16" s="22">
        <f t="shared" ref="K16:K25" si="6">((B16-C16)*$B$36*$B$33)/(100000*$B$31)</f>
        <v>17.921638086419751</v>
      </c>
      <c r="L16" s="22"/>
      <c r="M16" s="22"/>
      <c r="N16" s="61">
        <f t="shared" si="2"/>
        <v>6.7827666666666664</v>
      </c>
      <c r="O16" s="61"/>
      <c r="P16" s="60">
        <v>3.5</v>
      </c>
      <c r="Q16" s="59">
        <f t="shared" si="5"/>
        <v>1231.1985</v>
      </c>
      <c r="R16" s="556"/>
      <c r="S16" s="555"/>
    </row>
    <row r="17" spans="1:19" s="4" customFormat="1" ht="13">
      <c r="A17" s="553"/>
      <c r="B17" s="57">
        <v>435.2</v>
      </c>
      <c r="C17" s="57">
        <v>70.19</v>
      </c>
      <c r="D17" s="56">
        <v>247.2</v>
      </c>
      <c r="E17" s="55">
        <v>172.8</v>
      </c>
      <c r="F17" s="56">
        <v>118.4</v>
      </c>
      <c r="G17" s="55">
        <v>41.46</v>
      </c>
      <c r="H17" s="55">
        <v>29.96</v>
      </c>
      <c r="I17" s="55">
        <v>21.35</v>
      </c>
      <c r="J17" s="22">
        <f t="shared" si="0"/>
        <v>15.713522193308549</v>
      </c>
      <c r="K17" s="22">
        <f t="shared" si="6"/>
        <v>19.569154953703702</v>
      </c>
      <c r="L17" s="22"/>
      <c r="M17" s="22"/>
      <c r="N17" s="61">
        <f t="shared" si="2"/>
        <v>7.3931732478632473</v>
      </c>
      <c r="O17" s="61">
        <f>((F17-I17)*$B$35*$B$34)/(100000*$B$32)</f>
        <v>8.72554153846154</v>
      </c>
      <c r="P17" s="60">
        <v>4</v>
      </c>
      <c r="Q17" s="59">
        <f t="shared" si="5"/>
        <v>1837.8240000000001</v>
      </c>
      <c r="R17" s="556"/>
      <c r="S17" s="555"/>
    </row>
    <row r="18" spans="1:19" s="4" customFormat="1" ht="13">
      <c r="A18" s="553"/>
      <c r="B18" s="57">
        <v>480.7</v>
      </c>
      <c r="C18" s="57">
        <v>65.72</v>
      </c>
      <c r="D18" s="56">
        <v>273</v>
      </c>
      <c r="E18" s="55">
        <v>190.8</v>
      </c>
      <c r="F18" s="56">
        <v>130.69999999999999</v>
      </c>
      <c r="G18" s="55">
        <v>38.869999999999997</v>
      </c>
      <c r="H18" s="55">
        <v>28.12</v>
      </c>
      <c r="I18" s="55">
        <v>20.05</v>
      </c>
      <c r="J18" s="22">
        <f t="shared" si="0"/>
        <v>17.864709021065675</v>
      </c>
      <c r="K18" s="22">
        <f t="shared" si="6"/>
        <v>22.248179290123456</v>
      </c>
      <c r="L18" s="22"/>
      <c r="M18" s="22"/>
      <c r="N18" s="61">
        <f t="shared" si="2"/>
        <v>8.4161026923076925</v>
      </c>
      <c r="O18" s="61">
        <f>((F18-I18)*$B$35*$B$34)/(100000*$B$32)</f>
        <v>9.9482861538461513</v>
      </c>
      <c r="P18" s="60">
        <v>4.5</v>
      </c>
      <c r="Q18" s="59">
        <f t="shared" si="5"/>
        <v>2616.7455</v>
      </c>
      <c r="R18" s="556"/>
      <c r="S18" s="555"/>
    </row>
    <row r="19" spans="1:19" s="4" customFormat="1" ht="13">
      <c r="A19" s="553" t="s">
        <v>519</v>
      </c>
      <c r="B19" s="57">
        <v>531.79999999999995</v>
      </c>
      <c r="C19" s="57">
        <v>87.36</v>
      </c>
      <c r="D19" s="56">
        <v>301.89999999999998</v>
      </c>
      <c r="E19" s="55">
        <v>210.9</v>
      </c>
      <c r="F19" s="56">
        <v>144.5</v>
      </c>
      <c r="G19" s="55">
        <v>51.57</v>
      </c>
      <c r="H19" s="55">
        <v>37.24</v>
      </c>
      <c r="I19" s="55">
        <v>26.53</v>
      </c>
      <c r="J19" s="22">
        <f t="shared" si="0"/>
        <v>19.132949244113998</v>
      </c>
      <c r="K19" s="22">
        <f t="shared" si="6"/>
        <v>23.827608086419747</v>
      </c>
      <c r="L19" s="22"/>
      <c r="M19" s="22"/>
      <c r="N19" s="61">
        <f t="shared" si="2"/>
        <v>8.9925742307692307</v>
      </c>
      <c r="O19" s="61">
        <f>((F19-I19)*$B$35*$B$34)/(100000*$B$32)</f>
        <v>10.606410461538461</v>
      </c>
      <c r="P19" s="60">
        <v>5</v>
      </c>
      <c r="Q19" s="59">
        <f t="shared" si="5"/>
        <v>3589.5</v>
      </c>
      <c r="R19" s="556"/>
      <c r="S19" s="555"/>
    </row>
    <row r="20" spans="1:19" s="4" customFormat="1" ht="13">
      <c r="A20" s="553"/>
      <c r="B20" s="57">
        <v>627.9</v>
      </c>
      <c r="C20" s="57">
        <v>103.5</v>
      </c>
      <c r="D20" s="56">
        <v>356.3</v>
      </c>
      <c r="E20" s="55">
        <v>248.9</v>
      </c>
      <c r="F20" s="56">
        <v>170.5</v>
      </c>
      <c r="G20" s="55">
        <v>61.09</v>
      </c>
      <c r="H20" s="55">
        <v>44.11</v>
      </c>
      <c r="I20" s="55">
        <v>31.41</v>
      </c>
      <c r="J20" s="54">
        <f t="shared" si="0"/>
        <v>22.575192565055762</v>
      </c>
      <c r="K20" s="54">
        <f t="shared" si="6"/>
        <v>28.114475925925927</v>
      </c>
      <c r="L20" s="54"/>
      <c r="M20" s="54"/>
      <c r="N20" s="58">
        <f t="shared" si="2"/>
        <v>10.604700854700855</v>
      </c>
      <c r="O20" s="58">
        <f>((F20-I20)*$B$35*$B$34)/(100000*$B$32)</f>
        <v>12.505260923076923</v>
      </c>
      <c r="P20" s="52">
        <v>6</v>
      </c>
      <c r="Q20" s="51">
        <f t="shared" si="5"/>
        <v>6202.6559999999999</v>
      </c>
      <c r="R20" s="555">
        <f>(1/Q20*J20+1/Q21*J21+1/Q22*J22)/(1/Q20+1/Q21+1/Q22)</f>
        <v>24.999763600321025</v>
      </c>
      <c r="S20" s="555">
        <f>(1/Q20*K20+1/Q21*K21+1/Q22*K22)/(1/Q20+1/Q21+1/Q22)</f>
        <v>31.133964854103496</v>
      </c>
    </row>
    <row r="21" spans="1:19" s="4" customFormat="1" ht="13">
      <c r="A21" s="553"/>
      <c r="B21" s="57">
        <v>718</v>
      </c>
      <c r="C21" s="57">
        <v>116.9</v>
      </c>
      <c r="D21" s="56"/>
      <c r="E21" s="55"/>
      <c r="F21" s="56"/>
      <c r="G21" s="55"/>
      <c r="H21" s="55"/>
      <c r="I21" s="55"/>
      <c r="J21" s="54">
        <f t="shared" si="0"/>
        <v>25.877094299876084</v>
      </c>
      <c r="K21" s="54">
        <f t="shared" si="6"/>
        <v>32.226566512345677</v>
      </c>
      <c r="L21" s="54"/>
      <c r="M21" s="54"/>
      <c r="N21" s="58"/>
      <c r="O21" s="58"/>
      <c r="P21" s="52">
        <v>7</v>
      </c>
      <c r="Q21" s="51">
        <f t="shared" si="5"/>
        <v>9849.5879999999997</v>
      </c>
      <c r="R21" s="555"/>
      <c r="S21" s="555"/>
    </row>
    <row r="22" spans="1:19" s="4" customFormat="1" ht="13">
      <c r="A22" s="553"/>
      <c r="B22" s="57">
        <v>807.8</v>
      </c>
      <c r="C22" s="57">
        <v>124</v>
      </c>
      <c r="D22" s="56"/>
      <c r="E22" s="55"/>
      <c r="F22" s="56"/>
      <c r="G22" s="55"/>
      <c r="H22" s="55"/>
      <c r="I22" s="55"/>
      <c r="J22" s="54">
        <f t="shared" si="0"/>
        <v>29.437293432465918</v>
      </c>
      <c r="K22" s="54">
        <f t="shared" si="6"/>
        <v>36.660333024691354</v>
      </c>
      <c r="L22" s="54"/>
      <c r="M22" s="54"/>
      <c r="N22" s="53"/>
      <c r="O22" s="53"/>
      <c r="P22" s="52">
        <v>8</v>
      </c>
      <c r="Q22" s="51">
        <f t="shared" si="5"/>
        <v>14702.592000000001</v>
      </c>
      <c r="R22" s="555"/>
      <c r="S22" s="555"/>
    </row>
    <row r="23" spans="1:19" s="4" customFormat="1" ht="13">
      <c r="A23" s="553" t="s">
        <v>518</v>
      </c>
      <c r="B23" s="57">
        <v>897.4</v>
      </c>
      <c r="C23" s="57">
        <v>136.6</v>
      </c>
      <c r="D23" s="56"/>
      <c r="E23" s="55"/>
      <c r="F23" s="56"/>
      <c r="G23" s="55"/>
      <c r="H23" s="55"/>
      <c r="I23" s="55"/>
      <c r="J23" s="54">
        <f t="shared" si="0"/>
        <v>32.752110037174717</v>
      </c>
      <c r="K23" s="54">
        <f t="shared" si="6"/>
        <v>40.788507407407401</v>
      </c>
      <c r="L23" s="54"/>
      <c r="M23" s="54"/>
      <c r="N23" s="53"/>
      <c r="O23" s="53"/>
      <c r="P23" s="52">
        <v>9</v>
      </c>
      <c r="Q23" s="51">
        <f t="shared" si="5"/>
        <v>20933.964</v>
      </c>
      <c r="R23" s="555">
        <f>(1/Q23*J23+1/Q24*J24+1/Q25*J25)/(1/Q23+1/Q24+1/Q25)</f>
        <v>35.984797966765058</v>
      </c>
      <c r="S23" s="555">
        <f>(1/Q23*K23+1/Q24*K24+1/Q25*K25)/(1/Q23+1/Q24+1/Q25)</f>
        <v>44.814401171573145</v>
      </c>
    </row>
    <row r="24" spans="1:19" s="4" customFormat="1" ht="13">
      <c r="A24" s="553"/>
      <c r="B24" s="57">
        <v>997.9</v>
      </c>
      <c r="C24" s="57">
        <v>158.6</v>
      </c>
      <c r="D24" s="56"/>
      <c r="E24" s="55"/>
      <c r="F24" s="56"/>
      <c r="G24" s="55"/>
      <c r="H24" s="55"/>
      <c r="I24" s="55"/>
      <c r="J24" s="54">
        <f t="shared" si="0"/>
        <v>36.131500991325893</v>
      </c>
      <c r="K24" s="54">
        <f t="shared" si="6"/>
        <v>44.997100771604927</v>
      </c>
      <c r="L24" s="54"/>
      <c r="M24" s="54"/>
      <c r="N24" s="53"/>
      <c r="O24" s="53"/>
      <c r="P24" s="52">
        <v>10</v>
      </c>
      <c r="Q24" s="51">
        <f t="shared" si="5"/>
        <v>28716</v>
      </c>
      <c r="R24" s="555"/>
      <c r="S24" s="555"/>
    </row>
    <row r="25" spans="1:19" s="4" customFormat="1" ht="13">
      <c r="A25" s="553"/>
      <c r="B25" s="57">
        <v>1177</v>
      </c>
      <c r="C25" s="57">
        <v>169</v>
      </c>
      <c r="D25" s="56"/>
      <c r="E25" s="55"/>
      <c r="F25" s="56"/>
      <c r="G25" s="55"/>
      <c r="H25" s="55"/>
      <c r="I25" s="55"/>
      <c r="J25" s="54">
        <f t="shared" si="0"/>
        <v>43.393962825278805</v>
      </c>
      <c r="K25" s="54">
        <f t="shared" si="6"/>
        <v>54.041555555555547</v>
      </c>
      <c r="L25" s="54"/>
      <c r="M25" s="54"/>
      <c r="N25" s="53"/>
      <c r="O25" s="53"/>
      <c r="P25" s="52">
        <v>12</v>
      </c>
      <c r="Q25" s="51">
        <f t="shared" si="5"/>
        <v>49621.248</v>
      </c>
      <c r="R25" s="555"/>
      <c r="S25" s="555"/>
    </row>
    <row r="26" spans="1:19" s="4" customFormat="1" ht="13">
      <c r="A26" s="2"/>
      <c r="B26" s="2"/>
      <c r="C26" s="2"/>
      <c r="D26" s="2"/>
      <c r="E26" s="2"/>
      <c r="F26" s="2"/>
      <c r="G26" s="2"/>
      <c r="H26" s="2"/>
      <c r="I26" s="2"/>
      <c r="J26" s="2"/>
      <c r="K26" s="2"/>
      <c r="L26" s="2"/>
      <c r="M26" s="2"/>
      <c r="N26" s="8"/>
      <c r="O26" s="2"/>
      <c r="P26" s="2"/>
      <c r="Q26" s="2"/>
      <c r="R26" s="2"/>
      <c r="S26" s="2"/>
    </row>
    <row r="27" spans="1:19" s="4" customFormat="1" ht="13">
      <c r="A27" s="2"/>
      <c r="B27" s="2"/>
      <c r="C27" s="2"/>
      <c r="D27" s="2"/>
      <c r="E27" s="557" t="s">
        <v>517</v>
      </c>
      <c r="F27" s="557"/>
      <c r="G27" s="557"/>
      <c r="H27" s="557"/>
      <c r="I27" s="557"/>
      <c r="J27" s="557"/>
      <c r="K27" s="557"/>
      <c r="L27" s="26"/>
      <c r="M27" s="2"/>
      <c r="N27" s="27"/>
      <c r="O27" s="27"/>
      <c r="P27" s="27"/>
      <c r="Q27" s="27"/>
      <c r="R27" s="27"/>
      <c r="S27" s="27"/>
    </row>
    <row r="28" spans="1:19" s="4" customFormat="1" ht="26">
      <c r="C28" s="2"/>
      <c r="D28" s="2"/>
      <c r="E28" s="50" t="s">
        <v>516</v>
      </c>
      <c r="F28" s="49" t="s">
        <v>515</v>
      </c>
      <c r="G28" s="49" t="s">
        <v>514</v>
      </c>
      <c r="H28" s="49" t="s">
        <v>513</v>
      </c>
      <c r="I28" s="49" t="s">
        <v>512</v>
      </c>
      <c r="J28" s="49" t="s">
        <v>511</v>
      </c>
      <c r="K28" s="49" t="s">
        <v>510</v>
      </c>
      <c r="L28" s="27"/>
      <c r="M28" s="2"/>
      <c r="N28" s="2"/>
      <c r="O28" s="2"/>
      <c r="P28" s="27"/>
      <c r="Q28" s="2"/>
      <c r="R28" s="2"/>
      <c r="S28" s="2"/>
    </row>
    <row r="29" spans="1:19" s="4" customFormat="1" ht="13">
      <c r="C29" s="2"/>
      <c r="D29" s="2"/>
      <c r="E29" s="36">
        <v>1</v>
      </c>
      <c r="F29" s="35">
        <v>0.1</v>
      </c>
      <c r="G29" s="35">
        <v>0.3</v>
      </c>
      <c r="H29" s="35">
        <v>0.38</v>
      </c>
      <c r="I29" s="34">
        <f>F29/G29</f>
        <v>0.33333333333333337</v>
      </c>
      <c r="J29" s="35">
        <v>0.69</v>
      </c>
      <c r="K29" s="34">
        <f>J29/I29</f>
        <v>2.0699999999999994</v>
      </c>
      <c r="L29" s="27"/>
      <c r="O29" s="2"/>
      <c r="P29" s="2"/>
      <c r="Q29" s="2"/>
      <c r="R29" s="2"/>
      <c r="S29" s="2"/>
    </row>
    <row r="30" spans="1:19" s="4" customFormat="1" ht="13">
      <c r="A30" s="48" t="s">
        <v>509</v>
      </c>
      <c r="B30" s="47">
        <v>0.80700000000000005</v>
      </c>
      <c r="C30" s="2"/>
      <c r="D30" s="2"/>
      <c r="E30" s="36">
        <v>3</v>
      </c>
      <c r="F30" s="35">
        <v>0.93</v>
      </c>
      <c r="G30" s="35">
        <v>1.01</v>
      </c>
      <c r="H30" s="35">
        <v>0.84</v>
      </c>
      <c r="I30" s="34">
        <f>F30/G30</f>
        <v>0.92079207920792083</v>
      </c>
      <c r="J30" s="35">
        <v>3.37</v>
      </c>
      <c r="K30" s="34">
        <f>J30/I30</f>
        <v>3.6598924731182794</v>
      </c>
      <c r="L30" s="27"/>
      <c r="O30" s="2"/>
      <c r="P30" s="2"/>
      <c r="Q30" s="2"/>
      <c r="R30" s="2"/>
      <c r="S30" s="2"/>
    </row>
    <row r="31" spans="1:19" s="4" customFormat="1" ht="13">
      <c r="A31" s="43" t="s">
        <v>508</v>
      </c>
      <c r="B31" s="46">
        <v>0.64800000000000002</v>
      </c>
      <c r="C31" s="2"/>
      <c r="D31" s="2"/>
      <c r="E31" s="37">
        <v>4</v>
      </c>
      <c r="F31" s="35">
        <v>1.64</v>
      </c>
      <c r="G31" s="35">
        <v>1.4</v>
      </c>
      <c r="H31" s="35">
        <v>1.03</v>
      </c>
      <c r="I31" s="34">
        <f>F31/G31</f>
        <v>1.1714285714285715</v>
      </c>
      <c r="J31" s="35">
        <v>4.68</v>
      </c>
      <c r="K31" s="34">
        <f>J31/I31</f>
        <v>3.9951219512195117</v>
      </c>
      <c r="L31" s="2"/>
      <c r="O31" s="2"/>
      <c r="P31" s="2"/>
      <c r="Q31" s="2"/>
      <c r="R31" s="2"/>
      <c r="S31" s="2"/>
    </row>
    <row r="32" spans="1:19" s="4" customFormat="1" ht="13">
      <c r="A32" s="43" t="s">
        <v>507</v>
      </c>
      <c r="B32" s="46">
        <v>0.81899999999999995</v>
      </c>
      <c r="C32" s="2"/>
      <c r="D32" s="2"/>
      <c r="E32" s="37">
        <v>5</v>
      </c>
      <c r="F32" s="35"/>
      <c r="G32" s="35">
        <v>1.76</v>
      </c>
      <c r="H32" s="35">
        <v>1.22</v>
      </c>
      <c r="I32" s="34"/>
      <c r="J32" s="41"/>
      <c r="K32" s="40"/>
      <c r="L32" s="2"/>
      <c r="O32" s="2"/>
      <c r="P32" s="2"/>
      <c r="Q32" s="2"/>
      <c r="R32" s="2"/>
      <c r="S32" s="2"/>
    </row>
    <row r="33" spans="1:19" s="4" customFormat="1" ht="13">
      <c r="A33" s="43" t="s">
        <v>506</v>
      </c>
      <c r="B33" s="45">
        <v>4963</v>
      </c>
      <c r="C33" s="2"/>
      <c r="D33" s="2"/>
      <c r="E33" s="37">
        <v>6</v>
      </c>
      <c r="F33" s="35">
        <v>3.7</v>
      </c>
      <c r="G33" s="35">
        <v>2.13</v>
      </c>
      <c r="H33" s="35">
        <v>1.41</v>
      </c>
      <c r="I33" s="34">
        <f>F33/G33</f>
        <v>1.7370892018779345</v>
      </c>
      <c r="J33" s="35">
        <v>7.03</v>
      </c>
      <c r="K33" s="34">
        <f>J33/I33</f>
        <v>4.0469999999999997</v>
      </c>
      <c r="L33" s="27"/>
      <c r="O33" s="2"/>
      <c r="P33" s="2"/>
      <c r="Q33" s="2"/>
      <c r="R33" s="2"/>
      <c r="S33" s="2"/>
    </row>
    <row r="34" spans="1:19" s="4" customFormat="1" ht="13">
      <c r="A34" s="43" t="s">
        <v>505</v>
      </c>
      <c r="B34" s="44">
        <v>8766</v>
      </c>
      <c r="C34" s="2"/>
      <c r="D34" s="2"/>
      <c r="E34" s="37">
        <v>8</v>
      </c>
      <c r="F34" s="35">
        <v>6.58</v>
      </c>
      <c r="G34" s="35">
        <v>2.91</v>
      </c>
      <c r="H34" s="35">
        <v>1.75</v>
      </c>
      <c r="I34" s="34">
        <f>F34/G34</f>
        <v>2.261168384879725</v>
      </c>
      <c r="J34" s="35">
        <v>10.3</v>
      </c>
      <c r="K34" s="34">
        <f>J34/I34</f>
        <v>4.55516717325228</v>
      </c>
      <c r="L34" s="27"/>
      <c r="O34" s="2"/>
      <c r="P34" s="2"/>
      <c r="Q34" s="2"/>
      <c r="R34" s="2"/>
      <c r="S34" s="2"/>
    </row>
    <row r="35" spans="1:19" s="4" customFormat="1" ht="13">
      <c r="A35" s="43" t="s">
        <v>504</v>
      </c>
      <c r="B35" s="42">
        <v>0.84</v>
      </c>
      <c r="C35" s="2"/>
      <c r="D35" s="2"/>
      <c r="E35" s="37">
        <v>5</v>
      </c>
      <c r="F35" s="35"/>
      <c r="G35" s="35">
        <v>1.76</v>
      </c>
      <c r="H35" s="35">
        <v>1.22</v>
      </c>
      <c r="I35" s="34"/>
      <c r="J35" s="41"/>
      <c r="K35" s="40"/>
      <c r="L35" s="27"/>
      <c r="O35" s="2"/>
      <c r="P35" s="2"/>
      <c r="Q35" s="2"/>
      <c r="R35" s="2"/>
      <c r="S35" s="2"/>
    </row>
    <row r="36" spans="1:19" s="4" customFormat="1" ht="13">
      <c r="A36" s="39" t="s">
        <v>503</v>
      </c>
      <c r="B36" s="38">
        <v>0.7</v>
      </c>
      <c r="C36" s="2"/>
      <c r="D36" s="2"/>
      <c r="E36" s="37">
        <v>6</v>
      </c>
      <c r="F36" s="35">
        <v>3.7</v>
      </c>
      <c r="G36" s="35">
        <v>2.13</v>
      </c>
      <c r="H36" s="35">
        <v>1.41</v>
      </c>
      <c r="I36" s="34">
        <f>F36/G36</f>
        <v>1.7370892018779345</v>
      </c>
      <c r="J36" s="35">
        <v>7.03</v>
      </c>
      <c r="K36" s="34">
        <f>J36/I36</f>
        <v>4.0469999999999997</v>
      </c>
      <c r="L36" s="2"/>
      <c r="M36" s="2"/>
      <c r="N36" s="2"/>
      <c r="O36" s="2"/>
      <c r="P36" s="2"/>
      <c r="Q36" s="2"/>
      <c r="R36" s="2"/>
      <c r="S36" s="2"/>
    </row>
    <row r="37" spans="1:19" s="4" customFormat="1" ht="13">
      <c r="A37" s="2"/>
      <c r="B37" s="2"/>
      <c r="C37" s="2"/>
      <c r="D37" s="2"/>
      <c r="E37" s="37">
        <v>8</v>
      </c>
      <c r="F37" s="35">
        <v>6.58</v>
      </c>
      <c r="G37" s="35">
        <v>2.91</v>
      </c>
      <c r="H37" s="35">
        <v>1.75</v>
      </c>
      <c r="I37" s="34">
        <f>F37/G37</f>
        <v>2.261168384879725</v>
      </c>
      <c r="J37" s="35">
        <v>10.3</v>
      </c>
      <c r="K37" s="34">
        <f>J37/I37</f>
        <v>4.55516717325228</v>
      </c>
      <c r="L37" s="2"/>
      <c r="M37" s="2"/>
      <c r="N37" s="2"/>
      <c r="O37" s="2"/>
      <c r="P37" s="2"/>
      <c r="Q37" s="2"/>
      <c r="R37" s="2"/>
      <c r="S37" s="2"/>
    </row>
    <row r="38" spans="1:19" s="4" customFormat="1" ht="13">
      <c r="A38" s="2"/>
      <c r="B38" s="2"/>
      <c r="C38" s="2"/>
      <c r="D38" s="2"/>
      <c r="E38" s="37">
        <v>10</v>
      </c>
      <c r="F38" s="35">
        <v>10.28</v>
      </c>
      <c r="G38" s="35">
        <v>3.65</v>
      </c>
      <c r="H38" s="35">
        <v>2.13</v>
      </c>
      <c r="I38" s="34">
        <f>F38/G38</f>
        <v>2.8164383561643835</v>
      </c>
      <c r="J38" s="35">
        <v>13.8</v>
      </c>
      <c r="K38" s="34">
        <f>J38/I38</f>
        <v>4.8998054474708175</v>
      </c>
      <c r="L38" s="2"/>
      <c r="M38" s="2"/>
      <c r="N38" s="2"/>
      <c r="O38" s="2"/>
      <c r="P38" s="2"/>
      <c r="Q38" s="2"/>
      <c r="R38" s="2"/>
      <c r="S38" s="2"/>
    </row>
    <row r="39" spans="1:19" s="4" customFormat="1" ht="13">
      <c r="A39" s="2"/>
      <c r="B39" s="2"/>
      <c r="C39" s="2"/>
      <c r="D39" s="2"/>
      <c r="E39" s="36">
        <v>12</v>
      </c>
      <c r="F39" s="35">
        <v>14.8</v>
      </c>
      <c r="G39" s="35">
        <v>4.4400000000000004</v>
      </c>
      <c r="H39" s="35">
        <v>2.5</v>
      </c>
      <c r="I39" s="34">
        <f>F39/G39</f>
        <v>3.333333333333333</v>
      </c>
      <c r="J39" s="35">
        <v>16.100000000000001</v>
      </c>
      <c r="K39" s="34">
        <f>J39/I39</f>
        <v>4.830000000000001</v>
      </c>
      <c r="L39" s="2"/>
      <c r="M39" s="2"/>
      <c r="N39" s="2"/>
      <c r="O39" s="2"/>
      <c r="P39" s="2"/>
      <c r="Q39" s="2"/>
      <c r="R39" s="2"/>
      <c r="S39" s="2"/>
    </row>
    <row r="40" spans="1:19" s="4" customFormat="1" ht="13">
      <c r="A40" s="2"/>
      <c r="B40" s="2"/>
      <c r="C40" s="2"/>
      <c r="D40" s="2"/>
      <c r="E40" s="2"/>
      <c r="F40" s="2"/>
      <c r="G40" s="2"/>
      <c r="H40" s="2"/>
      <c r="I40" s="2"/>
      <c r="J40" s="2"/>
      <c r="K40" s="2"/>
      <c r="L40" s="2"/>
      <c r="M40" s="2"/>
      <c r="N40" s="2"/>
      <c r="O40" s="2"/>
      <c r="P40" s="2"/>
      <c r="Q40" s="2"/>
      <c r="R40" s="2"/>
      <c r="S40" s="2"/>
    </row>
    <row r="41" spans="1:19" s="4" customFormat="1" ht="13">
      <c r="A41" s="2"/>
      <c r="B41" s="2"/>
      <c r="C41" s="2"/>
      <c r="D41" s="2"/>
      <c r="E41" s="2"/>
      <c r="F41" s="2"/>
      <c r="G41" s="2"/>
      <c r="H41" s="2"/>
      <c r="I41" s="2"/>
      <c r="J41" s="2"/>
      <c r="K41" s="2"/>
      <c r="L41" s="2"/>
      <c r="M41" s="2"/>
      <c r="N41" s="2"/>
      <c r="O41" s="2"/>
      <c r="P41" s="2"/>
      <c r="Q41" s="2"/>
      <c r="R41" s="2"/>
      <c r="S41" s="2"/>
    </row>
    <row r="42" spans="1:19" s="4" customFormat="1" ht="13">
      <c r="A42" s="2"/>
      <c r="B42" s="2"/>
      <c r="C42" s="2"/>
      <c r="D42" s="2"/>
      <c r="E42" s="2"/>
      <c r="F42" s="2"/>
      <c r="G42" s="2"/>
      <c r="H42" s="2"/>
      <c r="I42" s="2"/>
      <c r="J42" s="2"/>
      <c r="K42" s="2"/>
      <c r="L42" s="2"/>
      <c r="M42" s="2"/>
      <c r="N42" s="2"/>
      <c r="O42" s="2"/>
      <c r="P42" s="2"/>
      <c r="Q42" s="2"/>
      <c r="R42" s="2"/>
      <c r="S42" s="2"/>
    </row>
    <row r="43" spans="1:19" s="4" customFormat="1" ht="13">
      <c r="A43" s="33" t="s">
        <v>1</v>
      </c>
      <c r="B43" s="33" t="s">
        <v>502</v>
      </c>
      <c r="C43" s="33" t="s">
        <v>218</v>
      </c>
      <c r="D43" s="27"/>
      <c r="E43" s="2"/>
      <c r="F43" s="2"/>
      <c r="G43" s="2"/>
      <c r="H43" s="2"/>
      <c r="I43" s="2"/>
      <c r="J43" s="2"/>
      <c r="K43" s="2"/>
      <c r="L43" s="2"/>
      <c r="M43" s="2"/>
      <c r="N43" s="2"/>
      <c r="O43" s="2"/>
      <c r="P43" s="2"/>
      <c r="Q43" s="2"/>
      <c r="R43" s="2"/>
      <c r="S43" s="2"/>
    </row>
    <row r="44" spans="1:19" s="4" customFormat="1" ht="13">
      <c r="A44" s="32" t="s">
        <v>221</v>
      </c>
      <c r="B44" s="29"/>
      <c r="C44" s="29">
        <f>AVERAGE(N9:N11)</f>
        <v>2.3011493874643869</v>
      </c>
      <c r="D44" s="2"/>
      <c r="E44" s="2"/>
      <c r="F44" s="2"/>
      <c r="G44" s="2"/>
      <c r="H44" s="2"/>
      <c r="I44" s="2"/>
      <c r="J44" s="2"/>
      <c r="K44" s="2"/>
      <c r="L44" s="31"/>
      <c r="M44" s="2"/>
      <c r="N44" s="2"/>
      <c r="O44" s="2"/>
      <c r="P44" s="2"/>
      <c r="Q44" s="2"/>
      <c r="R44" s="2"/>
      <c r="S44" s="2"/>
    </row>
    <row r="45" spans="1:19" s="4" customFormat="1" ht="13">
      <c r="A45" s="19" t="s">
        <v>220</v>
      </c>
      <c r="B45" s="29"/>
      <c r="C45" s="29">
        <f>AVERAGE(N12:N13)</f>
        <v>3.6034773504273505</v>
      </c>
      <c r="D45" s="2"/>
      <c r="E45" s="26"/>
      <c r="F45" s="2"/>
      <c r="G45" s="2"/>
      <c r="H45" s="2"/>
      <c r="I45" s="2"/>
      <c r="J45" s="2"/>
      <c r="K45" s="2"/>
      <c r="L45" s="31"/>
      <c r="M45" s="31"/>
      <c r="N45" s="2"/>
      <c r="O45" s="2"/>
      <c r="P45" s="2"/>
      <c r="Q45" s="2"/>
      <c r="R45" s="2"/>
      <c r="S45" s="2"/>
    </row>
    <row r="46" spans="1:19" s="4" customFormat="1" ht="13">
      <c r="A46" s="19" t="s">
        <v>219</v>
      </c>
      <c r="B46" s="29"/>
      <c r="C46" s="29">
        <f>AVERAGE(N14:N17)</f>
        <v>6.1867824786324785</v>
      </c>
      <c r="D46" s="2"/>
      <c r="E46" s="26"/>
      <c r="F46" s="2"/>
      <c r="G46" s="2"/>
      <c r="H46" s="2"/>
      <c r="I46" s="2"/>
      <c r="J46" s="2"/>
      <c r="K46" s="2"/>
      <c r="L46" s="31"/>
      <c r="M46" s="31"/>
      <c r="N46" s="2"/>
      <c r="O46" s="2"/>
      <c r="P46" s="2"/>
      <c r="Q46" s="2"/>
      <c r="R46" s="2"/>
      <c r="S46" s="2"/>
    </row>
    <row r="47" spans="1:19" s="4" customFormat="1" ht="13">
      <c r="A47" s="19" t="s">
        <v>217</v>
      </c>
      <c r="B47" s="29">
        <f>(1/Q10*N10+1/Q11*N11+1/Q12*N12+1/Q13*N13)/(1/Q10+1/Q11+1/Q12+1/Q13)</f>
        <v>2.6588140926267867</v>
      </c>
      <c r="C47" s="29">
        <f>(1/Q10*O10+1/Q11*O11+1/Q12*O12+1/Q13*O13)/(1/Q10+1/Q11+1/Q12+1/Q13)</f>
        <v>3.1358228800964363</v>
      </c>
      <c r="D47" s="27"/>
      <c r="E47" s="26"/>
      <c r="F47" s="2"/>
      <c r="G47" s="2"/>
      <c r="H47" s="2"/>
      <c r="I47" s="2"/>
      <c r="J47" s="2"/>
      <c r="K47" s="2"/>
      <c r="L47" s="31"/>
      <c r="M47" s="2"/>
      <c r="N47" s="2"/>
      <c r="O47" s="2"/>
      <c r="P47" s="2"/>
      <c r="Q47" s="2"/>
      <c r="R47" s="2"/>
      <c r="S47" s="2"/>
    </row>
    <row r="48" spans="1:19" s="4" customFormat="1" ht="13">
      <c r="A48" s="19" t="s">
        <v>216</v>
      </c>
      <c r="B48" s="29">
        <f>(1/Q14*N14+1/Q15*N14+1/Q16*N15+1/Q17*N17)/(1/Q14+1/Q15+1/Q16+1/Q17)</f>
        <v>5.2492031493764015</v>
      </c>
      <c r="C48" s="29">
        <f>(1/Q14*O14+1/Q15*O14+1/Q16*O15+1/Q17*O17)/(1/Q14+1/Q15+1/Q16+1/Q17)</f>
        <v>6.1942373572810965</v>
      </c>
      <c r="D48" s="27"/>
      <c r="E48" s="26"/>
      <c r="F48" s="2"/>
      <c r="G48" s="2"/>
      <c r="H48" s="2"/>
      <c r="I48" s="2"/>
      <c r="J48" s="2"/>
      <c r="K48" s="2"/>
      <c r="L48" s="31"/>
      <c r="M48" s="2"/>
      <c r="N48" s="2"/>
      <c r="O48" s="2"/>
      <c r="P48" s="2"/>
      <c r="Q48" s="2"/>
      <c r="R48" s="2"/>
      <c r="S48" s="2"/>
    </row>
    <row r="49" spans="1:19" s="4" customFormat="1" ht="13">
      <c r="A49" s="19" t="s">
        <v>215</v>
      </c>
      <c r="B49" s="29">
        <f>(1/Q18*N18+1/Q19*N19+1/Q20*N20)/(1/Q18+1/Q19+1/Q20)</f>
        <v>9.0407613085908682</v>
      </c>
      <c r="C49" s="29">
        <f>(1/Q18*O18+1/Q19*O19+1/Q20*O20)/(1/Q18+1/Q19+1/Q20)</f>
        <v>10.672873287490331</v>
      </c>
      <c r="D49" s="27"/>
      <c r="E49" s="26"/>
      <c r="F49" s="2"/>
      <c r="G49" s="2"/>
      <c r="H49" s="2"/>
      <c r="I49" s="2"/>
      <c r="J49" s="2"/>
      <c r="K49" s="2"/>
      <c r="L49" s="31"/>
      <c r="M49" s="2"/>
      <c r="N49" s="2"/>
      <c r="O49" s="2"/>
      <c r="P49" s="2"/>
      <c r="Q49" s="2"/>
      <c r="R49" s="2"/>
      <c r="S49" s="2"/>
    </row>
    <row r="50" spans="1:19" s="4" customFormat="1" ht="13">
      <c r="A50" s="19" t="s">
        <v>214</v>
      </c>
      <c r="B50" s="29">
        <f>R10</f>
        <v>3.1854757047967208</v>
      </c>
      <c r="C50" s="29">
        <f>S10</f>
        <v>3.967097058288509</v>
      </c>
      <c r="D50" s="27"/>
      <c r="E50" s="26"/>
      <c r="F50" s="2"/>
      <c r="G50" s="2"/>
      <c r="H50" s="2"/>
      <c r="I50" s="2"/>
      <c r="J50" s="2"/>
      <c r="K50" s="2"/>
      <c r="L50" s="2"/>
      <c r="M50" s="2"/>
      <c r="N50" s="2"/>
      <c r="O50" s="2"/>
      <c r="P50" s="2"/>
      <c r="Q50" s="2"/>
      <c r="R50" s="2"/>
      <c r="S50" s="2"/>
    </row>
    <row r="51" spans="1:19" s="4" customFormat="1" ht="13">
      <c r="A51" s="19" t="s">
        <v>501</v>
      </c>
      <c r="B51" s="29">
        <f>AVERAGE(J13:J18)</f>
        <v>13.148126788517139</v>
      </c>
      <c r="C51" s="29">
        <f>(K16+K17+K18+M13+M14+M15)/6</f>
        <v>13.577404706790121</v>
      </c>
      <c r="D51" s="27"/>
      <c r="E51" s="26"/>
      <c r="F51" s="2"/>
      <c r="G51" s="2"/>
      <c r="H51" s="2"/>
      <c r="I51" s="2"/>
      <c r="J51" s="2"/>
      <c r="K51" s="2"/>
      <c r="L51" s="2"/>
      <c r="M51" s="2"/>
      <c r="N51" s="2"/>
      <c r="O51" s="2"/>
      <c r="P51" s="2"/>
      <c r="Q51" s="2"/>
      <c r="R51" s="2"/>
      <c r="S51" s="2"/>
    </row>
    <row r="52" spans="1:19" s="4" customFormat="1" ht="13">
      <c r="A52" s="19" t="s">
        <v>500</v>
      </c>
      <c r="B52" s="29">
        <f>AVERAGE(J19:J22)</f>
        <v>24.25563238537794</v>
      </c>
      <c r="C52" s="29">
        <f>AVERAGE(K19:K22)</f>
        <v>30.207245887345675</v>
      </c>
      <c r="D52" s="27"/>
      <c r="E52" s="26"/>
      <c r="F52" s="2"/>
      <c r="G52" s="2"/>
      <c r="H52" s="2"/>
      <c r="I52" s="2"/>
      <c r="J52" s="2"/>
      <c r="K52" s="2"/>
      <c r="L52" s="2"/>
      <c r="M52" s="2"/>
      <c r="N52" s="2"/>
      <c r="O52" s="2"/>
      <c r="P52" s="2"/>
      <c r="Q52" s="2"/>
      <c r="R52" s="2"/>
      <c r="S52" s="2"/>
    </row>
    <row r="53" spans="1:19" s="4" customFormat="1" ht="13">
      <c r="A53" s="19" t="s">
        <v>211</v>
      </c>
      <c r="B53" s="29">
        <f>R23</f>
        <v>35.984797966765058</v>
      </c>
      <c r="C53" s="29">
        <f>S23</f>
        <v>44.814401171573145</v>
      </c>
      <c r="D53" s="27"/>
      <c r="E53" s="26"/>
      <c r="F53" s="2"/>
      <c r="G53" s="2"/>
      <c r="H53" s="2"/>
      <c r="I53" s="2"/>
      <c r="J53" s="2"/>
      <c r="K53" s="2"/>
      <c r="L53" s="31"/>
      <c r="M53" s="2"/>
      <c r="N53" s="2"/>
      <c r="O53" s="2"/>
      <c r="P53" s="2"/>
      <c r="Q53" s="2"/>
      <c r="R53" s="2"/>
      <c r="S53" s="2"/>
    </row>
    <row r="54" spans="1:19" s="4" customFormat="1" ht="13">
      <c r="A54" s="19" t="s">
        <v>209</v>
      </c>
      <c r="B54" s="29">
        <f>AVERAGE(J9:J12)*AVERAGE($G29:$H29)</f>
        <v>1.8081269864312264</v>
      </c>
      <c r="C54" s="30">
        <f>AVERAGE(M9:M12)*AVERAGE($G29:$H29)</f>
        <v>1.2912929469135801</v>
      </c>
      <c r="D54" s="27"/>
      <c r="E54" s="26"/>
      <c r="F54" s="2"/>
      <c r="G54" s="2"/>
      <c r="H54" s="2"/>
      <c r="I54" s="2"/>
      <c r="J54" s="2"/>
      <c r="K54" s="2"/>
      <c r="L54" s="2"/>
      <c r="M54" s="2"/>
      <c r="N54" s="2"/>
      <c r="O54" s="2"/>
      <c r="P54" s="2"/>
      <c r="Q54" s="2"/>
      <c r="R54" s="2"/>
      <c r="S54" s="2"/>
    </row>
    <row r="55" spans="1:19" s="4" customFormat="1" ht="13">
      <c r="A55" s="19" t="s">
        <v>208</v>
      </c>
      <c r="B55" s="29">
        <f>AVERAGE(G30,G31,G32,G35,H30,H31,H32,H35)*R14</f>
        <v>12.515179237984789</v>
      </c>
      <c r="C55" s="29">
        <f>AVERAGE(G30,G31,G32,G35,H30,H31,H32,H35)*S14</f>
        <v>15.586033402860688</v>
      </c>
      <c r="D55" s="27"/>
      <c r="E55" s="26"/>
      <c r="F55" s="2"/>
      <c r="G55" s="2"/>
      <c r="H55" s="2"/>
      <c r="I55" s="2"/>
      <c r="J55" s="2"/>
      <c r="K55" s="2"/>
      <c r="L55" s="2"/>
      <c r="M55" s="2"/>
      <c r="N55" s="2"/>
      <c r="O55" s="2"/>
      <c r="P55" s="2"/>
      <c r="Q55" s="2"/>
      <c r="R55" s="2"/>
      <c r="S55" s="2"/>
    </row>
    <row r="56" spans="1:19" s="4" customFormat="1" ht="13">
      <c r="A56" s="19" t="s">
        <v>207</v>
      </c>
      <c r="B56" s="29">
        <f>AVERAGE(G33,G34,H33,H34,G36,G37,H36,H37)*R20</f>
        <v>51.249515380658096</v>
      </c>
      <c r="C56" s="29">
        <f>AVERAGE(G33,G34,H33,H34,G36,G37,H36,H37)*S20</f>
        <v>63.824627950912159</v>
      </c>
      <c r="D56" s="27"/>
      <c r="E56" s="26"/>
      <c r="F56" s="2"/>
      <c r="G56" s="2"/>
      <c r="H56" s="2"/>
      <c r="I56" s="2"/>
      <c r="J56" s="2"/>
      <c r="K56" s="2"/>
      <c r="L56" s="2"/>
      <c r="M56" s="2"/>
      <c r="N56" s="2"/>
      <c r="O56" s="2"/>
      <c r="P56" s="2"/>
      <c r="Q56" s="2"/>
      <c r="R56" s="2"/>
      <c r="S56" s="2"/>
    </row>
    <row r="57" spans="1:19" s="4" customFormat="1" ht="13">
      <c r="A57" s="19" t="s">
        <v>206</v>
      </c>
      <c r="B57" s="29">
        <f>AVERAGE(G34,G37,G38,G39,H34,H37,H38,H39)*R23</f>
        <v>99.138118398437726</v>
      </c>
      <c r="C57" s="29">
        <f>AVERAGE(G34,G37,G38,G39,H34,H37,H38,H39)*S23</f>
        <v>123.46367522768401</v>
      </c>
      <c r="D57" s="27"/>
      <c r="E57" s="26"/>
      <c r="F57" s="2"/>
      <c r="G57" s="2"/>
      <c r="H57" s="2"/>
      <c r="I57" s="2"/>
      <c r="J57" s="2"/>
      <c r="K57" s="2"/>
      <c r="L57" s="2"/>
      <c r="M57" s="2"/>
      <c r="N57" s="2"/>
      <c r="O57" s="2"/>
      <c r="P57" s="2"/>
      <c r="Q57" s="2"/>
      <c r="R57" s="2"/>
      <c r="S57" s="2"/>
    </row>
    <row r="58" spans="1:19" s="4" customFormat="1" ht="13">
      <c r="A58" s="19" t="s">
        <v>205</v>
      </c>
      <c r="B58" s="29">
        <f>AVERAGE(J9:J12)*$K$29</f>
        <v>11.008302535037171</v>
      </c>
      <c r="C58" s="30">
        <f>AVERAGE(M9:M12)*$K$29</f>
        <v>7.8616952944444423</v>
      </c>
      <c r="D58" s="27"/>
      <c r="E58" s="26"/>
      <c r="F58" s="2"/>
      <c r="G58" s="2"/>
      <c r="H58" s="2"/>
      <c r="I58" s="2"/>
      <c r="J58" s="2"/>
      <c r="K58" s="2"/>
      <c r="L58" s="2"/>
      <c r="M58" s="2"/>
      <c r="N58" s="2"/>
      <c r="O58" s="2"/>
      <c r="P58" s="2"/>
      <c r="Q58" s="2"/>
      <c r="R58" s="2"/>
      <c r="S58" s="2"/>
    </row>
    <row r="59" spans="1:19" s="4" customFormat="1" ht="13">
      <c r="A59" s="19" t="s">
        <v>204</v>
      </c>
      <c r="B59" s="29">
        <f>AVERAGE(K30,K31)*R14</f>
        <v>37.423389683572815</v>
      </c>
      <c r="C59" s="29">
        <f>AVERAGE(K30,K31)*S14</f>
        <v>46.605980670745772</v>
      </c>
      <c r="D59" s="27"/>
      <c r="E59" s="26"/>
      <c r="F59" s="2"/>
      <c r="G59" s="2"/>
      <c r="H59" s="2"/>
      <c r="I59" s="2"/>
      <c r="J59" s="2"/>
      <c r="K59" s="2"/>
      <c r="L59" s="2"/>
      <c r="M59" s="2"/>
      <c r="N59" s="2"/>
      <c r="O59" s="2"/>
      <c r="P59" s="2"/>
      <c r="Q59" s="2"/>
      <c r="R59" s="2"/>
      <c r="S59" s="2"/>
    </row>
    <row r="60" spans="1:19" s="4" customFormat="1" ht="13">
      <c r="A60" s="19" t="s">
        <v>203</v>
      </c>
      <c r="B60" s="28">
        <f>AVERAGE(K33,K34,K36,K37)*R20</f>
        <v>107.52607289087437</v>
      </c>
      <c r="C60" s="28">
        <f>AVERAGE(K33,K34,K36,K37)*S20</f>
        <v>133.90978522057964</v>
      </c>
      <c r="D60" s="27"/>
      <c r="E60" s="26"/>
      <c r="F60" s="2"/>
      <c r="G60" s="2"/>
      <c r="H60" s="2"/>
      <c r="I60" s="2"/>
      <c r="J60" s="2"/>
      <c r="K60" s="2"/>
      <c r="L60" s="2"/>
      <c r="M60" s="2"/>
      <c r="N60" s="2"/>
      <c r="O60" s="2"/>
      <c r="P60" s="2"/>
      <c r="Q60" s="2"/>
      <c r="R60" s="2"/>
      <c r="S60" s="2"/>
    </row>
    <row r="61" spans="1:19" s="4" customFormat="1" ht="13">
      <c r="A61" s="19" t="s">
        <v>202</v>
      </c>
      <c r="B61" s="28">
        <f>AVERAGE(K38,K39)*R23</f>
        <v>175.06254164158375</v>
      </c>
      <c r="C61" s="28">
        <f>AVERAGE(K38,K39)*S23</f>
        <v>218.0177023221575</v>
      </c>
      <c r="D61" s="27"/>
      <c r="E61" s="26"/>
      <c r="F61" s="2"/>
      <c r="G61" s="2"/>
      <c r="H61" s="2"/>
      <c r="I61" s="2"/>
      <c r="J61" s="2"/>
      <c r="K61" s="2"/>
      <c r="L61" s="2"/>
      <c r="M61" s="2"/>
      <c r="N61" s="2"/>
      <c r="O61" s="2"/>
      <c r="P61" s="2"/>
      <c r="Q61" s="2"/>
      <c r="R61" s="2"/>
      <c r="S61" s="2"/>
    </row>
    <row r="62" spans="1:19" s="4" customFormat="1" ht="13"/>
    <row r="64" spans="1:19" s="71" customFormat="1" ht="13">
      <c r="A64" s="72" t="s">
        <v>563</v>
      </c>
      <c r="B64" s="72"/>
      <c r="C64" s="72"/>
    </row>
    <row r="65" spans="1:7" s="4" customFormat="1" ht="13"/>
    <row r="66" spans="1:7" s="2" customFormat="1" ht="13">
      <c r="A66" s="2" t="s">
        <v>562</v>
      </c>
    </row>
    <row r="67" spans="1:7" s="2" customFormat="1" ht="13">
      <c r="A67" s="2" t="s">
        <v>561</v>
      </c>
      <c r="B67" s="24" t="s">
        <v>560</v>
      </c>
      <c r="C67" s="24" t="s">
        <v>559</v>
      </c>
      <c r="D67" s="24" t="s">
        <v>558</v>
      </c>
      <c r="E67" s="24" t="s">
        <v>557</v>
      </c>
    </row>
    <row r="68" spans="1:7" s="2" customFormat="1" ht="13">
      <c r="A68" s="75" t="s">
        <v>556</v>
      </c>
      <c r="B68" s="76">
        <v>888</v>
      </c>
      <c r="C68" s="76">
        <v>464</v>
      </c>
      <c r="D68" s="76">
        <v>148</v>
      </c>
      <c r="E68" s="19"/>
    </row>
    <row r="69" spans="1:7" s="2" customFormat="1" ht="13">
      <c r="A69" s="75" t="s">
        <v>555</v>
      </c>
      <c r="B69" s="19">
        <v>1710</v>
      </c>
      <c r="C69" s="19">
        <v>1832</v>
      </c>
      <c r="D69" s="19">
        <v>285</v>
      </c>
      <c r="E69" s="19"/>
    </row>
    <row r="70" spans="1:7" s="2" customFormat="1" ht="13">
      <c r="A70" s="75" t="s">
        <v>554</v>
      </c>
      <c r="B70" s="19">
        <v>11928</v>
      </c>
      <c r="C70" s="19">
        <v>5699</v>
      </c>
      <c r="D70" s="19">
        <v>695</v>
      </c>
      <c r="E70" s="19">
        <v>272</v>
      </c>
    </row>
    <row r="71" spans="1:7" s="2" customFormat="1" ht="13"/>
    <row r="72" spans="1:7" s="2" customFormat="1" ht="13"/>
    <row r="73" spans="1:7" s="2" customFormat="1" ht="13">
      <c r="B73" s="36" t="s">
        <v>421</v>
      </c>
      <c r="C73" s="36" t="s">
        <v>553</v>
      </c>
      <c r="D73" s="36" t="s">
        <v>552</v>
      </c>
      <c r="E73" s="36" t="s">
        <v>551</v>
      </c>
      <c r="F73" s="36" t="s">
        <v>550</v>
      </c>
      <c r="G73" s="36" t="s">
        <v>549</v>
      </c>
    </row>
    <row r="74" spans="1:7" s="2" customFormat="1" ht="13">
      <c r="B74" s="36">
        <f>0.15*0.53+0.47</f>
        <v>0.54949999999999999</v>
      </c>
      <c r="C74" s="36">
        <v>2425</v>
      </c>
      <c r="D74" s="36">
        <f>325</f>
        <v>325</v>
      </c>
      <c r="E74" s="36">
        <v>70</v>
      </c>
      <c r="F74" s="36">
        <v>0.5</v>
      </c>
      <c r="G74" s="36">
        <v>0.80700000000000005</v>
      </c>
    </row>
    <row r="75" spans="1:7" s="2" customFormat="1" ht="13"/>
    <row r="76" spans="1:7" s="2" customFormat="1" ht="13">
      <c r="B76" s="24" t="s">
        <v>548</v>
      </c>
      <c r="C76" s="24" t="s">
        <v>547</v>
      </c>
      <c r="D76" s="24" t="s">
        <v>546</v>
      </c>
      <c r="E76" s="24" t="s">
        <v>545</v>
      </c>
    </row>
    <row r="77" spans="1:7" s="2" customFormat="1" ht="13">
      <c r="B77" s="24" t="s">
        <v>544</v>
      </c>
      <c r="C77" s="24" t="s">
        <v>543</v>
      </c>
      <c r="D77" s="24" t="s">
        <v>543</v>
      </c>
      <c r="E77" s="24" t="s">
        <v>542</v>
      </c>
    </row>
    <row r="78" spans="1:7" s="2" customFormat="1" ht="13">
      <c r="A78" s="2">
        <v>100</v>
      </c>
      <c r="B78" s="19">
        <v>0.5</v>
      </c>
      <c r="C78" s="19">
        <v>185</v>
      </c>
      <c r="D78" s="19">
        <v>53.44</v>
      </c>
      <c r="E78" s="54">
        <f>(C78-D78)*B$74*C$74/G$74/100000</f>
        <v>2.172349857496902</v>
      </c>
    </row>
    <row r="79" spans="1:7" s="2" customFormat="1" ht="13">
      <c r="B79" s="19">
        <v>0.75</v>
      </c>
      <c r="C79" s="19">
        <v>225.5</v>
      </c>
      <c r="D79" s="19">
        <v>60.66</v>
      </c>
      <c r="E79" s="54">
        <f>(C79-D79)*B$74*C$74/G$74/100000</f>
        <v>2.72187709417596</v>
      </c>
    </row>
    <row r="80" spans="1:7" s="2" customFormat="1" ht="13">
      <c r="A80" s="2">
        <f>148+128</f>
        <v>276</v>
      </c>
      <c r="B80" s="19">
        <v>1</v>
      </c>
      <c r="C80" s="19">
        <v>275.89999999999998</v>
      </c>
      <c r="D80" s="19">
        <v>71.02</v>
      </c>
      <c r="E80" s="54">
        <f>(C80-D80)*B$74*C$74/G$74/100000</f>
        <v>3.3830270508054521</v>
      </c>
    </row>
    <row r="81" spans="1:22" s="2" customFormat="1" ht="13">
      <c r="A81" s="2">
        <v>59</v>
      </c>
      <c r="B81" s="19">
        <v>1.25</v>
      </c>
      <c r="C81" s="19">
        <v>341.1</v>
      </c>
      <c r="D81" s="19">
        <v>88.22</v>
      </c>
      <c r="E81" s="54">
        <f>(C81-D81)*B$74*C$74/G$74/100000</f>
        <v>4.1756144114002476</v>
      </c>
    </row>
    <row r="82" spans="1:22" s="2" customFormat="1" ht="13">
      <c r="A82" s="2">
        <v>695</v>
      </c>
      <c r="B82" s="19">
        <v>1.5</v>
      </c>
      <c r="C82" s="19">
        <v>386.1</v>
      </c>
      <c r="D82" s="19">
        <v>99.13</v>
      </c>
      <c r="E82" s="54">
        <f>(C82-D82)*B$74*C$74/G$74/100000</f>
        <v>4.7385165597893435</v>
      </c>
    </row>
    <row r="83" spans="1:22" s="2" customFormat="1" ht="13"/>
    <row r="84" spans="1:22" s="2" customFormat="1" ht="13">
      <c r="B84" s="2" t="s">
        <v>541</v>
      </c>
      <c r="C84" s="74">
        <f>(0.3+0.66)*0.5*E84</f>
        <v>1.9924590631213606</v>
      </c>
      <c r="E84" s="73">
        <f>SUMPRODUCT(A78:A82, E78:E82)/SUM(A78:A82)</f>
        <v>4.1509563815028345</v>
      </c>
    </row>
    <row r="85" spans="1:22" s="2" customFormat="1" ht="13"/>
    <row r="87" spans="1:22" hidden="1">
      <c r="A87" s="72" t="s">
        <v>581</v>
      </c>
      <c r="B87" s="72"/>
      <c r="C87" s="79"/>
      <c r="D87" s="79"/>
      <c r="E87" s="79"/>
      <c r="F87" s="79"/>
      <c r="G87" s="79"/>
      <c r="H87" s="79"/>
      <c r="I87" s="79"/>
      <c r="J87" s="79"/>
      <c r="K87" s="79"/>
      <c r="L87" s="79"/>
      <c r="M87" s="79"/>
      <c r="N87" s="79"/>
      <c r="O87" s="79"/>
      <c r="P87" s="79"/>
      <c r="Q87" s="79"/>
      <c r="R87" s="79"/>
      <c r="S87" s="79"/>
      <c r="T87" s="79"/>
      <c r="U87" s="79"/>
      <c r="V87" s="79"/>
    </row>
    <row r="88" spans="1:22" hidden="1">
      <c r="A88" s="4"/>
      <c r="B88" s="4"/>
      <c r="C88" s="4"/>
      <c r="D88" s="4"/>
      <c r="E88" s="4"/>
      <c r="F88" s="4"/>
      <c r="G88" s="4"/>
      <c r="H88" s="4"/>
      <c r="I88" s="4"/>
      <c r="J88" s="4"/>
      <c r="K88" s="4"/>
      <c r="L88" s="4"/>
      <c r="M88" s="4"/>
      <c r="N88" s="4"/>
      <c r="O88" s="4"/>
      <c r="P88" s="4"/>
      <c r="Q88" s="4"/>
      <c r="R88" s="4"/>
      <c r="S88" s="4"/>
      <c r="T88" s="4"/>
      <c r="U88" s="4"/>
      <c r="V88" s="4"/>
    </row>
    <row r="89" spans="1:22" hidden="1">
      <c r="A89" s="19" t="s">
        <v>580</v>
      </c>
      <c r="B89" s="19">
        <v>9.8900000000000002E-2</v>
      </c>
      <c r="C89" s="19" t="s">
        <v>565</v>
      </c>
      <c r="D89" s="19">
        <v>1</v>
      </c>
      <c r="E89" s="19">
        <v>98</v>
      </c>
      <c r="F89" s="19">
        <v>5</v>
      </c>
      <c r="G89" s="19"/>
      <c r="H89" s="19">
        <v>0.8</v>
      </c>
      <c r="I89" s="19">
        <v>76</v>
      </c>
      <c r="J89" s="2"/>
      <c r="K89" s="54">
        <f>B89+D89*(0.00405*F89+0.000519*E89-0.11)+F89*(0.0000689*E89-0.0118)+0.0022*E89</f>
        <v>0.25037300000000001</v>
      </c>
      <c r="L89" s="352">
        <f t="shared" ref="L89:L96" si="7">K89*I89*H89</f>
        <v>15.222678400000001</v>
      </c>
      <c r="M89" s="2"/>
      <c r="N89" s="2" t="s">
        <v>579</v>
      </c>
      <c r="O89" s="2"/>
      <c r="P89" s="2"/>
      <c r="Q89" s="2"/>
      <c r="R89" s="2"/>
      <c r="S89" s="2"/>
      <c r="T89" s="2"/>
      <c r="U89" s="2"/>
      <c r="V89" s="2"/>
    </row>
    <row r="90" spans="1:22" hidden="1">
      <c r="A90" s="19" t="s">
        <v>578</v>
      </c>
      <c r="B90" s="19">
        <v>0.85399999999999998</v>
      </c>
      <c r="C90" s="19" t="s">
        <v>565</v>
      </c>
      <c r="D90" s="19">
        <v>1</v>
      </c>
      <c r="E90" s="19">
        <v>108</v>
      </c>
      <c r="F90" s="19">
        <v>5</v>
      </c>
      <c r="G90" s="19"/>
      <c r="H90" s="19">
        <v>0.8</v>
      </c>
      <c r="I90" s="19">
        <v>76</v>
      </c>
      <c r="J90" s="2"/>
      <c r="K90" s="54">
        <f>B90+D90*(0.00231*F90-0.0349)+F90*(0.000309*E90-0.0494)+0.00266*E90</f>
        <v>1.03779</v>
      </c>
      <c r="L90" s="352">
        <f t="shared" si="7"/>
        <v>63.097632000000004</v>
      </c>
      <c r="M90" s="2"/>
      <c r="N90" s="2" t="s">
        <v>577</v>
      </c>
      <c r="O90" s="2"/>
      <c r="P90" s="2"/>
      <c r="Q90" s="2"/>
      <c r="R90" s="2"/>
      <c r="S90" s="2"/>
      <c r="T90" s="2"/>
      <c r="U90" s="2"/>
      <c r="V90" s="2"/>
    </row>
    <row r="91" spans="1:22" hidden="1">
      <c r="A91" s="19" t="s">
        <v>576</v>
      </c>
      <c r="B91" s="19">
        <v>3.0219999999999998</v>
      </c>
      <c r="C91" s="19" t="s">
        <v>565</v>
      </c>
      <c r="D91" s="19">
        <v>1</v>
      </c>
      <c r="E91" s="19">
        <v>55</v>
      </c>
      <c r="F91" s="19">
        <v>5</v>
      </c>
      <c r="G91" s="19"/>
      <c r="H91" s="19">
        <v>0.8</v>
      </c>
      <c r="I91" s="19">
        <v>76</v>
      </c>
      <c r="J91" s="2"/>
      <c r="K91" s="54">
        <f>B91+D91*(0.00745*F91-0.142)+F91*(0.00077*E91-0.111)+0.00199*E91</f>
        <v>2.6834499999999997</v>
      </c>
      <c r="L91" s="352">
        <f t="shared" si="7"/>
        <v>163.15376000000001</v>
      </c>
      <c r="M91" s="2"/>
      <c r="N91" s="2" t="s">
        <v>575</v>
      </c>
      <c r="O91" s="2"/>
      <c r="P91" s="2"/>
      <c r="Q91" s="2"/>
      <c r="R91" s="2"/>
      <c r="S91" s="2"/>
      <c r="T91" s="2"/>
      <c r="U91" s="2"/>
      <c r="V91" s="2"/>
    </row>
    <row r="92" spans="1:22" hidden="1">
      <c r="A92" s="19" t="s">
        <v>574</v>
      </c>
      <c r="B92" s="19">
        <v>5.3680000000000003</v>
      </c>
      <c r="C92" s="19" t="s">
        <v>565</v>
      </c>
      <c r="D92" s="19">
        <v>1</v>
      </c>
      <c r="E92" s="19">
        <v>133</v>
      </c>
      <c r="F92" s="19">
        <v>5</v>
      </c>
      <c r="G92" s="19"/>
      <c r="H92" s="19">
        <v>0.8</v>
      </c>
      <c r="I92" s="19">
        <v>76</v>
      </c>
      <c r="J92" s="2"/>
      <c r="K92" s="54">
        <f>B92+D92*(0.00143*F92-0.0309)+F92*(0.0008*E92-0.134)+0.00219*E92</f>
        <v>5.4975200000000006</v>
      </c>
      <c r="L92" s="352">
        <f t="shared" si="7"/>
        <v>334.24921600000005</v>
      </c>
      <c r="M92" s="2"/>
      <c r="N92" s="2" t="s">
        <v>573</v>
      </c>
      <c r="O92" s="2"/>
      <c r="P92" s="2"/>
      <c r="Q92" s="2"/>
      <c r="R92" s="2"/>
      <c r="S92" s="2"/>
      <c r="T92" s="2"/>
      <c r="U92" s="2"/>
      <c r="V92" s="2"/>
    </row>
    <row r="93" spans="1:22" hidden="1">
      <c r="A93" s="19" t="s">
        <v>572</v>
      </c>
      <c r="B93" s="19">
        <v>0.63600000000000001</v>
      </c>
      <c r="C93" s="19" t="s">
        <v>565</v>
      </c>
      <c r="D93" s="19">
        <v>1</v>
      </c>
      <c r="E93" s="19">
        <v>108</v>
      </c>
      <c r="F93" s="19">
        <v>5</v>
      </c>
      <c r="G93" s="19"/>
      <c r="H93" s="19">
        <v>0.8</v>
      </c>
      <c r="I93" s="19">
        <v>76</v>
      </c>
      <c r="J93" s="2"/>
      <c r="K93" s="54">
        <f>B93+D93*(0.0125*F93+0.0036*E93-0.71)+F93*(0.000329*E93-0.0615)+0.00738*E93</f>
        <v>1.0445000000000002</v>
      </c>
      <c r="L93" s="352">
        <f t="shared" si="7"/>
        <v>63.505600000000015</v>
      </c>
      <c r="M93" s="2"/>
      <c r="N93" s="2" t="s">
        <v>571</v>
      </c>
      <c r="O93" s="2"/>
      <c r="P93" s="2"/>
      <c r="Q93" s="2"/>
      <c r="R93" s="2"/>
      <c r="S93" s="2"/>
      <c r="T93" s="2"/>
      <c r="U93" s="2"/>
      <c r="V93" s="2"/>
    </row>
    <row r="94" spans="1:22" hidden="1">
      <c r="A94" s="19" t="s">
        <v>570</v>
      </c>
      <c r="B94" s="19">
        <v>0.70399999999999996</v>
      </c>
      <c r="C94" s="19" t="s">
        <v>565</v>
      </c>
      <c r="D94" s="19">
        <v>1</v>
      </c>
      <c r="E94" s="19">
        <v>117</v>
      </c>
      <c r="F94" s="19">
        <v>5</v>
      </c>
      <c r="G94" s="19"/>
      <c r="H94" s="19">
        <v>0.8</v>
      </c>
      <c r="I94" s="19">
        <v>76</v>
      </c>
      <c r="J94" s="2"/>
      <c r="K94" s="54">
        <f>B94+D94*(0.00144*F94+0.000262*E94-0.0553)+F94*(0.00018*E94-0.0299)+0.00166*E94</f>
        <v>0.83657399999999993</v>
      </c>
      <c r="L94" s="352">
        <f t="shared" si="7"/>
        <v>50.863699199999999</v>
      </c>
      <c r="M94" s="2"/>
      <c r="N94" s="2" t="s">
        <v>569</v>
      </c>
      <c r="O94" s="2"/>
      <c r="P94" s="2"/>
      <c r="Q94" s="2"/>
      <c r="R94" s="2"/>
      <c r="S94" s="2"/>
      <c r="T94" s="2"/>
      <c r="U94" s="2"/>
      <c r="V94" s="2"/>
    </row>
    <row r="95" spans="1:22" hidden="1">
      <c r="A95" s="19" t="s">
        <v>568</v>
      </c>
      <c r="B95" s="19">
        <v>2.6720000000000002</v>
      </c>
      <c r="C95" s="19" t="s">
        <v>565</v>
      </c>
      <c r="D95" s="19">
        <v>1</v>
      </c>
      <c r="E95" s="19">
        <v>93</v>
      </c>
      <c r="F95" s="19">
        <v>5</v>
      </c>
      <c r="G95" s="19"/>
      <c r="H95" s="19">
        <v>0.8</v>
      </c>
      <c r="I95" s="19">
        <v>76</v>
      </c>
      <c r="J95" s="2"/>
      <c r="K95" s="54">
        <f>B95+F95*(0.000406*E95-0.0611)+0.00228*E95</f>
        <v>2.7673300000000003</v>
      </c>
      <c r="L95" s="352">
        <f t="shared" si="7"/>
        <v>168.25366400000004</v>
      </c>
      <c r="M95" s="2"/>
      <c r="N95" s="2" t="s">
        <v>567</v>
      </c>
      <c r="O95" s="2"/>
      <c r="P95" s="2"/>
      <c r="Q95" s="2"/>
      <c r="R95" s="2"/>
      <c r="S95" s="2"/>
      <c r="T95" s="2"/>
      <c r="U95" s="2"/>
      <c r="V95" s="2"/>
    </row>
    <row r="96" spans="1:22" hidden="1">
      <c r="A96" s="19" t="s">
        <v>566</v>
      </c>
      <c r="B96" s="19">
        <v>2.2919999999999998</v>
      </c>
      <c r="C96" s="19" t="s">
        <v>565</v>
      </c>
      <c r="D96" s="19">
        <v>1</v>
      </c>
      <c r="E96" s="19">
        <v>93</v>
      </c>
      <c r="F96" s="19">
        <v>5</v>
      </c>
      <c r="G96" s="19"/>
      <c r="H96" s="19">
        <v>0.8</v>
      </c>
      <c r="I96" s="19">
        <v>76</v>
      </c>
      <c r="J96" s="2"/>
      <c r="K96" s="54">
        <f>B96+D96*(0.00383*F96-0.0656)+F96*(0.000575*E96-0.0912)+0.00249*E96</f>
        <v>2.2884949999999997</v>
      </c>
      <c r="L96" s="352">
        <f t="shared" si="7"/>
        <v>139.14049599999998</v>
      </c>
      <c r="M96" s="2"/>
      <c r="N96" s="2" t="s">
        <v>564</v>
      </c>
      <c r="O96" s="2"/>
      <c r="P96" s="2"/>
      <c r="Q96" s="2"/>
      <c r="R96" s="2"/>
      <c r="S96" s="2"/>
      <c r="T96" s="2"/>
      <c r="U96" s="2"/>
      <c r="V96" s="2"/>
    </row>
    <row r="97" spans="1:22" hidden="1">
      <c r="A97" s="2"/>
      <c r="B97" s="2"/>
      <c r="C97" s="2"/>
      <c r="D97" s="2"/>
      <c r="E97" s="2"/>
      <c r="F97" s="2"/>
      <c r="G97" s="2"/>
      <c r="H97" s="2"/>
      <c r="I97" s="2"/>
      <c r="J97" s="2"/>
      <c r="K97" s="77">
        <f>AVERAGE(K89:K96)</f>
        <v>2.050754</v>
      </c>
      <c r="L97" s="353">
        <f>AVERAGE(L89:L96)</f>
        <v>124.68584320000001</v>
      </c>
      <c r="M97" s="2"/>
      <c r="N97" s="2"/>
      <c r="O97" s="2"/>
      <c r="P97" s="2"/>
      <c r="Q97" s="2"/>
      <c r="R97" s="2"/>
      <c r="S97" s="2"/>
      <c r="T97" s="2"/>
      <c r="U97" s="2"/>
      <c r="V97" s="2"/>
    </row>
    <row r="98" spans="1:22" hidden="1"/>
    <row r="99" spans="1:22" hidden="1"/>
    <row r="100" spans="1:22" hidden="1">
      <c r="A100" s="71" t="s">
        <v>666</v>
      </c>
      <c r="B100" s="79"/>
      <c r="C100" s="79"/>
      <c r="D100" s="79"/>
      <c r="E100" s="79"/>
      <c r="F100" s="79"/>
      <c r="G100" s="79"/>
      <c r="H100" s="79"/>
      <c r="I100" s="79"/>
      <c r="J100" s="79"/>
      <c r="K100" s="79"/>
      <c r="L100" s="79"/>
      <c r="M100" s="79"/>
      <c r="N100" s="79"/>
      <c r="O100" s="79"/>
    </row>
    <row r="101" spans="1:22" hidden="1">
      <c r="A101" s="13"/>
      <c r="B101" s="13"/>
      <c r="C101" s="2"/>
      <c r="D101" s="2"/>
      <c r="E101" s="2"/>
      <c r="F101" s="2"/>
      <c r="G101" s="2"/>
      <c r="H101" s="2"/>
      <c r="I101" s="2"/>
      <c r="J101" s="2"/>
      <c r="K101" s="2"/>
      <c r="L101" s="2"/>
      <c r="M101" s="2"/>
      <c r="N101" s="2"/>
      <c r="O101" s="2"/>
    </row>
    <row r="102" spans="1:22" hidden="1">
      <c r="A102" s="14" t="s">
        <v>251</v>
      </c>
      <c r="B102" s="20">
        <v>140</v>
      </c>
      <c r="C102" s="2"/>
      <c r="D102" s="2"/>
      <c r="E102" s="2"/>
      <c r="F102" s="2"/>
      <c r="G102" s="2"/>
      <c r="H102" s="2"/>
      <c r="I102" s="2"/>
      <c r="J102" s="2"/>
      <c r="K102" s="2"/>
      <c r="L102" s="2"/>
      <c r="M102" s="2"/>
      <c r="N102" s="2"/>
      <c r="O102" s="2"/>
    </row>
    <row r="103" spans="1:22" hidden="1">
      <c r="A103" s="14" t="s">
        <v>250</v>
      </c>
      <c r="B103" s="20">
        <v>54.1</v>
      </c>
      <c r="C103" s="2"/>
      <c r="D103" s="2"/>
      <c r="E103" s="2"/>
      <c r="F103" s="2"/>
      <c r="G103" s="2"/>
      <c r="H103" s="2"/>
      <c r="I103" s="2"/>
      <c r="J103" s="2"/>
      <c r="K103" s="2"/>
      <c r="L103" s="2"/>
      <c r="M103" s="2"/>
      <c r="N103" s="2"/>
      <c r="O103" s="2"/>
    </row>
    <row r="104" spans="1:22" hidden="1">
      <c r="A104" s="14" t="s">
        <v>383</v>
      </c>
      <c r="B104" s="14">
        <v>8.33</v>
      </c>
      <c r="C104" s="2"/>
      <c r="D104" s="2"/>
      <c r="E104" s="2"/>
      <c r="F104" s="2"/>
      <c r="G104" s="2"/>
      <c r="H104" s="2"/>
      <c r="I104" s="2"/>
      <c r="J104" s="2"/>
      <c r="K104" s="2"/>
      <c r="L104" s="2"/>
      <c r="M104" s="2"/>
      <c r="N104" s="2"/>
      <c r="O104" s="2"/>
    </row>
    <row r="105" spans="1:22" hidden="1">
      <c r="A105" s="14" t="s">
        <v>249</v>
      </c>
      <c r="B105" s="150">
        <f>B109*B110*365</f>
        <v>4927.5</v>
      </c>
      <c r="C105" s="2"/>
      <c r="D105" s="2"/>
      <c r="E105" s="2"/>
      <c r="F105" s="2"/>
      <c r="G105" s="2"/>
      <c r="H105" s="2"/>
      <c r="I105" s="2"/>
      <c r="J105" s="2"/>
      <c r="K105" s="2"/>
      <c r="L105" s="2"/>
      <c r="M105" s="2"/>
      <c r="N105" s="2"/>
      <c r="O105" s="2"/>
    </row>
    <row r="106" spans="1:22" hidden="1">
      <c r="A106" s="20" t="s">
        <v>665</v>
      </c>
      <c r="B106" s="21">
        <v>0.8</v>
      </c>
      <c r="C106" s="2"/>
      <c r="D106" s="2"/>
      <c r="E106" s="2"/>
      <c r="F106" s="2"/>
      <c r="G106" s="2"/>
      <c r="H106" s="2"/>
      <c r="I106" s="2"/>
      <c r="J106" s="2"/>
      <c r="K106" s="2"/>
      <c r="L106" s="2"/>
      <c r="M106" s="2"/>
      <c r="N106" s="2"/>
      <c r="O106" s="2"/>
    </row>
    <row r="107" spans="1:22" hidden="1">
      <c r="A107" s="20" t="s">
        <v>664</v>
      </c>
      <c r="B107" s="20">
        <v>0.65</v>
      </c>
      <c r="C107" s="2"/>
      <c r="D107" s="2"/>
      <c r="E107" s="2"/>
      <c r="F107" s="2"/>
      <c r="G107" s="2"/>
      <c r="H107" s="2"/>
      <c r="I107" s="2"/>
      <c r="J107" s="2"/>
      <c r="K107" s="2"/>
      <c r="L107" s="2"/>
      <c r="M107" s="2"/>
      <c r="N107" s="2"/>
      <c r="O107" s="2"/>
    </row>
    <row r="108" spans="1:22" hidden="1">
      <c r="A108" s="13"/>
      <c r="B108" s="13"/>
      <c r="C108" s="2"/>
      <c r="D108" s="75" t="s">
        <v>663</v>
      </c>
      <c r="E108" s="2"/>
      <c r="F108" s="2"/>
      <c r="G108" s="2"/>
      <c r="H108" s="2"/>
      <c r="I108" s="2"/>
      <c r="J108" s="2"/>
      <c r="K108" s="2"/>
      <c r="L108" s="2"/>
      <c r="M108" s="2"/>
      <c r="N108" s="2"/>
      <c r="O108" s="2"/>
    </row>
    <row r="109" spans="1:22" hidden="1">
      <c r="A109" s="2" t="s">
        <v>662</v>
      </c>
      <c r="B109" s="19">
        <v>3</v>
      </c>
      <c r="C109" s="2"/>
      <c r="D109" s="75" t="s">
        <v>661</v>
      </c>
      <c r="E109" s="2"/>
      <c r="F109" s="2"/>
      <c r="G109" s="2"/>
      <c r="H109" s="2"/>
      <c r="I109" s="2"/>
      <c r="J109" s="2"/>
      <c r="K109" s="2"/>
      <c r="L109" s="2"/>
      <c r="M109" s="2"/>
      <c r="N109" s="2"/>
      <c r="O109" s="2"/>
    </row>
    <row r="110" spans="1:22" hidden="1">
      <c r="A110" s="2" t="s">
        <v>660</v>
      </c>
      <c r="B110" s="19">
        <v>4.5</v>
      </c>
      <c r="C110" s="2" t="s">
        <v>659</v>
      </c>
      <c r="D110" s="75" t="s">
        <v>658</v>
      </c>
      <c r="E110" s="2"/>
      <c r="F110" s="2"/>
      <c r="G110" s="2"/>
      <c r="H110" s="2"/>
      <c r="I110" s="2"/>
      <c r="J110" s="2"/>
      <c r="K110" s="2"/>
      <c r="L110" s="2"/>
      <c r="M110" s="2"/>
      <c r="N110" s="2"/>
      <c r="O110" s="2"/>
    </row>
    <row r="111" spans="1:22" hidden="1">
      <c r="A111" s="2"/>
      <c r="B111" s="2"/>
      <c r="C111" s="2"/>
      <c r="D111" s="2"/>
      <c r="E111" s="2"/>
      <c r="F111" s="2"/>
      <c r="G111" s="2"/>
      <c r="H111" s="2"/>
      <c r="I111" s="2"/>
      <c r="J111" s="2"/>
      <c r="K111" s="2"/>
      <c r="L111" s="2"/>
      <c r="M111" s="2"/>
      <c r="N111" s="2"/>
      <c r="O111" s="2"/>
    </row>
    <row r="112" spans="1:22" hidden="1">
      <c r="A112" s="18" t="s">
        <v>657</v>
      </c>
      <c r="B112" s="23">
        <f>2*B110*B107*B104*(B102-B103)/B106</f>
        <v>5232.4374375000007</v>
      </c>
      <c r="C112" s="18" t="s">
        <v>656</v>
      </c>
      <c r="D112" s="2"/>
      <c r="E112" s="2"/>
      <c r="F112" s="2"/>
      <c r="G112" s="2"/>
      <c r="H112" s="2"/>
      <c r="I112" s="2"/>
      <c r="J112" s="2"/>
      <c r="K112" s="2"/>
      <c r="L112" s="2"/>
      <c r="M112" s="2"/>
      <c r="N112" s="2"/>
      <c r="O112" s="2"/>
    </row>
    <row r="113" spans="1:15" hidden="1">
      <c r="A113" s="18" t="s">
        <v>655</v>
      </c>
      <c r="B113" s="23">
        <f>B105*B104*(B102-B103)/B106</f>
        <v>4407322.3031249996</v>
      </c>
      <c r="C113" s="18" t="s">
        <v>255</v>
      </c>
      <c r="D113" s="2"/>
      <c r="E113" s="2"/>
      <c r="F113" s="2"/>
      <c r="G113" s="2"/>
      <c r="H113" s="2"/>
      <c r="I113" s="2"/>
      <c r="J113" s="2"/>
      <c r="K113" s="2"/>
      <c r="L113" s="2"/>
      <c r="M113" s="2"/>
      <c r="N113" s="2"/>
      <c r="O113" s="2"/>
    </row>
    <row r="114" spans="1:15" hidden="1">
      <c r="A114" s="18" t="s">
        <v>303</v>
      </c>
      <c r="B114" s="23">
        <f>B113/B112+1*0.01*8760</f>
        <v>929.90769230769217</v>
      </c>
      <c r="C114" s="18" t="s">
        <v>654</v>
      </c>
      <c r="D114" s="2"/>
      <c r="E114" s="2"/>
      <c r="F114" s="2"/>
      <c r="G114" s="2"/>
      <c r="H114" s="2"/>
      <c r="I114" s="2"/>
      <c r="J114" s="2"/>
      <c r="K114" s="2"/>
      <c r="L114" s="2"/>
      <c r="M114" s="2"/>
      <c r="N114" s="2"/>
      <c r="O114" s="2"/>
    </row>
    <row r="115" spans="1:15" hidden="1">
      <c r="A115" s="2"/>
      <c r="B115" s="2"/>
      <c r="C115" s="2"/>
      <c r="D115" s="2"/>
      <c r="E115" s="2"/>
      <c r="F115" s="2"/>
      <c r="G115" s="2"/>
      <c r="H115" s="2"/>
      <c r="I115" s="2"/>
      <c r="J115" s="2"/>
      <c r="K115" s="2"/>
      <c r="L115" s="2"/>
      <c r="M115" s="2"/>
      <c r="N115" s="2"/>
      <c r="O115" s="2"/>
    </row>
    <row r="116" spans="1:15" hidden="1">
      <c r="A116" s="14" t="s">
        <v>240</v>
      </c>
      <c r="B116" s="20">
        <v>1</v>
      </c>
      <c r="C116" s="20">
        <v>1</v>
      </c>
      <c r="D116" s="2"/>
      <c r="E116" s="2"/>
      <c r="F116" s="2"/>
      <c r="G116" s="2"/>
      <c r="H116" s="2"/>
      <c r="I116" s="2"/>
      <c r="J116" s="2"/>
      <c r="K116" s="2"/>
      <c r="L116" s="2"/>
      <c r="M116" s="2"/>
      <c r="N116" s="2"/>
      <c r="O116" s="2"/>
    </row>
    <row r="117" spans="1:15" hidden="1">
      <c r="A117" s="14" t="s">
        <v>653</v>
      </c>
      <c r="B117" s="20">
        <v>0.8</v>
      </c>
      <c r="C117" s="20">
        <v>0.8</v>
      </c>
      <c r="D117" s="2"/>
      <c r="E117" s="2"/>
      <c r="F117" s="2"/>
      <c r="G117" s="2"/>
      <c r="H117" s="2"/>
      <c r="I117" s="2"/>
      <c r="J117" s="2"/>
      <c r="K117" s="2"/>
      <c r="L117" s="2"/>
      <c r="M117" s="2"/>
      <c r="N117" s="2"/>
      <c r="O117" s="2"/>
    </row>
    <row r="118" spans="1:15" hidden="1">
      <c r="A118" s="14" t="s">
        <v>652</v>
      </c>
      <c r="B118" s="20">
        <v>0.88</v>
      </c>
      <c r="C118" s="20">
        <v>0.95</v>
      </c>
      <c r="D118" s="2"/>
      <c r="E118" s="2"/>
      <c r="F118" s="2"/>
      <c r="G118" s="2"/>
      <c r="H118" s="2"/>
      <c r="I118" s="2"/>
      <c r="J118" s="2"/>
      <c r="K118" s="2"/>
      <c r="L118" s="2"/>
      <c r="M118" s="2"/>
      <c r="N118" s="2"/>
      <c r="O118" s="2"/>
    </row>
    <row r="119" spans="1:15" hidden="1">
      <c r="A119" s="2"/>
      <c r="B119" s="2"/>
      <c r="C119" s="2"/>
      <c r="D119" s="2"/>
      <c r="E119" s="2"/>
      <c r="F119" s="2"/>
      <c r="G119" s="2"/>
      <c r="H119" s="2"/>
      <c r="I119" s="2"/>
      <c r="J119" s="2"/>
      <c r="K119" s="2"/>
      <c r="L119" s="2"/>
      <c r="M119" s="2"/>
      <c r="N119" s="2"/>
      <c r="O119" s="2"/>
    </row>
    <row r="120" spans="1:15" hidden="1">
      <c r="A120" s="2" t="s">
        <v>651</v>
      </c>
      <c r="B120" s="149">
        <f>B116*B114*(1/B117-1/B118)/100</f>
        <v>1.0567132867132856</v>
      </c>
      <c r="C120" s="149">
        <f>B116*B114*(1/C117-1/C118)/100</f>
        <v>1.8353441295546562</v>
      </c>
      <c r="D120" s="2"/>
      <c r="E120" s="2"/>
      <c r="F120" s="2"/>
      <c r="G120" s="2"/>
      <c r="H120" s="2"/>
      <c r="I120" s="2"/>
      <c r="J120" s="2"/>
      <c r="K120" s="2"/>
      <c r="L120" s="2"/>
      <c r="M120" s="2"/>
      <c r="N120" s="2"/>
      <c r="O120" s="2"/>
    </row>
  </sheetData>
  <mergeCells count="18">
    <mergeCell ref="E27:K27"/>
    <mergeCell ref="J7:O7"/>
    <mergeCell ref="B7:F7"/>
    <mergeCell ref="G7:I7"/>
    <mergeCell ref="R7:S7"/>
    <mergeCell ref="R23:R25"/>
    <mergeCell ref="S23:S25"/>
    <mergeCell ref="A9:A12"/>
    <mergeCell ref="A7:A8"/>
    <mergeCell ref="A23:A25"/>
    <mergeCell ref="R20:R22"/>
    <mergeCell ref="S20:S22"/>
    <mergeCell ref="A19:A22"/>
    <mergeCell ref="R14:R19"/>
    <mergeCell ref="S14:S19"/>
    <mergeCell ref="A13:A18"/>
    <mergeCell ref="R10:R13"/>
    <mergeCell ref="S10:S13"/>
  </mergeCells>
  <hyperlinks>
    <hyperlink ref="A68" display="JO, CHANG dba VILLAGE CLEANERS - 1120366 - Steam Pipe Insulation" xr:uid="{00000000-0004-0000-0600-000000000000}"/>
    <hyperlink ref="A69" display="Evergreen Plaza Cleaners -1101378 - Pipe Insulation" xr:uid="{00000000-0004-0000-0600-000001000000}"/>
    <hyperlink ref="A70" display="JEFFERSON PARK VALET SHOP - 6022 N Keystone Ave (#997264) - Custom Pipe Insul" xr:uid="{00000000-0004-0000-0600-000002000000}"/>
    <hyperlink ref="D108" display="http://www.bandctech.com/Manuals/commercial-laundry-planning-guide.pdf" xr:uid="{00000000-0004-0000-0600-000003000000}"/>
    <hyperlink ref="D109" display="http://www1.eere.energy.gov/buildings/appliance_standards/commercial/pdfs/ccw_snopr_chap6.pdf" xr:uid="{00000000-0004-0000-0600-000004000000}"/>
    <hyperlink ref="D110" display="http://www.allianceforwaterefficiency.org/laundromats.aspx" xr:uid="{00000000-0004-0000-0600-000005000000}"/>
  </hyperlinks>
  <pageMargins left="0.7" right="0.7" top="0.75" bottom="0.75" header="0.3" footer="0.3"/>
  <pageSetup scale="28"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499984740745262"/>
  </sheetPr>
  <dimension ref="A3:N15"/>
  <sheetViews>
    <sheetView zoomScale="70" zoomScaleNormal="70" zoomScaleSheetLayoutView="70" workbookViewId="0"/>
  </sheetViews>
  <sheetFormatPr defaultRowHeight="14.5"/>
  <sheetData>
    <row r="3" spans="1:14" s="79" customFormat="1" ht="13">
      <c r="A3" s="72" t="s">
        <v>581</v>
      </c>
      <c r="B3" s="72"/>
    </row>
    <row r="4" spans="1:14" s="4" customFormat="1" ht="13"/>
    <row r="5" spans="1:14" s="2" customFormat="1" ht="13">
      <c r="A5" s="19" t="s">
        <v>580</v>
      </c>
      <c r="B5" s="19">
        <v>9.8900000000000002E-2</v>
      </c>
      <c r="C5" s="19" t="s">
        <v>565</v>
      </c>
      <c r="D5" s="19">
        <v>1</v>
      </c>
      <c r="E5" s="19">
        <v>98</v>
      </c>
      <c r="F5" s="19">
        <v>5</v>
      </c>
      <c r="G5" s="19"/>
      <c r="H5" s="19">
        <v>0.8</v>
      </c>
      <c r="I5" s="19">
        <v>76</v>
      </c>
      <c r="K5" s="54">
        <f>B5+D5*(0.00405*F5+0.000519*E5-0.11)+F5*(0.0000689*E5-0.0118)+0.0022*E5</f>
        <v>0.25037300000000001</v>
      </c>
      <c r="L5" s="352">
        <f t="shared" ref="L5:L12" si="0">K5*I5*H5</f>
        <v>15.222678400000001</v>
      </c>
      <c r="N5" s="2" t="s">
        <v>579</v>
      </c>
    </row>
    <row r="6" spans="1:14" s="2" customFormat="1" ht="13">
      <c r="A6" s="19" t="s">
        <v>578</v>
      </c>
      <c r="B6" s="19">
        <v>0.85399999999999998</v>
      </c>
      <c r="C6" s="19" t="s">
        <v>565</v>
      </c>
      <c r="D6" s="19">
        <v>1</v>
      </c>
      <c r="E6" s="19">
        <v>108</v>
      </c>
      <c r="F6" s="19">
        <v>5</v>
      </c>
      <c r="G6" s="19"/>
      <c r="H6" s="19">
        <v>0.8</v>
      </c>
      <c r="I6" s="19">
        <v>76</v>
      </c>
      <c r="K6" s="54">
        <f>B6+D6*(0.00231*F6-0.0349)+F6*(0.000309*E6-0.0494)+0.00266*E6</f>
        <v>1.03779</v>
      </c>
      <c r="L6" s="352">
        <f t="shared" si="0"/>
        <v>63.097632000000004</v>
      </c>
      <c r="N6" s="2" t="s">
        <v>577</v>
      </c>
    </row>
    <row r="7" spans="1:14" s="2" customFormat="1" ht="13">
      <c r="A7" s="19" t="s">
        <v>576</v>
      </c>
      <c r="B7" s="19">
        <v>3.0219999999999998</v>
      </c>
      <c r="C7" s="19" t="s">
        <v>565</v>
      </c>
      <c r="D7" s="19">
        <v>1</v>
      </c>
      <c r="E7" s="19">
        <v>55</v>
      </c>
      <c r="F7" s="19">
        <v>5</v>
      </c>
      <c r="G7" s="19"/>
      <c r="H7" s="19">
        <v>0.8</v>
      </c>
      <c r="I7" s="19">
        <v>76</v>
      </c>
      <c r="K7" s="54">
        <f>B7+D7*(0.00745*F7-0.142)+F7*(0.00077*E7-0.111)+0.00199*E7</f>
        <v>2.6834499999999997</v>
      </c>
      <c r="L7" s="352">
        <f t="shared" si="0"/>
        <v>163.15376000000001</v>
      </c>
      <c r="N7" s="2" t="s">
        <v>575</v>
      </c>
    </row>
    <row r="8" spans="1:14" s="2" customFormat="1" ht="13">
      <c r="A8" s="19" t="s">
        <v>574</v>
      </c>
      <c r="B8" s="19">
        <v>5.3680000000000003</v>
      </c>
      <c r="C8" s="19" t="s">
        <v>565</v>
      </c>
      <c r="D8" s="19">
        <v>1</v>
      </c>
      <c r="E8" s="19">
        <v>133</v>
      </c>
      <c r="F8" s="19">
        <v>5</v>
      </c>
      <c r="G8" s="19"/>
      <c r="H8" s="19">
        <v>0.8</v>
      </c>
      <c r="I8" s="19">
        <v>76</v>
      </c>
      <c r="K8" s="54">
        <f>B8+D8*(0.00143*F8-0.0309)+F8*(0.0008*E8-0.134)+0.00219*E8</f>
        <v>5.4975200000000006</v>
      </c>
      <c r="L8" s="352">
        <f t="shared" si="0"/>
        <v>334.24921600000005</v>
      </c>
      <c r="N8" s="2" t="s">
        <v>573</v>
      </c>
    </row>
    <row r="9" spans="1:14" s="2" customFormat="1" ht="13">
      <c r="A9" s="19" t="s">
        <v>572</v>
      </c>
      <c r="B9" s="19">
        <v>0.63600000000000001</v>
      </c>
      <c r="C9" s="19" t="s">
        <v>565</v>
      </c>
      <c r="D9" s="19">
        <v>1</v>
      </c>
      <c r="E9" s="19">
        <v>108</v>
      </c>
      <c r="F9" s="19">
        <v>5</v>
      </c>
      <c r="G9" s="19"/>
      <c r="H9" s="19">
        <v>0.8</v>
      </c>
      <c r="I9" s="19">
        <v>76</v>
      </c>
      <c r="K9" s="54">
        <f>B9+D9*(0.0125*F9+0.0036*E9-0.71)+F9*(0.000329*E9-0.0615)+0.00738*E9</f>
        <v>1.0445000000000002</v>
      </c>
      <c r="L9" s="352">
        <f t="shared" si="0"/>
        <v>63.505600000000015</v>
      </c>
      <c r="N9" s="2" t="s">
        <v>571</v>
      </c>
    </row>
    <row r="10" spans="1:14" s="2" customFormat="1" ht="13">
      <c r="A10" s="19" t="s">
        <v>570</v>
      </c>
      <c r="B10" s="19">
        <v>0.70399999999999996</v>
      </c>
      <c r="C10" s="19" t="s">
        <v>565</v>
      </c>
      <c r="D10" s="19">
        <v>1</v>
      </c>
      <c r="E10" s="19">
        <v>117</v>
      </c>
      <c r="F10" s="19">
        <v>5</v>
      </c>
      <c r="G10" s="19"/>
      <c r="H10" s="19">
        <v>0.8</v>
      </c>
      <c r="I10" s="19">
        <v>76</v>
      </c>
      <c r="K10" s="54">
        <f>B10+D10*(0.00144*F10+0.000262*E10-0.0553)+F10*(0.00018*E10-0.0299)+0.00166*E10</f>
        <v>0.83657399999999993</v>
      </c>
      <c r="L10" s="352">
        <f t="shared" si="0"/>
        <v>50.863699199999999</v>
      </c>
      <c r="N10" s="2" t="s">
        <v>569</v>
      </c>
    </row>
    <row r="11" spans="1:14" s="2" customFormat="1" ht="13">
      <c r="A11" s="19" t="s">
        <v>568</v>
      </c>
      <c r="B11" s="19">
        <v>2.6720000000000002</v>
      </c>
      <c r="C11" s="19" t="s">
        <v>565</v>
      </c>
      <c r="D11" s="19">
        <v>1</v>
      </c>
      <c r="E11" s="19">
        <v>93</v>
      </c>
      <c r="F11" s="19">
        <v>5</v>
      </c>
      <c r="G11" s="19"/>
      <c r="H11" s="19">
        <v>0.8</v>
      </c>
      <c r="I11" s="19">
        <v>76</v>
      </c>
      <c r="K11" s="54">
        <f>B11+F11*(0.000406*E11-0.0611)+0.00228*E11</f>
        <v>2.7673300000000003</v>
      </c>
      <c r="L11" s="352">
        <f t="shared" si="0"/>
        <v>168.25366400000004</v>
      </c>
      <c r="N11" s="2" t="s">
        <v>567</v>
      </c>
    </row>
    <row r="12" spans="1:14" s="2" customFormat="1" ht="13">
      <c r="A12" s="19" t="s">
        <v>566</v>
      </c>
      <c r="B12" s="19">
        <v>2.2919999999999998</v>
      </c>
      <c r="C12" s="19" t="s">
        <v>565</v>
      </c>
      <c r="D12" s="19">
        <v>1</v>
      </c>
      <c r="E12" s="19">
        <v>93</v>
      </c>
      <c r="F12" s="19">
        <v>5</v>
      </c>
      <c r="G12" s="19"/>
      <c r="H12" s="19">
        <v>0.8</v>
      </c>
      <c r="I12" s="19">
        <v>76</v>
      </c>
      <c r="K12" s="54">
        <f>B12+D12*(0.00383*F12-0.0656)+F12*(0.000575*E12-0.0912)+0.00249*E12</f>
        <v>2.2884949999999997</v>
      </c>
      <c r="L12" s="352">
        <f t="shared" si="0"/>
        <v>139.14049599999998</v>
      </c>
      <c r="N12" s="2" t="s">
        <v>564</v>
      </c>
    </row>
    <row r="13" spans="1:14" s="2" customFormat="1" ht="13">
      <c r="K13" s="77">
        <f>AVERAGE(K5:K12)</f>
        <v>2.050754</v>
      </c>
      <c r="L13" s="353">
        <f>AVERAGE(L5:L12)</f>
        <v>124.68584320000001</v>
      </c>
    </row>
    <row r="14" spans="1:14" s="4" customFormat="1" ht="13"/>
    <row r="15" spans="1:14" s="2" customFormat="1" ht="13"/>
  </sheetData>
  <pageMargins left="0.7" right="0.7" top="0.75" bottom="0.75" header="0.3" footer="0.3"/>
  <pageSetup scale="4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3:X28"/>
  <sheetViews>
    <sheetView zoomScale="70" zoomScaleNormal="70" zoomScaleSheetLayoutView="70" workbookViewId="0"/>
  </sheetViews>
  <sheetFormatPr defaultRowHeight="14.5"/>
  <cols>
    <col min="1" max="1" width="25" bestFit="1" customWidth="1"/>
    <col min="2" max="2" width="10" bestFit="1" customWidth="1"/>
    <col min="3" max="3" width="15.453125" bestFit="1" customWidth="1"/>
  </cols>
  <sheetData>
    <row r="3" spans="1:24" s="151" customFormat="1" ht="13.5" customHeight="1">
      <c r="A3" s="71" t="s">
        <v>666</v>
      </c>
      <c r="B3" s="79"/>
      <c r="C3" s="79"/>
      <c r="D3" s="79"/>
      <c r="E3" s="79"/>
      <c r="F3" s="79"/>
      <c r="G3" s="79"/>
      <c r="H3" s="79"/>
      <c r="I3" s="79"/>
      <c r="J3" s="79"/>
      <c r="K3" s="79"/>
      <c r="L3" s="79"/>
      <c r="M3" s="79"/>
      <c r="N3" s="79"/>
      <c r="O3" s="79"/>
      <c r="P3" s="79"/>
      <c r="Q3" s="79"/>
      <c r="R3" s="79"/>
      <c r="S3" s="79"/>
      <c r="T3" s="79"/>
      <c r="U3" s="79"/>
      <c r="V3" s="79"/>
      <c r="W3" s="79"/>
      <c r="X3" s="79"/>
    </row>
    <row r="4" spans="1:24" s="13" customFormat="1" ht="13">
      <c r="C4" s="2"/>
      <c r="D4" s="2"/>
      <c r="E4" s="2"/>
      <c r="F4" s="2"/>
      <c r="G4" s="2"/>
      <c r="H4" s="2"/>
      <c r="I4" s="2"/>
      <c r="J4" s="2"/>
      <c r="K4" s="2"/>
      <c r="L4" s="2"/>
      <c r="M4" s="2"/>
      <c r="N4" s="2"/>
      <c r="O4" s="2"/>
      <c r="P4" s="2"/>
      <c r="Q4" s="2"/>
      <c r="R4" s="2"/>
      <c r="S4" s="2"/>
      <c r="T4" s="2"/>
      <c r="U4" s="2"/>
      <c r="V4" s="2"/>
      <c r="W4" s="2"/>
      <c r="X4" s="2"/>
    </row>
    <row r="5" spans="1:24" s="13" customFormat="1" ht="13">
      <c r="A5" s="14" t="s">
        <v>251</v>
      </c>
      <c r="B5" s="20">
        <v>140</v>
      </c>
      <c r="C5" s="2"/>
      <c r="D5" s="2"/>
      <c r="E5" s="2"/>
      <c r="F5" s="2"/>
      <c r="G5" s="2"/>
      <c r="H5" s="2"/>
      <c r="I5" s="2"/>
      <c r="J5" s="2"/>
      <c r="K5" s="2"/>
      <c r="L5" s="2"/>
      <c r="M5" s="2"/>
      <c r="N5" s="2"/>
      <c r="O5" s="2"/>
      <c r="P5" s="2"/>
      <c r="Q5" s="2"/>
      <c r="R5" s="2"/>
      <c r="S5" s="2"/>
      <c r="T5" s="2"/>
      <c r="U5" s="2"/>
      <c r="V5" s="2"/>
      <c r="W5" s="2"/>
      <c r="X5" s="2"/>
    </row>
    <row r="6" spans="1:24" s="13" customFormat="1" ht="13">
      <c r="A6" s="14" t="s">
        <v>250</v>
      </c>
      <c r="B6" s="20">
        <v>54.1</v>
      </c>
      <c r="C6" s="2"/>
      <c r="D6" s="2"/>
      <c r="E6" s="2"/>
      <c r="F6" s="2"/>
      <c r="G6" s="2"/>
      <c r="H6" s="2"/>
      <c r="I6" s="2"/>
      <c r="J6" s="2"/>
      <c r="K6" s="2"/>
      <c r="L6" s="2"/>
      <c r="M6" s="2"/>
      <c r="N6" s="2"/>
      <c r="O6" s="2"/>
      <c r="P6" s="2"/>
      <c r="Q6" s="2"/>
      <c r="R6" s="2"/>
      <c r="S6" s="2"/>
      <c r="T6" s="2"/>
      <c r="U6" s="2"/>
      <c r="V6" s="2"/>
      <c r="W6" s="2"/>
      <c r="X6" s="2"/>
    </row>
    <row r="7" spans="1:24" s="13" customFormat="1" ht="13">
      <c r="A7" s="14" t="s">
        <v>383</v>
      </c>
      <c r="B7" s="14">
        <v>8.33</v>
      </c>
      <c r="C7" s="2"/>
      <c r="D7" s="2"/>
      <c r="E7" s="2"/>
      <c r="F7" s="2"/>
      <c r="G7" s="2"/>
      <c r="H7" s="2"/>
      <c r="I7" s="2"/>
      <c r="J7" s="2"/>
      <c r="K7" s="2"/>
      <c r="L7" s="2"/>
      <c r="M7" s="2"/>
      <c r="N7" s="2"/>
      <c r="O7" s="2"/>
      <c r="P7" s="2"/>
      <c r="Q7" s="2"/>
      <c r="R7" s="2"/>
      <c r="S7" s="2"/>
      <c r="T7" s="2"/>
      <c r="U7" s="2"/>
      <c r="V7" s="2"/>
      <c r="W7" s="2"/>
      <c r="X7" s="2"/>
    </row>
    <row r="8" spans="1:24" s="2" customFormat="1" ht="13">
      <c r="A8" s="14" t="s">
        <v>249</v>
      </c>
      <c r="B8" s="150">
        <f>B12*B13*365</f>
        <v>4927.5</v>
      </c>
    </row>
    <row r="9" spans="1:24" s="2" customFormat="1" ht="13">
      <c r="A9" s="20" t="s">
        <v>665</v>
      </c>
      <c r="B9" s="21">
        <v>0.8</v>
      </c>
    </row>
    <row r="10" spans="1:24" s="13" customFormat="1" ht="13">
      <c r="A10" s="20" t="s">
        <v>664</v>
      </c>
      <c r="B10" s="20">
        <v>0.65</v>
      </c>
      <c r="C10" s="2"/>
      <c r="D10" s="2"/>
      <c r="E10" s="2"/>
      <c r="F10" s="2"/>
      <c r="G10" s="2"/>
      <c r="H10" s="2"/>
      <c r="I10" s="2"/>
      <c r="J10" s="2"/>
      <c r="K10" s="2"/>
      <c r="L10" s="2"/>
      <c r="M10" s="2"/>
      <c r="N10" s="2"/>
      <c r="O10" s="2"/>
      <c r="P10" s="2"/>
      <c r="Q10" s="2"/>
      <c r="R10" s="2"/>
      <c r="S10" s="2"/>
      <c r="T10" s="2"/>
      <c r="U10" s="2"/>
      <c r="V10" s="2"/>
      <c r="W10" s="2"/>
      <c r="X10" s="2"/>
    </row>
    <row r="11" spans="1:24" s="13" customFormat="1" ht="13">
      <c r="C11" s="2"/>
      <c r="D11" s="75" t="s">
        <v>663</v>
      </c>
      <c r="E11" s="2"/>
      <c r="F11" s="2"/>
      <c r="G11" s="2"/>
      <c r="H11" s="2"/>
      <c r="I11" s="2"/>
      <c r="J11" s="2"/>
      <c r="K11" s="2"/>
      <c r="L11" s="2"/>
      <c r="M11" s="2"/>
      <c r="N11" s="2"/>
      <c r="O11" s="2"/>
      <c r="P11" s="2"/>
      <c r="Q11" s="2"/>
      <c r="R11" s="2"/>
      <c r="S11" s="2"/>
      <c r="T11" s="2"/>
      <c r="U11" s="2"/>
      <c r="V11" s="2"/>
      <c r="W11" s="2"/>
      <c r="X11" s="2"/>
    </row>
    <row r="12" spans="1:24" s="13" customFormat="1" ht="13">
      <c r="A12" s="2" t="s">
        <v>662</v>
      </c>
      <c r="B12" s="19">
        <v>3</v>
      </c>
      <c r="C12" s="2"/>
      <c r="D12" s="75" t="s">
        <v>661</v>
      </c>
      <c r="E12" s="2"/>
      <c r="F12" s="2"/>
      <c r="G12" s="2"/>
      <c r="H12" s="2"/>
      <c r="I12" s="2"/>
      <c r="J12" s="2"/>
      <c r="K12" s="2"/>
      <c r="L12" s="2"/>
      <c r="M12" s="2"/>
      <c r="N12" s="2"/>
      <c r="O12" s="2"/>
      <c r="P12" s="2"/>
      <c r="Q12" s="2"/>
      <c r="R12" s="2"/>
      <c r="S12" s="2"/>
      <c r="T12" s="2"/>
      <c r="U12" s="2"/>
      <c r="V12" s="2"/>
      <c r="W12" s="2"/>
      <c r="X12" s="2"/>
    </row>
    <row r="13" spans="1:24" s="13" customFormat="1" ht="13">
      <c r="A13" s="2" t="s">
        <v>660</v>
      </c>
      <c r="B13" s="19">
        <v>4.5</v>
      </c>
      <c r="C13" s="2" t="s">
        <v>659</v>
      </c>
      <c r="D13" s="75" t="s">
        <v>658</v>
      </c>
      <c r="E13" s="2"/>
      <c r="F13" s="2"/>
      <c r="G13" s="2"/>
      <c r="H13" s="2"/>
      <c r="I13" s="2"/>
      <c r="J13" s="2"/>
      <c r="K13" s="2"/>
      <c r="L13" s="2"/>
      <c r="M13" s="2"/>
      <c r="N13" s="2"/>
      <c r="O13" s="2"/>
      <c r="P13" s="2"/>
      <c r="Q13" s="2"/>
      <c r="R13" s="2"/>
      <c r="S13" s="2"/>
      <c r="T13" s="2"/>
      <c r="U13" s="2"/>
      <c r="V13" s="2"/>
      <c r="W13" s="2"/>
      <c r="X13" s="2"/>
    </row>
    <row r="14" spans="1:24" s="13" customFormat="1" ht="13">
      <c r="A14" s="2"/>
      <c r="B14" s="2"/>
      <c r="C14" s="2"/>
      <c r="D14" s="2"/>
      <c r="E14" s="2"/>
      <c r="F14" s="2"/>
      <c r="G14" s="2"/>
      <c r="H14" s="2"/>
      <c r="I14" s="2"/>
      <c r="J14" s="2"/>
      <c r="K14" s="2"/>
      <c r="L14" s="2"/>
      <c r="M14" s="2"/>
      <c r="N14" s="2"/>
      <c r="O14" s="2"/>
      <c r="P14" s="2"/>
      <c r="Q14" s="2"/>
      <c r="R14" s="2"/>
      <c r="S14" s="2"/>
      <c r="T14" s="2"/>
      <c r="U14" s="2"/>
      <c r="V14" s="2"/>
      <c r="W14" s="2"/>
      <c r="X14" s="2"/>
    </row>
    <row r="15" spans="1:24" s="2" customFormat="1" ht="13">
      <c r="A15" s="18" t="s">
        <v>657</v>
      </c>
      <c r="B15" s="23">
        <f>2*B13*B10*B7*(B5-B6)/B9</f>
        <v>5232.4374375000007</v>
      </c>
      <c r="C15" s="18" t="s">
        <v>656</v>
      </c>
    </row>
    <row r="16" spans="1:24" s="2" customFormat="1" ht="13">
      <c r="A16" s="18" t="s">
        <v>655</v>
      </c>
      <c r="B16" s="23">
        <f>B8*B7*(B5-B6)/B9</f>
        <v>4407322.3031249996</v>
      </c>
      <c r="C16" s="18" t="s">
        <v>255</v>
      </c>
    </row>
    <row r="17" spans="1:3" s="2" customFormat="1" ht="13">
      <c r="A17" s="18" t="s">
        <v>303</v>
      </c>
      <c r="B17" s="23">
        <f>B16/B15+1*0.01*8760</f>
        <v>929.90769230769217</v>
      </c>
      <c r="C17" s="18" t="s">
        <v>654</v>
      </c>
    </row>
    <row r="18" spans="1:3" s="2" customFormat="1" ht="13"/>
    <row r="19" spans="1:3" s="2" customFormat="1" ht="13">
      <c r="A19" s="14" t="s">
        <v>240</v>
      </c>
      <c r="B19" s="20">
        <v>1</v>
      </c>
      <c r="C19" s="20">
        <v>1</v>
      </c>
    </row>
    <row r="20" spans="1:3" s="2" customFormat="1" ht="13">
      <c r="A20" s="14" t="s">
        <v>653</v>
      </c>
      <c r="B20" s="20">
        <v>0.8</v>
      </c>
      <c r="C20" s="20">
        <v>0.8</v>
      </c>
    </row>
    <row r="21" spans="1:3" s="2" customFormat="1" ht="13">
      <c r="A21" s="14" t="s">
        <v>652</v>
      </c>
      <c r="B21" s="20">
        <v>0.88</v>
      </c>
      <c r="C21" s="20">
        <v>0.95</v>
      </c>
    </row>
    <row r="22" spans="1:3" s="2" customFormat="1" ht="13"/>
    <row r="23" spans="1:3" s="2" customFormat="1" ht="13">
      <c r="A23" s="2" t="s">
        <v>651</v>
      </c>
      <c r="B23" s="149">
        <f>B19*B17*(1/B20-1/B21)/100</f>
        <v>1.0567132867132856</v>
      </c>
      <c r="C23" s="149">
        <f>B19*B17*(1/C20-1/C21)/100</f>
        <v>1.8353441295546562</v>
      </c>
    </row>
    <row r="24" spans="1:3" s="2" customFormat="1" ht="13"/>
    <row r="25" spans="1:3" s="4" customFormat="1" ht="13"/>
    <row r="26" spans="1:3" s="4" customFormat="1" ht="13"/>
    <row r="27" spans="1:3" s="4" customFormat="1" ht="13"/>
    <row r="28" spans="1:3" s="4" customFormat="1" ht="13"/>
  </sheetData>
  <hyperlinks>
    <hyperlink ref="D11" display="http://www.bandctech.com/Manuals/commercial-laundry-planning-guide.pdf" xr:uid="{00000000-0004-0000-0800-000000000000}"/>
    <hyperlink ref="D12" display="http://www1.eere.energy.gov/buildings/appliance_standards/commercial/pdfs/ccw_snopr_chap6.pdf" xr:uid="{00000000-0004-0000-0800-000001000000}"/>
    <hyperlink ref="D13" display="http://www.allianceforwaterefficiency.org/laundromats.aspx" xr:uid="{00000000-0004-0000-0800-000002000000}"/>
  </hyperlinks>
  <pageMargins left="0.7" right="0.7" top="0.75" bottom="0.75" header="0.3" footer="0.3"/>
  <pageSetup scale="56" orientation="portrait" r:id="rId1"/>
  <colBreaks count="1" manualBreakCount="1">
    <brk id="15"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99E4CC8FA0FD34A88BE0C380B684BAB" ma:contentTypeVersion="10" ma:contentTypeDescription="Create a new document." ma:contentTypeScope="" ma:versionID="f890aeb844cf6e9ce28b67625203f3af">
  <xsd:schema xmlns:xsd="http://www.w3.org/2001/XMLSchema" xmlns:xs="http://www.w3.org/2001/XMLSchema" xmlns:p="http://schemas.microsoft.com/office/2006/metadata/properties" xmlns:ns3="765227eb-2557-40de-b741-36f4bef2b5cf" targetNamespace="http://schemas.microsoft.com/office/2006/metadata/properties" ma:root="true" ma:fieldsID="db1bb154309f27afb910f7fbccc6c9bd" ns3:_="">
    <xsd:import namespace="765227eb-2557-40de-b741-36f4bef2b5cf"/>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DateTaken" minOccurs="0"/>
                <xsd:element ref="ns3:MediaServiceOCR" minOccurs="0"/>
                <xsd:element ref="ns3:MediaServiceLocation"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5227eb-2557-40de-b741-36f4bef2b5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2BFE4E-F435-4A1D-B5F2-388F6F8BE3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5227eb-2557-40de-b741-36f4bef2b5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2B9A8A4-C677-4AAD-8A48-395F14A1731E}">
  <ds:schemaRefs>
    <ds:schemaRef ds:uri="http://schemas.microsoft.com/sharepoint/v3/contenttype/forms"/>
  </ds:schemaRefs>
</ds:datastoreItem>
</file>

<file path=customXml/itemProps3.xml><?xml version="1.0" encoding="utf-8"?>
<ds:datastoreItem xmlns:ds="http://schemas.openxmlformats.org/officeDocument/2006/customXml" ds:itemID="{3E67ADCC-97D9-4104-B481-1CC235595E4F}">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v8 Revisions</vt:lpstr>
      <vt:lpstr>Program-Level Adjustments Tab</vt:lpstr>
      <vt:lpstr>Measure-Level Adjustments Tab</vt:lpstr>
      <vt:lpstr>WAML</vt:lpstr>
      <vt:lpstr>Unit Savings Calculations</vt:lpstr>
      <vt:lpstr>Food Equipment Detail</vt:lpstr>
      <vt:lpstr>Pipe Insulation Detail</vt:lpstr>
      <vt:lpstr>Thermostat Detail</vt:lpstr>
      <vt:lpstr>Laundromat Boiler Detail</vt:lpstr>
      <vt:lpstr>Behavior</vt:lpstr>
      <vt:lpstr>'v8 Revisions'!_Hlk514074254</vt:lpstr>
      <vt:lpstr>'Food Equipment Detail'!Print_Area</vt:lpstr>
      <vt:lpstr>'Laundromat Boiler Detail'!Print_Area</vt:lpstr>
      <vt:lpstr>'Measure-Level Adjustments Tab'!Print_Area</vt:lpstr>
      <vt:lpstr>'Pipe Insulation Detail'!Print_Area</vt:lpstr>
      <vt:lpstr>'Program-Level Adjustments Tab'!Print_Area</vt:lpstr>
      <vt:lpstr>'Thermostat Detail'!Print_Area</vt:lpstr>
      <vt:lpstr>'Unit Savings Calculations'!Print_Area</vt:lpstr>
      <vt:lpstr>'Measure-Level Adjustments Tab'!Print_Titles</vt:lpstr>
      <vt:lpstr>'Program-Level Adjustments Tab'!Print_Titles</vt:lpstr>
      <vt:lpstr>'Unit Savings Calculations'!Print_Titles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EEPS Adjustable Savings Goal Template</dc:title>
  <dc:subject>EEPS Adjustable Savings Goal Template</dc:subject>
  <dc:creator>Jennifer Morris</dc:creator>
  <cp:lastModifiedBy>CJ Consulting</cp:lastModifiedBy>
  <cp:lastPrinted>2017-04-10T19:33:53Z</cp:lastPrinted>
  <dcterms:created xsi:type="dcterms:W3CDTF">2015-06-27T00:40:35Z</dcterms:created>
  <dcterms:modified xsi:type="dcterms:W3CDTF">2020-03-04T20:40:42Z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0x010100E99E4CC8FA0FD34A88BE0C380B684BAB</vt:lpwstr>
  </property>
</Properties>
</file>